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FangcloudV2\personal_space\15.GS项目\Animal Manure Management-AM0010\双胞胎畜牧集团有限公司\GS 11335+Shuangbaotai Guangdong\3. VVB Document\5. Process File\"/>
    </mc:Choice>
  </mc:AlternateContent>
  <xr:revisionPtr revIDLastSave="0" documentId="13_ncr:1_{1A3540A5-F990-4965-AE39-2B1C99BD483C}" xr6:coauthVersionLast="47" xr6:coauthVersionMax="47" xr10:uidLastSave="{00000000-0000-0000-0000-000000000000}"/>
  <bookViews>
    <workbookView xWindow="-28920" yWindow="-120" windowWidth="29040" windowHeight="16440" tabRatio="714" xr2:uid="{00000000-000D-0000-FFFF-FFFF00000000}"/>
  </bookViews>
  <sheets>
    <sheet name="Cover page" sheetId="6" r:id="rId1"/>
    <sheet name="SDG Outcomes" sheetId="20" r:id="rId2"/>
    <sheet name="Baseline emission" sheetId="21" r:id="rId3"/>
    <sheet name="Project emission" sheetId="23" r:id="rId4"/>
    <sheet name="Leakage emission" sheetId="24" r:id="rId5"/>
    <sheet name="Emission Reduction" sheetId="25" r:id="rId6"/>
    <sheet name="monitoring results" sheetId="8" r:id="rId7"/>
    <sheet name="Reliability Check" sheetId="43" r:id="rId8"/>
    <sheet name="2020.12" sheetId="60" r:id="rId9"/>
    <sheet name="2021.1" sheetId="61" r:id="rId10"/>
    <sheet name="2021.2" sheetId="62" r:id="rId11"/>
    <sheet name="2021.3" sheetId="63" r:id="rId12"/>
    <sheet name="2021.4" sheetId="64" r:id="rId13"/>
    <sheet name="2021.5" sheetId="65" r:id="rId14"/>
    <sheet name="2021.6" sheetId="66" r:id="rId15"/>
    <sheet name="2021.7" sheetId="67" r:id="rId16"/>
    <sheet name="2021.8" sheetId="68" r:id="rId17"/>
    <sheet name="2021.9" sheetId="69" r:id="rId18"/>
    <sheet name="2021.10" sheetId="70" r:id="rId19"/>
    <sheet name="2021.11" sheetId="71" r:id="rId20"/>
    <sheet name="2021.12" sheetId="72" r:id="rId21"/>
    <sheet name="2022.1" sheetId="73" r:id="rId22"/>
    <sheet name="2022.2" sheetId="74" r:id="rId23"/>
    <sheet name="2022.3" sheetId="75" r:id="rId24"/>
  </sheets>
  <externalReferences>
    <externalReference r:id="rId25"/>
    <externalReference r:id="rId26"/>
    <externalReference r:id="rId27"/>
  </externalReferences>
  <definedNames>
    <definedName name="BE_" localSheetId="7">[1]ER!$B$2</definedName>
    <definedName name="BE_">[2]ER!$B$2</definedName>
    <definedName name="ER" localSheetId="7">[1]ER!$B$1</definedName>
    <definedName name="ER">[2]ER!$B$1</definedName>
    <definedName name="LE" localSheetId="7">[1]ER!$B$17</definedName>
    <definedName name="LE">[2]ER!$B$17</definedName>
    <definedName name="PE" localSheetId="7">[1]ER!$B$8</definedName>
    <definedName name="PE">[2]ER!$B$8</definedName>
  </definedNames>
  <calcPr calcId="191029"/>
  <customWorkbookViews>
    <customWorkbookView name="HIEU - Personal View" guid="{2C071143-29D6-4036-A926-BF7E54293313}" mergeInterval="0" personalView="1" maximized="1" windowWidth="1020" windowHeight="57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3" i="24" l="1"/>
  <c r="C91" i="24"/>
  <c r="C68" i="24"/>
  <c r="B312" i="23"/>
  <c r="B311" i="23"/>
  <c r="B310" i="23"/>
  <c r="C236" i="23"/>
  <c r="C237" i="23"/>
  <c r="C238" i="23"/>
  <c r="C239" i="23"/>
  <c r="C240" i="23"/>
  <c r="C241" i="23"/>
  <c r="C242" i="23"/>
  <c r="C243" i="23"/>
  <c r="C244" i="23"/>
  <c r="C245" i="23"/>
  <c r="C246" i="23"/>
  <c r="C247" i="23"/>
  <c r="C248" i="23"/>
  <c r="C249" i="23"/>
  <c r="C250" i="23"/>
  <c r="C235" i="23"/>
  <c r="C162" i="23"/>
  <c r="C163" i="23"/>
  <c r="C164" i="23"/>
  <c r="C165" i="23"/>
  <c r="C166" i="23"/>
  <c r="C167" i="23"/>
  <c r="C168" i="23"/>
  <c r="C169" i="23"/>
  <c r="C170" i="23"/>
  <c r="C171" i="23"/>
  <c r="C172" i="23"/>
  <c r="C173" i="23"/>
  <c r="C174" i="23"/>
  <c r="C175" i="23"/>
  <c r="C161" i="23"/>
  <c r="C160" i="23"/>
  <c r="C269" i="21"/>
  <c r="C270" i="21"/>
  <c r="C271" i="21"/>
  <c r="C272" i="21"/>
  <c r="C273" i="21"/>
  <c r="C274" i="21"/>
  <c r="C275" i="21"/>
  <c r="C276" i="21"/>
  <c r="C277" i="21"/>
  <c r="C278" i="21"/>
  <c r="C279" i="21"/>
  <c r="C280" i="21"/>
  <c r="C281" i="21"/>
  <c r="C282" i="21"/>
  <c r="C283" i="21"/>
  <c r="C268" i="21"/>
  <c r="C200" i="21"/>
  <c r="C201" i="21"/>
  <c r="C202" i="21"/>
  <c r="C203" i="21"/>
  <c r="C204" i="21"/>
  <c r="C205" i="21"/>
  <c r="C206" i="21"/>
  <c r="C207" i="21"/>
  <c r="C208" i="21"/>
  <c r="C209" i="21"/>
  <c r="C210" i="21"/>
  <c r="C211" i="21"/>
  <c r="C212" i="21"/>
  <c r="C213" i="21"/>
  <c r="C214" i="21"/>
  <c r="C199" i="21"/>
  <c r="C93" i="21"/>
  <c r="C94" i="21"/>
  <c r="C95" i="21"/>
  <c r="C96" i="21"/>
  <c r="C97" i="21"/>
  <c r="C98" i="21"/>
  <c r="C99" i="21"/>
  <c r="C100" i="21"/>
  <c r="C101" i="21"/>
  <c r="C102" i="21"/>
  <c r="C103" i="21"/>
  <c r="C104" i="21"/>
  <c r="C105" i="21"/>
  <c r="C106" i="21"/>
  <c r="C92" i="21"/>
  <c r="C91" i="21"/>
  <c r="B17" i="21" l="1"/>
  <c r="A39" i="43" l="1"/>
  <c r="BX19" i="43"/>
  <c r="BX18" i="43"/>
  <c r="BX17" i="43"/>
  <c r="BX16" i="43"/>
  <c r="BX15" i="43"/>
  <c r="BX14" i="43"/>
  <c r="BX13" i="43"/>
  <c r="BX12" i="43"/>
  <c r="BX11" i="43"/>
  <c r="BX10" i="43"/>
  <c r="BX9" i="43"/>
  <c r="BX8" i="43"/>
  <c r="BX7" i="43"/>
  <c r="BX6" i="43"/>
  <c r="BX5" i="43"/>
  <c r="BW19" i="43"/>
  <c r="BW18" i="43"/>
  <c r="BW17" i="43"/>
  <c r="BW16" i="43"/>
  <c r="BW15" i="43"/>
  <c r="BW14" i="43"/>
  <c r="BW13" i="43"/>
  <c r="BW12" i="43"/>
  <c r="BW11" i="43"/>
  <c r="BW10" i="43"/>
  <c r="BW9" i="43"/>
  <c r="BW8" i="43"/>
  <c r="BW7" i="43"/>
  <c r="BW6" i="43"/>
  <c r="BW5" i="43"/>
  <c r="BZ4" i="43"/>
  <c r="BY4" i="43"/>
  <c r="BX4" i="43"/>
  <c r="BW4" i="43"/>
  <c r="BQ4" i="43"/>
  <c r="BP4" i="43"/>
  <c r="BO19" i="43"/>
  <c r="BO18" i="43"/>
  <c r="BO17" i="43"/>
  <c r="BO16" i="43"/>
  <c r="BO15" i="43"/>
  <c r="BO14" i="43"/>
  <c r="BO13" i="43"/>
  <c r="BO12" i="43"/>
  <c r="BO11" i="43"/>
  <c r="BO10" i="43"/>
  <c r="BO9" i="43"/>
  <c r="BO8" i="43"/>
  <c r="BO7" i="43"/>
  <c r="BO6" i="43"/>
  <c r="BO5" i="43"/>
  <c r="BO4" i="43"/>
  <c r="BN19" i="43"/>
  <c r="BN18" i="43"/>
  <c r="BN17" i="43"/>
  <c r="BN16" i="43"/>
  <c r="BN15" i="43"/>
  <c r="BN14" i="43"/>
  <c r="BN13" i="43"/>
  <c r="BN12" i="43"/>
  <c r="BN11" i="43"/>
  <c r="BN10" i="43"/>
  <c r="BN9" i="43"/>
  <c r="BN8" i="43"/>
  <c r="BN7" i="43"/>
  <c r="BN6" i="43"/>
  <c r="BN5" i="43"/>
  <c r="BN4" i="43"/>
  <c r="BH4" i="43"/>
  <c r="BG4" i="43"/>
  <c r="BF19" i="43"/>
  <c r="BF18" i="43"/>
  <c r="BF17" i="43"/>
  <c r="BF16" i="43"/>
  <c r="BF15" i="43"/>
  <c r="BF14" i="43"/>
  <c r="BF13" i="43"/>
  <c r="BF12" i="43"/>
  <c r="BF11" i="43"/>
  <c r="BF10" i="43"/>
  <c r="BF9" i="43"/>
  <c r="BF8" i="43"/>
  <c r="BF7" i="43"/>
  <c r="BF6" i="43"/>
  <c r="BF5" i="43"/>
  <c r="BE19" i="43"/>
  <c r="BE18" i="43"/>
  <c r="BE17" i="43"/>
  <c r="BE16" i="43"/>
  <c r="BE15" i="43"/>
  <c r="BE14" i="43"/>
  <c r="BE13" i="43"/>
  <c r="BE12" i="43"/>
  <c r="BE11" i="43"/>
  <c r="BE10" i="43"/>
  <c r="BE9" i="43"/>
  <c r="BE8" i="43"/>
  <c r="BE7" i="43"/>
  <c r="BE6" i="43"/>
  <c r="BE5" i="43"/>
  <c r="BF4" i="43"/>
  <c r="BE4" i="43"/>
  <c r="AY10" i="43"/>
  <c r="AY4" i="43"/>
  <c r="AX4" i="43"/>
  <c r="AW19" i="43"/>
  <c r="AW18" i="43"/>
  <c r="AW17" i="43"/>
  <c r="AW16" i="43"/>
  <c r="AW15" i="43"/>
  <c r="AW14" i="43"/>
  <c r="AW13" i="43"/>
  <c r="AW12" i="43"/>
  <c r="AW11" i="43"/>
  <c r="AW10" i="43"/>
  <c r="AW9" i="43"/>
  <c r="AW8" i="43"/>
  <c r="AW7" i="43"/>
  <c r="AW6" i="43"/>
  <c r="AW5" i="43"/>
  <c r="AV19" i="43"/>
  <c r="AV18" i="43"/>
  <c r="AV17" i="43"/>
  <c r="AV16" i="43"/>
  <c r="AV15" i="43"/>
  <c r="AV14" i="43"/>
  <c r="AV13" i="43"/>
  <c r="AV12" i="43"/>
  <c r="AV11" i="43"/>
  <c r="AV10" i="43"/>
  <c r="AV9" i="43"/>
  <c r="AV8" i="43"/>
  <c r="AV7" i="43"/>
  <c r="AV6" i="43"/>
  <c r="AV5" i="43"/>
  <c r="AW4" i="43"/>
  <c r="AV4" i="43"/>
  <c r="AP19" i="43"/>
  <c r="AP4" i="43"/>
  <c r="AO4" i="43"/>
  <c r="AN19" i="43"/>
  <c r="AN18" i="43"/>
  <c r="AN17" i="43"/>
  <c r="AN16" i="43"/>
  <c r="AN15" i="43"/>
  <c r="AN14" i="43"/>
  <c r="AN13" i="43"/>
  <c r="AN12" i="43"/>
  <c r="AN11" i="43"/>
  <c r="AN10" i="43"/>
  <c r="AN9" i="43"/>
  <c r="AN8" i="43"/>
  <c r="AN7" i="43"/>
  <c r="AN6" i="43"/>
  <c r="AN5" i="43"/>
  <c r="AM19" i="43"/>
  <c r="AM18" i="43"/>
  <c r="AM17" i="43"/>
  <c r="AM4" i="43"/>
  <c r="AM16" i="43"/>
  <c r="AM15" i="43"/>
  <c r="AM14" i="43"/>
  <c r="AM13" i="43"/>
  <c r="AM12" i="43"/>
  <c r="AM11" i="43"/>
  <c r="AM10" i="43"/>
  <c r="AM9" i="43"/>
  <c r="AM8" i="43"/>
  <c r="AM7" i="43"/>
  <c r="AM6" i="43"/>
  <c r="AM5" i="43"/>
  <c r="AN4" i="43"/>
  <c r="AT4" i="43" s="1"/>
  <c r="AG4" i="43"/>
  <c r="AF4" i="43"/>
  <c r="AE19" i="43"/>
  <c r="AE18" i="43"/>
  <c r="AE17" i="43"/>
  <c r="AE16" i="43"/>
  <c r="AE15" i="43"/>
  <c r="AE14" i="43"/>
  <c r="AE13" i="43"/>
  <c r="AE12" i="43"/>
  <c r="AE11" i="43"/>
  <c r="AE10" i="43"/>
  <c r="AE9" i="43"/>
  <c r="AE8" i="43"/>
  <c r="AE7" i="43"/>
  <c r="AE6" i="43"/>
  <c r="AE5" i="43"/>
  <c r="AD19" i="43"/>
  <c r="AD18" i="43"/>
  <c r="AD17" i="43"/>
  <c r="AD16" i="43"/>
  <c r="AD15" i="43"/>
  <c r="AD14" i="43"/>
  <c r="AD13" i="43"/>
  <c r="AD12" i="43"/>
  <c r="AD11" i="43"/>
  <c r="AD10" i="43"/>
  <c r="AD9" i="43"/>
  <c r="AD8" i="43"/>
  <c r="AD7" i="43"/>
  <c r="AD6" i="43"/>
  <c r="AD5" i="43"/>
  <c r="AE4" i="43"/>
  <c r="AD4" i="43"/>
  <c r="X5" i="43"/>
  <c r="X4" i="43"/>
  <c r="W4" i="43"/>
  <c r="V19" i="43"/>
  <c r="V18" i="43"/>
  <c r="V17" i="43"/>
  <c r="V16" i="43"/>
  <c r="V15" i="43"/>
  <c r="V14" i="43"/>
  <c r="V13" i="43"/>
  <c r="V12" i="43"/>
  <c r="V11" i="43"/>
  <c r="V10" i="43"/>
  <c r="V9" i="43"/>
  <c r="V8" i="43"/>
  <c r="V7" i="43"/>
  <c r="V6" i="43"/>
  <c r="V5" i="43"/>
  <c r="U19" i="43"/>
  <c r="U18" i="43"/>
  <c r="U17" i="43"/>
  <c r="U16" i="43"/>
  <c r="U15" i="43"/>
  <c r="U14" i="43"/>
  <c r="U13" i="43"/>
  <c r="U12" i="43"/>
  <c r="U11" i="43"/>
  <c r="U10" i="43"/>
  <c r="U9" i="43"/>
  <c r="U8" i="43"/>
  <c r="U7" i="43"/>
  <c r="U6" i="43"/>
  <c r="U5" i="43"/>
  <c r="V4" i="43"/>
  <c r="N4" i="43"/>
  <c r="U4" i="43"/>
  <c r="F4" i="43"/>
  <c r="I4" i="43" s="1"/>
  <c r="O4" i="43"/>
  <c r="M19" i="43"/>
  <c r="M18" i="43"/>
  <c r="M17" i="43"/>
  <c r="M16" i="43"/>
  <c r="M15" i="43"/>
  <c r="M14" i="43"/>
  <c r="M13" i="43"/>
  <c r="M12" i="43"/>
  <c r="M11" i="43"/>
  <c r="M10" i="43"/>
  <c r="M9" i="43"/>
  <c r="M8" i="43"/>
  <c r="M7" i="43"/>
  <c r="M6" i="43"/>
  <c r="M5" i="43"/>
  <c r="M4" i="43"/>
  <c r="L19" i="43"/>
  <c r="L18" i="43"/>
  <c r="L17" i="43"/>
  <c r="L16" i="43"/>
  <c r="L15" i="43"/>
  <c r="L14" i="43"/>
  <c r="L13" i="43"/>
  <c r="L12" i="43"/>
  <c r="L11" i="43"/>
  <c r="L10" i="43"/>
  <c r="L9" i="43"/>
  <c r="L8" i="43"/>
  <c r="L7" i="43"/>
  <c r="L6" i="43"/>
  <c r="L5" i="43"/>
  <c r="L4" i="43"/>
  <c r="E4" i="43"/>
  <c r="D19" i="43"/>
  <c r="D18" i="43"/>
  <c r="D17" i="43"/>
  <c r="D16" i="43"/>
  <c r="D15" i="43"/>
  <c r="D14" i="43"/>
  <c r="D13" i="43"/>
  <c r="D12" i="43"/>
  <c r="D11" i="43"/>
  <c r="D10" i="43"/>
  <c r="D9" i="43"/>
  <c r="D8" i="43"/>
  <c r="D7" i="43"/>
  <c r="D6" i="43"/>
  <c r="D5" i="43"/>
  <c r="C19" i="43"/>
  <c r="C18" i="43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C4" i="43"/>
  <c r="D4" i="43"/>
  <c r="C16" i="8"/>
  <c r="C14" i="8"/>
  <c r="C8" i="8"/>
  <c r="E138" i="75"/>
  <c r="C19" i="8" s="1"/>
  <c r="G137" i="75"/>
  <c r="C137" i="75"/>
  <c r="B137" i="75"/>
  <c r="A137" i="75"/>
  <c r="C136" i="75"/>
  <c r="G136" i="75" s="1"/>
  <c r="B136" i="75"/>
  <c r="A136" i="75"/>
  <c r="G135" i="75"/>
  <c r="C135" i="75"/>
  <c r="B135" i="75"/>
  <c r="A135" i="75"/>
  <c r="C134" i="75"/>
  <c r="G134" i="75" s="1"/>
  <c r="B134" i="75"/>
  <c r="A134" i="75"/>
  <c r="G133" i="75"/>
  <c r="C133" i="75"/>
  <c r="B133" i="75"/>
  <c r="A133" i="75"/>
  <c r="C132" i="75"/>
  <c r="G132" i="75" s="1"/>
  <c r="B132" i="75"/>
  <c r="A132" i="75"/>
  <c r="C131" i="75"/>
  <c r="G131" i="75" s="1"/>
  <c r="B131" i="75"/>
  <c r="A131" i="75"/>
  <c r="C130" i="75"/>
  <c r="G130" i="75" s="1"/>
  <c r="B130" i="75"/>
  <c r="A130" i="75"/>
  <c r="G129" i="75"/>
  <c r="C129" i="75"/>
  <c r="B129" i="75"/>
  <c r="A129" i="75"/>
  <c r="E138" i="74"/>
  <c r="C18" i="8" s="1"/>
  <c r="C137" i="74"/>
  <c r="G137" i="74" s="1"/>
  <c r="B137" i="74"/>
  <c r="A137" i="74"/>
  <c r="C136" i="74"/>
  <c r="G136" i="74" s="1"/>
  <c r="B136" i="74"/>
  <c r="A136" i="74"/>
  <c r="C135" i="74"/>
  <c r="G135" i="74" s="1"/>
  <c r="B135" i="74"/>
  <c r="A135" i="74"/>
  <c r="C134" i="74"/>
  <c r="G134" i="74" s="1"/>
  <c r="B134" i="74"/>
  <c r="A134" i="74"/>
  <c r="C133" i="74"/>
  <c r="G133" i="74" s="1"/>
  <c r="B133" i="74"/>
  <c r="A133" i="74"/>
  <c r="C132" i="74"/>
  <c r="G132" i="74" s="1"/>
  <c r="B132" i="74"/>
  <c r="A132" i="74"/>
  <c r="G131" i="74"/>
  <c r="C131" i="74"/>
  <c r="B131" i="74"/>
  <c r="A131" i="74"/>
  <c r="C130" i="74"/>
  <c r="G130" i="74" s="1"/>
  <c r="B130" i="74"/>
  <c r="A130" i="74"/>
  <c r="G129" i="74"/>
  <c r="C129" i="74"/>
  <c r="B129" i="74"/>
  <c r="A129" i="74"/>
  <c r="E138" i="73"/>
  <c r="C17" i="8" s="1"/>
  <c r="G137" i="73"/>
  <c r="C137" i="73"/>
  <c r="B137" i="73"/>
  <c r="A137" i="73"/>
  <c r="C136" i="73"/>
  <c r="G136" i="73" s="1"/>
  <c r="B136" i="73"/>
  <c r="A136" i="73"/>
  <c r="C135" i="73"/>
  <c r="G135" i="73" s="1"/>
  <c r="B135" i="73"/>
  <c r="A135" i="73"/>
  <c r="C134" i="73"/>
  <c r="G134" i="73" s="1"/>
  <c r="B134" i="73"/>
  <c r="A134" i="73"/>
  <c r="G133" i="73"/>
  <c r="C133" i="73"/>
  <c r="B133" i="73"/>
  <c r="A133" i="73"/>
  <c r="C132" i="73"/>
  <c r="G132" i="73" s="1"/>
  <c r="B132" i="73"/>
  <c r="A132" i="73"/>
  <c r="C131" i="73"/>
  <c r="G131" i="73" s="1"/>
  <c r="B131" i="73"/>
  <c r="A131" i="73"/>
  <c r="C130" i="73"/>
  <c r="G130" i="73" s="1"/>
  <c r="B130" i="73"/>
  <c r="A130" i="73"/>
  <c r="C129" i="73"/>
  <c r="G129" i="73" s="1"/>
  <c r="B129" i="73"/>
  <c r="A129" i="73"/>
  <c r="E138" i="72"/>
  <c r="C137" i="72"/>
  <c r="G137" i="72" s="1"/>
  <c r="B137" i="72"/>
  <c r="A137" i="72"/>
  <c r="C136" i="72"/>
  <c r="G136" i="72" s="1"/>
  <c r="B136" i="72"/>
  <c r="A136" i="72"/>
  <c r="G135" i="72"/>
  <c r="C135" i="72"/>
  <c r="B135" i="72"/>
  <c r="A135" i="72"/>
  <c r="C134" i="72"/>
  <c r="G134" i="72" s="1"/>
  <c r="B134" i="72"/>
  <c r="A134" i="72"/>
  <c r="G133" i="72"/>
  <c r="C133" i="72"/>
  <c r="B133" i="72"/>
  <c r="A133" i="72"/>
  <c r="C132" i="72"/>
  <c r="G132" i="72" s="1"/>
  <c r="B132" i="72"/>
  <c r="A132" i="72"/>
  <c r="C131" i="72"/>
  <c r="G131" i="72" s="1"/>
  <c r="B131" i="72"/>
  <c r="A131" i="72"/>
  <c r="C130" i="72"/>
  <c r="G130" i="72" s="1"/>
  <c r="B130" i="72"/>
  <c r="A130" i="72"/>
  <c r="C129" i="72"/>
  <c r="G129" i="72" s="1"/>
  <c r="B129" i="72"/>
  <c r="A129" i="72"/>
  <c r="E138" i="71"/>
  <c r="C15" i="8" s="1"/>
  <c r="C137" i="71"/>
  <c r="G137" i="71" s="1"/>
  <c r="B137" i="71"/>
  <c r="A137" i="71"/>
  <c r="C136" i="71"/>
  <c r="G136" i="71" s="1"/>
  <c r="B136" i="71"/>
  <c r="A136" i="71"/>
  <c r="G135" i="71"/>
  <c r="C135" i="71"/>
  <c r="B135" i="71"/>
  <c r="A135" i="71"/>
  <c r="C134" i="71"/>
  <c r="G134" i="71" s="1"/>
  <c r="B134" i="71"/>
  <c r="A134" i="71"/>
  <c r="C133" i="71"/>
  <c r="G133" i="71" s="1"/>
  <c r="B133" i="71"/>
  <c r="A133" i="71"/>
  <c r="C132" i="71"/>
  <c r="G132" i="71" s="1"/>
  <c r="B132" i="71"/>
  <c r="A132" i="71"/>
  <c r="C131" i="71"/>
  <c r="G131" i="71" s="1"/>
  <c r="B131" i="71"/>
  <c r="A131" i="71"/>
  <c r="C130" i="71"/>
  <c r="G130" i="71" s="1"/>
  <c r="B130" i="71"/>
  <c r="A130" i="71"/>
  <c r="G129" i="71"/>
  <c r="C129" i="71"/>
  <c r="B129" i="71"/>
  <c r="A129" i="71"/>
  <c r="E138" i="70"/>
  <c r="C137" i="70"/>
  <c r="G137" i="70" s="1"/>
  <c r="B137" i="70"/>
  <c r="A137" i="70"/>
  <c r="C136" i="70"/>
  <c r="G136" i="70" s="1"/>
  <c r="B136" i="70"/>
  <c r="A136" i="70"/>
  <c r="C135" i="70"/>
  <c r="G135" i="70" s="1"/>
  <c r="B135" i="70"/>
  <c r="A135" i="70"/>
  <c r="C134" i="70"/>
  <c r="G134" i="70" s="1"/>
  <c r="B134" i="70"/>
  <c r="A134" i="70"/>
  <c r="C133" i="70"/>
  <c r="G133" i="70" s="1"/>
  <c r="B133" i="70"/>
  <c r="A133" i="70"/>
  <c r="C132" i="70"/>
  <c r="G132" i="70" s="1"/>
  <c r="B132" i="70"/>
  <c r="A132" i="70"/>
  <c r="G131" i="70"/>
  <c r="C131" i="70"/>
  <c r="B131" i="70"/>
  <c r="A131" i="70"/>
  <c r="C130" i="70"/>
  <c r="G130" i="70" s="1"/>
  <c r="B130" i="70"/>
  <c r="A130" i="70"/>
  <c r="G129" i="70"/>
  <c r="C129" i="70"/>
  <c r="B129" i="70"/>
  <c r="A129" i="70"/>
  <c r="E138" i="69"/>
  <c r="C13" i="8" s="1"/>
  <c r="G137" i="69"/>
  <c r="C137" i="69"/>
  <c r="B137" i="69"/>
  <c r="A137" i="69"/>
  <c r="C136" i="69"/>
  <c r="G136" i="69" s="1"/>
  <c r="B136" i="69"/>
  <c r="A136" i="69"/>
  <c r="C135" i="69"/>
  <c r="G135" i="69" s="1"/>
  <c r="B135" i="69"/>
  <c r="A135" i="69"/>
  <c r="C134" i="69"/>
  <c r="G134" i="69" s="1"/>
  <c r="B134" i="69"/>
  <c r="A134" i="69"/>
  <c r="G133" i="69"/>
  <c r="C133" i="69"/>
  <c r="B133" i="69"/>
  <c r="A133" i="69"/>
  <c r="C132" i="69"/>
  <c r="G132" i="69" s="1"/>
  <c r="B132" i="69"/>
  <c r="A132" i="69"/>
  <c r="C131" i="69"/>
  <c r="G131" i="69" s="1"/>
  <c r="B131" i="69"/>
  <c r="A131" i="69"/>
  <c r="C130" i="69"/>
  <c r="G130" i="69" s="1"/>
  <c r="B130" i="69"/>
  <c r="A130" i="69"/>
  <c r="G129" i="69"/>
  <c r="C129" i="69"/>
  <c r="B129" i="69"/>
  <c r="A129" i="69"/>
  <c r="E138" i="68"/>
  <c r="C12" i="8" s="1"/>
  <c r="C137" i="68"/>
  <c r="G137" i="68" s="1"/>
  <c r="B137" i="68"/>
  <c r="A137" i="68"/>
  <c r="C136" i="68"/>
  <c r="G136" i="68" s="1"/>
  <c r="B136" i="68"/>
  <c r="A136" i="68"/>
  <c r="G135" i="68"/>
  <c r="C135" i="68"/>
  <c r="B135" i="68"/>
  <c r="A135" i="68"/>
  <c r="C134" i="68"/>
  <c r="G134" i="68" s="1"/>
  <c r="B134" i="68"/>
  <c r="A134" i="68"/>
  <c r="G133" i="68"/>
  <c r="C133" i="68"/>
  <c r="B133" i="68"/>
  <c r="A133" i="68"/>
  <c r="C132" i="68"/>
  <c r="G132" i="68" s="1"/>
  <c r="B132" i="68"/>
  <c r="A132" i="68"/>
  <c r="C131" i="68"/>
  <c r="G131" i="68" s="1"/>
  <c r="B131" i="68"/>
  <c r="A131" i="68"/>
  <c r="C130" i="68"/>
  <c r="G130" i="68" s="1"/>
  <c r="B130" i="68"/>
  <c r="A130" i="68"/>
  <c r="C129" i="68"/>
  <c r="G129" i="68" s="1"/>
  <c r="B129" i="68"/>
  <c r="A129" i="68"/>
  <c r="E138" i="67"/>
  <c r="C11" i="8" s="1"/>
  <c r="G137" i="67"/>
  <c r="C137" i="67"/>
  <c r="B137" i="67"/>
  <c r="A137" i="67"/>
  <c r="C136" i="67"/>
  <c r="G136" i="67" s="1"/>
  <c r="B136" i="67"/>
  <c r="A136" i="67"/>
  <c r="C135" i="67"/>
  <c r="G135" i="67" s="1"/>
  <c r="B135" i="67"/>
  <c r="A135" i="67"/>
  <c r="C134" i="67"/>
  <c r="G134" i="67" s="1"/>
  <c r="B134" i="67"/>
  <c r="A134" i="67"/>
  <c r="C133" i="67"/>
  <c r="G133" i="67" s="1"/>
  <c r="B133" i="67"/>
  <c r="A133" i="67"/>
  <c r="C132" i="67"/>
  <c r="G132" i="67" s="1"/>
  <c r="B132" i="67"/>
  <c r="A132" i="67"/>
  <c r="C131" i="67"/>
  <c r="G131" i="67" s="1"/>
  <c r="B131" i="67"/>
  <c r="A131" i="67"/>
  <c r="C130" i="67"/>
  <c r="G130" i="67" s="1"/>
  <c r="B130" i="67"/>
  <c r="A130" i="67"/>
  <c r="G129" i="67"/>
  <c r="C129" i="67"/>
  <c r="B129" i="67"/>
  <c r="A129" i="67"/>
  <c r="E138" i="66"/>
  <c r="C10" i="8" s="1"/>
  <c r="C137" i="66"/>
  <c r="G137" i="66" s="1"/>
  <c r="B137" i="66"/>
  <c r="A137" i="66"/>
  <c r="C136" i="66"/>
  <c r="G136" i="66" s="1"/>
  <c r="B136" i="66"/>
  <c r="A136" i="66"/>
  <c r="C135" i="66"/>
  <c r="G135" i="66" s="1"/>
  <c r="B135" i="66"/>
  <c r="A135" i="66"/>
  <c r="D134" i="66"/>
  <c r="F134" i="66" s="1"/>
  <c r="C134" i="66"/>
  <c r="G134" i="66" s="1"/>
  <c r="B134" i="66"/>
  <c r="A134" i="66"/>
  <c r="C133" i="66"/>
  <c r="G133" i="66" s="1"/>
  <c r="B133" i="66"/>
  <c r="A133" i="66"/>
  <c r="C132" i="66"/>
  <c r="G132" i="66" s="1"/>
  <c r="B132" i="66"/>
  <c r="A132" i="66"/>
  <c r="G131" i="66"/>
  <c r="C131" i="66"/>
  <c r="B131" i="66"/>
  <c r="A131" i="66"/>
  <c r="C130" i="66"/>
  <c r="G130" i="66" s="1"/>
  <c r="B130" i="66"/>
  <c r="A130" i="66"/>
  <c r="G129" i="66"/>
  <c r="C129" i="66"/>
  <c r="B129" i="66"/>
  <c r="A129" i="66"/>
  <c r="E138" i="65"/>
  <c r="C9" i="8" s="1"/>
  <c r="G137" i="65"/>
  <c r="C137" i="65"/>
  <c r="B137" i="65"/>
  <c r="A137" i="65"/>
  <c r="C136" i="65"/>
  <c r="G136" i="65" s="1"/>
  <c r="B136" i="65"/>
  <c r="A136" i="65"/>
  <c r="C135" i="65"/>
  <c r="G135" i="65" s="1"/>
  <c r="B135" i="65"/>
  <c r="A135" i="65"/>
  <c r="C134" i="65"/>
  <c r="G134" i="65" s="1"/>
  <c r="B134" i="65"/>
  <c r="A134" i="65"/>
  <c r="G133" i="65"/>
  <c r="C133" i="65"/>
  <c r="B133" i="65"/>
  <c r="A133" i="65"/>
  <c r="C132" i="65"/>
  <c r="G132" i="65" s="1"/>
  <c r="B132" i="65"/>
  <c r="A132" i="65"/>
  <c r="C131" i="65"/>
  <c r="G131" i="65" s="1"/>
  <c r="B131" i="65"/>
  <c r="A131" i="65"/>
  <c r="C130" i="65"/>
  <c r="G130" i="65" s="1"/>
  <c r="B130" i="65"/>
  <c r="A130" i="65"/>
  <c r="G129" i="65"/>
  <c r="C129" i="65"/>
  <c r="B129" i="65"/>
  <c r="A129" i="65"/>
  <c r="E138" i="64"/>
  <c r="C137" i="64"/>
  <c r="G137" i="64" s="1"/>
  <c r="B137" i="64"/>
  <c r="A137" i="64"/>
  <c r="C136" i="64"/>
  <c r="G136" i="64" s="1"/>
  <c r="B136" i="64"/>
  <c r="A136" i="64"/>
  <c r="C135" i="64"/>
  <c r="G135" i="64" s="1"/>
  <c r="B135" i="64"/>
  <c r="A135" i="64"/>
  <c r="C134" i="64"/>
  <c r="G134" i="64" s="1"/>
  <c r="B134" i="64"/>
  <c r="A134" i="64"/>
  <c r="C133" i="64"/>
  <c r="G133" i="64" s="1"/>
  <c r="B133" i="64"/>
  <c r="A133" i="64"/>
  <c r="C132" i="64"/>
  <c r="G132" i="64" s="1"/>
  <c r="B132" i="64"/>
  <c r="A132" i="64"/>
  <c r="C131" i="64"/>
  <c r="G131" i="64" s="1"/>
  <c r="B131" i="64"/>
  <c r="A131" i="64"/>
  <c r="C130" i="64"/>
  <c r="G130" i="64" s="1"/>
  <c r="B130" i="64"/>
  <c r="A130" i="64"/>
  <c r="C129" i="64"/>
  <c r="G129" i="64" s="1"/>
  <c r="B129" i="64"/>
  <c r="A129" i="64"/>
  <c r="E138" i="63"/>
  <c r="C7" i="8" s="1"/>
  <c r="C137" i="63"/>
  <c r="G137" i="63" s="1"/>
  <c r="B137" i="63"/>
  <c r="A137" i="63"/>
  <c r="C136" i="63"/>
  <c r="G136" i="63" s="1"/>
  <c r="B136" i="63"/>
  <c r="A136" i="63"/>
  <c r="G135" i="63"/>
  <c r="C135" i="63"/>
  <c r="B135" i="63"/>
  <c r="A135" i="63"/>
  <c r="C134" i="63"/>
  <c r="G134" i="63" s="1"/>
  <c r="B134" i="63"/>
  <c r="A134" i="63"/>
  <c r="C133" i="63"/>
  <c r="G133" i="63" s="1"/>
  <c r="B133" i="63"/>
  <c r="A133" i="63"/>
  <c r="C132" i="63"/>
  <c r="G132" i="63" s="1"/>
  <c r="B132" i="63"/>
  <c r="A132" i="63"/>
  <c r="G131" i="63"/>
  <c r="C131" i="63"/>
  <c r="B131" i="63"/>
  <c r="A131" i="63"/>
  <c r="C130" i="63"/>
  <c r="G130" i="63" s="1"/>
  <c r="B130" i="63"/>
  <c r="A130" i="63"/>
  <c r="G129" i="63"/>
  <c r="C129" i="63"/>
  <c r="B129" i="63"/>
  <c r="A129" i="63"/>
  <c r="E138" i="62"/>
  <c r="C6" i="8" s="1"/>
  <c r="G137" i="62"/>
  <c r="C137" i="62"/>
  <c r="B137" i="62"/>
  <c r="A137" i="62"/>
  <c r="C136" i="62"/>
  <c r="G136" i="62" s="1"/>
  <c r="B136" i="62"/>
  <c r="A136" i="62"/>
  <c r="G135" i="62"/>
  <c r="C135" i="62"/>
  <c r="B135" i="62"/>
  <c r="A135" i="62"/>
  <c r="C134" i="62"/>
  <c r="G134" i="62" s="1"/>
  <c r="B134" i="62"/>
  <c r="A134" i="62"/>
  <c r="G133" i="62"/>
  <c r="C133" i="62"/>
  <c r="B133" i="62"/>
  <c r="A133" i="62"/>
  <c r="C132" i="62"/>
  <c r="G132" i="62" s="1"/>
  <c r="B132" i="62"/>
  <c r="A132" i="62"/>
  <c r="G131" i="62"/>
  <c r="C131" i="62"/>
  <c r="B131" i="62"/>
  <c r="A131" i="62"/>
  <c r="C130" i="62"/>
  <c r="G130" i="62" s="1"/>
  <c r="B130" i="62"/>
  <c r="A130" i="62"/>
  <c r="G129" i="62"/>
  <c r="C129" i="62"/>
  <c r="B129" i="62"/>
  <c r="A129" i="62"/>
  <c r="E138" i="61"/>
  <c r="C5" i="8" s="1"/>
  <c r="G137" i="61"/>
  <c r="D137" i="61"/>
  <c r="D137" i="75" s="1"/>
  <c r="BZ19" i="43" s="1"/>
  <c r="C137" i="61"/>
  <c r="B137" i="61"/>
  <c r="A137" i="61"/>
  <c r="D136" i="61"/>
  <c r="D136" i="75" s="1"/>
  <c r="F136" i="75" s="1"/>
  <c r="C136" i="61"/>
  <c r="G136" i="61" s="1"/>
  <c r="B136" i="61"/>
  <c r="A136" i="61"/>
  <c r="G135" i="61"/>
  <c r="D135" i="61"/>
  <c r="D135" i="74" s="1"/>
  <c r="BH18" i="43" s="1"/>
  <c r="C135" i="61"/>
  <c r="B135" i="61"/>
  <c r="F135" i="61" s="1"/>
  <c r="A135" i="61"/>
  <c r="D134" i="61"/>
  <c r="D134" i="75" s="1"/>
  <c r="F134" i="75" s="1"/>
  <c r="C134" i="61"/>
  <c r="G134" i="61" s="1"/>
  <c r="B134" i="61"/>
  <c r="F134" i="61" s="1"/>
  <c r="A134" i="61"/>
  <c r="D133" i="61"/>
  <c r="D133" i="75" s="1"/>
  <c r="F133" i="75" s="1"/>
  <c r="C133" i="61"/>
  <c r="G133" i="61" s="1"/>
  <c r="B133" i="61"/>
  <c r="A133" i="61"/>
  <c r="D132" i="61"/>
  <c r="D132" i="74" s="1"/>
  <c r="F132" i="74" s="1"/>
  <c r="C132" i="61"/>
  <c r="G132" i="61" s="1"/>
  <c r="B132" i="61"/>
  <c r="A132" i="61"/>
  <c r="G131" i="61"/>
  <c r="D131" i="61"/>
  <c r="D131" i="74" s="1"/>
  <c r="F131" i="74" s="1"/>
  <c r="C131" i="61"/>
  <c r="B131" i="61"/>
  <c r="F131" i="61" s="1"/>
  <c r="A131" i="61"/>
  <c r="D130" i="61"/>
  <c r="D130" i="75" s="1"/>
  <c r="O19" i="43" s="1"/>
  <c r="C130" i="61"/>
  <c r="G130" i="61" s="1"/>
  <c r="B130" i="61"/>
  <c r="A130" i="61"/>
  <c r="D129" i="61"/>
  <c r="D129" i="75" s="1"/>
  <c r="F19" i="43" s="1"/>
  <c r="C129" i="61"/>
  <c r="G129" i="61" s="1"/>
  <c r="B129" i="61"/>
  <c r="A129" i="61"/>
  <c r="E138" i="60"/>
  <c r="C4" i="8" s="1"/>
  <c r="C20" i="21" s="1"/>
  <c r="D138" i="60"/>
  <c r="B4" i="8" s="1"/>
  <c r="C137" i="60"/>
  <c r="G137" i="60" s="1"/>
  <c r="B137" i="60"/>
  <c r="F137" i="60" s="1"/>
  <c r="A137" i="60"/>
  <c r="G136" i="60"/>
  <c r="C136" i="60"/>
  <c r="B136" i="60"/>
  <c r="F136" i="60" s="1"/>
  <c r="A136" i="60"/>
  <c r="C135" i="60"/>
  <c r="G135" i="60" s="1"/>
  <c r="B135" i="60"/>
  <c r="F135" i="60" s="1"/>
  <c r="A135" i="60"/>
  <c r="C134" i="60"/>
  <c r="G134" i="60" s="1"/>
  <c r="B134" i="60"/>
  <c r="F134" i="60" s="1"/>
  <c r="A134" i="60"/>
  <c r="C133" i="60"/>
  <c r="G133" i="60" s="1"/>
  <c r="B133" i="60"/>
  <c r="F133" i="60" s="1"/>
  <c r="A133" i="60"/>
  <c r="G132" i="60"/>
  <c r="C132" i="60"/>
  <c r="B132" i="60"/>
  <c r="F132" i="60" s="1"/>
  <c r="A132" i="60"/>
  <c r="C131" i="60"/>
  <c r="G131" i="60" s="1"/>
  <c r="B131" i="60"/>
  <c r="F131" i="60" s="1"/>
  <c r="A131" i="60"/>
  <c r="C130" i="60"/>
  <c r="G130" i="60" s="1"/>
  <c r="B130" i="60"/>
  <c r="F130" i="60" s="1"/>
  <c r="A130" i="60"/>
  <c r="C129" i="60"/>
  <c r="G129" i="60" s="1"/>
  <c r="B129" i="60"/>
  <c r="F129" i="60" s="1"/>
  <c r="A129" i="60"/>
  <c r="F129" i="61" l="1"/>
  <c r="G138" i="62"/>
  <c r="D142" i="62" s="1"/>
  <c r="E6" i="8" s="1"/>
  <c r="D130" i="64"/>
  <c r="D134" i="64"/>
  <c r="AG5" i="43"/>
  <c r="AY19" i="43"/>
  <c r="D130" i="62"/>
  <c r="D134" i="62"/>
  <c r="F133" i="64"/>
  <c r="D134" i="68"/>
  <c r="D134" i="72"/>
  <c r="AP5" i="43"/>
  <c r="AR5" i="43" s="1"/>
  <c r="G138" i="64"/>
  <c r="D142" i="64" s="1"/>
  <c r="E8" i="8" s="1"/>
  <c r="F137" i="62"/>
  <c r="D130" i="68"/>
  <c r="D130" i="72"/>
  <c r="AY5" i="43"/>
  <c r="BQ19" i="43"/>
  <c r="G138" i="60"/>
  <c r="D142" i="60" s="1"/>
  <c r="E4" i="8" s="1"/>
  <c r="F130" i="61"/>
  <c r="F133" i="61"/>
  <c r="D129" i="64"/>
  <c r="F8" i="43" s="1"/>
  <c r="D133" i="64"/>
  <c r="AP8" i="43" s="1"/>
  <c r="D137" i="64"/>
  <c r="BZ8" i="43" s="1"/>
  <c r="BH5" i="43"/>
  <c r="F135" i="74"/>
  <c r="D129" i="62"/>
  <c r="F6" i="43" s="1"/>
  <c r="D133" i="62"/>
  <c r="AP6" i="43" s="1"/>
  <c r="D137" i="62"/>
  <c r="BZ6" i="43" s="1"/>
  <c r="X18" i="43"/>
  <c r="BQ5" i="43"/>
  <c r="F130" i="75"/>
  <c r="D134" i="70"/>
  <c r="D134" i="74"/>
  <c r="O5" i="43"/>
  <c r="AG18" i="43"/>
  <c r="BZ5" i="43"/>
  <c r="F137" i="75"/>
  <c r="F137" i="61"/>
  <c r="D130" i="66"/>
  <c r="D130" i="70"/>
  <c r="D130" i="74"/>
  <c r="F5" i="43"/>
  <c r="B5" i="43" s="1"/>
  <c r="B4" i="43"/>
  <c r="G4" i="43" s="1"/>
  <c r="G138" i="66"/>
  <c r="D142" i="66" s="1"/>
  <c r="E10" i="8" s="1"/>
  <c r="G138" i="67"/>
  <c r="D142" i="67" s="1"/>
  <c r="E11" i="8" s="1"/>
  <c r="G138" i="70"/>
  <c r="D142" i="70" s="1"/>
  <c r="E14" i="8" s="1"/>
  <c r="G138" i="71"/>
  <c r="D142" i="71" s="1"/>
  <c r="E15" i="8" s="1"/>
  <c r="G138" i="74"/>
  <c r="D142" i="74" s="1"/>
  <c r="E18" i="8" s="1"/>
  <c r="G138" i="75"/>
  <c r="D142" i="75" s="1"/>
  <c r="E19" i="8" s="1"/>
  <c r="F138" i="60"/>
  <c r="C142" i="60" s="1"/>
  <c r="D4" i="8" s="1"/>
  <c r="G138" i="61"/>
  <c r="D142" i="61" s="1"/>
  <c r="E5" i="8" s="1"/>
  <c r="G138" i="65"/>
  <c r="D142" i="65" s="1"/>
  <c r="E9" i="8" s="1"/>
  <c r="G138" i="68"/>
  <c r="D142" i="68" s="1"/>
  <c r="E12" i="8" s="1"/>
  <c r="G138" i="69"/>
  <c r="D142" i="69" s="1"/>
  <c r="E13" i="8" s="1"/>
  <c r="G138" i="72"/>
  <c r="D142" i="72" s="1"/>
  <c r="E16" i="8" s="1"/>
  <c r="G138" i="73"/>
  <c r="D142" i="73" s="1"/>
  <c r="E17" i="8" s="1"/>
  <c r="F129" i="75"/>
  <c r="G138" i="63"/>
  <c r="D142" i="63" s="1"/>
  <c r="E7" i="8" s="1"/>
  <c r="D136" i="63"/>
  <c r="D132" i="71"/>
  <c r="D136" i="71"/>
  <c r="F132" i="61"/>
  <c r="F136" i="61"/>
  <c r="F138" i="61" s="1"/>
  <c r="C142" i="61" s="1"/>
  <c r="D5" i="8" s="1"/>
  <c r="D138" i="61"/>
  <c r="B5" i="8" s="1"/>
  <c r="D132" i="65"/>
  <c r="D136" i="65"/>
  <c r="D132" i="67"/>
  <c r="D136" i="67"/>
  <c r="D136" i="73"/>
  <c r="D131" i="63"/>
  <c r="D135" i="63"/>
  <c r="D131" i="65"/>
  <c r="D135" i="65"/>
  <c r="D129" i="66"/>
  <c r="F10" i="43" s="1"/>
  <c r="D133" i="66"/>
  <c r="D137" i="66"/>
  <c r="D131" i="67"/>
  <c r="D135" i="67"/>
  <c r="D129" i="68"/>
  <c r="F12" i="43" s="1"/>
  <c r="D133" i="68"/>
  <c r="D137" i="68"/>
  <c r="D131" i="69"/>
  <c r="D135" i="69"/>
  <c r="D129" i="70"/>
  <c r="F14" i="43" s="1"/>
  <c r="D133" i="70"/>
  <c r="D137" i="70"/>
  <c r="D131" i="71"/>
  <c r="D135" i="71"/>
  <c r="D129" i="72"/>
  <c r="F16" i="43" s="1"/>
  <c r="D133" i="72"/>
  <c r="D137" i="72"/>
  <c r="D131" i="73"/>
  <c r="D135" i="73"/>
  <c r="D129" i="74"/>
  <c r="F18" i="43" s="1"/>
  <c r="D133" i="74"/>
  <c r="D137" i="74"/>
  <c r="D131" i="75"/>
  <c r="D135" i="75"/>
  <c r="D132" i="63"/>
  <c r="D132" i="69"/>
  <c r="D136" i="69"/>
  <c r="D132" i="73"/>
  <c r="D132" i="75"/>
  <c r="D132" i="62"/>
  <c r="D136" i="62"/>
  <c r="D130" i="63"/>
  <c r="D134" i="63"/>
  <c r="D132" i="64"/>
  <c r="D136" i="64"/>
  <c r="D130" i="65"/>
  <c r="D134" i="65"/>
  <c r="D132" i="66"/>
  <c r="D136" i="66"/>
  <c r="D130" i="67"/>
  <c r="D134" i="67"/>
  <c r="D132" i="68"/>
  <c r="D136" i="68"/>
  <c r="D130" i="69"/>
  <c r="D134" i="69"/>
  <c r="D132" i="70"/>
  <c r="D136" i="70"/>
  <c r="D130" i="71"/>
  <c r="D134" i="71"/>
  <c r="D132" i="72"/>
  <c r="D136" i="72"/>
  <c r="D130" i="73"/>
  <c r="D134" i="73"/>
  <c r="D136" i="74"/>
  <c r="D131" i="62"/>
  <c r="D135" i="62"/>
  <c r="D129" i="63"/>
  <c r="F7" i="43" s="1"/>
  <c r="D133" i="63"/>
  <c r="D137" i="63"/>
  <c r="D131" i="64"/>
  <c r="D135" i="64"/>
  <c r="D129" i="65"/>
  <c r="F9" i="43" s="1"/>
  <c r="D133" i="65"/>
  <c r="D137" i="65"/>
  <c r="D131" i="66"/>
  <c r="D135" i="66"/>
  <c r="D129" i="67"/>
  <c r="F11" i="43" s="1"/>
  <c r="D133" i="67"/>
  <c r="D137" i="67"/>
  <c r="D131" i="68"/>
  <c r="D135" i="68"/>
  <c r="D129" i="69"/>
  <c r="F13" i="43" s="1"/>
  <c r="D133" i="69"/>
  <c r="D137" i="69"/>
  <c r="D131" i="70"/>
  <c r="D135" i="70"/>
  <c r="D129" i="71"/>
  <c r="F15" i="43" s="1"/>
  <c r="D133" i="71"/>
  <c r="D137" i="71"/>
  <c r="D131" i="72"/>
  <c r="D135" i="72"/>
  <c r="D129" i="73"/>
  <c r="F17" i="43" s="1"/>
  <c r="D133" i="73"/>
  <c r="D137" i="73"/>
  <c r="F134" i="73" l="1"/>
  <c r="AY17" i="43"/>
  <c r="F132" i="75"/>
  <c r="AG19" i="43"/>
  <c r="F130" i="71"/>
  <c r="O15" i="43"/>
  <c r="F130" i="63"/>
  <c r="O7" i="43"/>
  <c r="F137" i="71"/>
  <c r="BZ15" i="43"/>
  <c r="F135" i="68"/>
  <c r="BH12" i="43"/>
  <c r="F133" i="65"/>
  <c r="AP9" i="43"/>
  <c r="F131" i="62"/>
  <c r="X6" i="43"/>
  <c r="F136" i="70"/>
  <c r="BQ14" i="43"/>
  <c r="F136" i="66"/>
  <c r="BQ10" i="43"/>
  <c r="F136" i="62"/>
  <c r="BQ6" i="43"/>
  <c r="F131" i="75"/>
  <c r="X19" i="43"/>
  <c r="F137" i="68"/>
  <c r="BZ12" i="43"/>
  <c r="F135" i="65"/>
  <c r="BH9" i="43"/>
  <c r="F132" i="65"/>
  <c r="AG9" i="43"/>
  <c r="F130" i="74"/>
  <c r="O18" i="43"/>
  <c r="F134" i="74"/>
  <c r="AY18" i="43"/>
  <c r="F135" i="64"/>
  <c r="BH8" i="43"/>
  <c r="F131" i="72"/>
  <c r="X16" i="43"/>
  <c r="F135" i="62"/>
  <c r="BH6" i="43"/>
  <c r="F130" i="67"/>
  <c r="O11" i="43"/>
  <c r="F133" i="72"/>
  <c r="AP16" i="43"/>
  <c r="F131" i="69"/>
  <c r="X13" i="43"/>
  <c r="F136" i="65"/>
  <c r="BQ9" i="43"/>
  <c r="F133" i="71"/>
  <c r="AP15" i="43"/>
  <c r="F131" i="68"/>
  <c r="X12" i="43"/>
  <c r="F136" i="74"/>
  <c r="BQ18" i="43"/>
  <c r="F132" i="70"/>
  <c r="AG14" i="43"/>
  <c r="F132" i="66"/>
  <c r="AG10" i="43"/>
  <c r="F132" i="62"/>
  <c r="AG6" i="43"/>
  <c r="F137" i="74"/>
  <c r="BZ18" i="43"/>
  <c r="F135" i="71"/>
  <c r="BH15" i="43"/>
  <c r="F133" i="68"/>
  <c r="AP12" i="43"/>
  <c r="F131" i="65"/>
  <c r="X9" i="43"/>
  <c r="F130" i="70"/>
  <c r="O14" i="43"/>
  <c r="B14" i="43" s="1"/>
  <c r="F134" i="70"/>
  <c r="AY14" i="43"/>
  <c r="F134" i="72"/>
  <c r="AY16" i="43"/>
  <c r="F134" i="64"/>
  <c r="AY8" i="43"/>
  <c r="F137" i="73"/>
  <c r="BZ17" i="43"/>
  <c r="F135" i="70"/>
  <c r="BH14" i="43"/>
  <c r="F133" i="67"/>
  <c r="AP11" i="43"/>
  <c r="F131" i="64"/>
  <c r="X8" i="43"/>
  <c r="F130" i="73"/>
  <c r="O17" i="43"/>
  <c r="F130" i="69"/>
  <c r="O13" i="43"/>
  <c r="F130" i="65"/>
  <c r="O9" i="43"/>
  <c r="B9" i="43" s="1"/>
  <c r="F132" i="73"/>
  <c r="AG17" i="43"/>
  <c r="F137" i="70"/>
  <c r="BZ14" i="43"/>
  <c r="F135" i="67"/>
  <c r="BH11" i="43"/>
  <c r="F131" i="63"/>
  <c r="X7" i="43"/>
  <c r="F130" i="68"/>
  <c r="O12" i="43"/>
  <c r="B12" i="43" s="1"/>
  <c r="F137" i="64"/>
  <c r="F130" i="64"/>
  <c r="O8" i="43"/>
  <c r="F137" i="67"/>
  <c r="BZ11" i="43"/>
  <c r="F134" i="65"/>
  <c r="AY9" i="43"/>
  <c r="F133" i="74"/>
  <c r="AP18" i="43"/>
  <c r="B18" i="43" s="1"/>
  <c r="F135" i="63"/>
  <c r="BH7" i="43"/>
  <c r="F136" i="68"/>
  <c r="BQ12" i="43"/>
  <c r="F136" i="69"/>
  <c r="BQ13" i="43"/>
  <c r="F133" i="70"/>
  <c r="AP14" i="43"/>
  <c r="F131" i="67"/>
  <c r="X11" i="43"/>
  <c r="B11" i="43" s="1"/>
  <c r="F136" i="71"/>
  <c r="BQ15" i="43"/>
  <c r="F130" i="72"/>
  <c r="O16" i="43"/>
  <c r="B16" i="43" s="1"/>
  <c r="F133" i="73"/>
  <c r="AP17" i="43"/>
  <c r="F137" i="63"/>
  <c r="BZ7" i="43"/>
  <c r="F136" i="64"/>
  <c r="BQ8" i="43"/>
  <c r="F136" i="73"/>
  <c r="BQ17" i="43"/>
  <c r="F137" i="69"/>
  <c r="BZ13" i="43"/>
  <c r="F135" i="66"/>
  <c r="BH10" i="43"/>
  <c r="F133" i="63"/>
  <c r="AP7" i="43"/>
  <c r="F132" i="72"/>
  <c r="AG16" i="43"/>
  <c r="F132" i="68"/>
  <c r="AG12" i="43"/>
  <c r="F132" i="64"/>
  <c r="AG8" i="43"/>
  <c r="B8" i="43" s="1"/>
  <c r="F132" i="69"/>
  <c r="AG13" i="43"/>
  <c r="F131" i="73"/>
  <c r="X17" i="43"/>
  <c r="F137" i="66"/>
  <c r="BZ10" i="43"/>
  <c r="F136" i="67"/>
  <c r="BQ11" i="43"/>
  <c r="F132" i="71"/>
  <c r="AG15" i="43"/>
  <c r="F133" i="62"/>
  <c r="F129" i="64"/>
  <c r="F130" i="66"/>
  <c r="O10" i="43"/>
  <c r="B10" i="43" s="1"/>
  <c r="F134" i="68"/>
  <c r="AY12" i="43"/>
  <c r="F131" i="70"/>
  <c r="X14" i="43"/>
  <c r="F136" i="72"/>
  <c r="BQ16" i="43"/>
  <c r="F135" i="73"/>
  <c r="BH17" i="43"/>
  <c r="B17" i="43"/>
  <c r="F135" i="72"/>
  <c r="BH16" i="43"/>
  <c r="F133" i="69"/>
  <c r="AP13" i="43"/>
  <c r="F131" i="66"/>
  <c r="X10" i="43"/>
  <c r="F134" i="71"/>
  <c r="AY15" i="43"/>
  <c r="F134" i="67"/>
  <c r="AY11" i="43"/>
  <c r="F134" i="63"/>
  <c r="AY7" i="43"/>
  <c r="F132" i="63"/>
  <c r="AG7" i="43"/>
  <c r="B7" i="43" s="1"/>
  <c r="F137" i="72"/>
  <c r="BZ16" i="43"/>
  <c r="F135" i="69"/>
  <c r="BH13" i="43"/>
  <c r="F133" i="66"/>
  <c r="AP10" i="43"/>
  <c r="F132" i="67"/>
  <c r="AG11" i="43"/>
  <c r="F136" i="63"/>
  <c r="BQ7" i="43"/>
  <c r="F129" i="62"/>
  <c r="F134" i="62"/>
  <c r="AY6" i="43"/>
  <c r="F134" i="69"/>
  <c r="AY13" i="43"/>
  <c r="B13" i="43" s="1"/>
  <c r="F131" i="71"/>
  <c r="X15" i="43"/>
  <c r="B15" i="43" s="1"/>
  <c r="F137" i="65"/>
  <c r="BZ9" i="43"/>
  <c r="F135" i="75"/>
  <c r="BH19" i="43"/>
  <c r="B6" i="43"/>
  <c r="E20" i="8"/>
  <c r="F130" i="62"/>
  <c r="O6" i="43"/>
  <c r="F129" i="73"/>
  <c r="F138" i="73" s="1"/>
  <c r="D138" i="73"/>
  <c r="B17" i="8" s="1"/>
  <c r="D138" i="63"/>
  <c r="B7" i="8" s="1"/>
  <c r="F129" i="63"/>
  <c r="D138" i="70"/>
  <c r="B14" i="8" s="1"/>
  <c r="F129" i="70"/>
  <c r="F138" i="70" s="1"/>
  <c r="C142" i="70" s="1"/>
  <c r="D14" i="8" s="1"/>
  <c r="F129" i="69"/>
  <c r="D138" i="69"/>
  <c r="B13" i="8" s="1"/>
  <c r="D138" i="66"/>
  <c r="B10" i="8" s="1"/>
  <c r="F129" i="66"/>
  <c r="D138" i="72"/>
  <c r="B16" i="8" s="1"/>
  <c r="F129" i="72"/>
  <c r="F129" i="65"/>
  <c r="D138" i="65"/>
  <c r="B9" i="8" s="1"/>
  <c r="F129" i="67"/>
  <c r="D138" i="67"/>
  <c r="B11" i="8" s="1"/>
  <c r="F129" i="71"/>
  <c r="D138" i="71"/>
  <c r="B15" i="8" s="1"/>
  <c r="D138" i="68"/>
  <c r="B12" i="8" s="1"/>
  <c r="F129" i="68"/>
  <c r="D138" i="75"/>
  <c r="B19" i="8" s="1"/>
  <c r="D138" i="62"/>
  <c r="D138" i="74"/>
  <c r="B18" i="8" s="1"/>
  <c r="F129" i="74"/>
  <c r="F138" i="74" s="1"/>
  <c r="F138" i="75"/>
  <c r="D138" i="64"/>
  <c r="B6" i="8" l="1"/>
  <c r="C142" i="75"/>
  <c r="D19" i="8" s="1"/>
  <c r="F138" i="62"/>
  <c r="C142" i="62" s="1"/>
  <c r="D6" i="8" s="1"/>
  <c r="C142" i="64"/>
  <c r="D8" i="8" s="1"/>
  <c r="B8" i="8"/>
  <c r="F138" i="66"/>
  <c r="C142" i="66" s="1"/>
  <c r="D10" i="8" s="1"/>
  <c r="F138" i="71"/>
  <c r="C142" i="71" s="1"/>
  <c r="D15" i="8" s="1"/>
  <c r="F138" i="67"/>
  <c r="C142" i="67" s="1"/>
  <c r="D11" i="8" s="1"/>
  <c r="F138" i="69"/>
  <c r="C142" i="69" s="1"/>
  <c r="D13" i="8" s="1"/>
  <c r="F138" i="64"/>
  <c r="F138" i="65"/>
  <c r="C142" i="65" s="1"/>
  <c r="D9" i="8" s="1"/>
  <c r="F138" i="72"/>
  <c r="C142" i="72" s="1"/>
  <c r="D16" i="8" s="1"/>
  <c r="F138" i="63"/>
  <c r="C142" i="63" s="1"/>
  <c r="D7" i="8" s="1"/>
  <c r="F138" i="68"/>
  <c r="C142" i="68" s="1"/>
  <c r="D12" i="8" s="1"/>
  <c r="B19" i="43"/>
  <c r="C142" i="73"/>
  <c r="D17" i="8" s="1"/>
  <c r="C142" i="74"/>
  <c r="D18" i="8" s="1"/>
  <c r="B31" i="23" l="1"/>
  <c r="C15" i="21" l="1"/>
  <c r="D6" i="20" l="1"/>
  <c r="D5" i="20"/>
  <c r="D4" i="20"/>
  <c r="L47" i="8"/>
  <c r="K63" i="8"/>
  <c r="F47" i="8"/>
  <c r="A25" i="8"/>
  <c r="C20" i="8"/>
  <c r="B20" i="8"/>
  <c r="D7" i="20" l="1"/>
  <c r="BA4" i="43" l="1"/>
  <c r="BI4" i="43"/>
  <c r="CB4" i="43"/>
  <c r="CA4" i="43"/>
  <c r="BR4" i="43"/>
  <c r="BS4" i="43"/>
  <c r="BJ4" i="43"/>
  <c r="BU4" i="43"/>
  <c r="CD4" i="43"/>
  <c r="BY5" i="43"/>
  <c r="CC4" i="43"/>
  <c r="BL4" i="43"/>
  <c r="BP5" i="43"/>
  <c r="BT4" i="43"/>
  <c r="BG5" i="43"/>
  <c r="BK4" i="43"/>
  <c r="CE4" i="43" l="1"/>
  <c r="CC5" i="43"/>
  <c r="BY6" i="43"/>
  <c r="CD5" i="43"/>
  <c r="BT5" i="43"/>
  <c r="BP6" i="43"/>
  <c r="BU5" i="43"/>
  <c r="BV4" i="43"/>
  <c r="BM4" i="43"/>
  <c r="BK5" i="43"/>
  <c r="BG6" i="43"/>
  <c r="BL5" i="43"/>
  <c r="CC6" i="43" l="1"/>
  <c r="BY7" i="43"/>
  <c r="CD6" i="43"/>
  <c r="BP7" i="43"/>
  <c r="BT6" i="43"/>
  <c r="BU6" i="43"/>
  <c r="BG7" i="43"/>
  <c r="BK6" i="43"/>
  <c r="BL6" i="43"/>
  <c r="BY8" i="43" l="1"/>
  <c r="CD7" i="43"/>
  <c r="CC7" i="43"/>
  <c r="BP8" i="43"/>
  <c r="BU7" i="43"/>
  <c r="BT7" i="43"/>
  <c r="BG8" i="43"/>
  <c r="BL7" i="43"/>
  <c r="BK7" i="43"/>
  <c r="BY9" i="43" l="1"/>
  <c r="CC8" i="43"/>
  <c r="CD8" i="43"/>
  <c r="BP9" i="43"/>
  <c r="BU8" i="43"/>
  <c r="BT8" i="43"/>
  <c r="BG9" i="43"/>
  <c r="BL8" i="43"/>
  <c r="BK8" i="43"/>
  <c r="BY10" i="43" l="1"/>
  <c r="CC9" i="43"/>
  <c r="CD9" i="43"/>
  <c r="BP10" i="43"/>
  <c r="BT9" i="43"/>
  <c r="BU9" i="43"/>
  <c r="BK9" i="43"/>
  <c r="BG10" i="43"/>
  <c r="BL9" i="43"/>
  <c r="CC10" i="43" l="1"/>
  <c r="BY11" i="43"/>
  <c r="CD10" i="43"/>
  <c r="BT10" i="43"/>
  <c r="BP11" i="43"/>
  <c r="BU10" i="43"/>
  <c r="BK10" i="43"/>
  <c r="BG11" i="43"/>
  <c r="BL10" i="43"/>
  <c r="CC11" i="43" l="1"/>
  <c r="BY12" i="43"/>
  <c r="CD11" i="43"/>
  <c r="BT11" i="43"/>
  <c r="BP12" i="43"/>
  <c r="BU11" i="43"/>
  <c r="BK11" i="43"/>
  <c r="BG12" i="43"/>
  <c r="BL11" i="43"/>
  <c r="CD12" i="43" l="1"/>
  <c r="CC12" i="43"/>
  <c r="BY13" i="43"/>
  <c r="BU12" i="43"/>
  <c r="BT12" i="43"/>
  <c r="BP13" i="43"/>
  <c r="BL12" i="43"/>
  <c r="BK12" i="43"/>
  <c r="BG13" i="43"/>
  <c r="CC13" i="43" l="1"/>
  <c r="CD13" i="43"/>
  <c r="BY14" i="43"/>
  <c r="BT13" i="43"/>
  <c r="BP14" i="43"/>
  <c r="BU13" i="43"/>
  <c r="BK13" i="43"/>
  <c r="BG14" i="43"/>
  <c r="BL13" i="43"/>
  <c r="BY15" i="43" l="1"/>
  <c r="CC14" i="43"/>
  <c r="CD14" i="43"/>
  <c r="BP15" i="43"/>
  <c r="BT14" i="43"/>
  <c r="BU14" i="43"/>
  <c r="BG15" i="43"/>
  <c r="BK14" i="43"/>
  <c r="BL14" i="43"/>
  <c r="BY16" i="43" l="1"/>
  <c r="CD15" i="43"/>
  <c r="CC15" i="43"/>
  <c r="BP16" i="43"/>
  <c r="BU15" i="43"/>
  <c r="BT15" i="43"/>
  <c r="BG16" i="43"/>
  <c r="BL15" i="43"/>
  <c r="BK15" i="43"/>
  <c r="BY17" i="43" l="1"/>
  <c r="CC16" i="43"/>
  <c r="CD16" i="43"/>
  <c r="BP17" i="43"/>
  <c r="BT16" i="43"/>
  <c r="BU16" i="43"/>
  <c r="BG17" i="43"/>
  <c r="BL16" i="43"/>
  <c r="BK16" i="43"/>
  <c r="BY18" i="43" l="1"/>
  <c r="CC17" i="43"/>
  <c r="CD17" i="43"/>
  <c r="BP18" i="43"/>
  <c r="BT17" i="43"/>
  <c r="BU17" i="43"/>
  <c r="BK17" i="43"/>
  <c r="BG18" i="43"/>
  <c r="BL17" i="43"/>
  <c r="CC18" i="43" l="1"/>
  <c r="BY19" i="43"/>
  <c r="CD18" i="43"/>
  <c r="BT18" i="43"/>
  <c r="BP19" i="43"/>
  <c r="BU18" i="43"/>
  <c r="BK18" i="43"/>
  <c r="BG19" i="43"/>
  <c r="BL18" i="43"/>
  <c r="CC19" i="43" l="1"/>
  <c r="CD19" i="43"/>
  <c r="BT19" i="43"/>
  <c r="BU19" i="43"/>
  <c r="BK19" i="43"/>
  <c r="BL19" i="43"/>
  <c r="C52" i="21" l="1"/>
  <c r="C51" i="21"/>
  <c r="C49" i="21"/>
  <c r="C48" i="21"/>
  <c r="C47" i="21"/>
  <c r="C46" i="21"/>
  <c r="C45" i="21"/>
  <c r="C44" i="21"/>
  <c r="C43" i="21"/>
  <c r="C42" i="21"/>
  <c r="C41" i="21"/>
  <c r="C40" i="21"/>
  <c r="C39" i="21"/>
  <c r="C50" i="21" l="1"/>
  <c r="C38" i="21"/>
  <c r="C37" i="21"/>
  <c r="B83" i="23" l="1"/>
  <c r="B84" i="23"/>
  <c r="B85" i="23"/>
  <c r="B86" i="23"/>
  <c r="B87" i="23"/>
  <c r="B88" i="23"/>
  <c r="B89" i="23"/>
  <c r="B90" i="23"/>
  <c r="B91" i="23"/>
  <c r="B94" i="23"/>
  <c r="B95" i="23"/>
  <c r="B52" i="21" l="1"/>
  <c r="B51" i="21"/>
  <c r="B49" i="21"/>
  <c r="B48" i="21"/>
  <c r="B47" i="21"/>
  <c r="B45" i="21"/>
  <c r="B46" i="21"/>
  <c r="B41" i="21" l="1"/>
  <c r="B39" i="21"/>
  <c r="B42" i="21"/>
  <c r="B40" i="21"/>
  <c r="B44" i="21"/>
  <c r="B43" i="21"/>
  <c r="B50" i="21"/>
  <c r="B37" i="21" l="1"/>
  <c r="B38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D12" i="20" l="1"/>
  <c r="D63" i="8" l="1"/>
  <c r="D80" i="23" l="1"/>
  <c r="AX5" i="43" l="1"/>
  <c r="BC4" i="43"/>
  <c r="AF5" i="43"/>
  <c r="W5" i="43"/>
  <c r="AB4" i="43"/>
  <c r="N5" i="43"/>
  <c r="S4" i="43"/>
  <c r="E5" i="43"/>
  <c r="E6" i="43" s="1"/>
  <c r="J4" i="43"/>
  <c r="A5" i="43"/>
  <c r="A6" i="43"/>
  <c r="A48" i="43" s="1"/>
  <c r="A7" i="43"/>
  <c r="A49" i="43" s="1"/>
  <c r="A8" i="43"/>
  <c r="A50" i="43" s="1"/>
  <c r="A9" i="43"/>
  <c r="A51" i="43" s="1"/>
  <c r="A10" i="43"/>
  <c r="A52" i="43" s="1"/>
  <c r="A11" i="43"/>
  <c r="A53" i="43" s="1"/>
  <c r="A12" i="43"/>
  <c r="A54" i="43" s="1"/>
  <c r="A13" i="43"/>
  <c r="A55" i="43" s="1"/>
  <c r="A14" i="43"/>
  <c r="A56" i="43" s="1"/>
  <c r="A15" i="43"/>
  <c r="A16" i="43"/>
  <c r="A58" i="43" s="1"/>
  <c r="A17" i="43"/>
  <c r="A59" i="43" s="1"/>
  <c r="A18" i="43"/>
  <c r="A60" i="43" s="1"/>
  <c r="A19" i="43"/>
  <c r="A61" i="43" s="1"/>
  <c r="A4" i="43"/>
  <c r="A46" i="43" s="1"/>
  <c r="AK4" i="43"/>
  <c r="B54" i="43"/>
  <c r="A47" i="43"/>
  <c r="A57" i="43"/>
  <c r="N6" i="43" l="1"/>
  <c r="N7" i="43" s="1"/>
  <c r="S7" i="43" s="1"/>
  <c r="S5" i="43"/>
  <c r="E7" i="43"/>
  <c r="J6" i="43"/>
  <c r="R5" i="43"/>
  <c r="BB4" i="43"/>
  <c r="AJ5" i="43"/>
  <c r="AJ4" i="43"/>
  <c r="R4" i="43"/>
  <c r="AF6" i="43"/>
  <c r="AK5" i="43"/>
  <c r="S6" i="43"/>
  <c r="BC5" i="43"/>
  <c r="AX6" i="43"/>
  <c r="W6" i="43"/>
  <c r="W7" i="43" s="1"/>
  <c r="AB5" i="43"/>
  <c r="AO5" i="43"/>
  <c r="J5" i="43"/>
  <c r="B49" i="43"/>
  <c r="B57" i="43"/>
  <c r="B53" i="43"/>
  <c r="B52" i="43"/>
  <c r="B48" i="43"/>
  <c r="B61" i="43"/>
  <c r="B56" i="43"/>
  <c r="B60" i="43"/>
  <c r="B51" i="43"/>
  <c r="B47" i="43"/>
  <c r="B55" i="43"/>
  <c r="B59" i="43"/>
  <c r="B50" i="43"/>
  <c r="B46" i="43"/>
  <c r="B58" i="43"/>
  <c r="AA6" i="43" l="1"/>
  <c r="N8" i="43"/>
  <c r="AA4" i="43"/>
  <c r="E8" i="43"/>
  <c r="J7" i="43"/>
  <c r="AA5" i="43"/>
  <c r="AS4" i="43"/>
  <c r="AJ6" i="43"/>
  <c r="BB5" i="43"/>
  <c r="AS5" i="43"/>
  <c r="W8" i="43"/>
  <c r="AB7" i="43"/>
  <c r="AF7" i="43"/>
  <c r="AK6" i="43"/>
  <c r="AT5" i="43"/>
  <c r="AO6" i="43"/>
  <c r="AB6" i="43"/>
  <c r="BC6" i="43"/>
  <c r="AX7" i="43"/>
  <c r="S8" i="43"/>
  <c r="N9" i="43"/>
  <c r="CB5" i="43" l="1"/>
  <c r="BJ5" i="43"/>
  <c r="BS5" i="43"/>
  <c r="BR5" i="43"/>
  <c r="BV5" i="43" s="1"/>
  <c r="BI5" i="43"/>
  <c r="BM5" i="43" s="1"/>
  <c r="CA5" i="43"/>
  <c r="CE5" i="43" s="1"/>
  <c r="Z4" i="43"/>
  <c r="AI4" i="43"/>
  <c r="AH4" i="43"/>
  <c r="AL4" i="43" s="1"/>
  <c r="E9" i="43"/>
  <c r="J8" i="43"/>
  <c r="Y7" i="43"/>
  <c r="Y4" i="43"/>
  <c r="AC4" i="43" s="1"/>
  <c r="P4" i="43"/>
  <c r="T4" i="43" s="1"/>
  <c r="Q4" i="43"/>
  <c r="AZ4" i="43"/>
  <c r="BD4" i="43" s="1"/>
  <c r="H4" i="43"/>
  <c r="Y6" i="43"/>
  <c r="AC6" i="43" s="1"/>
  <c r="Y5" i="43"/>
  <c r="AC5" i="43" s="1"/>
  <c r="K4" i="43"/>
  <c r="AR4" i="43"/>
  <c r="AQ4" i="43"/>
  <c r="AU4" i="43" s="1"/>
  <c r="R6" i="43"/>
  <c r="AJ7" i="43"/>
  <c r="I5" i="43"/>
  <c r="AS6" i="43"/>
  <c r="BC7" i="43"/>
  <c r="AX8" i="43"/>
  <c r="AO7" i="43"/>
  <c r="AT6" i="43"/>
  <c r="AK7" i="43"/>
  <c r="AF8" i="43"/>
  <c r="AB8" i="43"/>
  <c r="W9" i="43"/>
  <c r="S9" i="43"/>
  <c r="N10" i="43"/>
  <c r="CG4" i="43" l="1"/>
  <c r="D46" i="43" s="1"/>
  <c r="E46" i="43" s="1"/>
  <c r="CF4" i="43"/>
  <c r="C46" i="43"/>
  <c r="CB6" i="43"/>
  <c r="BJ6" i="43"/>
  <c r="BI6" i="43"/>
  <c r="BM6" i="43" s="1"/>
  <c r="BR6" i="43"/>
  <c r="BV6" i="43" s="1"/>
  <c r="BS6" i="43"/>
  <c r="CA6" i="43"/>
  <c r="CE6" i="43" s="1"/>
  <c r="AA7" i="43"/>
  <c r="AC7" i="43" s="1"/>
  <c r="E10" i="43"/>
  <c r="J9" i="43"/>
  <c r="R7" i="43"/>
  <c r="AR6" i="43"/>
  <c r="H6" i="43"/>
  <c r="I6" i="43"/>
  <c r="BB6" i="43"/>
  <c r="Q5" i="43"/>
  <c r="P5" i="43"/>
  <c r="T5" i="43" s="1"/>
  <c r="AI5" i="43"/>
  <c r="G5" i="43"/>
  <c r="K5" i="43" s="1"/>
  <c r="AQ5" i="43"/>
  <c r="AU5" i="43" s="1"/>
  <c r="BA5" i="43"/>
  <c r="AZ5" i="43"/>
  <c r="BD5" i="43" s="1"/>
  <c r="Z5" i="43"/>
  <c r="AH5" i="43"/>
  <c r="AL5" i="43" s="1"/>
  <c r="H5" i="43"/>
  <c r="AF9" i="43"/>
  <c r="AK8" i="43"/>
  <c r="AB9" i="43"/>
  <c r="W10" i="43"/>
  <c r="AX9" i="43"/>
  <c r="BC8" i="43"/>
  <c r="AO8" i="43"/>
  <c r="AT7" i="43"/>
  <c r="S10" i="43"/>
  <c r="N11" i="43"/>
  <c r="CG5" i="43" l="1"/>
  <c r="D47" i="43" s="1"/>
  <c r="E47" i="43" s="1"/>
  <c r="CF5" i="43"/>
  <c r="C47" i="43" s="1"/>
  <c r="BJ7" i="43"/>
  <c r="BI7" i="43"/>
  <c r="BM7" i="43" s="1"/>
  <c r="BS7" i="43"/>
  <c r="BR7" i="43"/>
  <c r="BV7" i="43" s="1"/>
  <c r="CB7" i="43"/>
  <c r="CA7" i="43"/>
  <c r="CE7" i="43" s="1"/>
  <c r="AA8" i="43"/>
  <c r="Y8" i="43"/>
  <c r="F46" i="43"/>
  <c r="G6" i="43"/>
  <c r="K6" i="43" s="1"/>
  <c r="AQ6" i="43"/>
  <c r="AU6" i="43" s="1"/>
  <c r="BA6" i="43"/>
  <c r="J10" i="43"/>
  <c r="E11" i="43"/>
  <c r="AS8" i="43"/>
  <c r="AR7" i="43"/>
  <c r="AI6" i="43"/>
  <c r="Z6" i="43"/>
  <c r="Q6" i="43"/>
  <c r="CF6" i="43" s="1"/>
  <c r="AH6" i="43"/>
  <c r="AL6" i="43" s="1"/>
  <c r="P6" i="43"/>
  <c r="T6" i="43" s="1"/>
  <c r="AZ6" i="43"/>
  <c r="BD6" i="43" s="1"/>
  <c r="R8" i="43"/>
  <c r="AJ8" i="43"/>
  <c r="AS7" i="43"/>
  <c r="BB7" i="43"/>
  <c r="BA7" i="43"/>
  <c r="I7" i="43"/>
  <c r="AO9" i="43"/>
  <c r="AT8" i="43"/>
  <c r="BC9" i="43"/>
  <c r="AX10" i="43"/>
  <c r="AB10" i="43"/>
  <c r="W11" i="43"/>
  <c r="AK9" i="43"/>
  <c r="AF10" i="43"/>
  <c r="AJ9" i="43"/>
  <c r="S11" i="43"/>
  <c r="N12" i="43"/>
  <c r="CG6" i="43" l="1"/>
  <c r="D48" i="43" s="1"/>
  <c r="E48" i="43" s="1"/>
  <c r="AC8" i="43"/>
  <c r="C48" i="43"/>
  <c r="CA8" i="43"/>
  <c r="CE8" i="43" s="1"/>
  <c r="BR8" i="43"/>
  <c r="BV8" i="43" s="1"/>
  <c r="BJ8" i="43"/>
  <c r="BI8" i="43"/>
  <c r="BM8" i="43" s="1"/>
  <c r="BS8" i="43"/>
  <c r="CB8" i="43"/>
  <c r="Y9" i="43"/>
  <c r="AA9" i="43"/>
  <c r="E12" i="43"/>
  <c r="J11" i="43"/>
  <c r="F47" i="43"/>
  <c r="H7" i="43"/>
  <c r="BB8" i="43"/>
  <c r="AQ7" i="43"/>
  <c r="AU7" i="43" s="1"/>
  <c r="AR8" i="43"/>
  <c r="Z7" i="43"/>
  <c r="AH7" i="43"/>
  <c r="AL7" i="43" s="1"/>
  <c r="Q7" i="43"/>
  <c r="AI7" i="43"/>
  <c r="P7" i="43"/>
  <c r="T7" i="43" s="1"/>
  <c r="AZ7" i="43"/>
  <c r="BD7" i="43" s="1"/>
  <c r="R9" i="43"/>
  <c r="AQ8" i="43"/>
  <c r="AU8" i="43" s="1"/>
  <c r="I8" i="43"/>
  <c r="G7" i="43"/>
  <c r="K7" i="43" s="1"/>
  <c r="W12" i="43"/>
  <c r="AB11" i="43"/>
  <c r="AX11" i="43"/>
  <c r="BC10" i="43"/>
  <c r="AO10" i="43"/>
  <c r="AT9" i="43"/>
  <c r="AS9" i="43"/>
  <c r="AK10" i="43"/>
  <c r="AF11" i="43"/>
  <c r="S12" i="43"/>
  <c r="N13" i="43"/>
  <c r="CF7" i="43" l="1"/>
  <c r="C49" i="43" s="1"/>
  <c r="CG7" i="43"/>
  <c r="CB9" i="43"/>
  <c r="CA9" i="43"/>
  <c r="CE9" i="43" s="1"/>
  <c r="BJ9" i="43"/>
  <c r="BI9" i="43"/>
  <c r="BM9" i="43" s="1"/>
  <c r="BS9" i="43"/>
  <c r="BR9" i="43"/>
  <c r="BV9" i="43" s="1"/>
  <c r="D49" i="43"/>
  <c r="E49" i="43" s="1"/>
  <c r="AC9" i="43"/>
  <c r="Y10" i="43"/>
  <c r="AA10" i="43"/>
  <c r="J12" i="43"/>
  <c r="E13" i="43"/>
  <c r="F48" i="43"/>
  <c r="AJ11" i="43"/>
  <c r="Z8" i="43"/>
  <c r="Q8" i="43"/>
  <c r="P8" i="43"/>
  <c r="T8" i="43" s="1"/>
  <c r="AI8" i="43"/>
  <c r="AH8" i="43"/>
  <c r="AL8" i="43" s="1"/>
  <c r="BB9" i="43"/>
  <c r="AS10" i="43"/>
  <c r="AR9" i="43"/>
  <c r="R10" i="43"/>
  <c r="BA8" i="43"/>
  <c r="H8" i="43"/>
  <c r="AZ8" i="43"/>
  <c r="BD8" i="43" s="1"/>
  <c r="AJ10" i="43"/>
  <c r="G8" i="43"/>
  <c r="K8" i="43" s="1"/>
  <c r="I9" i="43"/>
  <c r="AQ9" i="43"/>
  <c r="AU9" i="43" s="1"/>
  <c r="W13" i="43"/>
  <c r="AB12" i="43"/>
  <c r="AK11" i="43"/>
  <c r="AF12" i="43"/>
  <c r="BC11" i="43"/>
  <c r="AX12" i="43"/>
  <c r="AT10" i="43"/>
  <c r="AO11" i="43"/>
  <c r="N14" i="43"/>
  <c r="S13" i="43"/>
  <c r="CG8" i="43" l="1"/>
  <c r="CF8" i="43"/>
  <c r="D50" i="43"/>
  <c r="E50" i="43" s="1"/>
  <c r="BS10" i="43"/>
  <c r="CB10" i="43"/>
  <c r="BJ10" i="43"/>
  <c r="CA10" i="43"/>
  <c r="CE10" i="43" s="1"/>
  <c r="BR10" i="43"/>
  <c r="BV10" i="43" s="1"/>
  <c r="BI10" i="43"/>
  <c r="BM10" i="43" s="1"/>
  <c r="C50" i="43"/>
  <c r="AC10" i="43"/>
  <c r="Y11" i="43"/>
  <c r="AA11" i="43"/>
  <c r="E14" i="43"/>
  <c r="J13" i="43"/>
  <c r="G9" i="43"/>
  <c r="K9" i="43" s="1"/>
  <c r="CG9" i="43" s="1"/>
  <c r="F49" i="43"/>
  <c r="BA10" i="43"/>
  <c r="I10" i="43"/>
  <c r="BB10" i="43"/>
  <c r="AI9" i="43"/>
  <c r="Z9" i="43"/>
  <c r="Q9" i="43"/>
  <c r="P9" i="43"/>
  <c r="T9" i="43" s="1"/>
  <c r="AH9" i="43"/>
  <c r="AL9" i="43" s="1"/>
  <c r="AS11" i="43"/>
  <c r="AR10" i="43"/>
  <c r="H9" i="43"/>
  <c r="R11" i="43"/>
  <c r="AZ9" i="43"/>
  <c r="BD9" i="43" s="1"/>
  <c r="BA9" i="43"/>
  <c r="AX13" i="43"/>
  <c r="BC12" i="43"/>
  <c r="AK12" i="43"/>
  <c r="AF13" i="43"/>
  <c r="W14" i="43"/>
  <c r="AB13" i="43"/>
  <c r="AT11" i="43"/>
  <c r="AO12" i="43"/>
  <c r="N15" i="43"/>
  <c r="S14" i="43"/>
  <c r="CF9" i="43" l="1"/>
  <c r="D51" i="43"/>
  <c r="E51" i="43" s="1"/>
  <c r="BR11" i="43"/>
  <c r="BV11" i="43" s="1"/>
  <c r="BJ11" i="43"/>
  <c r="BS11" i="43"/>
  <c r="BI11" i="43"/>
  <c r="BM11" i="43" s="1"/>
  <c r="CB11" i="43"/>
  <c r="CA11" i="43"/>
  <c r="CE11" i="43" s="1"/>
  <c r="C51" i="43"/>
  <c r="AC11" i="43"/>
  <c r="Y12" i="43"/>
  <c r="AA12" i="43"/>
  <c r="J14" i="43"/>
  <c r="E15" i="43"/>
  <c r="G10" i="43"/>
  <c r="K10" i="43" s="1"/>
  <c r="CG10" i="43" s="1"/>
  <c r="H10" i="43"/>
  <c r="CF10" i="43" s="1"/>
  <c r="AQ10" i="43"/>
  <c r="AU10" i="43" s="1"/>
  <c r="AZ10" i="43"/>
  <c r="BD10" i="43" s="1"/>
  <c r="F50" i="43"/>
  <c r="AZ11" i="43"/>
  <c r="I11" i="43"/>
  <c r="R12" i="43"/>
  <c r="BB11" i="43"/>
  <c r="AJ13" i="43"/>
  <c r="Z10" i="43"/>
  <c r="AI10" i="43"/>
  <c r="AH10" i="43"/>
  <c r="AL10" i="43" s="1"/>
  <c r="P10" i="43"/>
  <c r="T10" i="43" s="1"/>
  <c r="Q10" i="43"/>
  <c r="AJ12" i="43"/>
  <c r="AR11" i="43"/>
  <c r="AF14" i="43"/>
  <c r="AK13" i="43"/>
  <c r="W15" i="43"/>
  <c r="AB14" i="43"/>
  <c r="AX14" i="43"/>
  <c r="BC13" i="43"/>
  <c r="AO13" i="43"/>
  <c r="AT12" i="43"/>
  <c r="N16" i="43"/>
  <c r="S15" i="43"/>
  <c r="C52" i="43" l="1"/>
  <c r="D52" i="43"/>
  <c r="E52" i="43" s="1"/>
  <c r="BR12" i="43"/>
  <c r="BV12" i="43" s="1"/>
  <c r="BS12" i="43"/>
  <c r="CB12" i="43"/>
  <c r="CA12" i="43"/>
  <c r="CE12" i="43" s="1"/>
  <c r="BJ12" i="43"/>
  <c r="BI12" i="43"/>
  <c r="BM12" i="43" s="1"/>
  <c r="Y13" i="43"/>
  <c r="AA13" i="43"/>
  <c r="AC12" i="43"/>
  <c r="E16" i="43"/>
  <c r="J15" i="43"/>
  <c r="F51" i="43"/>
  <c r="G11" i="43"/>
  <c r="K11" i="43" s="1"/>
  <c r="H11" i="43"/>
  <c r="CF11" i="43" s="1"/>
  <c r="BA11" i="43"/>
  <c r="AS13" i="43"/>
  <c r="AR12" i="43"/>
  <c r="P11" i="43"/>
  <c r="T11" i="43" s="1"/>
  <c r="Z11" i="43"/>
  <c r="AI11" i="43"/>
  <c r="AH11" i="43"/>
  <c r="AL11" i="43" s="1"/>
  <c r="Q11" i="43"/>
  <c r="AS12" i="43"/>
  <c r="BD11" i="43"/>
  <c r="BB12" i="43"/>
  <c r="AJ14" i="43"/>
  <c r="AQ12" i="43"/>
  <c r="I12" i="43"/>
  <c r="R13" i="43"/>
  <c r="AQ11" i="43"/>
  <c r="AU11" i="43" s="1"/>
  <c r="AB15" i="43"/>
  <c r="W16" i="43"/>
  <c r="AT13" i="43"/>
  <c r="AO14" i="43"/>
  <c r="BC14" i="43"/>
  <c r="AX15" i="43"/>
  <c r="AF15" i="43"/>
  <c r="AK14" i="43"/>
  <c r="S16" i="43"/>
  <c r="N17" i="43"/>
  <c r="CG11" i="43" l="1"/>
  <c r="C53" i="43"/>
  <c r="D53" i="43"/>
  <c r="E53" i="43" s="1"/>
  <c r="BJ13" i="43"/>
  <c r="BI13" i="43"/>
  <c r="BM13" i="43" s="1"/>
  <c r="BR13" i="43"/>
  <c r="BV13" i="43" s="1"/>
  <c r="CA13" i="43"/>
  <c r="CE13" i="43" s="1"/>
  <c r="BS13" i="43"/>
  <c r="CB13" i="43"/>
  <c r="Y14" i="43"/>
  <c r="AA14" i="43"/>
  <c r="AC13" i="43"/>
  <c r="E17" i="43"/>
  <c r="J16" i="43"/>
  <c r="F52" i="43"/>
  <c r="G12" i="43"/>
  <c r="K12" i="43" s="1"/>
  <c r="CG12" i="43" s="1"/>
  <c r="AZ12" i="43"/>
  <c r="BD12" i="43" s="1"/>
  <c r="H12" i="43"/>
  <c r="G13" i="43"/>
  <c r="I13" i="43"/>
  <c r="AJ15" i="43"/>
  <c r="BB13" i="43"/>
  <c r="AU12" i="43"/>
  <c r="Z12" i="43"/>
  <c r="Q12" i="43"/>
  <c r="P12" i="43"/>
  <c r="T12" i="43" s="1"/>
  <c r="AH12" i="43"/>
  <c r="AL12" i="43" s="1"/>
  <c r="AI12" i="43"/>
  <c r="R14" i="43"/>
  <c r="BA12" i="43"/>
  <c r="AR13" i="43"/>
  <c r="AO15" i="43"/>
  <c r="AT14" i="43"/>
  <c r="AF16" i="43"/>
  <c r="AK15" i="43"/>
  <c r="AX16" i="43"/>
  <c r="BC15" i="43"/>
  <c r="W17" i="43"/>
  <c r="AB16" i="43"/>
  <c r="N18" i="43"/>
  <c r="S17" i="43"/>
  <c r="CF12" i="43" l="1"/>
  <c r="C54" i="43"/>
  <c r="D54" i="43"/>
  <c r="E54" i="43" s="1"/>
  <c r="BJ14" i="43"/>
  <c r="BI14" i="43"/>
  <c r="BM14" i="43" s="1"/>
  <c r="BR14" i="43"/>
  <c r="BV14" i="43" s="1"/>
  <c r="BS14" i="43"/>
  <c r="CA14" i="43"/>
  <c r="CE14" i="43" s="1"/>
  <c r="CB14" i="43"/>
  <c r="AC14" i="43"/>
  <c r="Y15" i="43"/>
  <c r="AA15" i="43"/>
  <c r="F53" i="43"/>
  <c r="AZ13" i="43"/>
  <c r="BD13" i="43" s="1"/>
  <c r="E18" i="43"/>
  <c r="J17" i="43"/>
  <c r="AQ13" i="43"/>
  <c r="AU13" i="43" s="1"/>
  <c r="H13" i="43"/>
  <c r="K13" i="43"/>
  <c r="BB14" i="43"/>
  <c r="R15" i="43"/>
  <c r="Z13" i="43"/>
  <c r="Q13" i="43"/>
  <c r="P13" i="43"/>
  <c r="T13" i="43" s="1"/>
  <c r="AH13" i="43"/>
  <c r="AL13" i="43" s="1"/>
  <c r="AI13" i="43"/>
  <c r="AS15" i="43"/>
  <c r="AR14" i="43"/>
  <c r="AS14" i="43"/>
  <c r="BA13" i="43"/>
  <c r="G14" i="43"/>
  <c r="I14" i="43"/>
  <c r="AX17" i="43"/>
  <c r="BC16" i="43"/>
  <c r="W18" i="43"/>
  <c r="AB17" i="43"/>
  <c r="AF17" i="43"/>
  <c r="AK16" i="43"/>
  <c r="AO16" i="43"/>
  <c r="AT15" i="43"/>
  <c r="S18" i="43"/>
  <c r="N19" i="43"/>
  <c r="CF13" i="43" l="1"/>
  <c r="C55" i="43" s="1"/>
  <c r="CG13" i="43"/>
  <c r="BJ15" i="43"/>
  <c r="BI15" i="43"/>
  <c r="BM15" i="43" s="1"/>
  <c r="BR15" i="43"/>
  <c r="BV15" i="43" s="1"/>
  <c r="CB15" i="43"/>
  <c r="CA15" i="43"/>
  <c r="CE15" i="43" s="1"/>
  <c r="BS15" i="43"/>
  <c r="D55" i="43"/>
  <c r="E55" i="43" s="1"/>
  <c r="AC15" i="43"/>
  <c r="Y16" i="43"/>
  <c r="AA16" i="43"/>
  <c r="F54" i="43"/>
  <c r="E19" i="43"/>
  <c r="J19" i="43" s="1"/>
  <c r="J18" i="43"/>
  <c r="K14" i="43"/>
  <c r="Z14" i="43"/>
  <c r="P14" i="43"/>
  <c r="T14" i="43" s="1"/>
  <c r="Q14" i="43"/>
  <c r="AI14" i="43"/>
  <c r="AH14" i="43"/>
  <c r="AL14" i="43" s="1"/>
  <c r="BB15" i="43"/>
  <c r="AQ14" i="43"/>
  <c r="AU14" i="43" s="1"/>
  <c r="H15" i="43"/>
  <c r="I15" i="43"/>
  <c r="AZ14" i="43"/>
  <c r="BD14" i="43" s="1"/>
  <c r="BA14" i="43"/>
  <c r="H14" i="43"/>
  <c r="CF14" i="43" s="1"/>
  <c r="AS16" i="43"/>
  <c r="AR15" i="43"/>
  <c r="AB18" i="43"/>
  <c r="W19" i="43"/>
  <c r="AT16" i="43"/>
  <c r="AO17" i="43"/>
  <c r="AF18" i="43"/>
  <c r="AK17" i="43"/>
  <c r="AX18" i="43"/>
  <c r="BC17" i="43"/>
  <c r="S19" i="43"/>
  <c r="R16" i="43"/>
  <c r="AJ16" i="43"/>
  <c r="I16" i="43"/>
  <c r="CG14" i="43" l="1"/>
  <c r="C56" i="43"/>
  <c r="CA16" i="43"/>
  <c r="CE16" i="43" s="1"/>
  <c r="BR16" i="43"/>
  <c r="BV16" i="43" s="1"/>
  <c r="BJ16" i="43"/>
  <c r="BI16" i="43"/>
  <c r="BM16" i="43" s="1"/>
  <c r="BS16" i="43"/>
  <c r="CB16" i="43"/>
  <c r="D56" i="43"/>
  <c r="E56" i="43" s="1"/>
  <c r="AC16" i="43"/>
  <c r="Y17" i="43"/>
  <c r="AA17" i="43"/>
  <c r="F55" i="43"/>
  <c r="Z15" i="43"/>
  <c r="Q15" i="43"/>
  <c r="CF15" i="43" s="1"/>
  <c r="AI15" i="43"/>
  <c r="P15" i="43"/>
  <c r="T15" i="43" s="1"/>
  <c r="AH15" i="43"/>
  <c r="AL15" i="43" s="1"/>
  <c r="AQ15" i="43"/>
  <c r="AU15" i="43" s="1"/>
  <c r="AR16" i="43"/>
  <c r="BA15" i="43"/>
  <c r="G15" i="43"/>
  <c r="K15" i="43" s="1"/>
  <c r="CG15" i="43" s="1"/>
  <c r="AZ15" i="43"/>
  <c r="BD15" i="43" s="1"/>
  <c r="AB19" i="43"/>
  <c r="BC18" i="43"/>
  <c r="AX19" i="43"/>
  <c r="AT17" i="43"/>
  <c r="AS17" i="43"/>
  <c r="AO18" i="43"/>
  <c r="AK18" i="43"/>
  <c r="AF19" i="43"/>
  <c r="I17" i="43"/>
  <c r="R17" i="43"/>
  <c r="AJ17" i="43"/>
  <c r="BB16" i="43"/>
  <c r="C57" i="43" l="1"/>
  <c r="CB17" i="43"/>
  <c r="CA17" i="43"/>
  <c r="CE17" i="43" s="1"/>
  <c r="BR17" i="43"/>
  <c r="BV17" i="43" s="1"/>
  <c r="BJ17" i="43"/>
  <c r="BI17" i="43"/>
  <c r="BM17" i="43" s="1"/>
  <c r="BS17" i="43"/>
  <c r="D57" i="43"/>
  <c r="E57" i="43" s="1"/>
  <c r="Y18" i="43"/>
  <c r="AA18" i="43"/>
  <c r="AC17" i="43"/>
  <c r="F56" i="43"/>
  <c r="AQ16" i="43"/>
  <c r="AU16" i="43" s="1"/>
  <c r="AS18" i="43"/>
  <c r="AR17" i="43"/>
  <c r="AK19" i="43"/>
  <c r="BC19" i="43"/>
  <c r="AO19" i="43"/>
  <c r="AT18" i="43"/>
  <c r="AJ18" i="43"/>
  <c r="BB17" i="43"/>
  <c r="R18" i="43"/>
  <c r="I18" i="43"/>
  <c r="BR18" i="43" l="1"/>
  <c r="BV18" i="43" s="1"/>
  <c r="BJ18" i="43"/>
  <c r="CA18" i="43"/>
  <c r="CE18" i="43" s="1"/>
  <c r="BS18" i="43"/>
  <c r="CB18" i="43"/>
  <c r="BI18" i="43"/>
  <c r="BM18" i="43" s="1"/>
  <c r="AC18" i="43"/>
  <c r="Y19" i="43"/>
  <c r="AA19" i="43"/>
  <c r="F57" i="43"/>
  <c r="Z16" i="43"/>
  <c r="H16" i="43"/>
  <c r="AH16" i="43"/>
  <c r="AL16" i="43" s="1"/>
  <c r="AZ16" i="43"/>
  <c r="BD16" i="43" s="1"/>
  <c r="BA16" i="43"/>
  <c r="AI16" i="43"/>
  <c r="Q16" i="43"/>
  <c r="G16" i="43"/>
  <c r="K16" i="43" s="1"/>
  <c r="CG16" i="43" s="1"/>
  <c r="P16" i="43"/>
  <c r="T16" i="43" s="1"/>
  <c r="AQ17" i="43"/>
  <c r="AU17" i="43" s="1"/>
  <c r="AR18" i="43"/>
  <c r="AT19" i="43"/>
  <c r="I19" i="43"/>
  <c r="BB18" i="43"/>
  <c r="CF16" i="43" l="1"/>
  <c r="D58" i="43"/>
  <c r="E58" i="43" s="1"/>
  <c r="BI19" i="43"/>
  <c r="BM19" i="43" s="1"/>
  <c r="CA19" i="43"/>
  <c r="CE19" i="43" s="1"/>
  <c r="BS19" i="43"/>
  <c r="BR19" i="43"/>
  <c r="BV19" i="43" s="1"/>
  <c r="CB19" i="43"/>
  <c r="BJ19" i="43"/>
  <c r="C58" i="43"/>
  <c r="AC19" i="43"/>
  <c r="AH17" i="43"/>
  <c r="AL17" i="43" s="1"/>
  <c r="Z17" i="43"/>
  <c r="P17" i="43"/>
  <c r="T17" i="43" s="1"/>
  <c r="Q17" i="43"/>
  <c r="G17" i="43"/>
  <c r="K17" i="43" s="1"/>
  <c r="CG17" i="43" s="1"/>
  <c r="BA17" i="43"/>
  <c r="AZ17" i="43"/>
  <c r="BD17" i="43" s="1"/>
  <c r="H17" i="43"/>
  <c r="AI17" i="43"/>
  <c r="R19" i="43"/>
  <c r="AQ18" i="43"/>
  <c r="AU18" i="43" s="1"/>
  <c r="AJ19" i="43"/>
  <c r="AR19" i="43"/>
  <c r="AS19" i="43"/>
  <c r="CF17" i="43" l="1"/>
  <c r="C59" i="43"/>
  <c r="D59" i="43"/>
  <c r="E59" i="43" s="1"/>
  <c r="F58" i="43"/>
  <c r="H18" i="43"/>
  <c r="BA18" i="43"/>
  <c r="Z18" i="43"/>
  <c r="P18" i="43"/>
  <c r="T18" i="43" s="1"/>
  <c r="AZ18" i="43"/>
  <c r="BD18" i="43" s="1"/>
  <c r="AH18" i="43"/>
  <c r="AL18" i="43" s="1"/>
  <c r="AI18" i="43"/>
  <c r="G18" i="43"/>
  <c r="K18" i="43" s="1"/>
  <c r="BB19" i="43"/>
  <c r="Q18" i="43"/>
  <c r="D20" i="8"/>
  <c r="CG18" i="43" l="1"/>
  <c r="D60" i="43" s="1"/>
  <c r="E60" i="43" s="1"/>
  <c r="CF18" i="43"/>
  <c r="C60" i="43" s="1"/>
  <c r="F59" i="43"/>
  <c r="AZ19" i="43"/>
  <c r="BD19" i="43" s="1"/>
  <c r="B63" i="8"/>
  <c r="F60" i="43" l="1"/>
  <c r="AQ19" i="43"/>
  <c r="AU19" i="43" s="1"/>
  <c r="G19" i="43"/>
  <c r="K19" i="43" s="1"/>
  <c r="P19" i="43"/>
  <c r="T19" i="43" s="1"/>
  <c r="AI19" i="43"/>
  <c r="H19" i="43"/>
  <c r="CF19" i="43" s="1"/>
  <c r="Z19" i="43"/>
  <c r="Q19" i="43"/>
  <c r="AH19" i="43"/>
  <c r="AL19" i="43" s="1"/>
  <c r="BA19" i="43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24" i="24"/>
  <c r="C290" i="23"/>
  <c r="C263" i="23"/>
  <c r="C140" i="23"/>
  <c r="B126" i="23"/>
  <c r="C126" i="23"/>
  <c r="B127" i="23"/>
  <c r="C127" i="23"/>
  <c r="B128" i="23"/>
  <c r="C128" i="23"/>
  <c r="B129" i="23"/>
  <c r="C129" i="23"/>
  <c r="B130" i="23"/>
  <c r="C130" i="23"/>
  <c r="B131" i="23"/>
  <c r="C131" i="23"/>
  <c r="B132" i="23"/>
  <c r="C132" i="23"/>
  <c r="B133" i="23"/>
  <c r="C133" i="23"/>
  <c r="B134" i="23"/>
  <c r="C134" i="23"/>
  <c r="B135" i="23"/>
  <c r="C135" i="23"/>
  <c r="B136" i="23"/>
  <c r="C136" i="23"/>
  <c r="B137" i="23"/>
  <c r="C137" i="23"/>
  <c r="B138" i="23"/>
  <c r="C138" i="23"/>
  <c r="B139" i="23"/>
  <c r="C139" i="23"/>
  <c r="C125" i="23"/>
  <c r="B140" i="23"/>
  <c r="B125" i="23"/>
  <c r="B5" i="25"/>
  <c r="CG19" i="43" l="1"/>
  <c r="D61" i="43" s="1"/>
  <c r="E61" i="43" s="1"/>
  <c r="C61" i="43"/>
  <c r="F61" i="43" l="1"/>
  <c r="L48" i="8" l="1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F48" i="8"/>
  <c r="F49" i="8"/>
  <c r="J49" i="8" s="1"/>
  <c r="F50" i="8"/>
  <c r="J50" i="8" s="1"/>
  <c r="F51" i="8"/>
  <c r="J51" i="8" s="1"/>
  <c r="F52" i="8"/>
  <c r="F53" i="8"/>
  <c r="F54" i="8"/>
  <c r="F55" i="8"/>
  <c r="F56" i="8"/>
  <c r="F57" i="8"/>
  <c r="J57" i="8" s="1"/>
  <c r="F58" i="8"/>
  <c r="J58" i="8" s="1"/>
  <c r="F59" i="8"/>
  <c r="J59" i="8" s="1"/>
  <c r="F60" i="8"/>
  <c r="F61" i="8"/>
  <c r="F62" i="8"/>
  <c r="J56" i="8" l="1"/>
  <c r="M56" i="8" s="1"/>
  <c r="B57" i="23" s="1"/>
  <c r="J48" i="8"/>
  <c r="M48" i="8" s="1"/>
  <c r="B49" i="23" s="1"/>
  <c r="F63" i="8"/>
  <c r="J54" i="8"/>
  <c r="M54" i="8" s="1"/>
  <c r="B55" i="23" s="1"/>
  <c r="J55" i="8"/>
  <c r="J61" i="8"/>
  <c r="M61" i="8" s="1"/>
  <c r="B62" i="23" s="1"/>
  <c r="J53" i="8"/>
  <c r="J60" i="8"/>
  <c r="J52" i="8"/>
  <c r="M52" i="8" s="1"/>
  <c r="B53" i="23" s="1"/>
  <c r="M57" i="8"/>
  <c r="B58" i="23" s="1"/>
  <c r="M49" i="8"/>
  <c r="B50" i="23" s="1"/>
  <c r="M59" i="8"/>
  <c r="B60" i="23" s="1"/>
  <c r="M51" i="8"/>
  <c r="B52" i="23" s="1"/>
  <c r="M58" i="8"/>
  <c r="B59" i="23" s="1"/>
  <c r="M50" i="8"/>
  <c r="B51" i="23" s="1"/>
  <c r="M60" i="8" l="1"/>
  <c r="B61" i="23" s="1"/>
  <c r="M53" i="8"/>
  <c r="B54" i="23" s="1"/>
  <c r="M55" i="8"/>
  <c r="B56" i="23" s="1"/>
  <c r="A216" i="21"/>
  <c r="A285" i="21" s="1"/>
  <c r="A217" i="21"/>
  <c r="A286" i="21" s="1"/>
  <c r="A215" i="21"/>
  <c r="A284" i="21" s="1"/>
  <c r="A34" i="23" s="1"/>
  <c r="C195" i="21"/>
  <c r="C261" i="21" s="1"/>
  <c r="C196" i="21"/>
  <c r="C262" i="21" s="1"/>
  <c r="C182" i="21"/>
  <c r="C248" i="21" s="1"/>
  <c r="C183" i="21"/>
  <c r="C249" i="21" s="1"/>
  <c r="C184" i="21"/>
  <c r="C250" i="21" s="1"/>
  <c r="C185" i="21"/>
  <c r="C251" i="21" s="1"/>
  <c r="C186" i="21"/>
  <c r="C252" i="21" s="1"/>
  <c r="C187" i="21"/>
  <c r="C253" i="21" s="1"/>
  <c r="C188" i="21"/>
  <c r="C254" i="21" s="1"/>
  <c r="C189" i="21"/>
  <c r="C255" i="21" s="1"/>
  <c r="C190" i="21"/>
  <c r="C256" i="21" s="1"/>
  <c r="C191" i="21"/>
  <c r="C257" i="21" s="1"/>
  <c r="C192" i="21"/>
  <c r="C258" i="21" s="1"/>
  <c r="C193" i="21"/>
  <c r="C259" i="21" s="1"/>
  <c r="C194" i="21"/>
  <c r="C260" i="21" s="1"/>
  <c r="C181" i="21"/>
  <c r="C247" i="21" s="1"/>
  <c r="B182" i="21"/>
  <c r="B248" i="21" s="1"/>
  <c r="B183" i="21"/>
  <c r="B249" i="21" s="1"/>
  <c r="B184" i="21"/>
  <c r="B250" i="21" s="1"/>
  <c r="B185" i="21"/>
  <c r="B251" i="21" s="1"/>
  <c r="B186" i="21"/>
  <c r="B252" i="21" s="1"/>
  <c r="B187" i="21"/>
  <c r="B253" i="21" s="1"/>
  <c r="B188" i="21"/>
  <c r="B254" i="21" s="1"/>
  <c r="B189" i="21"/>
  <c r="B255" i="21" s="1"/>
  <c r="B190" i="21"/>
  <c r="B256" i="21" s="1"/>
  <c r="B191" i="21"/>
  <c r="B257" i="21" s="1"/>
  <c r="B192" i="21"/>
  <c r="B258" i="21" s="1"/>
  <c r="B193" i="21"/>
  <c r="B259" i="21" s="1"/>
  <c r="B194" i="21"/>
  <c r="B260" i="21" s="1"/>
  <c r="B195" i="21"/>
  <c r="B261" i="21" s="1"/>
  <c r="B196" i="21"/>
  <c r="B262" i="21" s="1"/>
  <c r="B181" i="21"/>
  <c r="B247" i="21" s="1"/>
  <c r="C146" i="21"/>
  <c r="C147" i="21"/>
  <c r="C148" i="21"/>
  <c r="C149" i="21"/>
  <c r="C150" i="21"/>
  <c r="C151" i="21"/>
  <c r="C152" i="21"/>
  <c r="C153" i="21"/>
  <c r="C154" i="21"/>
  <c r="C155" i="21"/>
  <c r="C156" i="21"/>
  <c r="C157" i="21"/>
  <c r="C158" i="21"/>
  <c r="C159" i="21"/>
  <c r="C160" i="21"/>
  <c r="C145" i="21"/>
  <c r="B146" i="21"/>
  <c r="B147" i="21"/>
  <c r="B148" i="21"/>
  <c r="B149" i="21"/>
  <c r="B150" i="21"/>
  <c r="B151" i="21"/>
  <c r="B152" i="21"/>
  <c r="B153" i="21"/>
  <c r="B154" i="21"/>
  <c r="B155" i="21"/>
  <c r="B156" i="21"/>
  <c r="B157" i="21"/>
  <c r="B158" i="21"/>
  <c r="B159" i="21"/>
  <c r="B160" i="21"/>
  <c r="B145" i="21"/>
  <c r="C75" i="21"/>
  <c r="C129" i="21" s="1"/>
  <c r="C76" i="21"/>
  <c r="C130" i="21" s="1"/>
  <c r="C77" i="21"/>
  <c r="C131" i="21" s="1"/>
  <c r="C78" i="21"/>
  <c r="C132" i="21" s="1"/>
  <c r="C79" i="21"/>
  <c r="C133" i="21" s="1"/>
  <c r="C80" i="21"/>
  <c r="C134" i="21" s="1"/>
  <c r="C81" i="21"/>
  <c r="C135" i="21" s="1"/>
  <c r="C82" i="21"/>
  <c r="C136" i="21" s="1"/>
  <c r="C83" i="21"/>
  <c r="C137" i="21" s="1"/>
  <c r="C84" i="21"/>
  <c r="C138" i="21" s="1"/>
  <c r="C85" i="21"/>
  <c r="C139" i="21" s="1"/>
  <c r="C86" i="21"/>
  <c r="C140" i="21" s="1"/>
  <c r="C87" i="21"/>
  <c r="C141" i="21" s="1"/>
  <c r="C88" i="21"/>
  <c r="C142" i="21" s="1"/>
  <c r="C89" i="21"/>
  <c r="C143" i="21" s="1"/>
  <c r="C74" i="21"/>
  <c r="C128" i="21" s="1"/>
  <c r="A291" i="21" l="1"/>
  <c r="A297" i="21" s="1"/>
  <c r="A35" i="23"/>
  <c r="A292" i="21"/>
  <c r="A298" i="21" s="1"/>
  <c r="A36" i="23"/>
  <c r="A65" i="23"/>
  <c r="A98" i="23" s="1"/>
  <c r="A102" i="23" s="1"/>
  <c r="A176" i="23" s="1"/>
  <c r="A228" i="23" s="1"/>
  <c r="A251" i="23" s="1"/>
  <c r="A281" i="23" s="1"/>
  <c r="A310" i="23" s="1"/>
  <c r="A316" i="23" s="1"/>
  <c r="A323" i="23" s="1"/>
  <c r="A82" i="24"/>
  <c r="A103" i="24" s="1"/>
  <c r="A124" i="24" s="1"/>
  <c r="A290" i="21"/>
  <c r="A296" i="21" s="1"/>
  <c r="C164" i="21"/>
  <c r="C179" i="21"/>
  <c r="C171" i="21"/>
  <c r="C178" i="21"/>
  <c r="C170" i="21"/>
  <c r="C177" i="21"/>
  <c r="C169" i="21"/>
  <c r="C176" i="21"/>
  <c r="C168" i="21"/>
  <c r="C175" i="21"/>
  <c r="C167" i="21"/>
  <c r="C174" i="21"/>
  <c r="C166" i="21"/>
  <c r="C173" i="21"/>
  <c r="C165" i="21"/>
  <c r="C172" i="21"/>
  <c r="A67" i="23" l="1"/>
  <c r="A100" i="23" s="1"/>
  <c r="A104" i="23" s="1"/>
  <c r="A178" i="23" s="1"/>
  <c r="A230" i="23" s="1"/>
  <c r="A253" i="23" s="1"/>
  <c r="A283" i="23" s="1"/>
  <c r="A312" i="23" s="1"/>
  <c r="A318" i="23" s="1"/>
  <c r="A325" i="23" s="1"/>
  <c r="A84" i="24"/>
  <c r="A105" i="24" s="1"/>
  <c r="A126" i="24" s="1"/>
  <c r="A66" i="23"/>
  <c r="A99" i="23" s="1"/>
  <c r="A103" i="23" s="1"/>
  <c r="A177" i="23" s="1"/>
  <c r="A229" i="23" s="1"/>
  <c r="A252" i="23" s="1"/>
  <c r="A282" i="23" s="1"/>
  <c r="A311" i="23" s="1"/>
  <c r="A317" i="23" s="1"/>
  <c r="A324" i="23" s="1"/>
  <c r="A83" i="24"/>
  <c r="A104" i="24" s="1"/>
  <c r="A125" i="24" s="1"/>
  <c r="A128" i="24"/>
  <c r="A173" i="24"/>
  <c r="A194" i="24" s="1"/>
  <c r="A215" i="24" s="1"/>
  <c r="A219" i="24" s="1"/>
  <c r="A278" i="24" s="1"/>
  <c r="A310" i="24" s="1"/>
  <c r="A317" i="24" s="1"/>
  <c r="C231" i="21"/>
  <c r="C42" i="24"/>
  <c r="C195" i="23"/>
  <c r="C239" i="21"/>
  <c r="C203" i="23"/>
  <c r="C50" i="24"/>
  <c r="C236" i="21"/>
  <c r="C200" i="23"/>
  <c r="C47" i="24"/>
  <c r="C234" i="21"/>
  <c r="C45" i="24"/>
  <c r="C198" i="23"/>
  <c r="C235" i="21"/>
  <c r="C199" i="23"/>
  <c r="C46" i="24"/>
  <c r="C243" i="21"/>
  <c r="C207" i="23"/>
  <c r="C54" i="24"/>
  <c r="C232" i="21"/>
  <c r="C196" i="23"/>
  <c r="C43" i="24"/>
  <c r="C240" i="21"/>
  <c r="C204" i="23"/>
  <c r="C51" i="24"/>
  <c r="C244" i="21"/>
  <c r="C208" i="23"/>
  <c r="C55" i="24"/>
  <c r="C233" i="21"/>
  <c r="C44" i="24"/>
  <c r="C197" i="23"/>
  <c r="C237" i="21"/>
  <c r="C48" i="24"/>
  <c r="C201" i="23"/>
  <c r="C241" i="21"/>
  <c r="C52" i="24"/>
  <c r="C205" i="23"/>
  <c r="C245" i="21"/>
  <c r="C209" i="23"/>
  <c r="C56" i="24"/>
  <c r="C230" i="21"/>
  <c r="C41" i="24"/>
  <c r="C66" i="24" s="1"/>
  <c r="C194" i="23"/>
  <c r="C238" i="21"/>
  <c r="C202" i="23"/>
  <c r="C49" i="24"/>
  <c r="C242" i="21"/>
  <c r="C53" i="24"/>
  <c r="C206" i="23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20" i="21"/>
  <c r="A32" i="21"/>
  <c r="A49" i="21" s="1"/>
  <c r="A68" i="21" s="1"/>
  <c r="A86" i="21" s="1"/>
  <c r="A103" i="21" s="1"/>
  <c r="A140" i="21" s="1"/>
  <c r="A157" i="21" s="1"/>
  <c r="A176" i="21" s="1"/>
  <c r="A193" i="21" s="1"/>
  <c r="A211" i="21" s="1"/>
  <c r="A242" i="21" s="1"/>
  <c r="A259" i="21" s="1"/>
  <c r="A280" i="21" s="1"/>
  <c r="A27" i="23" s="1"/>
  <c r="A33" i="21"/>
  <c r="A50" i="21" s="1"/>
  <c r="A69" i="21" s="1"/>
  <c r="A87" i="21" s="1"/>
  <c r="A104" i="21" s="1"/>
  <c r="A141" i="21" s="1"/>
  <c r="A158" i="21" s="1"/>
  <c r="A177" i="21" s="1"/>
  <c r="A194" i="21" s="1"/>
  <c r="A212" i="21" s="1"/>
  <c r="A243" i="21" s="1"/>
  <c r="A260" i="21" s="1"/>
  <c r="A281" i="21" s="1"/>
  <c r="A28" i="23" s="1"/>
  <c r="A34" i="21"/>
  <c r="A51" i="21" s="1"/>
  <c r="A70" i="21" s="1"/>
  <c r="A88" i="21" s="1"/>
  <c r="A105" i="21" s="1"/>
  <c r="A142" i="21" s="1"/>
  <c r="A159" i="21" s="1"/>
  <c r="A178" i="21" s="1"/>
  <c r="A195" i="21" s="1"/>
  <c r="A213" i="21" s="1"/>
  <c r="A244" i="21" s="1"/>
  <c r="A261" i="21" s="1"/>
  <c r="A282" i="21" s="1"/>
  <c r="A29" i="23" s="1"/>
  <c r="A35" i="21"/>
  <c r="A52" i="21" s="1"/>
  <c r="A71" i="21" s="1"/>
  <c r="A89" i="21" s="1"/>
  <c r="A106" i="21" s="1"/>
  <c r="A143" i="21" s="1"/>
  <c r="A160" i="21" s="1"/>
  <c r="A179" i="21" s="1"/>
  <c r="A196" i="21" s="1"/>
  <c r="A214" i="21" s="1"/>
  <c r="A245" i="21" s="1"/>
  <c r="A262" i="21" s="1"/>
  <c r="A283" i="21" s="1"/>
  <c r="A30" i="23" s="1"/>
  <c r="A21" i="21"/>
  <c r="A38" i="21" s="1"/>
  <c r="A57" i="21" s="1"/>
  <c r="A75" i="21" s="1"/>
  <c r="A92" i="21" s="1"/>
  <c r="A129" i="21" s="1"/>
  <c r="A146" i="21" s="1"/>
  <c r="A165" i="21" s="1"/>
  <c r="A182" i="21" s="1"/>
  <c r="A200" i="21" s="1"/>
  <c r="A231" i="21" s="1"/>
  <c r="A248" i="21" s="1"/>
  <c r="A269" i="21" s="1"/>
  <c r="A16" i="23" s="1"/>
  <c r="A22" i="21"/>
  <c r="A39" i="21" s="1"/>
  <c r="A58" i="21" s="1"/>
  <c r="A76" i="21" s="1"/>
  <c r="A93" i="21" s="1"/>
  <c r="A130" i="21" s="1"/>
  <c r="A147" i="21" s="1"/>
  <c r="A166" i="21" s="1"/>
  <c r="A183" i="21" s="1"/>
  <c r="A201" i="21" s="1"/>
  <c r="A232" i="21" s="1"/>
  <c r="A249" i="21" s="1"/>
  <c r="A270" i="21" s="1"/>
  <c r="A17" i="23" s="1"/>
  <c r="A23" i="21"/>
  <c r="A40" i="21" s="1"/>
  <c r="A59" i="21" s="1"/>
  <c r="A77" i="21" s="1"/>
  <c r="A94" i="21" s="1"/>
  <c r="A131" i="21" s="1"/>
  <c r="A148" i="21" s="1"/>
  <c r="A167" i="21" s="1"/>
  <c r="A184" i="21" s="1"/>
  <c r="A202" i="21" s="1"/>
  <c r="A233" i="21" s="1"/>
  <c r="A250" i="21" s="1"/>
  <c r="A271" i="21" s="1"/>
  <c r="A18" i="23" s="1"/>
  <c r="A24" i="21"/>
  <c r="A41" i="21" s="1"/>
  <c r="A60" i="21" s="1"/>
  <c r="A78" i="21" s="1"/>
  <c r="A95" i="21" s="1"/>
  <c r="A132" i="21" s="1"/>
  <c r="A149" i="21" s="1"/>
  <c r="A168" i="21" s="1"/>
  <c r="A185" i="21" s="1"/>
  <c r="A203" i="21" s="1"/>
  <c r="A234" i="21" s="1"/>
  <c r="A251" i="21" s="1"/>
  <c r="A272" i="21" s="1"/>
  <c r="A19" i="23" s="1"/>
  <c r="A25" i="21"/>
  <c r="A42" i="21" s="1"/>
  <c r="A61" i="21" s="1"/>
  <c r="A79" i="21" s="1"/>
  <c r="A96" i="21" s="1"/>
  <c r="A133" i="21" s="1"/>
  <c r="A150" i="21" s="1"/>
  <c r="A169" i="21" s="1"/>
  <c r="A186" i="21" s="1"/>
  <c r="A204" i="21" s="1"/>
  <c r="A235" i="21" s="1"/>
  <c r="A252" i="21" s="1"/>
  <c r="A273" i="21" s="1"/>
  <c r="A20" i="23" s="1"/>
  <c r="A26" i="21"/>
  <c r="A43" i="21" s="1"/>
  <c r="A62" i="21" s="1"/>
  <c r="A80" i="21" s="1"/>
  <c r="A97" i="21" s="1"/>
  <c r="A134" i="21" s="1"/>
  <c r="A151" i="21" s="1"/>
  <c r="A170" i="21" s="1"/>
  <c r="A187" i="21" s="1"/>
  <c r="A205" i="21" s="1"/>
  <c r="A236" i="21" s="1"/>
  <c r="A253" i="21" s="1"/>
  <c r="A274" i="21" s="1"/>
  <c r="A21" i="23" s="1"/>
  <c r="A27" i="21"/>
  <c r="A44" i="21" s="1"/>
  <c r="A63" i="21" s="1"/>
  <c r="A81" i="21" s="1"/>
  <c r="A98" i="21" s="1"/>
  <c r="A135" i="21" s="1"/>
  <c r="A152" i="21" s="1"/>
  <c r="A171" i="21" s="1"/>
  <c r="A188" i="21" s="1"/>
  <c r="A206" i="21" s="1"/>
  <c r="A237" i="21" s="1"/>
  <c r="A254" i="21" s="1"/>
  <c r="A275" i="21" s="1"/>
  <c r="A22" i="23" s="1"/>
  <c r="A28" i="21"/>
  <c r="A45" i="21" s="1"/>
  <c r="A64" i="21" s="1"/>
  <c r="A82" i="21" s="1"/>
  <c r="A99" i="21" s="1"/>
  <c r="A136" i="21" s="1"/>
  <c r="A153" i="21" s="1"/>
  <c r="A172" i="21" s="1"/>
  <c r="A189" i="21" s="1"/>
  <c r="A207" i="21" s="1"/>
  <c r="A238" i="21" s="1"/>
  <c r="A255" i="21" s="1"/>
  <c r="A276" i="21" s="1"/>
  <c r="A23" i="23" s="1"/>
  <c r="A29" i="21"/>
  <c r="A46" i="21" s="1"/>
  <c r="A65" i="21" s="1"/>
  <c r="A83" i="21" s="1"/>
  <c r="A100" i="21" s="1"/>
  <c r="A137" i="21" s="1"/>
  <c r="A154" i="21" s="1"/>
  <c r="A173" i="21" s="1"/>
  <c r="A190" i="21" s="1"/>
  <c r="A208" i="21" s="1"/>
  <c r="A239" i="21" s="1"/>
  <c r="A256" i="21" s="1"/>
  <c r="A277" i="21" s="1"/>
  <c r="A24" i="23" s="1"/>
  <c r="A30" i="21"/>
  <c r="A47" i="21" s="1"/>
  <c r="A66" i="21" s="1"/>
  <c r="A84" i="21" s="1"/>
  <c r="A101" i="21" s="1"/>
  <c r="A138" i="21" s="1"/>
  <c r="A155" i="21" s="1"/>
  <c r="A174" i="21" s="1"/>
  <c r="A191" i="21" s="1"/>
  <c r="A209" i="21" s="1"/>
  <c r="A240" i="21" s="1"/>
  <c r="A257" i="21" s="1"/>
  <c r="A278" i="21" s="1"/>
  <c r="A25" i="23" s="1"/>
  <c r="A31" i="21"/>
  <c r="A48" i="21" s="1"/>
  <c r="A67" i="21" s="1"/>
  <c r="A85" i="21" s="1"/>
  <c r="A102" i="21" s="1"/>
  <c r="A139" i="21" s="1"/>
  <c r="A156" i="21" s="1"/>
  <c r="A175" i="21" s="1"/>
  <c r="A192" i="21" s="1"/>
  <c r="A210" i="21" s="1"/>
  <c r="A241" i="21" s="1"/>
  <c r="A258" i="21" s="1"/>
  <c r="A279" i="21" s="1"/>
  <c r="A26" i="23" s="1"/>
  <c r="A20" i="21"/>
  <c r="A37" i="21" s="1"/>
  <c r="A56" i="21" s="1"/>
  <c r="A74" i="21" s="1"/>
  <c r="A91" i="21" s="1"/>
  <c r="A128" i="21" s="1"/>
  <c r="A145" i="21" s="1"/>
  <c r="A164" i="21" s="1"/>
  <c r="A181" i="21" s="1"/>
  <c r="A199" i="21" s="1"/>
  <c r="A230" i="21" s="1"/>
  <c r="A247" i="21" s="1"/>
  <c r="A268" i="21" s="1"/>
  <c r="A15" i="23" s="1"/>
  <c r="A129" i="24" l="1"/>
  <c r="A174" i="24"/>
  <c r="A195" i="24" s="1"/>
  <c r="A216" i="24" s="1"/>
  <c r="A220" i="24" s="1"/>
  <c r="A279" i="24" s="1"/>
  <c r="A311" i="24" s="1"/>
  <c r="A318" i="24" s="1"/>
  <c r="A130" i="24"/>
  <c r="A175" i="24"/>
  <c r="A196" i="24" s="1"/>
  <c r="A217" i="24" s="1"/>
  <c r="A221" i="24" s="1"/>
  <c r="A280" i="24" s="1"/>
  <c r="A312" i="24" s="1"/>
  <c r="A319" i="24" s="1"/>
  <c r="A325" i="24"/>
  <c r="A329" i="24" s="1"/>
  <c r="A338" i="24" s="1"/>
  <c r="A321" i="24"/>
  <c r="A48" i="23"/>
  <c r="A80" i="23" s="1"/>
  <c r="A125" i="23" s="1"/>
  <c r="A142" i="23" s="1"/>
  <c r="A160" i="23" s="1"/>
  <c r="A194" i="23" s="1"/>
  <c r="A212" i="23" s="1"/>
  <c r="A235" i="23" s="1"/>
  <c r="A265" i="23" s="1"/>
  <c r="A294" i="23" s="1"/>
  <c r="A24" i="24"/>
  <c r="A41" i="24" s="1"/>
  <c r="A66" i="24" s="1"/>
  <c r="A87" i="24" s="1"/>
  <c r="A108" i="24" s="1"/>
  <c r="A157" i="24" s="1"/>
  <c r="A178" i="24" s="1"/>
  <c r="A199" i="24" s="1"/>
  <c r="A242" i="24" s="1"/>
  <c r="A262" i="24" s="1"/>
  <c r="A294" i="24" s="1"/>
  <c r="A51" i="23"/>
  <c r="A83" i="23" s="1"/>
  <c r="A128" i="23" s="1"/>
  <c r="A145" i="23" s="1"/>
  <c r="A163" i="23" s="1"/>
  <c r="A197" i="23" s="1"/>
  <c r="A215" i="23" s="1"/>
  <c r="A238" i="23" s="1"/>
  <c r="A268" i="23" s="1"/>
  <c r="A297" i="23" s="1"/>
  <c r="A27" i="24"/>
  <c r="A44" i="24" s="1"/>
  <c r="A69" i="24" s="1"/>
  <c r="A90" i="24" s="1"/>
  <c r="A111" i="24" s="1"/>
  <c r="A160" i="24" s="1"/>
  <c r="A181" i="24" s="1"/>
  <c r="A202" i="24" s="1"/>
  <c r="A245" i="24" s="1"/>
  <c r="A265" i="24" s="1"/>
  <c r="A297" i="24" s="1"/>
  <c r="A50" i="23"/>
  <c r="A82" i="23" s="1"/>
  <c r="A127" i="23" s="1"/>
  <c r="A144" i="23" s="1"/>
  <c r="A162" i="23" s="1"/>
  <c r="A196" i="23" s="1"/>
  <c r="A214" i="23" s="1"/>
  <c r="A237" i="23" s="1"/>
  <c r="A267" i="23" s="1"/>
  <c r="A296" i="23" s="1"/>
  <c r="A26" i="24"/>
  <c r="A43" i="24" s="1"/>
  <c r="A68" i="24" s="1"/>
  <c r="A89" i="24" s="1"/>
  <c r="A110" i="24" s="1"/>
  <c r="A159" i="24" s="1"/>
  <c r="A180" i="24" s="1"/>
  <c r="A201" i="24" s="1"/>
  <c r="A244" i="24" s="1"/>
  <c r="A264" i="24" s="1"/>
  <c r="A296" i="24" s="1"/>
  <c r="A49" i="23"/>
  <c r="A81" i="23" s="1"/>
  <c r="A126" i="23" s="1"/>
  <c r="A143" i="23" s="1"/>
  <c r="A161" i="23" s="1"/>
  <c r="A195" i="23" s="1"/>
  <c r="A213" i="23" s="1"/>
  <c r="A236" i="23" s="1"/>
  <c r="A266" i="23" s="1"/>
  <c r="A295" i="23" s="1"/>
  <c r="A25" i="24"/>
  <c r="A42" i="24" s="1"/>
  <c r="A67" i="24" s="1"/>
  <c r="A88" i="24" s="1"/>
  <c r="A109" i="24" s="1"/>
  <c r="A158" i="24" s="1"/>
  <c r="A179" i="24" s="1"/>
  <c r="A200" i="24" s="1"/>
  <c r="A243" i="24" s="1"/>
  <c r="A263" i="24" s="1"/>
  <c r="A295" i="24" s="1"/>
  <c r="A55" i="23"/>
  <c r="A87" i="23" s="1"/>
  <c r="A132" i="23" s="1"/>
  <c r="A149" i="23" s="1"/>
  <c r="A167" i="23" s="1"/>
  <c r="A201" i="23" s="1"/>
  <c r="A219" i="23" s="1"/>
  <c r="A242" i="23" s="1"/>
  <c r="A272" i="23" s="1"/>
  <c r="A301" i="23" s="1"/>
  <c r="A31" i="24"/>
  <c r="A48" i="24" s="1"/>
  <c r="A73" i="24" s="1"/>
  <c r="A94" i="24" s="1"/>
  <c r="A115" i="24" s="1"/>
  <c r="A164" i="24" s="1"/>
  <c r="A185" i="24" s="1"/>
  <c r="A206" i="24" s="1"/>
  <c r="A249" i="24" s="1"/>
  <c r="A269" i="24" s="1"/>
  <c r="A301" i="24" s="1"/>
  <c r="A54" i="23"/>
  <c r="A86" i="23" s="1"/>
  <c r="A131" i="23" s="1"/>
  <c r="A148" i="23" s="1"/>
  <c r="A166" i="23" s="1"/>
  <c r="A200" i="23" s="1"/>
  <c r="A218" i="23" s="1"/>
  <c r="A241" i="23" s="1"/>
  <c r="A271" i="23" s="1"/>
  <c r="A300" i="23" s="1"/>
  <c r="A30" i="24"/>
  <c r="A47" i="24" s="1"/>
  <c r="A72" i="24" s="1"/>
  <c r="A93" i="24" s="1"/>
  <c r="A114" i="24" s="1"/>
  <c r="A163" i="24" s="1"/>
  <c r="A184" i="24" s="1"/>
  <c r="A205" i="24" s="1"/>
  <c r="A248" i="24" s="1"/>
  <c r="A268" i="24" s="1"/>
  <c r="A300" i="24" s="1"/>
  <c r="A52" i="23"/>
  <c r="A84" i="23" s="1"/>
  <c r="A129" i="23" s="1"/>
  <c r="A146" i="23" s="1"/>
  <c r="A164" i="23" s="1"/>
  <c r="A198" i="23" s="1"/>
  <c r="A216" i="23" s="1"/>
  <c r="A239" i="23" s="1"/>
  <c r="A269" i="23" s="1"/>
  <c r="A298" i="23" s="1"/>
  <c r="A28" i="24"/>
  <c r="A45" i="24" s="1"/>
  <c r="A70" i="24" s="1"/>
  <c r="A91" i="24" s="1"/>
  <c r="A112" i="24" s="1"/>
  <c r="A161" i="24" s="1"/>
  <c r="A182" i="24" s="1"/>
  <c r="A203" i="24" s="1"/>
  <c r="A246" i="24" s="1"/>
  <c r="A266" i="24" s="1"/>
  <c r="A298" i="24" s="1"/>
  <c r="A53" i="23"/>
  <c r="A85" i="23" s="1"/>
  <c r="A130" i="23" s="1"/>
  <c r="A147" i="23" s="1"/>
  <c r="A165" i="23" s="1"/>
  <c r="A199" i="23" s="1"/>
  <c r="A217" i="23" s="1"/>
  <c r="A240" i="23" s="1"/>
  <c r="A270" i="23" s="1"/>
  <c r="A299" i="23" s="1"/>
  <c r="A29" i="24"/>
  <c r="A46" i="24" s="1"/>
  <c r="A71" i="24" s="1"/>
  <c r="A92" i="24" s="1"/>
  <c r="A113" i="24" s="1"/>
  <c r="A162" i="24" s="1"/>
  <c r="A183" i="24" s="1"/>
  <c r="A204" i="24" s="1"/>
  <c r="A247" i="24" s="1"/>
  <c r="A267" i="24" s="1"/>
  <c r="A299" i="24" s="1"/>
  <c r="A60" i="23"/>
  <c r="A92" i="23" s="1"/>
  <c r="A137" i="23" s="1"/>
  <c r="A154" i="23" s="1"/>
  <c r="A172" i="23" s="1"/>
  <c r="A206" i="23" s="1"/>
  <c r="A224" i="23" s="1"/>
  <c r="A247" i="23" s="1"/>
  <c r="A277" i="23" s="1"/>
  <c r="A306" i="23" s="1"/>
  <c r="A36" i="24"/>
  <c r="A53" i="24" s="1"/>
  <c r="A78" i="24" s="1"/>
  <c r="A99" i="24" s="1"/>
  <c r="A120" i="24" s="1"/>
  <c r="A169" i="24" s="1"/>
  <c r="A190" i="24" s="1"/>
  <c r="A211" i="24" s="1"/>
  <c r="A254" i="24" s="1"/>
  <c r="A274" i="24" s="1"/>
  <c r="A306" i="24" s="1"/>
  <c r="A59" i="23"/>
  <c r="A91" i="23" s="1"/>
  <c r="A136" i="23" s="1"/>
  <c r="A153" i="23" s="1"/>
  <c r="A171" i="23" s="1"/>
  <c r="A205" i="23" s="1"/>
  <c r="A223" i="23" s="1"/>
  <c r="A246" i="23" s="1"/>
  <c r="A276" i="23" s="1"/>
  <c r="A305" i="23" s="1"/>
  <c r="A35" i="24"/>
  <c r="A52" i="24" s="1"/>
  <c r="A77" i="24" s="1"/>
  <c r="A98" i="24" s="1"/>
  <c r="A119" i="24" s="1"/>
  <c r="A168" i="24" s="1"/>
  <c r="A189" i="24" s="1"/>
  <c r="A210" i="24" s="1"/>
  <c r="A253" i="24" s="1"/>
  <c r="A273" i="24" s="1"/>
  <c r="A305" i="24" s="1"/>
  <c r="A61" i="23"/>
  <c r="A93" i="23" s="1"/>
  <c r="A138" i="23" s="1"/>
  <c r="A155" i="23" s="1"/>
  <c r="A173" i="23" s="1"/>
  <c r="A207" i="23" s="1"/>
  <c r="A225" i="23" s="1"/>
  <c r="A248" i="23" s="1"/>
  <c r="A278" i="23" s="1"/>
  <c r="A307" i="23" s="1"/>
  <c r="A37" i="24"/>
  <c r="A54" i="24" s="1"/>
  <c r="A79" i="24" s="1"/>
  <c r="A100" i="24" s="1"/>
  <c r="A121" i="24" s="1"/>
  <c r="A170" i="24" s="1"/>
  <c r="A191" i="24" s="1"/>
  <c r="A212" i="24" s="1"/>
  <c r="A255" i="24" s="1"/>
  <c r="A275" i="24" s="1"/>
  <c r="A307" i="24" s="1"/>
  <c r="A57" i="23"/>
  <c r="A89" i="23" s="1"/>
  <c r="A134" i="23" s="1"/>
  <c r="A151" i="23" s="1"/>
  <c r="A169" i="23" s="1"/>
  <c r="A203" i="23" s="1"/>
  <c r="A221" i="23" s="1"/>
  <c r="A244" i="23" s="1"/>
  <c r="A274" i="23" s="1"/>
  <c r="A303" i="23" s="1"/>
  <c r="A33" i="24"/>
  <c r="A50" i="24" s="1"/>
  <c r="A75" i="24" s="1"/>
  <c r="A96" i="24" s="1"/>
  <c r="A117" i="24" s="1"/>
  <c r="A166" i="24" s="1"/>
  <c r="A187" i="24" s="1"/>
  <c r="A208" i="24" s="1"/>
  <c r="A251" i="24" s="1"/>
  <c r="A271" i="24" s="1"/>
  <c r="A303" i="24" s="1"/>
  <c r="A56" i="23"/>
  <c r="A88" i="23" s="1"/>
  <c r="A133" i="23" s="1"/>
  <c r="A150" i="23" s="1"/>
  <c r="A168" i="23" s="1"/>
  <c r="A202" i="23" s="1"/>
  <c r="A220" i="23" s="1"/>
  <c r="A243" i="23" s="1"/>
  <c r="A273" i="23" s="1"/>
  <c r="A302" i="23" s="1"/>
  <c r="A32" i="24"/>
  <c r="A49" i="24" s="1"/>
  <c r="A74" i="24" s="1"/>
  <c r="A95" i="24" s="1"/>
  <c r="A116" i="24" s="1"/>
  <c r="A165" i="24" s="1"/>
  <c r="A186" i="24" s="1"/>
  <c r="A207" i="24" s="1"/>
  <c r="A250" i="24" s="1"/>
  <c r="A270" i="24" s="1"/>
  <c r="A302" i="24" s="1"/>
  <c r="A63" i="23"/>
  <c r="A95" i="23" s="1"/>
  <c r="A140" i="23" s="1"/>
  <c r="A157" i="23" s="1"/>
  <c r="A175" i="23" s="1"/>
  <c r="A209" i="23" s="1"/>
  <c r="A227" i="23" s="1"/>
  <c r="A250" i="23" s="1"/>
  <c r="A280" i="23" s="1"/>
  <c r="A309" i="23" s="1"/>
  <c r="A39" i="24"/>
  <c r="A56" i="24" s="1"/>
  <c r="A81" i="24" s="1"/>
  <c r="A102" i="24" s="1"/>
  <c r="A123" i="24" s="1"/>
  <c r="A172" i="24" s="1"/>
  <c r="A193" i="24" s="1"/>
  <c r="A214" i="24" s="1"/>
  <c r="A257" i="24" s="1"/>
  <c r="A277" i="24" s="1"/>
  <c r="A309" i="24" s="1"/>
  <c r="A58" i="23"/>
  <c r="A90" i="23" s="1"/>
  <c r="A135" i="23" s="1"/>
  <c r="A152" i="23" s="1"/>
  <c r="A170" i="23" s="1"/>
  <c r="A204" i="23" s="1"/>
  <c r="A222" i="23" s="1"/>
  <c r="A245" i="23" s="1"/>
  <c r="A275" i="23" s="1"/>
  <c r="A304" i="23" s="1"/>
  <c r="A34" i="24"/>
  <c r="A51" i="24" s="1"/>
  <c r="A76" i="24" s="1"/>
  <c r="A97" i="24" s="1"/>
  <c r="A118" i="24" s="1"/>
  <c r="A167" i="24" s="1"/>
  <c r="A188" i="24" s="1"/>
  <c r="A209" i="24" s="1"/>
  <c r="A252" i="24" s="1"/>
  <c r="A272" i="24" s="1"/>
  <c r="A304" i="24" s="1"/>
  <c r="A62" i="23"/>
  <c r="A94" i="23" s="1"/>
  <c r="A139" i="23" s="1"/>
  <c r="A156" i="23" s="1"/>
  <c r="A174" i="23" s="1"/>
  <c r="A208" i="23" s="1"/>
  <c r="A226" i="23" s="1"/>
  <c r="A249" i="23" s="1"/>
  <c r="A279" i="23" s="1"/>
  <c r="A308" i="23" s="1"/>
  <c r="A38" i="24"/>
  <c r="A55" i="24" s="1"/>
  <c r="A80" i="24" s="1"/>
  <c r="A101" i="24" s="1"/>
  <c r="A122" i="24" s="1"/>
  <c r="A171" i="24" s="1"/>
  <c r="A192" i="24" s="1"/>
  <c r="A213" i="24" s="1"/>
  <c r="A256" i="24" s="1"/>
  <c r="A276" i="24" s="1"/>
  <c r="A308" i="24" s="1"/>
  <c r="C115" i="24"/>
  <c r="C94" i="24"/>
  <c r="C73" i="24"/>
  <c r="C97" i="24"/>
  <c r="C76" i="24"/>
  <c r="C118" i="24"/>
  <c r="C78" i="24"/>
  <c r="C99" i="24"/>
  <c r="C120" i="24"/>
  <c r="C123" i="24"/>
  <c r="C102" i="24"/>
  <c r="C81" i="24"/>
  <c r="C71" i="24"/>
  <c r="C92" i="24"/>
  <c r="C117" i="24"/>
  <c r="C75" i="24"/>
  <c r="C96" i="24"/>
  <c r="C116" i="24"/>
  <c r="C74" i="24"/>
  <c r="C95" i="24"/>
  <c r="C119" i="24"/>
  <c r="C98" i="24"/>
  <c r="C77" i="24"/>
  <c r="C80" i="24"/>
  <c r="C101" i="24"/>
  <c r="C122" i="24"/>
  <c r="C112" i="24"/>
  <c r="C70" i="24"/>
  <c r="C89" i="24"/>
  <c r="C110" i="24"/>
  <c r="C100" i="24"/>
  <c r="C121" i="24"/>
  <c r="C79" i="24"/>
  <c r="C109" i="24"/>
  <c r="C88" i="24"/>
  <c r="C67" i="24"/>
  <c r="C111" i="24"/>
  <c r="C69" i="24"/>
  <c r="C90" i="24"/>
  <c r="C108" i="24"/>
  <c r="C87" i="24"/>
  <c r="C93" i="24"/>
  <c r="C72" i="24"/>
  <c r="C114" i="24"/>
  <c r="A46" i="8"/>
  <c r="A31" i="8"/>
  <c r="A53" i="8" s="1"/>
  <c r="A32" i="8"/>
  <c r="A54" i="8" s="1"/>
  <c r="A33" i="8"/>
  <c r="A55" i="8" s="1"/>
  <c r="A34" i="8"/>
  <c r="A56" i="8" s="1"/>
  <c r="A35" i="8"/>
  <c r="A57" i="8" s="1"/>
  <c r="A36" i="8"/>
  <c r="A58" i="8" s="1"/>
  <c r="A37" i="8"/>
  <c r="A59" i="8" s="1"/>
  <c r="A38" i="8"/>
  <c r="A60" i="8" s="1"/>
  <c r="A39" i="8"/>
  <c r="A61" i="8" s="1"/>
  <c r="A40" i="8"/>
  <c r="A62" i="8" s="1"/>
  <c r="A26" i="8"/>
  <c r="A48" i="8" s="1"/>
  <c r="A27" i="8"/>
  <c r="A49" i="8" s="1"/>
  <c r="A28" i="8"/>
  <c r="A50" i="8" s="1"/>
  <c r="A29" i="8"/>
  <c r="A51" i="8" s="1"/>
  <c r="A30" i="8"/>
  <c r="A52" i="8" s="1"/>
  <c r="A47" i="8"/>
  <c r="C12" i="20"/>
  <c r="C20" i="20" s="1"/>
  <c r="C13" i="20"/>
  <c r="C21" i="20" s="1"/>
  <c r="C14" i="20"/>
  <c r="C22" i="20" s="1"/>
  <c r="C11" i="20"/>
  <c r="C19" i="20" s="1"/>
  <c r="B78" i="23"/>
  <c r="B77" i="23"/>
  <c r="B45" i="23"/>
  <c r="B44" i="23"/>
  <c r="C122" i="23"/>
  <c r="B122" i="23"/>
  <c r="B238" i="24"/>
  <c r="B237" i="24"/>
  <c r="C64" i="24"/>
  <c r="B64" i="24"/>
  <c r="B63" i="24"/>
  <c r="B292" i="23"/>
  <c r="B291" i="23"/>
  <c r="B118" i="23"/>
  <c r="B117" i="23"/>
  <c r="C351" i="24"/>
  <c r="C22" i="24" s="1"/>
  <c r="B351" i="24"/>
  <c r="B22" i="24" s="1"/>
  <c r="C287" i="24"/>
  <c r="B287" i="24"/>
  <c r="C260" i="24"/>
  <c r="C239" i="24"/>
  <c r="B239" i="24"/>
  <c r="C149" i="24"/>
  <c r="C199" i="24" s="1"/>
  <c r="C288" i="23"/>
  <c r="C294" i="23" s="1"/>
  <c r="C261" i="23"/>
  <c r="C265" i="23" s="1"/>
  <c r="C260" i="23"/>
  <c r="B260" i="23"/>
  <c r="C210" i="23"/>
  <c r="D124" i="23"/>
  <c r="C123" i="23"/>
  <c r="B123" i="23"/>
  <c r="C119" i="23"/>
  <c r="B119" i="23"/>
  <c r="C266" i="21"/>
  <c r="B266" i="21"/>
  <c r="D197" i="21"/>
  <c r="D263" i="21" s="1"/>
  <c r="C197" i="21"/>
  <c r="C263" i="21" s="1"/>
  <c r="B197" i="21"/>
  <c r="E180" i="21"/>
  <c r="E246" i="21" s="1"/>
  <c r="D180" i="21"/>
  <c r="D246" i="21" s="1"/>
  <c r="E144" i="21"/>
  <c r="B126" i="21"/>
  <c r="B128" i="21" s="1"/>
  <c r="C124" i="21"/>
  <c r="C226" i="21" s="1"/>
  <c r="B124" i="21"/>
  <c r="B226" i="21" s="1"/>
  <c r="E54" i="21"/>
  <c r="C53" i="21"/>
  <c r="B53" i="21"/>
  <c r="B58" i="21" s="1"/>
  <c r="C17" i="21"/>
  <c r="G47" i="8"/>
  <c r="B39" i="24"/>
  <c r="L63" i="8"/>
  <c r="C63" i="8"/>
  <c r="B66" i="23" l="1"/>
  <c r="C66" i="21"/>
  <c r="C152" i="23" s="1"/>
  <c r="C56" i="21"/>
  <c r="A327" i="24"/>
  <c r="A331" i="24" s="1"/>
  <c r="A340" i="24" s="1"/>
  <c r="A323" i="24"/>
  <c r="A326" i="24"/>
  <c r="A330" i="24" s="1"/>
  <c r="A339" i="24" s="1"/>
  <c r="A322" i="24"/>
  <c r="D14" i="20"/>
  <c r="D13" i="20"/>
  <c r="J47" i="8"/>
  <c r="M47" i="8" s="1"/>
  <c r="C252" i="24"/>
  <c r="B244" i="24"/>
  <c r="B264" i="24" s="1"/>
  <c r="B144" i="23"/>
  <c r="B162" i="23" s="1"/>
  <c r="B285" i="24"/>
  <c r="C238" i="24"/>
  <c r="C203" i="24"/>
  <c r="C211" i="24"/>
  <c r="C201" i="24"/>
  <c r="C204" i="24"/>
  <c r="C212" i="24"/>
  <c r="C205" i="24"/>
  <c r="C213" i="24"/>
  <c r="C208" i="24"/>
  <c r="C209" i="24"/>
  <c r="C202" i="24"/>
  <c r="C206" i="24"/>
  <c r="C214" i="24"/>
  <c r="C207" i="24"/>
  <c r="C200" i="24"/>
  <c r="C210" i="24"/>
  <c r="C162" i="24"/>
  <c r="C170" i="24"/>
  <c r="C183" i="24"/>
  <c r="C191" i="24"/>
  <c r="C163" i="24"/>
  <c r="C171" i="24"/>
  <c r="C184" i="24"/>
  <c r="C192" i="24"/>
  <c r="C164" i="24"/>
  <c r="C172" i="24"/>
  <c r="C185" i="24"/>
  <c r="C193" i="24"/>
  <c r="C165" i="24"/>
  <c r="C157" i="24"/>
  <c r="C186" i="24"/>
  <c r="C178" i="24"/>
  <c r="C158" i="24"/>
  <c r="C166" i="24"/>
  <c r="C179" i="24"/>
  <c r="C187" i="24"/>
  <c r="C159" i="24"/>
  <c r="C167" i="24"/>
  <c r="C180" i="24"/>
  <c r="C188" i="24"/>
  <c r="C160" i="24"/>
  <c r="C168" i="24"/>
  <c r="C181" i="24"/>
  <c r="C189" i="24"/>
  <c r="C161" i="24"/>
  <c r="C169" i="24"/>
  <c r="C182" i="24"/>
  <c r="C190" i="24"/>
  <c r="C63" i="24"/>
  <c r="C292" i="23"/>
  <c r="C291" i="23"/>
  <c r="C216" i="23"/>
  <c r="C224" i="23"/>
  <c r="C225" i="23"/>
  <c r="C227" i="23"/>
  <c r="C215" i="23"/>
  <c r="C221" i="23"/>
  <c r="C219" i="23"/>
  <c r="C217" i="23"/>
  <c r="C223" i="23"/>
  <c r="C213" i="23"/>
  <c r="C222" i="23"/>
  <c r="C220" i="23"/>
  <c r="C214" i="23"/>
  <c r="C226" i="23"/>
  <c r="C218" i="23"/>
  <c r="C212" i="23"/>
  <c r="C273" i="23"/>
  <c r="C279" i="23"/>
  <c r="C272" i="23"/>
  <c r="C266" i="23"/>
  <c r="C274" i="23"/>
  <c r="C271" i="23"/>
  <c r="C280" i="23"/>
  <c r="C267" i="23"/>
  <c r="C275" i="23"/>
  <c r="C268" i="23"/>
  <c r="C276" i="23"/>
  <c r="C269" i="23"/>
  <c r="C277" i="23"/>
  <c r="C270" i="23"/>
  <c r="C278" i="23"/>
  <c r="C295" i="23"/>
  <c r="C303" i="23"/>
  <c r="C296" i="23"/>
  <c r="C304" i="23"/>
  <c r="C302" i="23"/>
  <c r="C297" i="23"/>
  <c r="C305" i="23"/>
  <c r="C298" i="23"/>
  <c r="C306" i="23"/>
  <c r="C309" i="23"/>
  <c r="C299" i="23"/>
  <c r="C307" i="23"/>
  <c r="C300" i="23"/>
  <c r="C308" i="23"/>
  <c r="C301" i="23"/>
  <c r="C118" i="23"/>
  <c r="B263" i="21"/>
  <c r="B56" i="21"/>
  <c r="B129" i="21"/>
  <c r="B165" i="21" s="1"/>
  <c r="B137" i="21"/>
  <c r="B173" i="21" s="1"/>
  <c r="B130" i="21"/>
  <c r="B166" i="21" s="1"/>
  <c r="B138" i="21"/>
  <c r="B174" i="21" s="1"/>
  <c r="B142" i="21"/>
  <c r="B178" i="21" s="1"/>
  <c r="B164" i="21"/>
  <c r="B131" i="21"/>
  <c r="B167" i="21" s="1"/>
  <c r="B139" i="21"/>
  <c r="B175" i="21" s="1"/>
  <c r="B134" i="21"/>
  <c r="B170" i="21" s="1"/>
  <c r="B136" i="21"/>
  <c r="B172" i="21" s="1"/>
  <c r="B132" i="21"/>
  <c r="B168" i="21" s="1"/>
  <c r="B140" i="21"/>
  <c r="B176" i="21" s="1"/>
  <c r="B133" i="21"/>
  <c r="B169" i="21" s="1"/>
  <c r="B141" i="21"/>
  <c r="B177" i="21" s="1"/>
  <c r="B135" i="21"/>
  <c r="B171" i="21" s="1"/>
  <c r="B143" i="21"/>
  <c r="B179" i="21" s="1"/>
  <c r="B93" i="21"/>
  <c r="C237" i="24"/>
  <c r="C71" i="21"/>
  <c r="C62" i="21"/>
  <c r="B71" i="21"/>
  <c r="C57" i="21"/>
  <c r="B57" i="21"/>
  <c r="B66" i="21"/>
  <c r="C61" i="21"/>
  <c r="B63" i="21"/>
  <c r="C65" i="21"/>
  <c r="B60" i="21"/>
  <c r="C70" i="21"/>
  <c r="B68" i="21"/>
  <c r="B65" i="21"/>
  <c r="C59" i="21"/>
  <c r="B62" i="21"/>
  <c r="B61" i="21"/>
  <c r="C68" i="21"/>
  <c r="C67" i="21"/>
  <c r="B70" i="21"/>
  <c r="C64" i="21"/>
  <c r="C58" i="21"/>
  <c r="B59" i="21"/>
  <c r="B69" i="21"/>
  <c r="B64" i="21"/>
  <c r="B67" i="21"/>
  <c r="C63" i="21"/>
  <c r="C69" i="21"/>
  <c r="C60" i="21"/>
  <c r="B286" i="24"/>
  <c r="J62" i="8"/>
  <c r="C117" i="23"/>
  <c r="J63" i="8" l="1"/>
  <c r="B48" i="23"/>
  <c r="B65" i="23" s="1"/>
  <c r="M62" i="8"/>
  <c r="C255" i="24"/>
  <c r="C275" i="24" s="1"/>
  <c r="C155" i="23"/>
  <c r="C245" i="24"/>
  <c r="C265" i="24" s="1"/>
  <c r="C145" i="23"/>
  <c r="C242" i="24"/>
  <c r="C262" i="24" s="1"/>
  <c r="C142" i="23"/>
  <c r="C244" i="24"/>
  <c r="C264" i="24" s="1"/>
  <c r="C144" i="23"/>
  <c r="C146" i="23"/>
  <c r="C246" i="24"/>
  <c r="C266" i="24" s="1"/>
  <c r="C143" i="23"/>
  <c r="C243" i="24"/>
  <c r="C263" i="24" s="1"/>
  <c r="C256" i="24"/>
  <c r="C276" i="24" s="1"/>
  <c r="C156" i="23"/>
  <c r="C153" i="23"/>
  <c r="C253" i="24"/>
  <c r="C273" i="24" s="1"/>
  <c r="C248" i="24"/>
  <c r="C268" i="24" s="1"/>
  <c r="C148" i="23"/>
  <c r="C154" i="23"/>
  <c r="C254" i="24"/>
  <c r="C274" i="24" s="1"/>
  <c r="C151" i="23"/>
  <c r="C251" i="24"/>
  <c r="C271" i="24" s="1"/>
  <c r="C257" i="24"/>
  <c r="C277" i="24" s="1"/>
  <c r="C157" i="23"/>
  <c r="C150" i="23"/>
  <c r="C250" i="24"/>
  <c r="C270" i="24" s="1"/>
  <c r="C249" i="24"/>
  <c r="C269" i="24" s="1"/>
  <c r="C149" i="23"/>
  <c r="C147" i="23"/>
  <c r="C247" i="24"/>
  <c r="C267" i="24" s="1"/>
  <c r="B102" i="21"/>
  <c r="B253" i="24"/>
  <c r="B273" i="24" s="1"/>
  <c r="B153" i="23"/>
  <c r="B171" i="23" s="1"/>
  <c r="B204" i="23"/>
  <c r="B51" i="24"/>
  <c r="B198" i="23"/>
  <c r="B45" i="24"/>
  <c r="B104" i="21"/>
  <c r="B155" i="23"/>
  <c r="B173" i="23" s="1"/>
  <c r="B255" i="24"/>
  <c r="B275" i="24" s="1"/>
  <c r="B248" i="24"/>
  <c r="B268" i="24" s="1"/>
  <c r="B148" i="23"/>
  <c r="B166" i="23" s="1"/>
  <c r="B202" i="23"/>
  <c r="B49" i="24"/>
  <c r="B203" i="23"/>
  <c r="B50" i="24"/>
  <c r="B206" i="23"/>
  <c r="B53" i="24"/>
  <c r="B147" i="23"/>
  <c r="B165" i="23" s="1"/>
  <c r="B247" i="24"/>
  <c r="B267" i="24" s="1"/>
  <c r="B196" i="23"/>
  <c r="B43" i="24"/>
  <c r="B200" i="23"/>
  <c r="B47" i="24"/>
  <c r="B195" i="23"/>
  <c r="B42" i="24"/>
  <c r="B52" i="24"/>
  <c r="B205" i="23"/>
  <c r="B99" i="21"/>
  <c r="B250" i="24"/>
  <c r="B270" i="24" s="1"/>
  <c r="B150" i="23"/>
  <c r="B168" i="23" s="1"/>
  <c r="B101" i="21"/>
  <c r="B252" i="24"/>
  <c r="B272" i="24" s="1"/>
  <c r="B152" i="23"/>
  <c r="B170" i="23" s="1"/>
  <c r="B209" i="23"/>
  <c r="B56" i="24"/>
  <c r="B103" i="21"/>
  <c r="B154" i="23"/>
  <c r="B172" i="23" s="1"/>
  <c r="B254" i="24"/>
  <c r="B274" i="24" s="1"/>
  <c r="B201" i="23"/>
  <c r="B48" i="24"/>
  <c r="B44" i="24"/>
  <c r="B197" i="23"/>
  <c r="B249" i="24"/>
  <c r="B269" i="24" s="1"/>
  <c r="B149" i="23"/>
  <c r="B167" i="23" s="1"/>
  <c r="B245" i="24"/>
  <c r="B265" i="24" s="1"/>
  <c r="B145" i="23"/>
  <c r="B163" i="23" s="1"/>
  <c r="B100" i="21"/>
  <c r="B251" i="24"/>
  <c r="B271" i="24" s="1"/>
  <c r="B151" i="23"/>
  <c r="B169" i="23" s="1"/>
  <c r="B91" i="21"/>
  <c r="B107" i="21" s="1"/>
  <c r="B242" i="24"/>
  <c r="B142" i="23"/>
  <c r="B160" i="23" s="1"/>
  <c r="B105" i="21"/>
  <c r="B256" i="24"/>
  <c r="B276" i="24" s="1"/>
  <c r="B156" i="23"/>
  <c r="B174" i="23" s="1"/>
  <c r="B106" i="21"/>
  <c r="B257" i="24"/>
  <c r="B277" i="24" s="1"/>
  <c r="B157" i="23"/>
  <c r="B175" i="23" s="1"/>
  <c r="B54" i="24"/>
  <c r="B207" i="23"/>
  <c r="B194" i="23"/>
  <c r="B294" i="23" s="1"/>
  <c r="B41" i="24"/>
  <c r="B199" i="24" s="1"/>
  <c r="B215" i="24" s="1"/>
  <c r="B243" i="24"/>
  <c r="B263" i="24" s="1"/>
  <c r="B143" i="23"/>
  <c r="B161" i="23" s="1"/>
  <c r="B177" i="23" s="1"/>
  <c r="B95" i="21"/>
  <c r="B146" i="23"/>
  <c r="B164" i="23" s="1"/>
  <c r="B246" i="24"/>
  <c r="B266" i="24" s="1"/>
  <c r="B46" i="24"/>
  <c r="B199" i="23"/>
  <c r="B208" i="23"/>
  <c r="B55" i="24"/>
  <c r="B296" i="24"/>
  <c r="C285" i="24"/>
  <c r="C286" i="24"/>
  <c r="C272" i="24"/>
  <c r="B214" i="21"/>
  <c r="B245" i="21"/>
  <c r="B283" i="21" s="1"/>
  <c r="B211" i="21"/>
  <c r="B242" i="21"/>
  <c r="B280" i="21" s="1"/>
  <c r="B209" i="21"/>
  <c r="B240" i="21"/>
  <c r="B278" i="21" s="1"/>
  <c r="B203" i="21"/>
  <c r="B234" i="21"/>
  <c r="B272" i="21" s="1"/>
  <c r="B201" i="21"/>
  <c r="B232" i="21"/>
  <c r="B270" i="21" s="1"/>
  <c r="B207" i="21"/>
  <c r="B238" i="21"/>
  <c r="B276" i="21" s="1"/>
  <c r="B208" i="21"/>
  <c r="B239" i="21"/>
  <c r="B277" i="21" s="1"/>
  <c r="B205" i="21"/>
  <c r="B236" i="21"/>
  <c r="B274" i="21" s="1"/>
  <c r="B200" i="21"/>
  <c r="B231" i="21"/>
  <c r="B269" i="21" s="1"/>
  <c r="B210" i="21"/>
  <c r="B241" i="21"/>
  <c r="B279" i="21" s="1"/>
  <c r="B206" i="21"/>
  <c r="B237" i="21"/>
  <c r="B275" i="21" s="1"/>
  <c r="B202" i="21"/>
  <c r="B233" i="21"/>
  <c r="B271" i="21" s="1"/>
  <c r="B212" i="21"/>
  <c r="B243" i="21"/>
  <c r="B281" i="21" s="1"/>
  <c r="B199" i="21"/>
  <c r="B215" i="21" s="1"/>
  <c r="B230" i="21"/>
  <c r="B268" i="21" s="1"/>
  <c r="B284" i="21" s="1"/>
  <c r="B204" i="21"/>
  <c r="B235" i="21"/>
  <c r="B273" i="21" s="1"/>
  <c r="B213" i="21"/>
  <c r="B244" i="21"/>
  <c r="B282" i="21" s="1"/>
  <c r="B92" i="21"/>
  <c r="B96" i="21"/>
  <c r="B97" i="21"/>
  <c r="B94" i="21"/>
  <c r="B98" i="21"/>
  <c r="B109" i="21" l="1"/>
  <c r="B286" i="21"/>
  <c r="B285" i="21"/>
  <c r="B176" i="23"/>
  <c r="B108" i="21"/>
  <c r="B63" i="23"/>
  <c r="B67" i="23" s="1"/>
  <c r="B64" i="23" s="1"/>
  <c r="M63" i="8"/>
  <c r="B262" i="24"/>
  <c r="B278" i="24" s="1"/>
  <c r="B317" i="24" s="1"/>
  <c r="B294" i="24"/>
  <c r="B108" i="24"/>
  <c r="B124" i="24" s="1"/>
  <c r="B157" i="24"/>
  <c r="B173" i="24" s="1"/>
  <c r="B66" i="24"/>
  <c r="B82" i="24" s="1"/>
  <c r="B87" i="24"/>
  <c r="B103" i="24" s="1"/>
  <c r="B308" i="24"/>
  <c r="B306" i="24"/>
  <c r="C294" i="24"/>
  <c r="B290" i="21"/>
  <c r="B302" i="24"/>
  <c r="B299" i="24"/>
  <c r="B309" i="24"/>
  <c r="B301" i="24"/>
  <c r="B178" i="23"/>
  <c r="B303" i="24"/>
  <c r="B295" i="24"/>
  <c r="B298" i="24"/>
  <c r="B300" i="24"/>
  <c r="B305" i="24"/>
  <c r="B172" i="24"/>
  <c r="B81" i="24"/>
  <c r="B123" i="24"/>
  <c r="B193" i="24"/>
  <c r="B102" i="24"/>
  <c r="B214" i="24"/>
  <c r="B218" i="23"/>
  <c r="B241" i="23"/>
  <c r="B300" i="23"/>
  <c r="B271" i="23"/>
  <c r="B221" i="23"/>
  <c r="B274" i="23"/>
  <c r="B244" i="23"/>
  <c r="B303" i="23"/>
  <c r="B297" i="23"/>
  <c r="B238" i="23"/>
  <c r="B215" i="23"/>
  <c r="B268" i="23"/>
  <c r="B309" i="23"/>
  <c r="B280" i="23"/>
  <c r="B227" i="23"/>
  <c r="B250" i="23"/>
  <c r="B110" i="24"/>
  <c r="B180" i="24"/>
  <c r="B68" i="24"/>
  <c r="B89" i="24"/>
  <c r="B159" i="24"/>
  <c r="B201" i="24"/>
  <c r="B95" i="24"/>
  <c r="B186" i="24"/>
  <c r="B74" i="24"/>
  <c r="B207" i="24"/>
  <c r="B116" i="24"/>
  <c r="B165" i="24"/>
  <c r="B203" i="24"/>
  <c r="B70" i="24"/>
  <c r="B182" i="24"/>
  <c r="B91" i="24"/>
  <c r="B112" i="24"/>
  <c r="B161" i="24"/>
  <c r="B213" i="24"/>
  <c r="B171" i="24"/>
  <c r="B122" i="24"/>
  <c r="B101" i="24"/>
  <c r="B80" i="24"/>
  <c r="B192" i="24"/>
  <c r="B202" i="24"/>
  <c r="B160" i="24"/>
  <c r="B181" i="24"/>
  <c r="B111" i="24"/>
  <c r="B69" i="24"/>
  <c r="B90" i="24"/>
  <c r="B276" i="23"/>
  <c r="B305" i="23"/>
  <c r="B223" i="23"/>
  <c r="B246" i="23"/>
  <c r="B296" i="23"/>
  <c r="B237" i="23"/>
  <c r="B214" i="23"/>
  <c r="B267" i="23"/>
  <c r="B273" i="23"/>
  <c r="B220" i="23"/>
  <c r="B302" i="23"/>
  <c r="B243" i="23"/>
  <c r="B239" i="23"/>
  <c r="B298" i="23"/>
  <c r="B216" i="23"/>
  <c r="B269" i="23"/>
  <c r="B297" i="24"/>
  <c r="B240" i="23"/>
  <c r="B299" i="23"/>
  <c r="B270" i="23"/>
  <c r="B217" i="23"/>
  <c r="B178" i="24"/>
  <c r="B194" i="24" s="1"/>
  <c r="B272" i="23"/>
  <c r="B301" i="23"/>
  <c r="B242" i="23"/>
  <c r="B219" i="23"/>
  <c r="B222" i="23"/>
  <c r="B304" i="23"/>
  <c r="B245" i="23"/>
  <c r="B275" i="23"/>
  <c r="B226" i="23"/>
  <c r="B308" i="23"/>
  <c r="B279" i="23"/>
  <c r="B249" i="23"/>
  <c r="B164" i="24"/>
  <c r="B115" i="24"/>
  <c r="B73" i="24"/>
  <c r="B206" i="24"/>
  <c r="B185" i="24"/>
  <c r="B94" i="24"/>
  <c r="B304" i="24"/>
  <c r="B200" i="24"/>
  <c r="B67" i="24"/>
  <c r="B88" i="24"/>
  <c r="B179" i="24"/>
  <c r="B158" i="24"/>
  <c r="B109" i="24"/>
  <c r="B99" i="24"/>
  <c r="B190" i="24"/>
  <c r="B78" i="24"/>
  <c r="B169" i="24"/>
  <c r="B211" i="24"/>
  <c r="B120" i="24"/>
  <c r="B248" i="23"/>
  <c r="B253" i="23" s="1"/>
  <c r="B278" i="23"/>
  <c r="B225" i="23"/>
  <c r="B307" i="23"/>
  <c r="B266" i="23"/>
  <c r="B236" i="23"/>
  <c r="B213" i="23"/>
  <c r="B295" i="23"/>
  <c r="B224" i="23"/>
  <c r="B247" i="23"/>
  <c r="B277" i="23"/>
  <c r="B306" i="23"/>
  <c r="B168" i="24"/>
  <c r="B98" i="24"/>
  <c r="B119" i="24"/>
  <c r="B210" i="24"/>
  <c r="B189" i="24"/>
  <c r="B77" i="24"/>
  <c r="B118" i="24"/>
  <c r="B76" i="24"/>
  <c r="B97" i="24"/>
  <c r="B188" i="24"/>
  <c r="B209" i="24"/>
  <c r="B167" i="24"/>
  <c r="B183" i="24"/>
  <c r="B113" i="24"/>
  <c r="B71" i="24"/>
  <c r="B92" i="24"/>
  <c r="B204" i="24"/>
  <c r="B162" i="24"/>
  <c r="B265" i="23"/>
  <c r="B281" i="23" s="1"/>
  <c r="B212" i="23"/>
  <c r="B228" i="23" s="1"/>
  <c r="B235" i="23"/>
  <c r="B251" i="23" s="1"/>
  <c r="B307" i="24"/>
  <c r="B191" i="24"/>
  <c r="B170" i="24"/>
  <c r="B212" i="24"/>
  <c r="B79" i="24"/>
  <c r="B100" i="24"/>
  <c r="B121" i="24"/>
  <c r="B93" i="24"/>
  <c r="B163" i="24"/>
  <c r="B72" i="24"/>
  <c r="B205" i="24"/>
  <c r="B114" i="24"/>
  <c r="B184" i="24"/>
  <c r="B208" i="24"/>
  <c r="B96" i="24"/>
  <c r="B75" i="24"/>
  <c r="B187" i="24"/>
  <c r="B166" i="24"/>
  <c r="B117" i="24"/>
  <c r="B280" i="24"/>
  <c r="B319" i="24" s="1"/>
  <c r="C296" i="24"/>
  <c r="C304" i="24"/>
  <c r="C297" i="24"/>
  <c r="C305" i="24"/>
  <c r="C298" i="24"/>
  <c r="C306" i="24"/>
  <c r="C308" i="24"/>
  <c r="C299" i="24"/>
  <c r="C307" i="24"/>
  <c r="C300" i="24"/>
  <c r="C301" i="24"/>
  <c r="C309" i="24"/>
  <c r="C302" i="24"/>
  <c r="C295" i="24"/>
  <c r="C303" i="24"/>
  <c r="B279" i="24"/>
  <c r="B318" i="24" s="1"/>
  <c r="B217" i="21"/>
  <c r="B216" i="21"/>
  <c r="B82" i="23"/>
  <c r="B125" i="24" l="1"/>
  <c r="B252" i="23"/>
  <c r="B216" i="24"/>
  <c r="B80" i="23"/>
  <c r="B98" i="23" s="1"/>
  <c r="B219" i="24"/>
  <c r="B329" i="24" s="1"/>
  <c r="B128" i="24"/>
  <c r="B325" i="24" s="1"/>
  <c r="B296" i="21"/>
  <c r="C5" i="25" s="1"/>
  <c r="B292" i="21"/>
  <c r="B298" i="21" s="1"/>
  <c r="C7" i="25" s="1"/>
  <c r="B291" i="21"/>
  <c r="B297" i="21" s="1"/>
  <c r="B310" i="24"/>
  <c r="B321" i="24" s="1"/>
  <c r="B283" i="23"/>
  <c r="B179" i="23"/>
  <c r="B196" i="24"/>
  <c r="B316" i="24"/>
  <c r="B217" i="24"/>
  <c r="B282" i="23"/>
  <c r="B230" i="23"/>
  <c r="B105" i="24"/>
  <c r="B174" i="24"/>
  <c r="B126" i="24"/>
  <c r="B83" i="24"/>
  <c r="B110" i="21"/>
  <c r="B195" i="24"/>
  <c r="B84" i="24"/>
  <c r="B175" i="24"/>
  <c r="B229" i="23"/>
  <c r="B104" i="24"/>
  <c r="B281" i="24"/>
  <c r="B312" i="24"/>
  <c r="B323" i="24" s="1"/>
  <c r="B311" i="24"/>
  <c r="B322" i="24" s="1"/>
  <c r="B287" i="21"/>
  <c r="B218" i="21"/>
  <c r="B338" i="24" l="1"/>
  <c r="E5" i="25" s="1"/>
  <c r="B129" i="24"/>
  <c r="B326" i="24" s="1"/>
  <c r="B318" i="23"/>
  <c r="B317" i="23"/>
  <c r="B316" i="23"/>
  <c r="B218" i="24"/>
  <c r="B127" i="24"/>
  <c r="B254" i="23"/>
  <c r="B106" i="24"/>
  <c r="B284" i="23"/>
  <c r="B221" i="24"/>
  <c r="B331" i="24" s="1"/>
  <c r="B320" i="24"/>
  <c r="B313" i="23"/>
  <c r="B220" i="24"/>
  <c r="B176" i="24"/>
  <c r="C6" i="25"/>
  <c r="C8" i="25" s="1"/>
  <c r="E294" i="21"/>
  <c r="B299" i="21"/>
  <c r="B85" i="24"/>
  <c r="B130" i="24"/>
  <c r="B327" i="24" s="1"/>
  <c r="B197" i="24"/>
  <c r="B313" i="24"/>
  <c r="E289" i="21"/>
  <c r="B131" i="24" l="1"/>
  <c r="B330" i="24"/>
  <c r="B222" i="24"/>
  <c r="B324" i="24"/>
  <c r="C315" i="23"/>
  <c r="B340" i="24"/>
  <c r="E7" i="25" s="1"/>
  <c r="B231" i="23"/>
  <c r="B328" i="24" l="1"/>
  <c r="B339" i="24"/>
  <c r="E6" i="25" l="1"/>
  <c r="B337" i="24"/>
  <c r="E8" i="25" l="1"/>
  <c r="B30" i="23" l="1"/>
  <c r="B29" i="23"/>
  <c r="B28" i="23"/>
  <c r="B36" i="23" s="1"/>
  <c r="B27" i="23"/>
  <c r="B26" i="23"/>
  <c r="B25" i="23"/>
  <c r="B24" i="23"/>
  <c r="B23" i="23"/>
  <c r="B22" i="23"/>
  <c r="B21" i="23"/>
  <c r="B20" i="23"/>
  <c r="B19" i="23"/>
  <c r="B18" i="23"/>
  <c r="B17" i="23"/>
  <c r="B16" i="23"/>
  <c r="B35" i="23" s="1"/>
  <c r="B15" i="23"/>
  <c r="B34" i="23" s="1"/>
  <c r="B33" i="23" l="1"/>
  <c r="B102" i="23"/>
  <c r="B323" i="23"/>
  <c r="D5" i="25" l="1"/>
  <c r="F5" i="25" l="1"/>
  <c r="D19" i="20" l="1"/>
  <c r="B81" i="23"/>
  <c r="B93" i="23"/>
  <c r="B100" i="23" s="1"/>
  <c r="B104" i="23" s="1"/>
  <c r="B325" i="23" l="1"/>
  <c r="B92" i="23"/>
  <c r="B99" i="23" s="1"/>
  <c r="B103" i="23" s="1"/>
  <c r="B324" i="23" l="1"/>
  <c r="D6" i="25" s="1"/>
  <c r="B101" i="23"/>
  <c r="D7" i="25"/>
  <c r="F7" i="25" s="1"/>
  <c r="D8" i="25" l="1"/>
  <c r="F6" i="25"/>
  <c r="B322" i="23"/>
  <c r="D21" i="20"/>
  <c r="F8" i="25" l="1"/>
  <c r="D20" i="20"/>
  <c r="D22" i="20" l="1"/>
</calcChain>
</file>

<file path=xl/sharedStrings.xml><?xml version="1.0" encoding="utf-8"?>
<sst xmlns="http://schemas.openxmlformats.org/spreadsheetml/2006/main" count="2422" uniqueCount="375">
  <si>
    <t>-</t>
  </si>
  <si>
    <t>%</t>
  </si>
  <si>
    <t>Unit</t>
  </si>
  <si>
    <t>Parameter</t>
  </si>
  <si>
    <t>Source</t>
  </si>
  <si>
    <t>kg</t>
  </si>
  <si>
    <t>kg-dm/day</t>
  </si>
  <si>
    <t xml:space="preserve">2006 IPCC guideline, volume 4, chapter 10 </t>
  </si>
  <si>
    <t>Direct N2O Emissions</t>
  </si>
  <si>
    <t xml:space="preserve">                               Value</t>
  </si>
  <si>
    <t xml:space="preserve">                              Value </t>
  </si>
  <si>
    <t>Indirect N2O Emissions</t>
  </si>
  <si>
    <t>EF4</t>
  </si>
  <si>
    <t>EF1</t>
  </si>
  <si>
    <t>EF5</t>
  </si>
  <si>
    <t>kg/animal/day</t>
  </si>
  <si>
    <t>numbers</t>
  </si>
  <si>
    <t>m3 CH4/kg-VS</t>
  </si>
  <si>
    <t xml:space="preserve">                                      Value </t>
  </si>
  <si>
    <t xml:space="preserve">A) Phase I: Anaerobic digester </t>
  </si>
  <si>
    <t xml:space="preserve">Total CH4 emissions </t>
  </si>
  <si>
    <t>B) PHASE II: Aerobic treatment</t>
  </si>
  <si>
    <t>LEAKEAGE</t>
  </si>
  <si>
    <t>MCFd</t>
  </si>
  <si>
    <t>Rvs,n</t>
  </si>
  <si>
    <t>from Land Application(tCO2e)</t>
  </si>
  <si>
    <t>at the project site</t>
  </si>
  <si>
    <t>Fraction of manure handled in system j</t>
  </si>
  <si>
    <t>calculated</t>
  </si>
  <si>
    <t xml:space="preserve">calculated </t>
  </si>
  <si>
    <t>Annex 1, ACM0010</t>
  </si>
  <si>
    <t>table 11.3, chapter 11, volume 4, 2006 IPCC</t>
  </si>
  <si>
    <t>Market Swine</t>
  </si>
  <si>
    <t>Breeding Swine</t>
  </si>
  <si>
    <t xml:space="preserve">BASELINE EMISSIONS </t>
  </si>
  <si>
    <t>i) CH4 emissions</t>
  </si>
  <si>
    <t>ii) N2O emissions</t>
  </si>
  <si>
    <t>2006 IPCC default value, vol. 4, ch. 10, tbl. 10.21</t>
  </si>
  <si>
    <t>2006 IPCC default value, vol. 4, ch. 10, tbl. 11.3</t>
  </si>
  <si>
    <t>Conservative Factor</t>
  </si>
  <si>
    <t>iii) N2O emissions from manure management</t>
  </si>
  <si>
    <t>MS%j</t>
  </si>
  <si>
    <t xml:space="preserve">PROJECT EMISSION </t>
  </si>
  <si>
    <t>ii)Methane emissions from disposal of treated manure</t>
  </si>
  <si>
    <t>table 11.1, chapter 11, volume 4, 2006 IPCC</t>
  </si>
  <si>
    <t>2006 IPCC default value, vol. 4, ch. 10, tbl. 10A-7,8</t>
  </si>
  <si>
    <t>kg/animal-yr</t>
  </si>
  <si>
    <t>Calulated</t>
  </si>
  <si>
    <t>Ndy</t>
  </si>
  <si>
    <t>kg N/1000kg animal mass/day</t>
  </si>
  <si>
    <t>2006 IPCC guideline, volume 4, chapter 10, tbl. 10A-7</t>
  </si>
  <si>
    <t>Calculated</t>
  </si>
  <si>
    <t>days</t>
  </si>
  <si>
    <t>MCF with cons. Factor</t>
  </si>
  <si>
    <t xml:space="preserve">Calculated  </t>
  </si>
  <si>
    <t>2006 IPCC Guidelines, volume 4, chapter 11, table 11.3</t>
  </si>
  <si>
    <t>2006 IPCC default value, vol. 4, ch. 10, tbl.10.22 (According to Chapter 8.2 in US-EPA (2001), "a covered lagoon will not lose NH3-N to the atmosphere")</t>
  </si>
  <si>
    <t>2006 IPCC default value, vol. 4, ch. 11, tbl.11.3 (According to Chapter 8.2 in US-EPA (2001), "a covered lagoon will not lose NH3-N to the atmosphere")</t>
    <phoneticPr fontId="0" type="noConversion"/>
  </si>
  <si>
    <t>Unit</t>
    <phoneticPr fontId="0" type="noConversion"/>
  </si>
  <si>
    <t>Source</t>
    <phoneticPr fontId="0" type="noConversion"/>
  </si>
  <si>
    <t xml:space="preserve">Value </t>
    <phoneticPr fontId="0" type="noConversion"/>
  </si>
  <si>
    <t>Parameter</t>
    <phoneticPr fontId="0" type="noConversion"/>
  </si>
  <si>
    <t xml:space="preserve">calculated </t>
    <phoneticPr fontId="0" type="noConversion"/>
  </si>
  <si>
    <t>2006 IPCC default value, vol. 4, ch. 10, tbl. 10.21 Anaerobic digester</t>
    <phoneticPr fontId="0" type="noConversion"/>
  </si>
  <si>
    <t xml:space="preserve">2006 IPCC default value, vol. 4, ch. 11, tbl.11.3 </t>
    <phoneticPr fontId="0" type="noConversion"/>
  </si>
  <si>
    <t>TAM</t>
  </si>
  <si>
    <t>2006 IPCC default value, vol. 4, ch. 10, tbl. 10.19</t>
    <phoneticPr fontId="0" type="noConversion"/>
  </si>
  <si>
    <t xml:space="preserve">2006 IPCC default value, vol. 4, ch. 10, tbl.10.22 </t>
    <phoneticPr fontId="0" type="noConversion"/>
  </si>
  <si>
    <t>kg N/animal/year</t>
    <phoneticPr fontId="0" type="noConversion"/>
  </si>
  <si>
    <t>No of heads</t>
    <phoneticPr fontId="0" type="noConversion"/>
  </si>
  <si>
    <t>total</t>
  </si>
  <si>
    <t>Title of the project activity</t>
  </si>
  <si>
    <t>GS ID of the project activity</t>
    <phoneticPr fontId="11" type="noConversion"/>
  </si>
  <si>
    <t>Version number of this calculation sheet</t>
    <phoneticPr fontId="11" type="noConversion"/>
  </si>
  <si>
    <t>Date</t>
    <phoneticPr fontId="11" type="noConversion"/>
  </si>
  <si>
    <t>Duration of this monitoring period</t>
  </si>
  <si>
    <t>Market Swine</t>
    <phoneticPr fontId="0" type="noConversion"/>
  </si>
  <si>
    <t>Breeding Swine</t>
    <phoneticPr fontId="0" type="noConversion"/>
  </si>
  <si>
    <t>1. Mean value and standard deviations for strata</t>
    <phoneticPr fontId="11" type="noConversion"/>
  </si>
  <si>
    <t xml:space="preserve"> Population total</t>
    <phoneticPr fontId="11" type="noConversion"/>
  </si>
  <si>
    <t xml:space="preserve">(N)  </t>
    <phoneticPr fontId="11" type="noConversion"/>
  </si>
  <si>
    <t>2. The stratified estimated overall mean:</t>
    <phoneticPr fontId="11" type="noConversion"/>
  </si>
  <si>
    <t xml:space="preserve"> The stratified estimated overall mean  </t>
  </si>
  <si>
    <t xml:space="preserve"> N  </t>
  </si>
  <si>
    <t>3. The standard error of the stratified estimated overall mean:</t>
    <phoneticPr fontId="11" type="noConversion"/>
  </si>
  <si>
    <t xml:space="preserve"> Standard error of the stratified estimated overall mean</t>
    <phoneticPr fontId="11" type="noConversion"/>
  </si>
  <si>
    <t>4. t-value</t>
    <phoneticPr fontId="11" type="noConversion"/>
  </si>
  <si>
    <t>5. Precision</t>
    <phoneticPr fontId="11" type="noConversion"/>
  </si>
  <si>
    <t xml:space="preserve">Precision   </t>
    <phoneticPr fontId="11" type="noConversion"/>
  </si>
  <si>
    <t>6. Calculation results</t>
    <phoneticPr fontId="11" type="noConversion"/>
  </si>
  <si>
    <t>t-value</t>
    <phoneticPr fontId="11" type="noConversion"/>
  </si>
  <si>
    <t>Relative Precision</t>
    <phoneticPr fontId="11" type="noConversion"/>
  </si>
  <si>
    <t>-</t>
    <phoneticPr fontId="0" type="noConversion"/>
  </si>
  <si>
    <t>BASELINE EMISSIONS       BEy =</t>
    <phoneticPr fontId="0" type="noConversion"/>
  </si>
  <si>
    <t>kg-dm/ animal/year</t>
    <phoneticPr fontId="0" type="noConversion"/>
  </si>
  <si>
    <t>Page 12 of tool 14: Project and leakage emissions from anaerobic digesters</t>
    <phoneticPr fontId="0" type="noConversion"/>
  </si>
  <si>
    <t>2006 IPCC guideline, volume 4, chapter 10, tbl. 10A-7</t>
    <phoneticPr fontId="0" type="noConversion"/>
  </si>
  <si>
    <t>Tt(k)</t>
    <phoneticPr fontId="11" type="noConversion"/>
  </si>
  <si>
    <t>MMi(kg/kmol)</t>
    <phoneticPr fontId="11" type="noConversion"/>
  </si>
  <si>
    <t>Ru(Pa.m3/kmol.K))</t>
    <phoneticPr fontId="11" type="noConversion"/>
  </si>
  <si>
    <t>t CH4</t>
    <phoneticPr fontId="0" type="noConversion"/>
  </si>
  <si>
    <t>Vf3(m3)</t>
    <phoneticPr fontId="11" type="noConversion"/>
  </si>
  <si>
    <t>Breeding Swine</t>
    <phoneticPr fontId="11" type="noConversion"/>
  </si>
  <si>
    <t>average</t>
    <phoneticPr fontId="11" type="noConversion"/>
  </si>
  <si>
    <t>kg</t>
    <phoneticPr fontId="0" type="noConversion"/>
  </si>
  <si>
    <t>Calculated</t>
    <phoneticPr fontId="0" type="noConversion"/>
  </si>
  <si>
    <t>Fraction of manure handled in system j</t>
    <phoneticPr fontId="0" type="noConversion"/>
  </si>
  <si>
    <t>MWh</t>
    <phoneticPr fontId="0" type="noConversion"/>
  </si>
  <si>
    <t>calculated</t>
    <phoneticPr fontId="0" type="noConversion"/>
  </si>
  <si>
    <t>calcualted</t>
    <phoneticPr fontId="0" type="noConversion"/>
  </si>
  <si>
    <t>%</t>
    <phoneticPr fontId="0" type="noConversion"/>
  </si>
  <si>
    <t>LEy =</t>
    <phoneticPr fontId="0" type="noConversion"/>
  </si>
  <si>
    <t xml:space="preserve"> Value </t>
    <phoneticPr fontId="0" type="noConversion"/>
  </si>
  <si>
    <t>t CH4</t>
  </si>
  <si>
    <t>Tool to determine project emissions from flaring gases containing methane</t>
    <phoneticPr fontId="0" type="noConversion"/>
  </si>
  <si>
    <t>monthly electricity consumption</t>
    <phoneticPr fontId="11" type="noConversion"/>
  </si>
  <si>
    <t>Time</t>
    <phoneticPr fontId="11" type="noConversion"/>
  </si>
  <si>
    <t>SDG8</t>
    <phoneticPr fontId="11" type="noConversion"/>
  </si>
  <si>
    <t>SDG13</t>
    <phoneticPr fontId="11" type="noConversion"/>
  </si>
  <si>
    <t>IPCC AR5</t>
  </si>
  <si>
    <t>t/m3</t>
  </si>
  <si>
    <t>kgN/animal/yr</t>
    <phoneticPr fontId="0" type="noConversion"/>
  </si>
  <si>
    <t>total</t>
    <phoneticPr fontId="0" type="noConversion"/>
  </si>
  <si>
    <t>Ministry of Ecology and Environment of the People's Republic of China</t>
    <phoneticPr fontId="0" type="noConversion"/>
  </si>
  <si>
    <t>Tool 05:Baseline, project and/or leakage emissions from electricity consumption and monitoring of electricity generation</t>
    <phoneticPr fontId="0" type="noConversion"/>
  </si>
  <si>
    <t>No fossil fuel comsumed during this MP, therefore,Project emissions from fossil fuel consumption associated with the anaerobic digester is not be taken into account</t>
    <phoneticPr fontId="0" type="noConversion"/>
  </si>
  <si>
    <t xml:space="preserve">                                      Value </t>
    <phoneticPr fontId="0" type="noConversion"/>
  </si>
  <si>
    <t>IPCC AR5</t>
    <phoneticPr fontId="0" type="noConversion"/>
  </si>
  <si>
    <t>PDD</t>
    <phoneticPr fontId="0" type="noConversion"/>
  </si>
  <si>
    <t>kg/animal/yr</t>
    <phoneticPr fontId="0" type="noConversion"/>
  </si>
  <si>
    <t>IPCC AR4</t>
    <phoneticPr fontId="11" type="noConversion"/>
  </si>
  <si>
    <t>IPCC AR4</t>
    <phoneticPr fontId="0" type="noConversion"/>
  </si>
  <si>
    <t>2006 IPCC guideline, volume 4, chapter 10, Tbl. 10.17</t>
    <phoneticPr fontId="11" type="noConversion"/>
  </si>
  <si>
    <t>01/01/2022-31/03/2022</t>
    <phoneticPr fontId="11" type="noConversion"/>
  </si>
  <si>
    <t>01/12/2020-31/03/2022</t>
    <phoneticPr fontId="11" type="noConversion"/>
  </si>
  <si>
    <t>SDG7</t>
    <phoneticPr fontId="11" type="noConversion"/>
  </si>
  <si>
    <t>Total number of jobs</t>
    <phoneticPr fontId="11" type="noConversion"/>
  </si>
  <si>
    <r>
      <t>Amount of GHGs emission avoided or sequestered (tCO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eq)</t>
    </r>
    <phoneticPr fontId="11" type="noConversion"/>
  </si>
  <si>
    <t>Time interval</t>
    <phoneticPr fontId="11" type="noConversion"/>
  </si>
  <si>
    <t>01/01/2021-31/01/2021</t>
    <phoneticPr fontId="11" type="noConversion"/>
  </si>
  <si>
    <t>01/02/1021-28/02/2021</t>
    <phoneticPr fontId="11" type="noConversion"/>
  </si>
  <si>
    <t>01/03/2021-31/03/3021</t>
    <phoneticPr fontId="11" type="noConversion"/>
  </si>
  <si>
    <t>01/04/2021-30/04/2021</t>
    <phoneticPr fontId="11" type="noConversion"/>
  </si>
  <si>
    <t>01/05/2021-31/05/2021</t>
    <phoneticPr fontId="11" type="noConversion"/>
  </si>
  <si>
    <t>01/06/2021-30/06/2021</t>
    <phoneticPr fontId="11" type="noConversion"/>
  </si>
  <si>
    <t>01/08/2021-31/08/2021</t>
    <phoneticPr fontId="11" type="noConversion"/>
  </si>
  <si>
    <t>01/07/2021-31/07/2021</t>
    <phoneticPr fontId="11" type="noConversion"/>
  </si>
  <si>
    <t>01/09/2021-30/09/2021</t>
    <phoneticPr fontId="11" type="noConversion"/>
  </si>
  <si>
    <t>01/10/2021-31/10/2021</t>
    <phoneticPr fontId="11" type="noConversion"/>
  </si>
  <si>
    <t>01/11/2021-30/11/2021</t>
    <phoneticPr fontId="11" type="noConversion"/>
  </si>
  <si>
    <t>01/12/2021-31/12/2021</t>
    <phoneticPr fontId="11" type="noConversion"/>
  </si>
  <si>
    <t>01/02/2022-28/02/2022</t>
    <phoneticPr fontId="11" type="noConversion"/>
  </si>
  <si>
    <t>01/03/2022-31/03/2022</t>
    <phoneticPr fontId="11" type="noConversion"/>
  </si>
  <si>
    <t>01/01/2021-31/12/2021</t>
    <phoneticPr fontId="0" type="noConversion"/>
  </si>
  <si>
    <t>01/01/2022-31/03/2022</t>
    <phoneticPr fontId="0" type="noConversion"/>
  </si>
  <si>
    <t>01/01/2022-31/01/2022</t>
    <phoneticPr fontId="11" type="noConversion"/>
  </si>
  <si>
    <t>01/01/2021-31/12/2021</t>
    <phoneticPr fontId="11" type="noConversion"/>
  </si>
  <si>
    <t>total</t>
    <phoneticPr fontId="11" type="noConversion"/>
  </si>
  <si>
    <t xml:space="preserve">kg N2O-N/year </t>
    <phoneticPr fontId="0" type="noConversion"/>
  </si>
  <si>
    <t>Swine Farm</t>
    <phoneticPr fontId="19" type="noConversion"/>
  </si>
  <si>
    <t>Wsite-Arithmetic mean</t>
    <phoneticPr fontId="19" type="noConversion"/>
  </si>
  <si>
    <t>NLT</t>
    <phoneticPr fontId="19" type="noConversion"/>
  </si>
  <si>
    <t>Wsite-Arithmetic mean*NLT</t>
    <phoneticPr fontId="19" type="noConversion"/>
  </si>
  <si>
    <t>Market</t>
    <phoneticPr fontId="19" type="noConversion"/>
  </si>
  <si>
    <t>Breeding</t>
    <phoneticPr fontId="19" type="noConversion"/>
  </si>
  <si>
    <t>total</t>
    <phoneticPr fontId="19" type="noConversion"/>
  </si>
  <si>
    <t>Wsite-Weighted average</t>
    <phoneticPr fontId="19" type="noConversion"/>
  </si>
  <si>
    <t>time</t>
    <phoneticPr fontId="11" type="noConversion"/>
  </si>
  <si>
    <t>Weight record</t>
    <phoneticPr fontId="11" type="noConversion"/>
  </si>
  <si>
    <t>Monthly Statistics of the average animal weight of a defined livestock population at the project site (Wsite)</t>
    <phoneticPr fontId="11" type="noConversion"/>
  </si>
  <si>
    <t>Market swine</t>
    <phoneticPr fontId="21" type="noConversion"/>
  </si>
  <si>
    <t>Breeding swine</t>
    <phoneticPr fontId="21" type="noConversion"/>
  </si>
  <si>
    <t>NO.</t>
    <phoneticPr fontId="19" type="noConversion"/>
  </si>
  <si>
    <t>Nursery phase 0-60</t>
    <phoneticPr fontId="22" type="noConversion"/>
  </si>
  <si>
    <t xml:space="preserve">Growing phase 60-130days </t>
    <phoneticPr fontId="22" type="noConversion"/>
  </si>
  <si>
    <t>Mature phase 130-180days</t>
    <phoneticPr fontId="22" type="noConversion"/>
  </si>
  <si>
    <t>Nursery phase  30-70days</t>
    <phoneticPr fontId="22" type="noConversion"/>
  </si>
  <si>
    <t xml:space="preserve">Growing phase  70-220days </t>
    <phoneticPr fontId="22" type="noConversion"/>
  </si>
  <si>
    <t>Mature phase  220-310days</t>
    <phoneticPr fontId="22" type="noConversion"/>
  </si>
  <si>
    <t>subtotal</t>
  </si>
  <si>
    <t>subtotal</t>
    <phoneticPr fontId="0" type="noConversion"/>
  </si>
  <si>
    <t>Huicheng Hengli</t>
    <phoneticPr fontId="11" type="noConversion"/>
  </si>
  <si>
    <t>Dongyuan Huangtian swine Farm</t>
    <phoneticPr fontId="11" type="noConversion"/>
  </si>
  <si>
    <t>Enping Shahu swine  Farm</t>
    <phoneticPr fontId="11" type="noConversion"/>
  </si>
  <si>
    <t>Langtian Yuehui swine Farm</t>
    <phoneticPr fontId="11" type="noConversion"/>
  </si>
  <si>
    <t>Qujiang Fengwan swine Farm</t>
    <phoneticPr fontId="11" type="noConversion"/>
  </si>
  <si>
    <t>Pingyuan Zhongshi swine Farm</t>
    <phoneticPr fontId="11" type="noConversion"/>
  </si>
  <si>
    <t>Yangchun Tanshui swine Farm</t>
    <phoneticPr fontId="11" type="noConversion"/>
  </si>
  <si>
    <t>Xinfeng Shatian swine Farm</t>
    <phoneticPr fontId="11" type="noConversion"/>
  </si>
  <si>
    <t>Kaiping Cangcheng swine Farm</t>
    <phoneticPr fontId="11" type="noConversion"/>
  </si>
  <si>
    <t>20/12/2020-31/12/2020</t>
    <phoneticPr fontId="11" type="noConversion"/>
  </si>
  <si>
    <r>
      <t>N</t>
    </r>
    <r>
      <rPr>
        <vertAlign val="subscript"/>
        <sz val="10"/>
        <rFont val="Verdana"/>
        <family val="2"/>
      </rPr>
      <t>LT</t>
    </r>
    <phoneticPr fontId="11" type="noConversion"/>
  </si>
  <si>
    <r>
      <t>w</t>
    </r>
    <r>
      <rPr>
        <vertAlign val="subscript"/>
        <sz val="10"/>
        <rFont val="Verdana"/>
        <family val="2"/>
      </rPr>
      <t>site</t>
    </r>
    <phoneticPr fontId="11" type="noConversion"/>
  </si>
  <si>
    <r>
      <t>EC</t>
    </r>
    <r>
      <rPr>
        <vertAlign val="subscript"/>
        <sz val="10"/>
        <rFont val="Verdana"/>
        <family val="2"/>
      </rPr>
      <t>PJ,j,y</t>
    </r>
    <r>
      <rPr>
        <sz val="10"/>
        <rFont val="Verdana"/>
        <family val="2"/>
      </rPr>
      <t>(MWh)</t>
    </r>
    <phoneticPr fontId="11" type="noConversion"/>
  </si>
  <si>
    <r>
      <t>Vf1(m</t>
    </r>
    <r>
      <rPr>
        <vertAlign val="superscript"/>
        <sz val="10"/>
        <color theme="1" tint="4.9989318521683403E-2"/>
        <rFont val="Verdana"/>
        <family val="2"/>
      </rPr>
      <t>3</t>
    </r>
    <r>
      <rPr>
        <sz val="10"/>
        <color theme="1" tint="4.9989318521683403E-2"/>
        <rFont val="Verdana"/>
        <family val="2"/>
      </rPr>
      <t>)</t>
    </r>
    <phoneticPr fontId="11" type="noConversion"/>
  </si>
  <si>
    <r>
      <t>Vf2(m</t>
    </r>
    <r>
      <rPr>
        <vertAlign val="superscript"/>
        <sz val="10"/>
        <color theme="1" tint="4.9989318521683403E-2"/>
        <rFont val="Verdana"/>
        <family val="2"/>
      </rPr>
      <t>3</t>
    </r>
    <r>
      <rPr>
        <sz val="10"/>
        <color theme="1" tint="4.9989318521683403E-2"/>
        <rFont val="Verdana"/>
        <family val="2"/>
      </rPr>
      <t>)</t>
    </r>
    <phoneticPr fontId="11" type="noConversion"/>
  </si>
  <si>
    <r>
      <t>T</t>
    </r>
    <r>
      <rPr>
        <vertAlign val="subscript"/>
        <sz val="11"/>
        <color theme="1" tint="4.9989318521683403E-2"/>
        <rFont val="Verdana"/>
        <family val="2"/>
      </rPr>
      <t>t</t>
    </r>
    <r>
      <rPr>
        <sz val="11"/>
        <color theme="1" tint="4.9989318521683403E-2"/>
        <rFont val="Verdana"/>
        <family val="2"/>
      </rPr>
      <t>(°C)</t>
    </r>
    <phoneticPr fontId="11" type="noConversion"/>
  </si>
  <si>
    <r>
      <t>P</t>
    </r>
    <r>
      <rPr>
        <vertAlign val="subscript"/>
        <sz val="11"/>
        <color theme="1" tint="4.9989318521683403E-2"/>
        <rFont val="Verdana"/>
        <family val="2"/>
      </rPr>
      <t>t</t>
    </r>
    <r>
      <rPr>
        <sz val="11"/>
        <color theme="1" tint="4.9989318521683403E-2"/>
        <rFont val="Verdana"/>
        <family val="2"/>
      </rPr>
      <t>(pa)</t>
    </r>
    <phoneticPr fontId="11" type="noConversion"/>
  </si>
  <si>
    <r>
      <t>ρ</t>
    </r>
    <r>
      <rPr>
        <vertAlign val="subscript"/>
        <sz val="10"/>
        <color theme="1" tint="4.9989318521683403E-2"/>
        <rFont val="Verdana"/>
        <family val="2"/>
      </rPr>
      <t>i,n</t>
    </r>
    <r>
      <rPr>
        <sz val="10"/>
        <color theme="1" tint="4.9989318521683403E-2"/>
        <rFont val="Verdana"/>
        <family val="2"/>
      </rPr>
      <t>(t/m3)</t>
    </r>
    <phoneticPr fontId="11" type="noConversion"/>
  </si>
  <si>
    <r>
      <t>V</t>
    </r>
    <r>
      <rPr>
        <vertAlign val="subscript"/>
        <sz val="11"/>
        <color theme="1" tint="4.9989318521683403E-2"/>
        <rFont val="Verdana"/>
        <family val="2"/>
      </rPr>
      <t>i,t,db</t>
    </r>
    <r>
      <rPr>
        <sz val="11"/>
        <color theme="1" tint="4.9989318521683403E-2"/>
        <rFont val="Verdana"/>
        <family val="2"/>
      </rPr>
      <t>(%)</t>
    </r>
    <phoneticPr fontId="11" type="noConversion"/>
  </si>
  <si>
    <r>
      <t>V</t>
    </r>
    <r>
      <rPr>
        <vertAlign val="subscript"/>
        <sz val="11"/>
        <color theme="1" tint="4.9989318521683403E-2"/>
        <rFont val="Verdana"/>
        <family val="2"/>
      </rPr>
      <t>t,db</t>
    </r>
    <r>
      <rPr>
        <sz val="11"/>
        <color theme="1" tint="4.9989318521683403E-2"/>
        <rFont val="Verdana"/>
        <family val="2"/>
      </rPr>
      <t>(m</t>
    </r>
    <r>
      <rPr>
        <vertAlign val="superscript"/>
        <sz val="11"/>
        <color theme="1" tint="4.9989318521683403E-2"/>
        <rFont val="Verdana"/>
        <family val="2"/>
      </rPr>
      <t>3</t>
    </r>
    <r>
      <rPr>
        <sz val="11"/>
        <color theme="1" tint="4.9989318521683403E-2"/>
        <rFont val="Verdana"/>
        <family val="2"/>
      </rPr>
      <t>/month)</t>
    </r>
    <phoneticPr fontId="11" type="noConversion"/>
  </si>
  <si>
    <r>
      <t>Fi,t(t CH</t>
    </r>
    <r>
      <rPr>
        <vertAlign val="subscript"/>
        <sz val="10"/>
        <color theme="1" tint="4.9989318521683403E-2"/>
        <rFont val="Verdana"/>
        <family val="2"/>
      </rPr>
      <t>4</t>
    </r>
    <r>
      <rPr>
        <sz val="10"/>
        <color theme="1" tint="4.9989318521683403E-2"/>
        <rFont val="Verdana"/>
        <family val="2"/>
      </rPr>
      <t>/month)</t>
    </r>
    <phoneticPr fontId="11" type="noConversion"/>
  </si>
  <si>
    <t>GS 11335</t>
    <phoneticPr fontId="15" type="noConversion"/>
  </si>
  <si>
    <t>Shuangbaotai Animal Manure Management System GHG Mitigation Project in Guangdong Province</t>
    <phoneticPr fontId="11" type="noConversion"/>
  </si>
  <si>
    <t>10/12/2020 - 31/03/2022 (both days included)</t>
    <phoneticPr fontId="15" type="noConversion"/>
  </si>
  <si>
    <r>
      <t>18 full time jobs created</t>
    </r>
    <r>
      <rPr>
        <sz val="11"/>
        <rFont val="宋体"/>
        <family val="2"/>
        <charset val="134"/>
      </rPr>
      <t>，</t>
    </r>
    <r>
      <rPr>
        <sz val="11"/>
        <rFont val="Verdana"/>
        <family val="2"/>
      </rPr>
      <t>including 9 females and 9 males</t>
    </r>
    <phoneticPr fontId="11" type="noConversion"/>
  </si>
  <si>
    <r>
      <t>GWP</t>
    </r>
    <r>
      <rPr>
        <i/>
        <vertAlign val="subscript"/>
        <sz val="10"/>
        <color indexed="8"/>
        <rFont val="Verdana"/>
        <family val="2"/>
      </rPr>
      <t>CH4</t>
    </r>
  </si>
  <si>
    <r>
      <t>tCO</t>
    </r>
    <r>
      <rPr>
        <vertAlign val="subscript"/>
        <sz val="10"/>
        <color indexed="8"/>
        <rFont val="Verdana"/>
        <family val="2"/>
      </rPr>
      <t>2</t>
    </r>
    <r>
      <rPr>
        <sz val="10"/>
        <color indexed="8"/>
        <rFont val="Verdana"/>
        <family val="2"/>
      </rPr>
      <t>/tCH</t>
    </r>
    <r>
      <rPr>
        <vertAlign val="subscript"/>
        <sz val="10"/>
        <color indexed="8"/>
        <rFont val="Verdana"/>
        <family val="2"/>
      </rPr>
      <t>4</t>
    </r>
    <phoneticPr fontId="11" type="noConversion"/>
  </si>
  <si>
    <r>
      <t>D</t>
    </r>
    <r>
      <rPr>
        <i/>
        <vertAlign val="subscript"/>
        <sz val="10"/>
        <color indexed="8"/>
        <rFont val="Verdana"/>
        <family val="2"/>
      </rPr>
      <t>CH4</t>
    </r>
  </si>
  <si>
    <r>
      <t>MCF</t>
    </r>
    <r>
      <rPr>
        <vertAlign val="subscript"/>
        <sz val="10"/>
        <color indexed="8"/>
        <rFont val="Verdana"/>
        <family val="2"/>
      </rPr>
      <t>j</t>
    </r>
    <phoneticPr fontId="0" type="noConversion"/>
  </si>
  <si>
    <r>
      <t>B</t>
    </r>
    <r>
      <rPr>
        <i/>
        <vertAlign val="subscript"/>
        <sz val="8"/>
        <color indexed="8"/>
        <rFont val="Verdana"/>
        <family val="2"/>
      </rPr>
      <t>o,LT</t>
    </r>
    <phoneticPr fontId="0" type="noConversion"/>
  </si>
  <si>
    <r>
      <t>m</t>
    </r>
    <r>
      <rPr>
        <vertAlign val="superscript"/>
        <sz val="10"/>
        <color indexed="8"/>
        <rFont val="Verdana"/>
        <family val="2"/>
      </rPr>
      <t>3</t>
    </r>
    <r>
      <rPr>
        <sz val="10"/>
        <color indexed="8"/>
        <rFont val="Verdana"/>
        <family val="2"/>
      </rPr>
      <t xml:space="preserve"> CH</t>
    </r>
    <r>
      <rPr>
        <vertAlign val="subscript"/>
        <sz val="10"/>
        <color indexed="8"/>
        <rFont val="Verdana"/>
        <family val="2"/>
      </rPr>
      <t>4</t>
    </r>
    <r>
      <rPr>
        <sz val="10"/>
        <color indexed="8"/>
        <rFont val="Verdana"/>
        <family val="2"/>
      </rPr>
      <t xml:space="preserve"> /kg-dm</t>
    </r>
    <phoneticPr fontId="11" type="noConversion"/>
  </si>
  <si>
    <r>
      <t>N</t>
    </r>
    <r>
      <rPr>
        <vertAlign val="subscript"/>
        <sz val="8"/>
        <color indexed="8"/>
        <rFont val="Verdana"/>
        <family val="2"/>
      </rPr>
      <t>LT</t>
    </r>
    <phoneticPr fontId="0" type="noConversion"/>
  </si>
  <si>
    <r>
      <t>W</t>
    </r>
    <r>
      <rPr>
        <i/>
        <vertAlign val="subscript"/>
        <sz val="8"/>
        <rFont val="Verdana"/>
        <family val="2"/>
      </rPr>
      <t>site</t>
    </r>
    <phoneticPr fontId="0" type="noConversion"/>
  </si>
  <si>
    <r>
      <t>W</t>
    </r>
    <r>
      <rPr>
        <vertAlign val="subscript"/>
        <sz val="10"/>
        <color indexed="8"/>
        <rFont val="Verdana"/>
        <family val="2"/>
      </rPr>
      <t>default</t>
    </r>
    <phoneticPr fontId="0" type="noConversion"/>
  </si>
  <si>
    <r>
      <t>VS</t>
    </r>
    <r>
      <rPr>
        <sz val="8"/>
        <color indexed="8"/>
        <rFont val="Verdana"/>
        <family val="2"/>
      </rPr>
      <t>default</t>
    </r>
  </si>
  <si>
    <r>
      <t>VS</t>
    </r>
    <r>
      <rPr>
        <vertAlign val="subscript"/>
        <sz val="8"/>
        <color indexed="8"/>
        <rFont val="Verdana"/>
        <family val="2"/>
      </rPr>
      <t>LT,y</t>
    </r>
    <phoneticPr fontId="0" type="noConversion"/>
  </si>
  <si>
    <r>
      <t>MS%</t>
    </r>
    <r>
      <rPr>
        <vertAlign val="subscript"/>
        <sz val="8"/>
        <color indexed="8"/>
        <rFont val="Verdana"/>
        <family val="2"/>
      </rPr>
      <t>Bl,j</t>
    </r>
    <phoneticPr fontId="0" type="noConversion"/>
  </si>
  <si>
    <r>
      <t>BE</t>
    </r>
    <r>
      <rPr>
        <vertAlign val="subscript"/>
        <sz val="10"/>
        <color rgb="FF000000"/>
        <rFont val="Verdana"/>
        <family val="2"/>
      </rPr>
      <t>CH4</t>
    </r>
    <r>
      <rPr>
        <sz val="10"/>
        <color indexed="8"/>
        <rFont val="Verdana"/>
        <family val="2"/>
      </rPr>
      <t>-monthy</t>
    </r>
    <phoneticPr fontId="11" type="noConversion"/>
  </si>
  <si>
    <r>
      <t>tCO</t>
    </r>
    <r>
      <rPr>
        <vertAlign val="subscript"/>
        <sz val="10"/>
        <color indexed="8"/>
        <rFont val="Verdana"/>
        <family val="2"/>
      </rPr>
      <t>2</t>
    </r>
    <r>
      <rPr>
        <sz val="10"/>
        <color indexed="8"/>
        <rFont val="Verdana"/>
        <family val="2"/>
      </rPr>
      <t>e</t>
    </r>
    <phoneticPr fontId="0" type="noConversion"/>
  </si>
  <si>
    <r>
      <t>tCO</t>
    </r>
    <r>
      <rPr>
        <vertAlign val="subscript"/>
        <sz val="10"/>
        <color indexed="8"/>
        <rFont val="Verdana"/>
        <family val="2"/>
      </rPr>
      <t>2e</t>
    </r>
    <r>
      <rPr>
        <sz val="10"/>
        <color indexed="8"/>
        <rFont val="Arial"/>
        <family val="2"/>
      </rPr>
      <t/>
    </r>
  </si>
  <si>
    <r>
      <t>BE</t>
    </r>
    <r>
      <rPr>
        <b/>
        <sz val="8"/>
        <color indexed="8"/>
        <rFont val="Verdana"/>
        <family val="2"/>
      </rPr>
      <t xml:space="preserve">CH4,y </t>
    </r>
    <phoneticPr fontId="0" type="noConversion"/>
  </si>
  <si>
    <r>
      <t>EF</t>
    </r>
    <r>
      <rPr>
        <i/>
        <vertAlign val="subscript"/>
        <sz val="10"/>
        <rFont val="Verdana"/>
        <family val="2"/>
      </rPr>
      <t>N2O,D,j</t>
    </r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</si>
  <si>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</t>
    </r>
    <phoneticPr fontId="0" type="noConversion"/>
  </si>
  <si>
    <r>
      <t>N</t>
    </r>
    <r>
      <rPr>
        <i/>
        <vertAlign val="subscript"/>
        <sz val="10"/>
        <rFont val="Verdana"/>
        <family val="2"/>
      </rPr>
      <t>rate(T)</t>
    </r>
    <phoneticPr fontId="0" type="noConversion"/>
  </si>
  <si>
    <r>
      <t>NEX</t>
    </r>
    <r>
      <rPr>
        <i/>
        <vertAlign val="subscript"/>
        <sz val="8"/>
        <rFont val="Verdana"/>
        <family val="2"/>
      </rPr>
      <t>IPCCdefault</t>
    </r>
    <phoneticPr fontId="0" type="noConversion"/>
  </si>
  <si>
    <r>
      <t>W</t>
    </r>
    <r>
      <rPr>
        <i/>
        <vertAlign val="subscript"/>
        <sz val="8"/>
        <rFont val="Verdana"/>
        <family val="2"/>
      </rPr>
      <t>default</t>
    </r>
    <phoneticPr fontId="0" type="noConversion"/>
  </si>
  <si>
    <r>
      <t>NEX</t>
    </r>
    <r>
      <rPr>
        <i/>
        <vertAlign val="subscript"/>
        <sz val="10"/>
        <rFont val="Verdana"/>
        <family val="2"/>
      </rPr>
      <t>LT,y</t>
    </r>
    <phoneticPr fontId="0" type="noConversion"/>
  </si>
  <si>
    <r>
      <t>N</t>
    </r>
    <r>
      <rPr>
        <i/>
        <vertAlign val="subscript"/>
        <sz val="8"/>
        <rFont val="Verdana"/>
        <family val="2"/>
      </rPr>
      <t>LT</t>
    </r>
    <phoneticPr fontId="0" type="noConversion"/>
  </si>
  <si>
    <r>
      <t>E</t>
    </r>
    <r>
      <rPr>
        <b/>
        <vertAlign val="subscript"/>
        <sz val="10"/>
        <rFont val="Verdana"/>
        <family val="2"/>
      </rPr>
      <t>N2O,D,y</t>
    </r>
    <r>
      <rPr>
        <b/>
        <sz val="10"/>
        <rFont val="Verdana"/>
        <family val="2"/>
      </rPr>
      <t>-monthly</t>
    </r>
    <phoneticPr fontId="11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</si>
  <si>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O-N/year</t>
    </r>
    <phoneticPr fontId="11" type="noConversion"/>
  </si>
  <si>
    <r>
      <t>E</t>
    </r>
    <r>
      <rPr>
        <b/>
        <vertAlign val="subscript"/>
        <sz val="10"/>
        <rFont val="Verdana"/>
        <family val="2"/>
      </rPr>
      <t>N2O,D,y</t>
    </r>
    <phoneticPr fontId="0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</si>
  <si>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O-N/year</t>
    </r>
    <phoneticPr fontId="0" type="noConversion"/>
  </si>
  <si>
    <r>
      <t>EF</t>
    </r>
    <r>
      <rPr>
        <i/>
        <vertAlign val="subscript"/>
        <sz val="10"/>
        <rFont val="Verdana"/>
        <family val="2"/>
      </rPr>
      <t>N2O,ID,j</t>
    </r>
    <phoneticPr fontId="0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</si>
  <si>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O/kg N</t>
    </r>
    <phoneticPr fontId="0" type="noConversion"/>
  </si>
  <si>
    <r>
      <t>F</t>
    </r>
    <r>
      <rPr>
        <i/>
        <vertAlign val="subscript"/>
        <sz val="10"/>
        <rFont val="Verdana"/>
        <family val="2"/>
      </rPr>
      <t>gasMS,j,LT</t>
    </r>
    <phoneticPr fontId="0" type="noConversion"/>
  </si>
  <si>
    <r>
      <t>NEX</t>
    </r>
    <r>
      <rPr>
        <vertAlign val="subscript"/>
        <sz val="8"/>
        <rFont val="Verdana"/>
        <family val="2"/>
      </rPr>
      <t>LT</t>
    </r>
    <r>
      <rPr>
        <vertAlign val="subscript"/>
        <sz val="10"/>
        <rFont val="Verdana"/>
        <family val="2"/>
      </rPr>
      <t>,y</t>
    </r>
    <phoneticPr fontId="0" type="noConversion"/>
  </si>
  <si>
    <r>
      <t>GWP</t>
    </r>
    <r>
      <rPr>
        <vertAlign val="subscript"/>
        <sz val="10"/>
        <rFont val="Verdana"/>
        <family val="2"/>
      </rPr>
      <t>N2O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</si>
  <si>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11" type="noConversion"/>
  </si>
  <si>
    <r>
      <t>CF</t>
    </r>
    <r>
      <rPr>
        <vertAlign val="subscript"/>
        <sz val="10"/>
        <rFont val="Verdana"/>
        <family val="2"/>
      </rPr>
      <t>N20,N-N</t>
    </r>
    <phoneticPr fontId="0" type="noConversion"/>
  </si>
  <si>
    <r>
      <t>Conversion Factor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 to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0" type="noConversion"/>
  </si>
  <si>
    <r>
      <t>E</t>
    </r>
    <r>
      <rPr>
        <vertAlign val="subscript"/>
        <sz val="10"/>
        <rFont val="Verdana"/>
        <family val="2"/>
      </rPr>
      <t>N2O,ID,y</t>
    </r>
    <r>
      <rPr>
        <sz val="10"/>
        <rFont val="Verdana"/>
        <family val="2"/>
      </rPr>
      <t>-monthly</t>
    </r>
    <phoneticPr fontId="11" type="noConversion"/>
  </si>
  <si>
    <r>
      <t>E</t>
    </r>
    <r>
      <rPr>
        <b/>
        <vertAlign val="subscript"/>
        <sz val="10"/>
        <rFont val="Verdana"/>
        <family val="2"/>
      </rPr>
      <t>N2O,ID,y</t>
    </r>
    <phoneticPr fontId="0" type="noConversion"/>
  </si>
  <si>
    <r>
      <t>BE</t>
    </r>
    <r>
      <rPr>
        <i/>
        <vertAlign val="subscript"/>
        <sz val="8"/>
        <rFont val="Verdana"/>
        <family val="2"/>
      </rPr>
      <t>N2O,y</t>
    </r>
    <r>
      <rPr>
        <i/>
        <sz val="8"/>
        <rFont val="Verdana"/>
        <family val="2"/>
      </rPr>
      <t xml:space="preserve"> </t>
    </r>
    <r>
      <rPr>
        <b/>
        <sz val="10"/>
        <rFont val="Verdana"/>
        <family val="2"/>
      </rPr>
      <t>= GWP</t>
    </r>
    <r>
      <rPr>
        <b/>
        <vertAlign val="subscript"/>
        <sz val="8"/>
        <rFont val="Verdana"/>
        <family val="2"/>
      </rPr>
      <t>N2O</t>
    </r>
    <r>
      <rPr>
        <b/>
        <sz val="10"/>
        <rFont val="Verdana"/>
        <family val="2"/>
      </rPr>
      <t>*CF</t>
    </r>
    <r>
      <rPr>
        <b/>
        <vertAlign val="subscript"/>
        <sz val="8"/>
        <rFont val="Verdana"/>
        <family val="2"/>
      </rPr>
      <t>N2O-N,N</t>
    </r>
    <r>
      <rPr>
        <b/>
        <sz val="10"/>
        <rFont val="Verdana"/>
        <family val="2"/>
      </rPr>
      <t>* 1/1000*(E</t>
    </r>
    <r>
      <rPr>
        <b/>
        <vertAlign val="subscript"/>
        <sz val="8"/>
        <rFont val="Verdana"/>
        <family val="2"/>
      </rPr>
      <t>N2O,D,y</t>
    </r>
    <r>
      <rPr>
        <b/>
        <sz val="10"/>
        <rFont val="Verdana"/>
        <family val="2"/>
      </rPr>
      <t xml:space="preserve"> + E</t>
    </r>
    <r>
      <rPr>
        <b/>
        <vertAlign val="subscript"/>
        <sz val="8"/>
        <rFont val="Verdana"/>
        <family val="2"/>
      </rPr>
      <t>N2O,ID,y</t>
    </r>
    <r>
      <rPr>
        <b/>
        <sz val="10"/>
        <rFont val="Verdana"/>
        <family val="2"/>
      </rPr>
      <t>) =</t>
    </r>
    <phoneticPr fontId="0" type="noConversion"/>
  </si>
  <si>
    <r>
      <t xml:space="preserve"> BE</t>
    </r>
    <r>
      <rPr>
        <b/>
        <sz val="8"/>
        <rFont val="Verdana"/>
        <family val="2"/>
      </rPr>
      <t xml:space="preserve">CH4,y </t>
    </r>
    <r>
      <rPr>
        <b/>
        <sz val="10"/>
        <rFont val="Verdana"/>
        <family val="2"/>
      </rPr>
      <t>+ BE</t>
    </r>
    <r>
      <rPr>
        <b/>
        <sz val="8"/>
        <rFont val="Verdana"/>
        <family val="2"/>
      </rPr>
      <t>N2O</t>
    </r>
    <r>
      <rPr>
        <b/>
        <sz val="10"/>
        <rFont val="Verdana"/>
        <family val="2"/>
      </rPr>
      <t xml:space="preserve"> </t>
    </r>
    <r>
      <rPr>
        <b/>
        <sz val="8"/>
        <rFont val="Verdana"/>
        <family val="2"/>
      </rPr>
      <t xml:space="preserve"> =</t>
    </r>
    <phoneticPr fontId="0" type="noConversion"/>
  </si>
  <si>
    <t>20/12/2020-31/12/2020</t>
    <phoneticPr fontId="0" type="noConversion"/>
  </si>
  <si>
    <r>
      <t>Baseline Emission (tCO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e)</t>
    </r>
    <phoneticPr fontId="11" type="noConversion"/>
  </si>
  <si>
    <r>
      <t>Project Emisson (tCO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e)</t>
    </r>
    <phoneticPr fontId="11" type="noConversion"/>
  </si>
  <si>
    <r>
      <t>Leakage Emisson (tCO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e)</t>
    </r>
    <phoneticPr fontId="11" type="noConversion"/>
  </si>
  <si>
    <r>
      <t>Emission Reductions(tCO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e)</t>
    </r>
    <phoneticPr fontId="11" type="noConversion"/>
  </si>
  <si>
    <r>
      <t>N</t>
    </r>
    <r>
      <rPr>
        <vertAlign val="subscript"/>
        <sz val="8"/>
        <rFont val="Verdana"/>
        <family val="2"/>
      </rPr>
      <t>LT</t>
    </r>
    <phoneticPr fontId="0" type="noConversion"/>
  </si>
  <si>
    <r>
      <t>NEX</t>
    </r>
    <r>
      <rPr>
        <vertAlign val="subscript"/>
        <sz val="8"/>
        <rFont val="Verdana"/>
        <family val="2"/>
      </rPr>
      <t>LT,y</t>
    </r>
    <phoneticPr fontId="0" type="noConversion"/>
  </si>
  <si>
    <r>
      <t>R</t>
    </r>
    <r>
      <rPr>
        <i/>
        <vertAlign val="subscript"/>
        <sz val="8"/>
        <rFont val="Verdana"/>
        <family val="2"/>
      </rPr>
      <t>N,n</t>
    </r>
    <phoneticPr fontId="11" type="noConversion"/>
  </si>
  <si>
    <r>
      <t>KgN-N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NH</t>
    </r>
    <r>
      <rPr>
        <vertAlign val="subscript"/>
        <sz val="10"/>
        <rFont val="Verdana"/>
        <family val="2"/>
      </rPr>
      <t>3</t>
    </r>
    <r>
      <rPr>
        <sz val="10"/>
        <rFont val="Verdana"/>
        <family val="2"/>
      </rPr>
      <t>-N+NO</t>
    </r>
    <r>
      <rPr>
        <vertAlign val="subscript"/>
        <sz val="10"/>
        <rFont val="Verdana"/>
        <family val="2"/>
      </rPr>
      <t>X</t>
    </r>
    <r>
      <rPr>
        <sz val="10"/>
        <rFont val="Verdana"/>
        <family val="2"/>
      </rPr>
      <t>-N</t>
    </r>
    <phoneticPr fontId="0" type="noConversion"/>
  </si>
  <si>
    <r>
      <t>F</t>
    </r>
    <r>
      <rPr>
        <vertAlign val="subscript"/>
        <sz val="10"/>
        <rFont val="Verdana"/>
        <family val="2"/>
      </rPr>
      <t>leach</t>
    </r>
    <phoneticPr fontId="11" type="noConversion"/>
  </si>
  <si>
    <r>
      <t>F</t>
    </r>
    <r>
      <rPr>
        <vertAlign val="subscript"/>
        <sz val="10"/>
        <rFont val="Verdana"/>
        <family val="2"/>
      </rPr>
      <t>gasm</t>
    </r>
    <phoneticPr fontId="11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</si>
  <si>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0" type="noConversion"/>
  </si>
  <si>
    <r>
      <t>LE</t>
    </r>
    <r>
      <rPr>
        <vertAlign val="subscript"/>
        <sz val="8"/>
        <rFont val="Verdana"/>
        <family val="2"/>
      </rPr>
      <t>N2O,land</t>
    </r>
    <r>
      <rPr>
        <vertAlign val="subscript"/>
        <sz val="10"/>
        <rFont val="Verdana"/>
        <family val="2"/>
      </rPr>
      <t>,y</t>
    </r>
    <r>
      <rPr>
        <b/>
        <sz val="10"/>
        <rFont val="Verdana"/>
        <family val="2"/>
      </rPr>
      <t>-monthly</t>
    </r>
    <phoneticPr fontId="0" type="noConversion"/>
  </si>
  <si>
    <r>
      <t xml:space="preserve"> 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 xml:space="preserve">O-N/year </t>
    </r>
    <phoneticPr fontId="0" type="noConversion"/>
  </si>
  <si>
    <r>
      <t>LE</t>
    </r>
    <r>
      <rPr>
        <vertAlign val="subscript"/>
        <sz val="8"/>
        <rFont val="Verdana"/>
        <family val="2"/>
      </rPr>
      <t>N2O,runoff</t>
    </r>
    <r>
      <rPr>
        <vertAlign val="subscript"/>
        <sz val="10"/>
        <rFont val="Verdana"/>
        <family val="2"/>
      </rPr>
      <t>,y</t>
    </r>
    <r>
      <rPr>
        <b/>
        <sz val="10"/>
        <rFont val="Verdana"/>
        <family val="2"/>
      </rPr>
      <t>-monthly</t>
    </r>
    <phoneticPr fontId="0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</si>
  <si>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 xml:space="preserve">O-N/year </t>
    </r>
    <phoneticPr fontId="0" type="noConversion"/>
  </si>
  <si>
    <r>
      <t>LE</t>
    </r>
    <r>
      <rPr>
        <vertAlign val="subscript"/>
        <sz val="8"/>
        <rFont val="Verdana"/>
        <family val="2"/>
      </rPr>
      <t>N2O,vol</t>
    </r>
    <r>
      <rPr>
        <vertAlign val="subscript"/>
        <sz val="10"/>
        <rFont val="Verdana"/>
        <family val="2"/>
      </rPr>
      <t>,y</t>
    </r>
    <r>
      <rPr>
        <b/>
        <sz val="10"/>
        <rFont val="Verdana"/>
        <family val="2"/>
      </rPr>
      <t>-monthly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</si>
  <si>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e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</si>
  <si>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BL,N2O,y</t>
    </r>
    <phoneticPr fontId="0" type="noConversion"/>
  </si>
  <si>
    <r>
      <t>R</t>
    </r>
    <r>
      <rPr>
        <i/>
        <sz val="8"/>
        <rFont val="Verdana"/>
        <family val="2"/>
      </rPr>
      <t>N</t>
    </r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</si>
  <si>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</t>
    </r>
    <phoneticPr fontId="11" type="noConversion"/>
  </si>
  <si>
    <r>
      <t>LE</t>
    </r>
    <r>
      <rPr>
        <b/>
        <vertAlign val="subscript"/>
        <sz val="10"/>
        <rFont val="Verdana"/>
        <family val="2"/>
      </rPr>
      <t>N2O,land,y</t>
    </r>
    <r>
      <rPr>
        <b/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</si>
  <si>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N2O,runoff,y</t>
    </r>
    <r>
      <rPr>
        <b/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</si>
  <si>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N2O,vol</t>
    </r>
    <r>
      <rPr>
        <b/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</si>
  <si>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PJ,N2O,y</t>
    </r>
    <phoneticPr fontId="0" type="noConversion"/>
  </si>
  <si>
    <r>
      <t>GWP</t>
    </r>
    <r>
      <rPr>
        <sz val="8"/>
        <rFont val="Verdana"/>
        <family val="2"/>
      </rPr>
      <t>CH4</t>
    </r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</si>
  <si>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 CH</t>
    </r>
    <r>
      <rPr>
        <vertAlign val="subscript"/>
        <sz val="10"/>
        <rFont val="Verdana"/>
        <family val="2"/>
      </rPr>
      <t>4</t>
    </r>
    <phoneticPr fontId="0" type="noConversion"/>
  </si>
  <si>
    <r>
      <t>D</t>
    </r>
    <r>
      <rPr>
        <sz val="8"/>
        <rFont val="Verdana"/>
        <family val="2"/>
      </rPr>
      <t>CH4</t>
    </r>
  </si>
  <si>
    <r>
      <t>t/m</t>
    </r>
    <r>
      <rPr>
        <vertAlign val="superscript"/>
        <sz val="10"/>
        <rFont val="Verdana"/>
        <family val="2"/>
      </rPr>
      <t>3</t>
    </r>
    <phoneticPr fontId="0" type="noConversion"/>
  </si>
  <si>
    <r>
      <t>VS</t>
    </r>
    <r>
      <rPr>
        <sz val="8"/>
        <rFont val="Verdana"/>
        <family val="2"/>
      </rPr>
      <t>LT,y</t>
    </r>
  </si>
  <si>
    <r>
      <t>B</t>
    </r>
    <r>
      <rPr>
        <vertAlign val="subscript"/>
        <sz val="10"/>
        <rFont val="Verdana"/>
        <family val="2"/>
      </rPr>
      <t>0,LT</t>
    </r>
    <phoneticPr fontId="11" type="noConversion"/>
  </si>
  <si>
    <r>
      <t>m</t>
    </r>
    <r>
      <rPr>
        <vertAlign val="superscript"/>
        <sz val="10"/>
        <rFont val="Verdana"/>
        <family val="2"/>
      </rPr>
      <t>3</t>
    </r>
    <r>
      <rPr>
        <sz val="10"/>
        <rFont val="Verdana"/>
        <family val="2"/>
      </rPr>
      <t xml:space="preserve"> CH4/kg-dm</t>
    </r>
    <phoneticPr fontId="0" type="noConversion"/>
  </si>
  <si>
    <r>
      <t>R</t>
    </r>
    <r>
      <rPr>
        <vertAlign val="subscript"/>
        <sz val="10"/>
        <rFont val="Verdana"/>
        <family val="2"/>
      </rPr>
      <t xml:space="preserve">VS </t>
    </r>
    <phoneticPr fontId="11" type="noConversion"/>
  </si>
  <si>
    <r>
      <t>LE</t>
    </r>
    <r>
      <rPr>
        <vertAlign val="subscript"/>
        <sz val="10"/>
        <rFont val="Verdana"/>
        <family val="2"/>
      </rPr>
      <t>BL,CH4,y</t>
    </r>
    <r>
      <rPr>
        <sz val="10"/>
        <rFont val="Verdana"/>
        <family val="2"/>
      </rPr>
      <t>-monthly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</si>
  <si>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BL,CH4,y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</si>
  <si>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/tCH</t>
    </r>
    <r>
      <rPr>
        <vertAlign val="subscript"/>
        <sz val="10"/>
        <rFont val="Verdana"/>
        <family val="2"/>
      </rPr>
      <t>4</t>
    </r>
    <phoneticPr fontId="0" type="noConversion"/>
  </si>
  <si>
    <r>
      <t>B</t>
    </r>
    <r>
      <rPr>
        <vertAlign val="subscript"/>
        <sz val="10"/>
        <rFont val="Verdana"/>
        <family val="2"/>
      </rPr>
      <t>o,LT</t>
    </r>
    <phoneticPr fontId="0" type="noConversion"/>
  </si>
  <si>
    <r>
      <t>R</t>
    </r>
    <r>
      <rPr>
        <sz val="8"/>
        <rFont val="Verdana"/>
        <family val="2"/>
      </rPr>
      <t>VS</t>
    </r>
  </si>
  <si>
    <r>
      <t>LE</t>
    </r>
    <r>
      <rPr>
        <vertAlign val="subscript"/>
        <sz val="10"/>
        <rFont val="Verdana"/>
        <family val="2"/>
      </rPr>
      <t>PJ,CH4 ,y</t>
    </r>
    <r>
      <rPr>
        <sz val="10"/>
        <rFont val="Verdana"/>
        <family val="2"/>
      </rPr>
      <t>-monthly</t>
    </r>
    <phoneticPr fontId="0" type="noConversion"/>
  </si>
  <si>
    <r>
      <t xml:space="preserve">LE </t>
    </r>
    <r>
      <rPr>
        <b/>
        <vertAlign val="subscript"/>
        <sz val="10"/>
        <rFont val="Verdana"/>
        <family val="2"/>
      </rPr>
      <t>PJ,CH4 ,y</t>
    </r>
    <phoneticPr fontId="0" type="noConversion"/>
  </si>
  <si>
    <r>
      <t>LE</t>
    </r>
    <r>
      <rPr>
        <b/>
        <vertAlign val="subscript"/>
        <sz val="10"/>
        <rFont val="Verdana"/>
        <family val="2"/>
      </rPr>
      <t>PJ,CH4,y</t>
    </r>
    <phoneticPr fontId="0" type="noConversion"/>
  </si>
  <si>
    <r>
      <t>a. LE</t>
    </r>
    <r>
      <rPr>
        <i/>
        <sz val="8"/>
        <color indexed="9"/>
        <rFont val="Verdana"/>
        <family val="2"/>
      </rPr>
      <t xml:space="preserve">B,CH4 </t>
    </r>
    <r>
      <rPr>
        <b/>
        <sz val="10"/>
        <color indexed="9"/>
        <rFont val="Verdana"/>
        <family val="2"/>
      </rPr>
      <t>CH4- land application</t>
    </r>
  </si>
  <si>
    <r>
      <t>VS</t>
    </r>
    <r>
      <rPr>
        <i/>
        <sz val="8"/>
        <color indexed="9"/>
        <rFont val="Verdana"/>
        <family val="2"/>
      </rPr>
      <t>LT,M</t>
    </r>
  </si>
  <si>
    <r>
      <t>N</t>
    </r>
    <r>
      <rPr>
        <i/>
        <vertAlign val="subscript"/>
        <sz val="10"/>
        <color indexed="9"/>
        <rFont val="Verdana"/>
        <family val="2"/>
      </rPr>
      <t>population(head, animal population)</t>
    </r>
  </si>
  <si>
    <r>
      <t>B</t>
    </r>
    <r>
      <rPr>
        <i/>
        <sz val="8"/>
        <color indexed="9"/>
        <rFont val="Verdana"/>
        <family val="2"/>
      </rPr>
      <t>0,LT</t>
    </r>
  </si>
  <si>
    <r>
      <t>EC</t>
    </r>
    <r>
      <rPr>
        <vertAlign val="subscript"/>
        <sz val="10"/>
        <rFont val="Verdana"/>
        <family val="2"/>
      </rPr>
      <t>PJ,j,y</t>
    </r>
    <phoneticPr fontId="0" type="noConversion"/>
  </si>
  <si>
    <r>
      <t>EF</t>
    </r>
    <r>
      <rPr>
        <vertAlign val="subscript"/>
        <sz val="10"/>
        <rFont val="Verdana"/>
        <family val="2"/>
      </rPr>
      <t>EF,j,y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</si>
  <si>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/MWh</t>
    </r>
    <phoneticPr fontId="0" type="noConversion"/>
  </si>
  <si>
    <r>
      <t>TDL</t>
    </r>
    <r>
      <rPr>
        <vertAlign val="subscript"/>
        <sz val="10"/>
        <rFont val="Verdana"/>
        <family val="2"/>
      </rPr>
      <t>j,y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</si>
  <si>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EC,y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</si>
  <si>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FC,y</t>
    </r>
    <phoneticPr fontId="0" type="noConversion"/>
  </si>
  <si>
    <r>
      <t>GWP</t>
    </r>
    <r>
      <rPr>
        <i/>
        <vertAlign val="subscript"/>
        <sz val="10"/>
        <color indexed="8"/>
        <rFont val="Verdana"/>
        <family val="2"/>
      </rPr>
      <t>CH4</t>
    </r>
    <phoneticPr fontId="0" type="noConversion"/>
  </si>
  <si>
    <r>
      <t>EF</t>
    </r>
    <r>
      <rPr>
        <i/>
        <vertAlign val="subscript"/>
        <sz val="10"/>
        <color indexed="8"/>
        <rFont val="Verdana"/>
        <family val="2"/>
      </rPr>
      <t>CH4,default</t>
    </r>
    <phoneticPr fontId="0" type="noConversion"/>
  </si>
  <si>
    <r>
      <t>tCH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 xml:space="preserve"> leaked / tCH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 xml:space="preserve"> produced</t>
    </r>
    <phoneticPr fontId="0" type="noConversion"/>
  </si>
  <si>
    <r>
      <t>Q</t>
    </r>
    <r>
      <rPr>
        <vertAlign val="subscript"/>
        <sz val="10"/>
        <rFont val="Verdana"/>
        <family val="2"/>
      </rPr>
      <t>CH4,y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</si>
  <si>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CH4,y</t>
    </r>
    <phoneticPr fontId="0" type="noConversion"/>
  </si>
  <si>
    <r>
      <t>F</t>
    </r>
    <r>
      <rPr>
        <vertAlign val="subscript"/>
        <sz val="10"/>
        <rFont val="Verdana"/>
        <family val="2"/>
      </rPr>
      <t>CH4,RG,m</t>
    </r>
    <phoneticPr fontId="11" type="noConversion"/>
  </si>
  <si>
    <r>
      <t>η</t>
    </r>
    <r>
      <rPr>
        <vertAlign val="subscript"/>
        <sz val="10"/>
        <color indexed="8"/>
        <rFont val="Verdana"/>
        <family val="2"/>
      </rPr>
      <t>flare,m</t>
    </r>
    <phoneticPr fontId="0" type="noConversion"/>
  </si>
  <si>
    <r>
      <t>PE</t>
    </r>
    <r>
      <rPr>
        <vertAlign val="subscript"/>
        <sz val="10"/>
        <color indexed="8"/>
        <rFont val="Verdana"/>
        <family val="2"/>
      </rPr>
      <t>flare,y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</si>
  <si>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e</t>
    </r>
    <phoneticPr fontId="11" type="noConversion"/>
  </si>
  <si>
    <r>
      <t>PE</t>
    </r>
    <r>
      <rPr>
        <b/>
        <vertAlign val="subscript"/>
        <sz val="10"/>
        <rFont val="Verdana"/>
        <family val="2"/>
      </rPr>
      <t>AD</t>
    </r>
    <phoneticPr fontId="0" type="noConversion"/>
  </si>
  <si>
    <r>
      <t>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</t>
    </r>
    <phoneticPr fontId="11" type="noConversion"/>
  </si>
  <si>
    <r>
      <t>ii) Methane emissions from aerobic AWMS treatment (PE</t>
    </r>
    <r>
      <rPr>
        <vertAlign val="subscript"/>
        <sz val="10"/>
        <rFont val="Verdana"/>
        <family val="2"/>
      </rPr>
      <t>Aer, y</t>
    </r>
    <r>
      <rPr>
        <sz val="10"/>
        <rFont val="Verdana"/>
        <family val="2"/>
      </rPr>
      <t>):</t>
    </r>
    <phoneticPr fontId="11" type="noConversion"/>
  </si>
  <si>
    <r>
      <t>GWP</t>
    </r>
    <r>
      <rPr>
        <vertAlign val="subscript"/>
        <sz val="10"/>
        <rFont val="Verdana"/>
        <family val="2"/>
      </rPr>
      <t>CH4</t>
    </r>
    <phoneticPr fontId="0" type="noConversion"/>
  </si>
  <si>
    <r>
      <t>D</t>
    </r>
    <r>
      <rPr>
        <vertAlign val="subscript"/>
        <sz val="10"/>
        <rFont val="Verdana"/>
        <family val="2"/>
      </rPr>
      <t>CH4</t>
    </r>
    <phoneticPr fontId="0" type="noConversion"/>
  </si>
  <si>
    <r>
      <t>F</t>
    </r>
    <r>
      <rPr>
        <vertAlign val="subscript"/>
        <sz val="10"/>
        <rFont val="Verdana"/>
        <family val="2"/>
      </rPr>
      <t>Aer</t>
    </r>
    <phoneticPr fontId="0" type="noConversion"/>
  </si>
  <si>
    <r>
      <t>1-R</t>
    </r>
    <r>
      <rPr>
        <vertAlign val="subscript"/>
        <sz val="10"/>
        <rFont val="Verdana"/>
        <family val="2"/>
      </rPr>
      <t>vs,n</t>
    </r>
    <phoneticPr fontId="0" type="noConversion"/>
  </si>
  <si>
    <r>
      <t>B</t>
    </r>
    <r>
      <rPr>
        <vertAlign val="subscript"/>
        <sz val="10"/>
        <rFont val="Verdana"/>
        <family val="2"/>
      </rPr>
      <t>0,LT</t>
    </r>
    <phoneticPr fontId="0" type="noConversion"/>
  </si>
  <si>
    <r>
      <t>m</t>
    </r>
    <r>
      <rPr>
        <vertAlign val="superscript"/>
        <sz val="10"/>
        <rFont val="Verdana"/>
        <family val="2"/>
      </rPr>
      <t>3</t>
    </r>
    <r>
      <rPr>
        <sz val="10"/>
        <rFont val="Verdana"/>
        <family val="2"/>
      </rPr>
      <t xml:space="preserve"> 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 xml:space="preserve"> /kg-dm</t>
    </r>
    <phoneticPr fontId="0" type="noConversion"/>
  </si>
  <si>
    <r>
      <t>N</t>
    </r>
    <r>
      <rPr>
        <vertAlign val="subscript"/>
        <sz val="10"/>
        <rFont val="Verdana"/>
        <family val="2"/>
      </rPr>
      <t>LT</t>
    </r>
    <phoneticPr fontId="0" type="noConversion"/>
  </si>
  <si>
    <r>
      <t>VS</t>
    </r>
    <r>
      <rPr>
        <vertAlign val="subscript"/>
        <sz val="10"/>
        <rFont val="Verdana"/>
        <family val="2"/>
      </rPr>
      <t>LT,y</t>
    </r>
    <phoneticPr fontId="0" type="noConversion"/>
  </si>
  <si>
    <r>
      <t>MS%</t>
    </r>
    <r>
      <rPr>
        <vertAlign val="subscript"/>
        <sz val="10"/>
        <rFont val="Verdana"/>
        <family val="2"/>
      </rPr>
      <t>j</t>
    </r>
    <phoneticPr fontId="0" type="noConversion"/>
  </si>
  <si>
    <r>
      <t>PE</t>
    </r>
    <r>
      <rPr>
        <vertAlign val="subscript"/>
        <sz val="10"/>
        <rFont val="Verdana"/>
        <family val="2"/>
      </rPr>
      <t>Aer,y</t>
    </r>
    <r>
      <rPr>
        <sz val="10"/>
        <rFont val="Verdana"/>
        <family val="2"/>
      </rPr>
      <t>-monthly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</si>
  <si>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Aer,y</t>
    </r>
    <phoneticPr fontId="0" type="noConversion"/>
  </si>
  <si>
    <r>
      <t>PE</t>
    </r>
    <r>
      <rPr>
        <b/>
        <vertAlign val="subscript"/>
        <sz val="10"/>
        <color indexed="9"/>
        <rFont val="Verdana"/>
        <family val="2"/>
      </rPr>
      <t>N2O,Y</t>
    </r>
    <r>
      <rPr>
        <b/>
        <sz val="10"/>
        <color indexed="9"/>
        <rFont val="Verdana"/>
        <family val="2"/>
      </rPr>
      <t>=310*(44/28)*1/1000*EF</t>
    </r>
    <r>
      <rPr>
        <b/>
        <vertAlign val="subscript"/>
        <sz val="10"/>
        <color indexed="9"/>
        <rFont val="Verdana"/>
        <family val="2"/>
      </rPr>
      <t>N2O</t>
    </r>
    <r>
      <rPr>
        <b/>
        <sz val="10"/>
        <color indexed="9"/>
        <rFont val="Verdana"/>
        <family val="2"/>
      </rPr>
      <t>*NEX*N</t>
    </r>
  </si>
  <si>
    <r>
      <t>EF</t>
    </r>
    <r>
      <rPr>
        <vertAlign val="subscript"/>
        <sz val="10"/>
        <rFont val="Verdana"/>
        <family val="2"/>
      </rPr>
      <t xml:space="preserve">N2O,D,j </t>
    </r>
    <phoneticPr fontId="11" type="noConversion"/>
  </si>
  <si>
    <r>
      <t>NEX</t>
    </r>
    <r>
      <rPr>
        <vertAlign val="subscript"/>
        <sz val="10"/>
        <rFont val="Verdana"/>
        <family val="2"/>
      </rPr>
      <t>LT,y</t>
    </r>
    <phoneticPr fontId="11" type="noConversion"/>
  </si>
  <si>
    <r>
      <t>E</t>
    </r>
    <r>
      <rPr>
        <vertAlign val="subscript"/>
        <sz val="10"/>
        <rFont val="Verdana"/>
        <family val="2"/>
      </rPr>
      <t>N2O,D,y</t>
    </r>
    <r>
      <rPr>
        <sz val="10"/>
        <rFont val="Verdana"/>
        <family val="2"/>
      </rPr>
      <t>-monthly</t>
    </r>
    <phoneticPr fontId="11" type="noConversion"/>
  </si>
  <si>
    <r>
      <t>kg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O-N/kg NH</t>
    </r>
    <r>
      <rPr>
        <vertAlign val="subscript"/>
        <sz val="10"/>
        <rFont val="Verdana"/>
        <family val="2"/>
      </rPr>
      <t>3</t>
    </r>
    <r>
      <rPr>
        <sz val="10"/>
        <rFont val="Verdana"/>
        <family val="2"/>
      </rPr>
      <t>-N and NO</t>
    </r>
    <r>
      <rPr>
        <vertAlign val="subscript"/>
        <sz val="10"/>
        <rFont val="Verdana"/>
        <family val="2"/>
      </rPr>
      <t>X</t>
    </r>
    <r>
      <rPr>
        <sz val="10"/>
        <rFont val="Verdana"/>
        <family val="2"/>
      </rPr>
      <t>-N</t>
    </r>
    <phoneticPr fontId="0" type="noConversion"/>
  </si>
  <si>
    <r>
      <t>a) CH4 emissions: PE</t>
    </r>
    <r>
      <rPr>
        <i/>
        <sz val="10"/>
        <color indexed="9"/>
        <rFont val="Verdana"/>
        <family val="2"/>
      </rPr>
      <t>Aer,y</t>
    </r>
  </si>
  <si>
    <r>
      <t>EF</t>
    </r>
    <r>
      <rPr>
        <vertAlign val="subscript"/>
        <sz val="10"/>
        <rFont val="Verdana"/>
        <family val="2"/>
      </rPr>
      <t>N2O,ID</t>
    </r>
    <phoneticPr fontId="0" type="noConversion"/>
  </si>
  <si>
    <r>
      <t>F</t>
    </r>
    <r>
      <rPr>
        <vertAlign val="subscript"/>
        <sz val="10"/>
        <rFont val="Verdana"/>
        <family val="2"/>
      </rPr>
      <t>gasMS,j,LT</t>
    </r>
    <phoneticPr fontId="0" type="noConversion"/>
  </si>
  <si>
    <r>
      <t>tCO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/t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>O</t>
    </r>
    <phoneticPr fontId="0" type="noConversion"/>
  </si>
  <si>
    <r>
      <t>PE</t>
    </r>
    <r>
      <rPr>
        <b/>
        <vertAlign val="subscript"/>
        <sz val="10"/>
        <rFont val="Verdana"/>
        <family val="2"/>
      </rPr>
      <t>N2O,y</t>
    </r>
    <r>
      <rPr>
        <b/>
        <sz val="10"/>
        <rFont val="Verdana"/>
        <family val="2"/>
      </rPr>
      <t>=GWP</t>
    </r>
    <r>
      <rPr>
        <b/>
        <vertAlign val="subscript"/>
        <sz val="10"/>
        <rFont val="Verdana"/>
        <family val="2"/>
      </rPr>
      <t>N2O</t>
    </r>
    <r>
      <rPr>
        <b/>
        <sz val="10"/>
        <rFont val="Verdana"/>
        <family val="2"/>
      </rPr>
      <t>*(44/28)*1/1000*(E</t>
    </r>
    <r>
      <rPr>
        <b/>
        <vertAlign val="subscript"/>
        <sz val="10"/>
        <rFont val="Verdana"/>
        <family val="2"/>
      </rPr>
      <t>N2O,ID,y</t>
    </r>
    <r>
      <rPr>
        <b/>
        <sz val="10"/>
        <rFont val="Verdana"/>
        <family val="2"/>
      </rPr>
      <t xml:space="preserve"> +E</t>
    </r>
    <r>
      <rPr>
        <b/>
        <vertAlign val="subscript"/>
        <sz val="10"/>
        <rFont val="Verdana"/>
        <family val="2"/>
      </rPr>
      <t>N20,ID,y</t>
    </r>
    <r>
      <rPr>
        <b/>
        <sz val="10"/>
        <rFont val="Verdana"/>
        <family val="2"/>
      </rPr>
      <t>)=</t>
    </r>
    <phoneticPr fontId="0" type="noConversion"/>
  </si>
  <si>
    <r>
      <t>PEy (tCO</t>
    </r>
    <r>
      <rPr>
        <b/>
        <vertAlign val="subscript"/>
        <sz val="10"/>
        <rFont val="Verdana"/>
        <family val="2"/>
      </rPr>
      <t>2</t>
    </r>
    <r>
      <rPr>
        <b/>
        <sz val="10"/>
        <rFont val="Verdana"/>
        <family val="2"/>
      </rPr>
      <t>e)</t>
    </r>
    <phoneticPr fontId="0" type="noConversion"/>
  </si>
  <si>
    <r>
      <t xml:space="preserve"> </t>
    </r>
    <r>
      <rPr>
        <b/>
        <sz val="10"/>
        <color indexed="8"/>
        <rFont val="Verdana"/>
        <family val="2"/>
      </rPr>
      <t>m</t>
    </r>
    <r>
      <rPr>
        <b/>
        <vertAlign val="subscript"/>
        <sz val="10"/>
        <color indexed="8"/>
        <rFont val="Verdana"/>
        <family val="2"/>
      </rPr>
      <t>Strat</t>
    </r>
    <phoneticPr fontId="11" type="noConversion"/>
  </si>
  <si>
    <r>
      <t>s.e. (m</t>
    </r>
    <r>
      <rPr>
        <b/>
        <vertAlign val="subscript"/>
        <sz val="10"/>
        <rFont val="Verdana"/>
        <family val="2"/>
      </rPr>
      <t>Strat</t>
    </r>
    <r>
      <rPr>
        <b/>
        <sz val="10"/>
        <rFont val="Verdana"/>
        <family val="2"/>
      </rPr>
      <t>)</t>
    </r>
    <phoneticPr fontId="11" type="noConversion"/>
  </si>
  <si>
    <r>
      <t>m</t>
    </r>
    <r>
      <rPr>
        <vertAlign val="subscript"/>
        <sz val="10"/>
        <rFont val="Verdana"/>
        <family val="2"/>
      </rPr>
      <t>i</t>
    </r>
    <phoneticPr fontId="11" type="noConversion"/>
  </si>
  <si>
    <r>
      <t xml:space="preserve"> </t>
    </r>
    <r>
      <rPr>
        <sz val="10"/>
        <color indexed="8"/>
        <rFont val="Verdana"/>
        <family val="2"/>
      </rPr>
      <t>SD</t>
    </r>
    <r>
      <rPr>
        <vertAlign val="subscript"/>
        <sz val="10"/>
        <color indexed="8"/>
        <rFont val="Verdana"/>
        <family val="2"/>
      </rPr>
      <t>i</t>
    </r>
    <phoneticPr fontId="11" type="noConversion"/>
  </si>
  <si>
    <r>
      <t>n</t>
    </r>
    <r>
      <rPr>
        <vertAlign val="subscript"/>
        <sz val="10"/>
        <rFont val="Verdana"/>
        <family val="2"/>
      </rPr>
      <t>i</t>
    </r>
    <phoneticPr fontId="11" type="noConversion"/>
  </si>
  <si>
    <r>
      <t>g</t>
    </r>
    <r>
      <rPr>
        <vertAlign val="subscript"/>
        <sz val="10"/>
        <rFont val="Verdana"/>
        <family val="2"/>
      </rPr>
      <t>i</t>
    </r>
    <phoneticPr fontId="11" type="noConversion"/>
  </si>
  <si>
    <r>
      <t>g</t>
    </r>
    <r>
      <rPr>
        <vertAlign val="subscript"/>
        <sz val="10"/>
        <rFont val="Verdana"/>
        <family val="2"/>
      </rPr>
      <t>i</t>
    </r>
    <r>
      <rPr>
        <sz val="10"/>
        <rFont val="Verdana"/>
        <family val="2"/>
      </rPr>
      <t>/N</t>
    </r>
    <phoneticPr fontId="11" type="noConversion"/>
  </si>
  <si>
    <r>
      <t>g</t>
    </r>
    <r>
      <rPr>
        <vertAlign val="subscript"/>
        <sz val="10"/>
        <rFont val="Verdana"/>
        <family val="2"/>
      </rPr>
      <t>i</t>
    </r>
    <r>
      <rPr>
        <sz val="10"/>
        <rFont val="Verdana"/>
        <family val="2"/>
      </rPr>
      <t>*m</t>
    </r>
    <r>
      <rPr>
        <vertAlign val="subscript"/>
        <sz val="10"/>
        <rFont val="Verdana"/>
        <family val="2"/>
      </rPr>
      <t>i</t>
    </r>
    <r>
      <rPr>
        <sz val="10"/>
        <rFont val="Verdana"/>
        <family val="2"/>
      </rPr>
      <t>/N</t>
    </r>
    <phoneticPr fontId="11" type="noConversion"/>
  </si>
  <si>
    <r>
      <t>1-(n</t>
    </r>
    <r>
      <rPr>
        <vertAlign val="subscript"/>
        <sz val="10"/>
        <rFont val="Verdana"/>
        <family val="2"/>
      </rPr>
      <t>i</t>
    </r>
    <r>
      <rPr>
        <sz val="10"/>
        <rFont val="Verdana"/>
        <family val="2"/>
      </rPr>
      <t>/g</t>
    </r>
    <r>
      <rPr>
        <vertAlign val="subscript"/>
        <sz val="10"/>
        <rFont val="Verdana"/>
        <family val="2"/>
      </rPr>
      <t>i</t>
    </r>
    <r>
      <rPr>
        <sz val="10"/>
        <rFont val="Verdana"/>
        <family val="2"/>
      </rPr>
      <t>)</t>
    </r>
    <phoneticPr fontId="11" type="noConversion"/>
  </si>
  <si>
    <r>
      <t>SD</t>
    </r>
    <r>
      <rPr>
        <vertAlign val="subscript"/>
        <sz val="10"/>
        <rFont val="Verdana"/>
        <family val="2"/>
      </rPr>
      <t>i</t>
    </r>
    <r>
      <rPr>
        <vertAlign val="superscript"/>
        <sz val="10"/>
        <rFont val="Verdana"/>
        <family val="2"/>
      </rPr>
      <t>2</t>
    </r>
    <r>
      <rPr>
        <sz val="10"/>
        <rFont val="Verdana"/>
        <family val="2"/>
      </rPr>
      <t>/n</t>
    </r>
    <r>
      <rPr>
        <vertAlign val="subscript"/>
        <sz val="10"/>
        <rFont val="Verdana"/>
        <family val="2"/>
      </rPr>
      <t>i</t>
    </r>
    <phoneticPr fontId="11" type="noConversion"/>
  </si>
  <si>
    <r>
      <t xml:space="preserve"> m</t>
    </r>
    <r>
      <rPr>
        <b/>
        <vertAlign val="subscript"/>
        <sz val="10"/>
        <rFont val="Verdana"/>
        <family val="2"/>
      </rPr>
      <t xml:space="preserve">Strat </t>
    </r>
    <r>
      <rPr>
        <b/>
        <sz val="10"/>
        <rFont val="Verdana"/>
        <family val="2"/>
      </rPr>
      <t xml:space="preserve"> </t>
    </r>
    <phoneticPr fontId="11" type="noConversion"/>
  </si>
  <si>
    <r>
      <t xml:space="preserve"> g</t>
    </r>
    <r>
      <rPr>
        <b/>
        <vertAlign val="subscript"/>
        <sz val="10"/>
        <rFont val="Verdana"/>
        <family val="2"/>
      </rPr>
      <t xml:space="preserve">i  </t>
    </r>
    <phoneticPr fontId="11" type="noConversion"/>
  </si>
  <si>
    <r>
      <t xml:space="preserve"> Size of the i</t>
    </r>
    <r>
      <rPr>
        <vertAlign val="superscript"/>
        <sz val="10"/>
        <rFont val="Verdana"/>
        <family val="2"/>
      </rPr>
      <t>th</t>
    </r>
    <r>
      <rPr>
        <sz val="10"/>
        <rFont val="Verdana"/>
        <family val="2"/>
      </rPr>
      <t xml:space="preserve"> district where i=a,…,k  </t>
    </r>
    <phoneticPr fontId="11" type="noConversion"/>
  </si>
  <si>
    <r>
      <t xml:space="preserve"> m</t>
    </r>
    <r>
      <rPr>
        <b/>
        <vertAlign val="subscript"/>
        <sz val="10"/>
        <rFont val="Verdana"/>
        <family val="2"/>
      </rPr>
      <t xml:space="preserve">i  </t>
    </r>
    <phoneticPr fontId="11" type="noConversion"/>
  </si>
  <si>
    <r>
      <t xml:space="preserve"> Mean of the i</t>
    </r>
    <r>
      <rPr>
        <vertAlign val="superscript"/>
        <sz val="10"/>
        <rFont val="Verdana"/>
        <family val="2"/>
      </rPr>
      <t>th</t>
    </r>
    <r>
      <rPr>
        <sz val="10"/>
        <rFont val="Verdana"/>
        <family val="2"/>
      </rPr>
      <t xml:space="preserve"> district where i= a,…,k  </t>
    </r>
    <phoneticPr fontId="11" type="noConversion"/>
  </si>
  <si>
    <r>
      <t>s.e. (m</t>
    </r>
    <r>
      <rPr>
        <b/>
        <vertAlign val="subscript"/>
        <sz val="10"/>
        <rFont val="Verdana"/>
        <family val="2"/>
      </rPr>
      <t>Strat</t>
    </r>
    <r>
      <rPr>
        <b/>
        <sz val="10"/>
        <rFont val="Verdana"/>
        <family val="2"/>
      </rPr>
      <t xml:space="preserve">)   </t>
    </r>
    <phoneticPr fontId="11" type="noConversion"/>
  </si>
  <si>
    <r>
      <t xml:space="preserve"> n</t>
    </r>
    <r>
      <rPr>
        <b/>
        <vertAlign val="subscript"/>
        <sz val="10"/>
        <rFont val="Verdana"/>
        <family val="2"/>
      </rPr>
      <t xml:space="preserve">i </t>
    </r>
    <r>
      <rPr>
        <b/>
        <sz val="10"/>
        <rFont val="Verdana"/>
        <family val="2"/>
      </rPr>
      <t xml:space="preserve"> </t>
    </r>
    <phoneticPr fontId="11" type="noConversion"/>
  </si>
  <si>
    <r>
      <t xml:space="preserve"> Number of sampled units the i</t>
    </r>
    <r>
      <rPr>
        <vertAlign val="superscript"/>
        <sz val="10"/>
        <rFont val="Verdana"/>
        <family val="2"/>
      </rPr>
      <t>th</t>
    </r>
    <r>
      <rPr>
        <sz val="10"/>
        <rFont val="Verdana"/>
        <family val="2"/>
      </rPr>
      <t xml:space="preserve"> district where i=a,…,k  </t>
    </r>
    <phoneticPr fontId="11" type="noConversion"/>
  </si>
  <si>
    <r>
      <t xml:space="preserve"> SD</t>
    </r>
    <r>
      <rPr>
        <b/>
        <vertAlign val="subscript"/>
        <sz val="10"/>
        <rFont val="Verdana"/>
        <family val="2"/>
      </rPr>
      <t>i</t>
    </r>
    <r>
      <rPr>
        <b/>
        <vertAlign val="superscript"/>
        <sz val="10"/>
        <rFont val="Verdana"/>
        <family val="2"/>
      </rPr>
      <t>2</t>
    </r>
    <r>
      <rPr>
        <b/>
        <sz val="10"/>
        <rFont val="Verdana"/>
        <family val="2"/>
      </rPr>
      <t xml:space="preserve">  </t>
    </r>
    <phoneticPr fontId="11" type="noConversion"/>
  </si>
  <si>
    <r>
      <t xml:space="preserve"> Variance of the i</t>
    </r>
    <r>
      <rPr>
        <vertAlign val="superscript"/>
        <sz val="10"/>
        <rFont val="Verdana"/>
        <family val="2"/>
      </rPr>
      <t>th</t>
    </r>
    <r>
      <rPr>
        <sz val="10"/>
        <rFont val="Verdana"/>
        <family val="2"/>
      </rPr>
      <t xml:space="preserve"> district where i=a,…,k </t>
    </r>
    <phoneticPr fontId="11" type="noConversion"/>
  </si>
  <si>
    <r>
      <t xml:space="preserve">The precision associated with an estimate is: 
</t>
    </r>
    <r>
      <rPr>
        <b/>
        <sz val="10"/>
        <rFont val="Verdana"/>
        <family val="2"/>
      </rPr>
      <t>t-value × standard error of the mean</t>
    </r>
    <phoneticPr fontId="11" type="noConversion"/>
  </si>
  <si>
    <r>
      <t xml:space="preserve">Precision </t>
    </r>
    <r>
      <rPr>
        <b/>
        <sz val="10"/>
        <color indexed="8"/>
        <rFont val="Verdana"/>
        <family val="2"/>
      </rPr>
      <t xml:space="preserve"> </t>
    </r>
    <r>
      <rPr>
        <b/>
        <sz val="10"/>
        <rFont val="Verdana"/>
        <family val="2"/>
      </rPr>
      <t xml:space="preserve"> </t>
    </r>
    <phoneticPr fontId="11" type="noConversion"/>
  </si>
  <si>
    <t>t-value is depends on:
(i) the level of confidence, and
(ii) the size of the sample. 
The t-value associated with 95% confidence and the sample size of 451 is 1.9652 as derived in Microsoft Excel using the TINV
function</t>
    <phoneticPr fontId="11" type="noConversion"/>
  </si>
  <si>
    <t xml:space="preserve">Electricity daily report, the electricity consumption in this monitoring period comes from the grid company. </t>
    <phoneticPr fontId="0" type="noConversion"/>
  </si>
  <si>
    <r>
      <t>calculated, biogas flow, temperature and pressure is sourced from DCS system. CH</t>
    </r>
    <r>
      <rPr>
        <vertAlign val="subscript"/>
        <sz val="10"/>
        <rFont val="Verdana"/>
        <family val="2"/>
      </rPr>
      <t>4</t>
    </r>
    <r>
      <rPr>
        <sz val="10"/>
        <rFont val="Verdana"/>
        <family val="2"/>
      </rPr>
      <t xml:space="preserve"> is calculated as equation 16 in MR.</t>
    </r>
    <phoneticPr fontId="0" type="noConversion"/>
  </si>
  <si>
    <t>ACM0010 Version 08.0, page 8</t>
    <phoneticPr fontId="0" type="noConversion"/>
  </si>
  <si>
    <t>ACM0010 Version 08.0, page 10</t>
    <phoneticPr fontId="11" type="noConversion"/>
  </si>
  <si>
    <t>ACM0010 Version 08.0, page 8</t>
    <phoneticPr fontId="11" type="noConversion"/>
  </si>
  <si>
    <t xml:space="preserve">  Appendix 1 of ACM0010 Version 08.0</t>
    <phoneticPr fontId="11" type="noConversion"/>
  </si>
  <si>
    <r>
      <t>i) Estimation of N</t>
    </r>
    <r>
      <rPr>
        <vertAlign val="subscript"/>
        <sz val="10"/>
        <rFont val="Verdana"/>
        <family val="2"/>
      </rPr>
      <t>2</t>
    </r>
    <r>
      <rPr>
        <sz val="10"/>
        <rFont val="Verdana"/>
        <family val="2"/>
      </rPr>
      <t xml:space="preserve">O emissions: </t>
    </r>
    <phoneticPr fontId="0" type="noConversion"/>
  </si>
  <si>
    <t xml:space="preserve"> Appendix 1 of ACM0010 Version08.0</t>
    <phoneticPr fontId="0" type="noConversion"/>
  </si>
  <si>
    <t xml:space="preserve">  Appendix 1 of ACM0010 Version 08.0</t>
    <phoneticPr fontId="0" type="noConversion"/>
  </si>
  <si>
    <t>Appendix 1 of ACM0010 Version 08.0</t>
    <phoneticPr fontId="11" type="noConversion"/>
  </si>
  <si>
    <t>Default value ACM0010 Version 08.0</t>
    <phoneticPr fontId="0" type="noConversion"/>
  </si>
  <si>
    <t>Appendix 1 of ACM0010 Version 08.0</t>
    <phoneticPr fontId="0" type="noConversion"/>
  </si>
  <si>
    <t xml:space="preserve"> Appendix 1 of ACM0010 Version 08.0</t>
    <phoneticPr fontId="0" type="noConversion"/>
  </si>
  <si>
    <r>
      <t>Average swine population used in baseline, project and leakage emission (N</t>
    </r>
    <r>
      <rPr>
        <vertAlign val="subscript"/>
        <sz val="10"/>
        <rFont val="Verdana"/>
        <family val="2"/>
      </rPr>
      <t>LT</t>
    </r>
    <r>
      <rPr>
        <sz val="10"/>
        <rFont val="Verdana"/>
        <family val="2"/>
      </rPr>
      <t>) and Weight of swine (W</t>
    </r>
    <r>
      <rPr>
        <vertAlign val="subscript"/>
        <sz val="10"/>
        <rFont val="Verdana"/>
        <family val="2"/>
      </rPr>
      <t>site</t>
    </r>
    <r>
      <rPr>
        <sz val="10"/>
        <rFont val="Verdana"/>
        <family val="2"/>
      </rPr>
      <t>)</t>
    </r>
    <phoneticPr fontId="11" type="noConversion"/>
  </si>
  <si>
    <t>Annual amount of biogas utilized(m3)</t>
    <phoneticPr fontId="11" type="noConversion"/>
  </si>
  <si>
    <r>
      <t>Calculated as equatoin 4 or 5 in MR, of which N</t>
    </r>
    <r>
      <rPr>
        <vertAlign val="subscript"/>
        <sz val="10"/>
        <color indexed="8"/>
        <rFont val="Verdana"/>
        <family val="2"/>
      </rPr>
      <t>LT</t>
    </r>
    <r>
      <rPr>
        <sz val="10"/>
        <color indexed="8"/>
        <rFont val="Verdana"/>
        <family val="2"/>
      </rPr>
      <t xml:space="preserve"> for marke swine and breeding swine is sourced from  "Export record form of Market swine" and " Breeding Pig stock record"</t>
    </r>
    <phoneticPr fontId="0" type="noConversion"/>
  </si>
  <si>
    <t>recorded by PP</t>
    <phoneticPr fontId="0" type="noConversion"/>
  </si>
  <si>
    <r>
      <t>tCO</t>
    </r>
    <r>
      <rPr>
        <b/>
        <vertAlign val="subscript"/>
        <sz val="12"/>
        <rFont val="Verdana"/>
        <family val="2"/>
      </rPr>
      <t>2</t>
    </r>
    <r>
      <rPr>
        <b/>
        <sz val="12"/>
        <rFont val="Verdana"/>
        <family val="2"/>
      </rPr>
      <t>e</t>
    </r>
    <phoneticPr fontId="11" type="noConversion"/>
  </si>
  <si>
    <r>
      <t>Calculated as equatoin 4 or 5 in MR, of which N</t>
    </r>
    <r>
      <rPr>
        <vertAlign val="subscript"/>
        <sz val="10"/>
        <rFont val="Verdana"/>
        <family val="2"/>
      </rPr>
      <t>LT</t>
    </r>
    <r>
      <rPr>
        <sz val="10"/>
        <rFont val="Verdana"/>
        <family val="2"/>
      </rPr>
      <t xml:space="preserve"> for marke swine and breeding swine is sourced from  "Export record form of Market swine" and " Breeding Pig stock record"</t>
    </r>
    <phoneticPr fontId="11" type="noConversion"/>
  </si>
  <si>
    <r>
      <t>Calculated as equatoin 4 or 5 in MR, of which N</t>
    </r>
    <r>
      <rPr>
        <vertAlign val="subscript"/>
        <sz val="10"/>
        <rFont val="Verdana"/>
        <family val="2"/>
      </rPr>
      <t>LT</t>
    </r>
    <r>
      <rPr>
        <sz val="10"/>
        <rFont val="Verdana"/>
        <family val="2"/>
      </rPr>
      <t xml:space="preserve"> for marke swine and breeding swine is sourced from  "Export record form of Market swine" and " Breeding Pig stock record"</t>
    </r>
    <phoneticPr fontId="0" type="noConversion"/>
  </si>
  <si>
    <r>
      <t>i) Methane emissions from AWMS where gas is captured (PE</t>
    </r>
    <r>
      <rPr>
        <vertAlign val="subscript"/>
        <sz val="10"/>
        <rFont val="Verdana"/>
        <family val="2"/>
      </rPr>
      <t>AD, y</t>
    </r>
    <r>
      <rPr>
        <sz val="10"/>
        <rFont val="Verdana"/>
        <family val="2"/>
      </rPr>
      <t xml:space="preserve">): </t>
    </r>
    <phoneticPr fontId="11" type="noConversion"/>
  </si>
  <si>
    <t>30/06/2022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</si>
</sst>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(* #,##0.00_);_(* \(#,##0.00\);_(* &quot;-&quot;??_);_(@_)"/>
    <numFmt numFmtId="177" formatCode="_(* #,##0_);_(* \(#,##0\);_(* &quot;-&quot;??_);_(@_)"/>
    <numFmt numFmtId="178" formatCode="0_ "/>
    <numFmt numFmtId="179" formatCode="0.00_ "/>
    <numFmt numFmtId="180" formatCode="0.0_ "/>
    <numFmt numFmtId="181" formatCode="_ * #,##0_ ;_ * \-#,##0_ ;_ * &quot;-&quot;??_ ;_ @_ "/>
    <numFmt numFmtId="182" formatCode="_-* #,##0.00\ [$€]_-;\-* #,##0.00\ [$€]_-;_-* &quot;-&quot;??\ [$€]_-;_-@_-"/>
    <numFmt numFmtId="183" formatCode="0.0"/>
    <numFmt numFmtId="184" formatCode="#,##0.000"/>
    <numFmt numFmtId="185" formatCode="0.00_);[Red]\(0.00\)"/>
    <numFmt numFmtId="186" formatCode="dd/mm/yyyy"/>
    <numFmt numFmtId="187" formatCode="0.0000_ "/>
    <numFmt numFmtId="188" formatCode="#,##0.0"/>
    <numFmt numFmtId="189" formatCode="0.000_);[Red]\(0.000\)"/>
    <numFmt numFmtId="190" formatCode="0.00000_);[Red]\(0.00000\)"/>
    <numFmt numFmtId="191" formatCode="0_);[Red]\(0\)"/>
    <numFmt numFmtId="192" formatCode="0.0000"/>
    <numFmt numFmtId="193" formatCode="0.00000"/>
    <numFmt numFmtId="194" formatCode="0.000%"/>
    <numFmt numFmtId="195" formatCode="#,##0.00_ "/>
    <numFmt numFmtId="196" formatCode="#,##0_ "/>
    <numFmt numFmtId="197" formatCode="#,##0_);[Red]\(#,##0\)"/>
    <numFmt numFmtId="198" formatCode="0.00000_ "/>
  </numFmts>
  <fonts count="75" x14ac:knownFonts="1">
    <font>
      <sz val="10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4D4D4C"/>
      <name val="Verdana"/>
      <family val="2"/>
    </font>
    <font>
      <sz val="10"/>
      <name val="Verdana"/>
      <family val="2"/>
    </font>
    <font>
      <sz val="9"/>
      <name val="宋体"/>
      <family val="3"/>
      <charset val="134"/>
    </font>
    <font>
      <sz val="11"/>
      <name val="Verdana"/>
      <family val="2"/>
    </font>
    <font>
      <b/>
      <sz val="11"/>
      <name val="Verdana"/>
      <family val="2"/>
    </font>
    <font>
      <b/>
      <vertAlign val="subscript"/>
      <sz val="11"/>
      <name val="Verdana"/>
      <family val="2"/>
    </font>
    <font>
      <sz val="9"/>
      <name val="宋体"/>
      <family val="3"/>
      <charset val="134"/>
      <scheme val="minor"/>
    </font>
    <font>
      <sz val="11"/>
      <name val="宋体"/>
      <family val="2"/>
      <charset val="134"/>
    </font>
    <font>
      <sz val="9"/>
      <name val="宋体"/>
      <family val="2"/>
      <charset val="134"/>
      <scheme val="minor"/>
    </font>
    <font>
      <sz val="9"/>
      <name val="微软雅黑"/>
      <family val="2"/>
      <charset val="134"/>
    </font>
    <font>
      <b/>
      <sz val="10"/>
      <name val="Calibri"/>
      <family val="2"/>
    </font>
    <font>
      <b/>
      <sz val="10"/>
      <name val="宋体"/>
      <family val="2"/>
      <charset val="134"/>
    </font>
    <font>
      <sz val="10"/>
      <name val="Calibri"/>
      <family val="2"/>
    </font>
    <font>
      <b/>
      <sz val="10"/>
      <color rgb="FFFF0000"/>
      <name val="Calibri"/>
      <family val="2"/>
    </font>
    <font>
      <vertAlign val="subscript"/>
      <sz val="10"/>
      <name val="Verdana"/>
      <family val="2"/>
    </font>
    <font>
      <vertAlign val="superscript"/>
      <sz val="10"/>
      <name val="Verdana"/>
      <family val="2"/>
    </font>
    <font>
      <sz val="10"/>
      <color theme="1"/>
      <name val="Verdana"/>
      <family val="2"/>
    </font>
    <font>
      <sz val="10"/>
      <color rgb="FF222222"/>
      <name val="Verdana"/>
      <family val="2"/>
    </font>
    <font>
      <sz val="10"/>
      <color theme="1" tint="4.9989318521683403E-2"/>
      <name val="Verdana"/>
      <family val="2"/>
    </font>
    <font>
      <vertAlign val="superscript"/>
      <sz val="10"/>
      <color theme="1" tint="4.9989318521683403E-2"/>
      <name val="Verdana"/>
      <family val="2"/>
    </font>
    <font>
      <sz val="11"/>
      <color theme="1" tint="4.9989318521683403E-2"/>
      <name val="Verdana"/>
      <family val="2"/>
    </font>
    <font>
      <vertAlign val="subscript"/>
      <sz val="11"/>
      <color theme="1" tint="4.9989318521683403E-2"/>
      <name val="Verdana"/>
      <family val="2"/>
    </font>
    <font>
      <vertAlign val="subscript"/>
      <sz val="10"/>
      <color theme="1" tint="4.9989318521683403E-2"/>
      <name val="Verdana"/>
      <family val="2"/>
    </font>
    <font>
      <vertAlign val="superscript"/>
      <sz val="11"/>
      <color theme="1" tint="4.9989318521683403E-2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color indexed="46"/>
      <name val="Verdana"/>
      <family val="2"/>
    </font>
    <font>
      <b/>
      <sz val="10"/>
      <color indexed="8"/>
      <name val="Verdana"/>
      <family val="2"/>
    </font>
    <font>
      <sz val="10"/>
      <color indexed="10"/>
      <name val="Verdana"/>
      <family val="2"/>
    </font>
    <font>
      <sz val="10"/>
      <color indexed="8"/>
      <name val="Verdana"/>
      <family val="2"/>
    </font>
    <font>
      <i/>
      <vertAlign val="subscript"/>
      <sz val="10"/>
      <color indexed="8"/>
      <name val="Verdana"/>
      <family val="2"/>
    </font>
    <font>
      <vertAlign val="subscript"/>
      <sz val="10"/>
      <color indexed="8"/>
      <name val="Verdana"/>
      <family val="2"/>
    </font>
    <font>
      <u/>
      <sz val="10"/>
      <color indexed="10"/>
      <name val="Verdana"/>
      <family val="2"/>
    </font>
    <font>
      <i/>
      <vertAlign val="subscript"/>
      <sz val="8"/>
      <color indexed="8"/>
      <name val="Verdana"/>
      <family val="2"/>
    </font>
    <font>
      <vertAlign val="superscript"/>
      <sz val="10"/>
      <color indexed="8"/>
      <name val="Verdana"/>
      <family val="2"/>
    </font>
    <font>
      <vertAlign val="subscript"/>
      <sz val="8"/>
      <color indexed="8"/>
      <name val="Verdana"/>
      <family val="2"/>
    </font>
    <font>
      <i/>
      <sz val="10"/>
      <name val="Verdana"/>
      <family val="2"/>
    </font>
    <font>
      <i/>
      <vertAlign val="subscript"/>
      <sz val="8"/>
      <name val="Verdana"/>
      <family val="2"/>
    </font>
    <font>
      <sz val="8"/>
      <color indexed="8"/>
      <name val="Verdana"/>
      <family val="2"/>
    </font>
    <font>
      <vertAlign val="subscript"/>
      <sz val="10"/>
      <color rgb="FF000000"/>
      <name val="Verdana"/>
      <family val="2"/>
    </font>
    <font>
      <b/>
      <sz val="8"/>
      <color indexed="8"/>
      <name val="Verdana"/>
      <family val="2"/>
    </font>
    <font>
      <b/>
      <sz val="10"/>
      <color indexed="12"/>
      <name val="Verdana"/>
      <family val="2"/>
    </font>
    <font>
      <b/>
      <i/>
      <sz val="10"/>
      <name val="Verdana"/>
      <family val="2"/>
    </font>
    <font>
      <i/>
      <vertAlign val="subscript"/>
      <sz val="10"/>
      <name val="Verdana"/>
      <family val="2"/>
    </font>
    <font>
      <b/>
      <vertAlign val="subscript"/>
      <sz val="10"/>
      <name val="Verdana"/>
      <family val="2"/>
    </font>
    <font>
      <b/>
      <sz val="10"/>
      <color indexed="10"/>
      <name val="Verdana"/>
      <family val="2"/>
    </font>
    <font>
      <vertAlign val="subscript"/>
      <sz val="8"/>
      <name val="Verdana"/>
      <family val="2"/>
    </font>
    <font>
      <i/>
      <sz val="8"/>
      <name val="Verdana"/>
      <family val="2"/>
    </font>
    <font>
      <b/>
      <vertAlign val="subscript"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9"/>
      <name val="Verdana"/>
      <family val="2"/>
    </font>
    <font>
      <i/>
      <sz val="8"/>
      <color indexed="9"/>
      <name val="Verdana"/>
      <family val="2"/>
    </font>
    <font>
      <sz val="10"/>
      <color indexed="9"/>
      <name val="Verdana"/>
      <family val="2"/>
    </font>
    <font>
      <i/>
      <vertAlign val="subscript"/>
      <sz val="10"/>
      <color indexed="9"/>
      <name val="Verdana"/>
      <family val="2"/>
    </font>
    <font>
      <b/>
      <vertAlign val="subscript"/>
      <sz val="10"/>
      <color indexed="9"/>
      <name val="Verdana"/>
      <family val="2"/>
    </font>
    <font>
      <i/>
      <sz val="10"/>
      <color indexed="9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b/>
      <vertAlign val="subscript"/>
      <sz val="10"/>
      <color indexed="8"/>
      <name val="Verdana"/>
      <family val="2"/>
    </font>
    <font>
      <b/>
      <vertAlign val="superscript"/>
      <sz val="10"/>
      <name val="Verdana"/>
      <family val="2"/>
    </font>
    <font>
      <b/>
      <vertAlign val="subscript"/>
      <sz val="12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0E0E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5">
    <xf numFmtId="0" fontId="0" fillId="0" borderId="0"/>
    <xf numFmtId="182" fontId="10" fillId="0" borderId="0" applyFont="0" applyFill="0" applyBorder="0" applyAlignment="0" applyProtection="0"/>
    <xf numFmtId="0" fontId="12" fillId="0" borderId="0"/>
    <xf numFmtId="0" fontId="6" fillId="0" borderId="0"/>
    <xf numFmtId="0" fontId="8" fillId="0" borderId="0">
      <alignment vertical="center"/>
    </xf>
    <xf numFmtId="0" fontId="8" fillId="0" borderId="0">
      <alignment vertical="center"/>
    </xf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0" fontId="8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176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610">
    <xf numFmtId="0" fontId="0" fillId="0" borderId="0" xfId="0"/>
    <xf numFmtId="0" fontId="14" fillId="5" borderId="0" xfId="0" applyFont="1" applyFill="1" applyBorder="1" applyAlignment="1">
      <alignment horizontal="right" vertical="center"/>
    </xf>
    <xf numFmtId="0" fontId="14" fillId="5" borderId="0" xfId="0" applyFont="1" applyFill="1" applyBorder="1" applyAlignment="1">
      <alignment vertical="center"/>
    </xf>
    <xf numFmtId="0" fontId="14" fillId="0" borderId="0" xfId="0" applyFont="1" applyBorder="1"/>
    <xf numFmtId="0" fontId="14" fillId="5" borderId="0" xfId="0" applyFont="1" applyFill="1" applyBorder="1" applyAlignment="1">
      <alignment horizontal="left" vertical="center"/>
    </xf>
    <xf numFmtId="186" fontId="14" fillId="5" borderId="0" xfId="0" applyNumberFormat="1" applyFont="1" applyFill="1" applyBorder="1" applyAlignment="1">
      <alignment horizontal="left" vertical="center"/>
    </xf>
    <xf numFmtId="0" fontId="14" fillId="10" borderId="4" xfId="0" applyFont="1" applyFill="1" applyBorder="1" applyAlignment="1">
      <alignment horizontal="justify" vertical="center" wrapText="1"/>
    </xf>
    <xf numFmtId="0" fontId="14" fillId="10" borderId="3" xfId="0" applyFont="1" applyFill="1" applyBorder="1" applyAlignment="1">
      <alignment horizontal="justify" vertical="center" wrapText="1"/>
    </xf>
    <xf numFmtId="0" fontId="14" fillId="0" borderId="0" xfId="0" applyFont="1" applyBorder="1" applyAlignment="1">
      <alignment vertical="center"/>
    </xf>
    <xf numFmtId="0" fontId="14" fillId="10" borderId="12" xfId="0" applyFont="1" applyFill="1" applyBorder="1" applyAlignment="1">
      <alignment horizontal="justify" vertical="center" wrapText="1"/>
    </xf>
    <xf numFmtId="14" fontId="14" fillId="0" borderId="0" xfId="0" applyNumberFormat="1" applyFont="1" applyBorder="1" applyAlignment="1">
      <alignment vertical="center"/>
    </xf>
    <xf numFmtId="3" fontId="14" fillId="0" borderId="0" xfId="0" applyNumberFormat="1" applyFont="1" applyBorder="1" applyAlignment="1">
      <alignment horizontal="left"/>
    </xf>
    <xf numFmtId="1" fontId="14" fillId="0" borderId="0" xfId="0" applyNumberFormat="1" applyFont="1" applyBorder="1"/>
    <xf numFmtId="3" fontId="14" fillId="0" borderId="0" xfId="0" applyNumberFormat="1" applyFont="1" applyBorder="1"/>
    <xf numFmtId="10" fontId="13" fillId="0" borderId="0" xfId="7" applyNumberFormat="1" applyFont="1" applyBorder="1"/>
    <xf numFmtId="10" fontId="14" fillId="0" borderId="0" xfId="7" applyNumberFormat="1" applyFont="1" applyBorder="1"/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6" fillId="0" borderId="0" xfId="0" applyFont="1"/>
    <xf numFmtId="0" fontId="17" fillId="9" borderId="2" xfId="0" applyFont="1" applyFill="1" applyBorder="1" applyAlignment="1">
      <alignment horizontal="center" vertical="center" wrapText="1"/>
    </xf>
    <xf numFmtId="195" fontId="16" fillId="4" borderId="2" xfId="0" applyNumberFormat="1" applyFont="1" applyFill="1" applyBorder="1" applyAlignment="1">
      <alignment horizontal="center" vertical="center"/>
    </xf>
    <xf numFmtId="14" fontId="16" fillId="0" borderId="0" xfId="0" applyNumberFormat="1" applyFont="1"/>
    <xf numFmtId="0" fontId="16" fillId="4" borderId="2" xfId="0" applyFont="1" applyFill="1" applyBorder="1" applyAlignment="1">
      <alignment horizontal="center" vertical="center"/>
    </xf>
    <xf numFmtId="196" fontId="16" fillId="4" borderId="2" xfId="0" applyNumberFormat="1" applyFont="1" applyFill="1" applyBorder="1" applyAlignment="1">
      <alignment horizontal="center" vertical="center"/>
    </xf>
    <xf numFmtId="196" fontId="16" fillId="0" borderId="0" xfId="0" applyNumberFormat="1" applyFont="1"/>
    <xf numFmtId="3" fontId="16" fillId="0" borderId="0" xfId="0" applyNumberFormat="1" applyFont="1"/>
    <xf numFmtId="2" fontId="16" fillId="0" borderId="0" xfId="0" applyNumberFormat="1" applyFont="1"/>
    <xf numFmtId="10" fontId="16" fillId="0" borderId="0" xfId="7" applyNumberFormat="1" applyFont="1"/>
    <xf numFmtId="197" fontId="17" fillId="9" borderId="2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3" xfId="0" applyFont="1" applyBorder="1"/>
    <xf numFmtId="183" fontId="14" fillId="0" borderId="2" xfId="0" applyNumberFormat="1" applyFont="1" applyBorder="1" applyAlignment="1">
      <alignment horizontal="center"/>
    </xf>
    <xf numFmtId="183" fontId="14" fillId="0" borderId="0" xfId="0" applyNumberFormat="1" applyFont="1" applyBorder="1"/>
    <xf numFmtId="2" fontId="14" fillId="0" borderId="0" xfId="0" applyNumberFormat="1" applyFont="1" applyBorder="1" applyAlignment="1">
      <alignment horizontal="center"/>
    </xf>
    <xf numFmtId="0" fontId="14" fillId="0" borderId="12" xfId="0" applyFont="1" applyFill="1" applyBorder="1"/>
    <xf numFmtId="0" fontId="14" fillId="0" borderId="11" xfId="0" applyFont="1" applyBorder="1" applyAlignment="1">
      <alignment horizontal="center"/>
    </xf>
    <xf numFmtId="183" fontId="14" fillId="0" borderId="11" xfId="0" applyNumberFormat="1" applyFont="1" applyBorder="1" applyAlignment="1">
      <alignment horizontal="center"/>
    </xf>
    <xf numFmtId="0" fontId="14" fillId="0" borderId="0" xfId="0" applyFont="1" applyFill="1" applyBorder="1"/>
    <xf numFmtId="0" fontId="14" fillId="0" borderId="3" xfId="0" applyFont="1" applyBorder="1" applyAlignment="1">
      <alignment horizontal="center"/>
    </xf>
    <xf numFmtId="0" fontId="14" fillId="0" borderId="2" xfId="0" applyFont="1" applyBorder="1"/>
    <xf numFmtId="0" fontId="14" fillId="0" borderId="12" xfId="0" applyFont="1" applyBorder="1"/>
    <xf numFmtId="0" fontId="14" fillId="0" borderId="5" xfId="0" applyFont="1" applyBorder="1"/>
    <xf numFmtId="2" fontId="14" fillId="0" borderId="2" xfId="0" applyNumberFormat="1" applyFont="1" applyBorder="1" applyAlignment="1">
      <alignment horizontal="center"/>
    </xf>
    <xf numFmtId="2" fontId="14" fillId="0" borderId="0" xfId="0" applyNumberFormat="1" applyFont="1" applyBorder="1"/>
    <xf numFmtId="44" fontId="14" fillId="0" borderId="0" xfId="0" applyNumberFormat="1" applyFont="1" applyBorder="1"/>
    <xf numFmtId="0" fontId="14" fillId="0" borderId="0" xfId="0" applyFont="1" applyFill="1"/>
    <xf numFmtId="181" fontId="14" fillId="0" borderId="0" xfId="0" applyNumberFormat="1" applyFont="1" applyFill="1"/>
    <xf numFmtId="181" fontId="14" fillId="0" borderId="0" xfId="0" applyNumberFormat="1" applyFont="1" applyFill="1" applyBorder="1"/>
    <xf numFmtId="43" fontId="14" fillId="0" borderId="0" xfId="0" applyNumberFormat="1" applyFont="1" applyFill="1" applyBorder="1"/>
    <xf numFmtId="44" fontId="14" fillId="0" borderId="0" xfId="0" applyNumberFormat="1" applyFont="1"/>
    <xf numFmtId="185" fontId="14" fillId="0" borderId="0" xfId="0" applyNumberFormat="1" applyFont="1"/>
    <xf numFmtId="44" fontId="14" fillId="0" borderId="0" xfId="0" applyNumberFormat="1" applyFont="1" applyFill="1"/>
    <xf numFmtId="3" fontId="14" fillId="0" borderId="0" xfId="0" applyNumberFormat="1" applyFont="1" applyFill="1"/>
    <xf numFmtId="177" fontId="14" fillId="0" borderId="0" xfId="11" applyNumberFormat="1" applyFont="1" applyFill="1"/>
    <xf numFmtId="43" fontId="14" fillId="0" borderId="0" xfId="0" applyNumberFormat="1" applyFont="1" applyFill="1"/>
    <xf numFmtId="195" fontId="14" fillId="0" borderId="0" xfId="0" applyNumberFormat="1" applyFont="1"/>
    <xf numFmtId="176" fontId="14" fillId="0" borderId="0" xfId="0" applyNumberFormat="1" applyFont="1" applyBorder="1"/>
    <xf numFmtId="177" fontId="14" fillId="0" borderId="0" xfId="0" applyNumberFormat="1" applyFont="1" applyFill="1"/>
    <xf numFmtId="44" fontId="30" fillId="0" borderId="0" xfId="0" applyNumberFormat="1" applyFont="1"/>
    <xf numFmtId="181" fontId="14" fillId="0" borderId="0" xfId="0" applyNumberFormat="1" applyFont="1"/>
    <xf numFmtId="194" fontId="14" fillId="0" borderId="0" xfId="7" applyNumberFormat="1" applyFont="1"/>
    <xf numFmtId="179" fontId="14" fillId="0" borderId="0" xfId="0" applyNumberFormat="1" applyFont="1"/>
    <xf numFmtId="0" fontId="31" fillId="0" borderId="4" xfId="0" applyFont="1" applyBorder="1"/>
    <xf numFmtId="0" fontId="31" fillId="0" borderId="5" xfId="0" applyFont="1" applyBorder="1"/>
    <xf numFmtId="0" fontId="33" fillId="0" borderId="5" xfId="0" applyFont="1" applyBorder="1"/>
    <xf numFmtId="0" fontId="31" fillId="0" borderId="3" xfId="0" applyFont="1" applyBorder="1"/>
    <xf numFmtId="176" fontId="31" fillId="0" borderId="2" xfId="11" applyFont="1" applyBorder="1" applyAlignment="1">
      <alignment horizontal="center"/>
    </xf>
    <xf numFmtId="185" fontId="31" fillId="0" borderId="2" xfId="11" applyNumberFormat="1" applyFont="1" applyBorder="1" applyAlignment="1">
      <alignment horizontal="center"/>
    </xf>
    <xf numFmtId="2" fontId="31" fillId="0" borderId="2" xfId="0" applyNumberFormat="1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1" fontId="31" fillId="0" borderId="2" xfId="0" applyNumberFormat="1" applyFont="1" applyBorder="1" applyAlignment="1">
      <alignment horizontal="center"/>
    </xf>
    <xf numFmtId="193" fontId="31" fillId="0" borderId="2" xfId="0" applyNumberFormat="1" applyFont="1" applyBorder="1" applyAlignment="1">
      <alignment horizontal="center"/>
    </xf>
    <xf numFmtId="179" fontId="31" fillId="0" borderId="2" xfId="0" applyNumberFormat="1" applyFont="1" applyBorder="1"/>
    <xf numFmtId="0" fontId="31" fillId="0" borderId="12" xfId="0" applyFont="1" applyBorder="1"/>
    <xf numFmtId="176" fontId="31" fillId="0" borderId="11" xfId="11" applyFont="1" applyBorder="1"/>
    <xf numFmtId="179" fontId="31" fillId="0" borderId="11" xfId="0" applyNumberFormat="1" applyFont="1" applyBorder="1"/>
    <xf numFmtId="198" fontId="31" fillId="0" borderId="11" xfId="0" applyNumberFormat="1" applyFont="1" applyBorder="1" applyAlignment="1">
      <alignment horizontal="center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38" fillId="2" borderId="0" xfId="0" applyFont="1" applyFill="1"/>
    <xf numFmtId="0" fontId="39" fillId="0" borderId="0" xfId="0" applyFont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5" xfId="0" applyFont="1" applyBorder="1" applyAlignment="1">
      <alignment horizontal="center"/>
    </xf>
    <xf numFmtId="0" fontId="41" fillId="0" borderId="0" xfId="0" applyFont="1"/>
    <xf numFmtId="0" fontId="40" fillId="0" borderId="3" xfId="0" applyFont="1" applyBorder="1" applyAlignment="1">
      <alignment horizontal="center"/>
    </xf>
    <xf numFmtId="0" fontId="40" fillId="0" borderId="2" xfId="0" applyFont="1" applyBorder="1" applyAlignment="1">
      <alignment horizontal="center"/>
    </xf>
    <xf numFmtId="0" fontId="40" fillId="0" borderId="2" xfId="0" applyFont="1" applyBorder="1" applyAlignment="1">
      <alignment horizontal="center" wrapText="1"/>
    </xf>
    <xf numFmtId="0" fontId="42" fillId="0" borderId="3" xfId="0" applyFont="1" applyBorder="1"/>
    <xf numFmtId="0" fontId="42" fillId="0" borderId="2" xfId="0" applyFont="1" applyBorder="1"/>
    <xf numFmtId="0" fontId="42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right"/>
    </xf>
    <xf numFmtId="0" fontId="42" fillId="0" borderId="2" xfId="0" applyFont="1" applyBorder="1" applyAlignment="1">
      <alignment horizontal="center"/>
    </xf>
    <xf numFmtId="9" fontId="14" fillId="0" borderId="2" xfId="0" applyNumberFormat="1" applyFont="1" applyBorder="1" applyAlignment="1">
      <alignment horizontal="right"/>
    </xf>
    <xf numFmtId="0" fontId="45" fillId="0" borderId="0" xfId="10" applyFont="1" applyAlignment="1" applyProtection="1"/>
    <xf numFmtId="3" fontId="14" fillId="0" borderId="2" xfId="11" applyNumberFormat="1" applyFont="1" applyFill="1" applyBorder="1" applyAlignment="1">
      <alignment horizontal="right" vertical="center"/>
    </xf>
    <xf numFmtId="17" fontId="42" fillId="0" borderId="3" xfId="0" applyNumberFormat="1" applyFont="1" applyBorder="1"/>
    <xf numFmtId="3" fontId="14" fillId="0" borderId="0" xfId="0" applyNumberFormat="1" applyFont="1"/>
    <xf numFmtId="0" fontId="42" fillId="0" borderId="2" xfId="0" applyFont="1" applyFill="1" applyBorder="1" applyAlignment="1">
      <alignment horizontal="center" vertical="center" wrapText="1"/>
    </xf>
    <xf numFmtId="0" fontId="49" fillId="0" borderId="3" xfId="0" applyFont="1" applyBorder="1"/>
    <xf numFmtId="188" fontId="14" fillId="0" borderId="2" xfId="11" applyNumberFormat="1" applyFont="1" applyFill="1" applyBorder="1" applyAlignment="1">
      <alignment horizontal="right" vertical="center"/>
    </xf>
    <xf numFmtId="0" fontId="42" fillId="0" borderId="3" xfId="0" applyFont="1" applyBorder="1" applyAlignment="1">
      <alignment horizontal="left"/>
    </xf>
    <xf numFmtId="4" fontId="14" fillId="0" borderId="2" xfId="0" applyNumberFormat="1" applyFont="1" applyBorder="1" applyAlignment="1">
      <alignment horizontal="right"/>
    </xf>
    <xf numFmtId="14" fontId="41" fillId="0" borderId="0" xfId="0" applyNumberFormat="1" applyFont="1"/>
    <xf numFmtId="3" fontId="14" fillId="0" borderId="2" xfId="0" applyNumberFormat="1" applyFont="1" applyBorder="1" applyAlignment="1">
      <alignment horizontal="right"/>
    </xf>
    <xf numFmtId="17" fontId="40" fillId="0" borderId="3" xfId="0" applyNumberFormat="1" applyFont="1" applyBorder="1"/>
    <xf numFmtId="0" fontId="40" fillId="0" borderId="12" xfId="0" applyFont="1" applyBorder="1"/>
    <xf numFmtId="3" fontId="54" fillId="3" borderId="11" xfId="0" applyNumberFormat="1" applyFont="1" applyFill="1" applyBorder="1"/>
    <xf numFmtId="0" fontId="42" fillId="0" borderId="11" xfId="0" applyFont="1" applyBorder="1" applyAlignment="1">
      <alignment horizontal="center"/>
    </xf>
    <xf numFmtId="180" fontId="14" fillId="0" borderId="0" xfId="0" applyNumberFormat="1" applyFont="1"/>
    <xf numFmtId="0" fontId="39" fillId="0" borderId="0" xfId="0" applyFont="1" applyAlignment="1">
      <alignment horizontal="left"/>
    </xf>
    <xf numFmtId="0" fontId="38" fillId="0" borderId="0" xfId="0" applyFont="1" applyAlignment="1">
      <alignment wrapText="1"/>
    </xf>
    <xf numFmtId="0" fontId="55" fillId="0" borderId="0" xfId="0" applyFont="1"/>
    <xf numFmtId="0" fontId="14" fillId="0" borderId="0" xfId="0" applyFont="1" applyAlignment="1">
      <alignment horizontal="right"/>
    </xf>
    <xf numFmtId="0" fontId="38" fillId="0" borderId="4" xfId="0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0" fontId="38" fillId="0" borderId="2" xfId="0" applyFont="1" applyBorder="1" applyAlignment="1">
      <alignment horizontal="center"/>
    </xf>
    <xf numFmtId="1" fontId="14" fillId="0" borderId="2" xfId="0" applyNumberFormat="1" applyFont="1" applyBorder="1" applyAlignment="1">
      <alignment horizontal="right"/>
    </xf>
    <xf numFmtId="0" fontId="14" fillId="5" borderId="2" xfId="0" applyFont="1" applyFill="1" applyBorder="1" applyAlignment="1">
      <alignment horizontal="right"/>
    </xf>
    <xf numFmtId="2" fontId="14" fillId="5" borderId="2" xfId="0" applyNumberFormat="1" applyFont="1" applyFill="1" applyBorder="1" applyAlignment="1">
      <alignment horizontal="right"/>
    </xf>
    <xf numFmtId="4" fontId="14" fillId="5" borderId="2" xfId="11" applyNumberFormat="1" applyFont="1" applyFill="1" applyBorder="1" applyAlignment="1">
      <alignment horizontal="right" vertical="center"/>
    </xf>
    <xf numFmtId="188" fontId="14" fillId="5" borderId="2" xfId="11" applyNumberFormat="1" applyFont="1" applyFill="1" applyBorder="1" applyAlignment="1">
      <alignment horizontal="right" vertical="center"/>
    </xf>
    <xf numFmtId="1" fontId="14" fillId="5" borderId="2" xfId="0" applyNumberFormat="1" applyFont="1" applyFill="1" applyBorder="1" applyAlignment="1">
      <alignment horizontal="right"/>
    </xf>
    <xf numFmtId="17" fontId="38" fillId="0" borderId="3" xfId="0" applyNumberFormat="1" applyFont="1" applyBorder="1"/>
    <xf numFmtId="0" fontId="58" fillId="0" borderId="2" xfId="0" applyFont="1" applyBorder="1"/>
    <xf numFmtId="0" fontId="38" fillId="0" borderId="12" xfId="0" applyFont="1" applyBorder="1"/>
    <xf numFmtId="0" fontId="3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8" fillId="0" borderId="0" xfId="0" applyFont="1"/>
    <xf numFmtId="2" fontId="14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center" vertical="center"/>
    </xf>
    <xf numFmtId="2" fontId="14" fillId="0" borderId="2" xfId="11" applyNumberFormat="1" applyFont="1" applyBorder="1" applyAlignment="1">
      <alignment horizontal="right"/>
    </xf>
    <xf numFmtId="4" fontId="14" fillId="0" borderId="2" xfId="11" applyNumberFormat="1" applyFont="1" applyFill="1" applyBorder="1" applyAlignment="1">
      <alignment horizontal="right" vertical="center"/>
    </xf>
    <xf numFmtId="2" fontId="14" fillId="0" borderId="2" xfId="11" applyNumberFormat="1" applyFont="1" applyFill="1" applyBorder="1" applyAlignment="1">
      <alignment horizontal="right"/>
    </xf>
    <xf numFmtId="3" fontId="14" fillId="0" borderId="2" xfId="11" applyNumberFormat="1" applyFont="1" applyBorder="1" applyAlignment="1">
      <alignment horizontal="right"/>
    </xf>
    <xf numFmtId="177" fontId="38" fillId="0" borderId="0" xfId="0" applyNumberFormat="1" applyFont="1"/>
    <xf numFmtId="3" fontId="37" fillId="3" borderId="0" xfId="0" applyNumberFormat="1" applyFont="1" applyFill="1" applyAlignment="1">
      <alignment horizontal="left"/>
    </xf>
    <xf numFmtId="17" fontId="40" fillId="0" borderId="4" xfId="0" applyNumberFormat="1" applyFont="1" applyBorder="1"/>
    <xf numFmtId="177" fontId="38" fillId="0" borderId="6" xfId="11" applyNumberFormat="1" applyFont="1" applyFill="1" applyBorder="1" applyAlignment="1">
      <alignment horizontal="right"/>
    </xf>
    <xf numFmtId="3" fontId="58" fillId="0" borderId="0" xfId="0" applyNumberFormat="1" applyFont="1" applyAlignment="1">
      <alignment horizontal="left" wrapText="1"/>
    </xf>
    <xf numFmtId="177" fontId="38" fillId="0" borderId="7" xfId="11" applyNumberFormat="1" applyFont="1" applyFill="1" applyBorder="1" applyAlignment="1">
      <alignment horizontal="right"/>
    </xf>
    <xf numFmtId="17" fontId="40" fillId="0" borderId="12" xfId="0" applyNumberFormat="1" applyFont="1" applyBorder="1"/>
    <xf numFmtId="177" fontId="38" fillId="0" borderId="13" xfId="11" applyNumberFormat="1" applyFont="1" applyFill="1" applyBorder="1" applyAlignment="1">
      <alignment horizontal="right"/>
    </xf>
    <xf numFmtId="0" fontId="14" fillId="0" borderId="0" xfId="9" applyFont="1">
      <alignment vertical="center"/>
    </xf>
    <xf numFmtId="177" fontId="14" fillId="0" borderId="0" xfId="9" applyNumberFormat="1" applyFont="1">
      <alignment vertical="center"/>
    </xf>
    <xf numFmtId="0" fontId="38" fillId="3" borderId="0" xfId="0" applyFont="1" applyFill="1"/>
    <xf numFmtId="0" fontId="14" fillId="3" borderId="0" xfId="0" applyFont="1" applyFill="1"/>
    <xf numFmtId="0" fontId="38" fillId="3" borderId="0" xfId="11" applyNumberFormat="1" applyFont="1" applyFill="1" applyBorder="1"/>
    <xf numFmtId="0" fontId="14" fillId="3" borderId="0" xfId="11" applyNumberFormat="1" applyFont="1" applyFill="1" applyBorder="1"/>
    <xf numFmtId="176" fontId="14" fillId="0" borderId="0" xfId="0" applyNumberFormat="1" applyFont="1"/>
    <xf numFmtId="177" fontId="14" fillId="0" borderId="6" xfId="0" applyNumberFormat="1" applyFont="1" applyBorder="1" applyAlignment="1">
      <alignment horizontal="center"/>
    </xf>
    <xf numFmtId="177" fontId="14" fillId="0" borderId="7" xfId="0" applyNumberFormat="1" applyFont="1" applyBorder="1" applyAlignment="1">
      <alignment horizontal="center"/>
    </xf>
    <xf numFmtId="177" fontId="14" fillId="0" borderId="0" xfId="0" applyNumberFormat="1" applyFont="1" applyAlignment="1">
      <alignment horizontal="center"/>
    </xf>
    <xf numFmtId="177" fontId="14" fillId="0" borderId="0" xfId="0" applyNumberFormat="1" applyFont="1"/>
    <xf numFmtId="10" fontId="14" fillId="0" borderId="0" xfId="7" applyNumberFormat="1" applyFont="1"/>
    <xf numFmtId="2" fontId="14" fillId="0" borderId="0" xfId="0" applyNumberFormat="1" applyFont="1"/>
    <xf numFmtId="0" fontId="1" fillId="0" borderId="0" xfId="14"/>
    <xf numFmtId="0" fontId="25" fillId="0" borderId="2" xfId="14" applyFont="1" applyBorder="1"/>
    <xf numFmtId="0" fontId="25" fillId="0" borderId="2" xfId="14" applyFont="1" applyBorder="1" applyAlignment="1">
      <alignment horizontal="center" vertical="center"/>
    </xf>
    <xf numFmtId="0" fontId="25" fillId="0" borderId="2" xfId="14" applyFont="1" applyBorder="1" applyAlignment="1">
      <alignment vertical="center"/>
    </xf>
    <xf numFmtId="183" fontId="25" fillId="0" borderId="2" xfId="14" applyNumberFormat="1" applyFont="1" applyBorder="1" applyAlignment="1">
      <alignment vertical="center"/>
    </xf>
    <xf numFmtId="1" fontId="25" fillId="0" borderId="42" xfId="14" applyNumberFormat="1" applyFont="1" applyBorder="1" applyAlignment="1">
      <alignment horizontal="center" vertical="center"/>
    </xf>
    <xf numFmtId="183" fontId="25" fillId="0" borderId="42" xfId="14" applyNumberFormat="1" applyFont="1" applyBorder="1" applyAlignment="1">
      <alignment vertical="center"/>
    </xf>
    <xf numFmtId="0" fontId="25" fillId="0" borderId="42" xfId="14" applyFont="1" applyBorder="1" applyAlignment="1">
      <alignment horizontal="center" vertical="center"/>
    </xf>
    <xf numFmtId="0" fontId="25" fillId="0" borderId="17" xfId="14" applyFont="1" applyBorder="1" applyAlignment="1">
      <alignment horizontal="center" vertical="center"/>
    </xf>
    <xf numFmtId="0" fontId="25" fillId="0" borderId="42" xfId="14" applyFont="1" applyBorder="1" applyAlignment="1">
      <alignment vertical="center"/>
    </xf>
    <xf numFmtId="2" fontId="25" fillId="0" borderId="2" xfId="14" applyNumberFormat="1" applyFont="1" applyBorder="1" applyAlignment="1">
      <alignment horizontal="center" vertical="center"/>
    </xf>
    <xf numFmtId="183" fontId="25" fillId="0" borderId="2" xfId="14" applyNumberFormat="1" applyFont="1" applyBorder="1" applyAlignment="1">
      <alignment horizontal="center" vertical="center"/>
    </xf>
    <xf numFmtId="0" fontId="26" fillId="0" borderId="2" xfId="14" applyFont="1" applyBorder="1" applyAlignment="1">
      <alignment horizontal="center" vertical="center"/>
    </xf>
    <xf numFmtId="183" fontId="14" fillId="0" borderId="7" xfId="0" applyNumberFormat="1" applyFont="1" applyBorder="1" applyAlignment="1">
      <alignment horizontal="center"/>
    </xf>
    <xf numFmtId="183" fontId="14" fillId="0" borderId="13" xfId="0" applyNumberFormat="1" applyFont="1" applyBorder="1" applyAlignment="1">
      <alignment horizontal="center"/>
    </xf>
    <xf numFmtId="1" fontId="14" fillId="0" borderId="11" xfId="0" applyNumberFormat="1" applyFont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8" fillId="5" borderId="5" xfId="0" applyFont="1" applyFill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17" fontId="42" fillId="0" borderId="3" xfId="0" applyNumberFormat="1" applyFont="1" applyBorder="1" applyAlignment="1">
      <alignment horizontal="center" vertical="center"/>
    </xf>
    <xf numFmtId="197" fontId="14" fillId="0" borderId="2" xfId="0" applyNumberFormat="1" applyFont="1" applyBorder="1" applyAlignment="1">
      <alignment horizontal="center" vertical="center"/>
    </xf>
    <xf numFmtId="197" fontId="14" fillId="5" borderId="2" xfId="0" applyNumberFormat="1" applyFont="1" applyFill="1" applyBorder="1" applyAlignment="1">
      <alignment horizontal="center" vertical="center"/>
    </xf>
    <xf numFmtId="197" fontId="14" fillId="0" borderId="2" xfId="0" applyNumberFormat="1" applyFont="1" applyBorder="1" applyAlignment="1">
      <alignment horizontal="center" vertical="center" wrapText="1"/>
    </xf>
    <xf numFmtId="197" fontId="14" fillId="0" borderId="7" xfId="0" applyNumberFormat="1" applyFont="1" applyBorder="1" applyAlignment="1">
      <alignment horizontal="center" vertical="center"/>
    </xf>
    <xf numFmtId="197" fontId="14" fillId="0" borderId="3" xfId="0" applyNumberFormat="1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197" fontId="14" fillId="0" borderId="11" xfId="0" applyNumberFormat="1" applyFont="1" applyBorder="1" applyAlignment="1">
      <alignment horizontal="center" vertical="center"/>
    </xf>
    <xf numFmtId="197" fontId="14" fillId="0" borderId="13" xfId="0" applyNumberFormat="1" applyFont="1" applyBorder="1" applyAlignment="1">
      <alignment horizontal="center" vertical="center"/>
    </xf>
    <xf numFmtId="197" fontId="14" fillId="0" borderId="0" xfId="0" applyNumberFormat="1" applyFont="1" applyFill="1" applyBorder="1" applyAlignment="1">
      <alignment horizontal="center" vertical="center"/>
    </xf>
    <xf numFmtId="1" fontId="14" fillId="0" borderId="0" xfId="0" applyNumberFormat="1" applyFont="1"/>
    <xf numFmtId="14" fontId="14" fillId="0" borderId="0" xfId="0" applyNumberFormat="1" applyFont="1"/>
    <xf numFmtId="43" fontId="14" fillId="0" borderId="0" xfId="0" applyNumberFormat="1" applyFont="1"/>
    <xf numFmtId="0" fontId="38" fillId="0" borderId="6" xfId="0" applyFont="1" applyBorder="1" applyAlignment="1">
      <alignment horizontal="center"/>
    </xf>
    <xf numFmtId="0" fontId="38" fillId="0" borderId="7" xfId="0" applyFont="1" applyBorder="1" applyAlignment="1">
      <alignment horizontal="center"/>
    </xf>
    <xf numFmtId="0" fontId="14" fillId="0" borderId="3" xfId="5" applyFont="1" applyBorder="1">
      <alignment vertical="center"/>
    </xf>
    <xf numFmtId="3" fontId="14" fillId="0" borderId="2" xfId="11" applyNumberFormat="1" applyFont="1" applyFill="1" applyBorder="1" applyAlignment="1">
      <alignment horizontal="center" vertical="center"/>
    </xf>
    <xf numFmtId="4" fontId="14" fillId="0" borderId="2" xfId="5" applyNumberFormat="1" applyFont="1" applyBorder="1" applyAlignment="1">
      <alignment horizontal="center" vertical="center"/>
    </xf>
    <xf numFmtId="9" fontId="14" fillId="0" borderId="2" xfId="9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15" xfId="5" applyFont="1" applyBorder="1">
      <alignment vertical="center"/>
    </xf>
    <xf numFmtId="0" fontId="14" fillId="0" borderId="2" xfId="5" applyFont="1" applyBorder="1" applyAlignment="1">
      <alignment horizontal="center" vertical="center"/>
    </xf>
    <xf numFmtId="0" fontId="14" fillId="0" borderId="7" xfId="0" applyFont="1" applyBorder="1" applyAlignment="1">
      <alignment horizontal="center" wrapText="1"/>
    </xf>
    <xf numFmtId="0" fontId="14" fillId="0" borderId="3" xfId="4" applyFont="1" applyBorder="1">
      <alignment vertical="center"/>
    </xf>
    <xf numFmtId="0" fontId="38" fillId="0" borderId="3" xfId="5" applyFont="1" applyBorder="1">
      <alignment vertical="center"/>
    </xf>
    <xf numFmtId="176" fontId="14" fillId="0" borderId="2" xfId="5" applyNumberFormat="1" applyFont="1" applyBorder="1" applyAlignment="1">
      <alignment horizontal="center" vertical="center"/>
    </xf>
    <xf numFmtId="2" fontId="14" fillId="0" borderId="2" xfId="5" applyNumberFormat="1" applyFont="1" applyBorder="1" applyAlignment="1">
      <alignment horizontal="center" vertical="center"/>
    </xf>
    <xf numFmtId="0" fontId="38" fillId="0" borderId="12" xfId="5" applyFont="1" applyBorder="1">
      <alignment vertical="center"/>
    </xf>
    <xf numFmtId="0" fontId="14" fillId="0" borderId="0" xfId="5" applyFont="1">
      <alignment vertical="center"/>
    </xf>
    <xf numFmtId="177" fontId="54" fillId="0" borderId="0" xfId="5" applyNumberFormat="1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8" fillId="0" borderId="3" xfId="5" applyFont="1" applyBorder="1" applyAlignment="1"/>
    <xf numFmtId="1" fontId="38" fillId="0" borderId="9" xfId="5" applyNumberFormat="1" applyFont="1" applyBorder="1" applyAlignment="1">
      <alignment horizontal="center" vertical="center"/>
    </xf>
    <xf numFmtId="1" fontId="38" fillId="0" borderId="27" xfId="5" applyNumberFormat="1" applyFont="1" applyBorder="1" applyAlignment="1">
      <alignment horizontal="center" vertical="center"/>
    </xf>
    <xf numFmtId="1" fontId="14" fillId="0" borderId="9" xfId="5" applyNumberFormat="1" applyFont="1" applyBorder="1" applyAlignment="1">
      <alignment horizontal="center" vertical="center"/>
    </xf>
    <xf numFmtId="1" fontId="14" fillId="0" borderId="27" xfId="5" applyNumberFormat="1" applyFont="1" applyBorder="1" applyAlignment="1">
      <alignment horizontal="center" vertical="center"/>
    </xf>
    <xf numFmtId="17" fontId="38" fillId="0" borderId="3" xfId="5" applyNumberFormat="1" applyFont="1" applyBorder="1">
      <alignment vertical="center"/>
    </xf>
    <xf numFmtId="0" fontId="14" fillId="0" borderId="3" xfId="0" applyFont="1" applyBorder="1" applyAlignment="1">
      <alignment horizontal="left"/>
    </xf>
    <xf numFmtId="0" fontId="14" fillId="0" borderId="3" xfId="9" applyFont="1" applyBorder="1">
      <alignment vertical="center"/>
    </xf>
    <xf numFmtId="4" fontId="14" fillId="0" borderId="2" xfId="8" applyNumberFormat="1" applyFont="1" applyBorder="1" applyAlignment="1">
      <alignment horizontal="center"/>
    </xf>
    <xf numFmtId="0" fontId="14" fillId="0" borderId="2" xfId="9" applyFont="1" applyBorder="1" applyAlignment="1">
      <alignment horizontal="center" vertical="center"/>
    </xf>
    <xf numFmtId="0" fontId="29" fillId="0" borderId="2" xfId="5" applyFont="1" applyBorder="1" applyAlignment="1">
      <alignment horizontal="center" vertical="center"/>
    </xf>
    <xf numFmtId="9" fontId="14" fillId="0" borderId="2" xfId="5" applyNumberFormat="1" applyFont="1" applyBorder="1" applyAlignment="1">
      <alignment horizontal="center" vertical="center"/>
    </xf>
    <xf numFmtId="0" fontId="42" fillId="0" borderId="7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5" applyFont="1" applyBorder="1" applyAlignment="1">
      <alignment horizontal="center" vertical="center"/>
    </xf>
    <xf numFmtId="0" fontId="38" fillId="0" borderId="4" xfId="0" applyFont="1" applyBorder="1"/>
    <xf numFmtId="0" fontId="38" fillId="0" borderId="3" xfId="0" applyFont="1" applyBorder="1"/>
    <xf numFmtId="178" fontId="14" fillId="0" borderId="0" xfId="0" applyNumberFormat="1" applyFont="1"/>
    <xf numFmtId="17" fontId="42" fillId="0" borderId="0" xfId="0" applyNumberFormat="1" applyFont="1" applyBorder="1"/>
    <xf numFmtId="3" fontId="38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77" fontId="38" fillId="0" borderId="0" xfId="0" applyNumberFormat="1" applyFont="1" applyAlignment="1">
      <alignment horizontal="center"/>
    </xf>
    <xf numFmtId="0" fontId="64" fillId="0" borderId="0" xfId="0" applyFont="1"/>
    <xf numFmtId="0" fontId="66" fillId="0" borderId="0" xfId="0" applyFont="1" applyAlignment="1">
      <alignment horizontal="center"/>
    </xf>
    <xf numFmtId="0" fontId="66" fillId="0" borderId="0" xfId="0" applyFont="1"/>
    <xf numFmtId="0" fontId="64" fillId="0" borderId="0" xfId="0" applyFont="1" applyAlignment="1">
      <alignment horizontal="center"/>
    </xf>
    <xf numFmtId="0" fontId="66" fillId="0" borderId="0" xfId="4" applyFont="1">
      <alignment vertical="center"/>
    </xf>
    <xf numFmtId="0" fontId="66" fillId="0" borderId="0" xfId="8" applyFont="1" applyAlignment="1">
      <alignment horizontal="center"/>
    </xf>
    <xf numFmtId="0" fontId="66" fillId="0" borderId="0" xfId="4" applyFont="1" applyAlignment="1">
      <alignment horizontal="center" vertical="center"/>
    </xf>
    <xf numFmtId="0" fontId="66" fillId="0" borderId="0" xfId="0" applyFont="1" applyAlignment="1">
      <alignment horizontal="left"/>
    </xf>
    <xf numFmtId="177" fontId="66" fillId="0" borderId="0" xfId="11" applyNumberFormat="1" applyFont="1" applyFill="1" applyBorder="1" applyAlignment="1">
      <alignment horizontal="center" vertical="center"/>
    </xf>
    <xf numFmtId="0" fontId="66" fillId="0" borderId="0" xfId="9" applyFont="1">
      <alignment vertical="center"/>
    </xf>
    <xf numFmtId="0" fontId="66" fillId="0" borderId="0" xfId="9" applyFont="1" applyAlignment="1">
      <alignment horizontal="center" vertical="center"/>
    </xf>
    <xf numFmtId="9" fontId="66" fillId="0" borderId="0" xfId="9" applyNumberFormat="1" applyFont="1" applyAlignment="1">
      <alignment horizontal="center" vertical="center"/>
    </xf>
    <xf numFmtId="0" fontId="64" fillId="0" borderId="0" xfId="4" applyFont="1">
      <alignment vertical="center"/>
    </xf>
    <xf numFmtId="176" fontId="64" fillId="0" borderId="0" xfId="4" applyNumberFormat="1" applyFont="1" applyAlignment="1">
      <alignment horizontal="center" vertical="center"/>
    </xf>
    <xf numFmtId="177" fontId="64" fillId="0" borderId="0" xfId="0" applyNumberFormat="1" applyFont="1" applyAlignment="1">
      <alignment horizontal="center"/>
    </xf>
    <xf numFmtId="0" fontId="14" fillId="2" borderId="0" xfId="0" applyFont="1" applyFill="1"/>
    <xf numFmtId="0" fontId="38" fillId="0" borderId="0" xfId="4" applyFont="1" applyAlignment="1"/>
    <xf numFmtId="0" fontId="14" fillId="0" borderId="0" xfId="4" applyFont="1">
      <alignment vertical="center"/>
    </xf>
    <xf numFmtId="0" fontId="39" fillId="0" borderId="0" xfId="9" applyFont="1" applyAlignment="1">
      <alignment horizontal="left" vertical="center"/>
    </xf>
    <xf numFmtId="0" fontId="38" fillId="0" borderId="4" xfId="4" applyFont="1" applyBorder="1" applyAlignment="1"/>
    <xf numFmtId="0" fontId="14" fillId="0" borderId="3" xfId="4" applyFont="1" applyBorder="1" applyAlignment="1"/>
    <xf numFmtId="0" fontId="14" fillId="0" borderId="2" xfId="4" applyFont="1" applyBorder="1">
      <alignment vertical="center"/>
    </xf>
    <xf numFmtId="9" fontId="14" fillId="0" borderId="2" xfId="4" applyNumberFormat="1" applyFont="1" applyBorder="1">
      <alignment vertical="center"/>
    </xf>
    <xf numFmtId="0" fontId="38" fillId="0" borderId="3" xfId="4" applyFont="1" applyBorder="1" applyAlignment="1"/>
    <xf numFmtId="1" fontId="38" fillId="0" borderId="2" xfId="4" applyNumberFormat="1" applyFont="1" applyBorder="1">
      <alignment vertical="center"/>
    </xf>
    <xf numFmtId="17" fontId="38" fillId="0" borderId="3" xfId="4" applyNumberFormat="1" applyFont="1" applyBorder="1" applyAlignment="1"/>
    <xf numFmtId="0" fontId="38" fillId="0" borderId="12" xfId="4" applyFont="1" applyBorder="1" applyAlignment="1"/>
    <xf numFmtId="0" fontId="38" fillId="0" borderId="11" xfId="4" applyFont="1" applyBorder="1">
      <alignment vertical="center"/>
    </xf>
    <xf numFmtId="0" fontId="14" fillId="0" borderId="11" xfId="9" applyFont="1" applyBorder="1" applyAlignment="1">
      <alignment horizontal="center" vertical="center"/>
    </xf>
    <xf numFmtId="0" fontId="38" fillId="0" borderId="0" xfId="4" applyFont="1">
      <alignment vertical="center"/>
    </xf>
    <xf numFmtId="0" fontId="14" fillId="0" borderId="0" xfId="9" applyFont="1" applyAlignment="1">
      <alignment horizontal="center" vertical="center"/>
    </xf>
    <xf numFmtId="0" fontId="14" fillId="0" borderId="0" xfId="9" applyFont="1" applyAlignment="1">
      <alignment horizontal="center" vertical="center" wrapText="1"/>
    </xf>
    <xf numFmtId="0" fontId="38" fillId="0" borderId="39" xfId="0" applyFont="1" applyBorder="1" applyAlignment="1">
      <alignment horizontal="center"/>
    </xf>
    <xf numFmtId="0" fontId="38" fillId="0" borderId="40" xfId="0" applyFont="1" applyBorder="1" applyAlignment="1">
      <alignment horizontal="center"/>
    </xf>
    <xf numFmtId="0" fontId="42" fillId="0" borderId="4" xfId="0" applyFont="1" applyBorder="1"/>
    <xf numFmtId="0" fontId="14" fillId="0" borderId="5" xfId="0" applyFont="1" applyBorder="1" applyAlignment="1">
      <alignment horizontal="right"/>
    </xf>
    <xf numFmtId="0" fontId="14" fillId="0" borderId="5" xfId="0" applyFont="1" applyBorder="1" applyAlignment="1">
      <alignment horizontal="center"/>
    </xf>
    <xf numFmtId="0" fontId="14" fillId="0" borderId="2" xfId="0" applyFont="1" applyFill="1" applyBorder="1" applyAlignment="1">
      <alignment horizontal="right"/>
    </xf>
    <xf numFmtId="185" fontId="14" fillId="0" borderId="2" xfId="4" applyNumberFormat="1" applyFont="1" applyBorder="1" applyAlignment="1">
      <alignment horizontal="right" vertical="center"/>
    </xf>
    <xf numFmtId="176" fontId="14" fillId="0" borderId="2" xfId="11" applyFont="1" applyBorder="1" applyAlignment="1">
      <alignment horizontal="right" vertical="center"/>
    </xf>
    <xf numFmtId="0" fontId="38" fillId="0" borderId="3" xfId="4" applyFont="1" applyBorder="1">
      <alignment vertical="center"/>
    </xf>
    <xf numFmtId="3" fontId="38" fillId="0" borderId="2" xfId="4" applyNumberFormat="1" applyFont="1" applyBorder="1" applyAlignment="1">
      <alignment horizontal="right" vertical="center"/>
    </xf>
    <xf numFmtId="3" fontId="14" fillId="0" borderId="2" xfId="4" applyNumberFormat="1" applyFont="1" applyBorder="1" applyAlignment="1">
      <alignment horizontal="center" vertical="center"/>
    </xf>
    <xf numFmtId="3" fontId="38" fillId="0" borderId="11" xfId="4" applyNumberFormat="1" applyFont="1" applyBorder="1" applyAlignment="1">
      <alignment horizontal="right" vertical="center"/>
    </xf>
    <xf numFmtId="3" fontId="14" fillId="0" borderId="11" xfId="4" applyNumberFormat="1" applyFont="1" applyBorder="1" applyAlignment="1">
      <alignment horizontal="center" vertical="center"/>
    </xf>
    <xf numFmtId="17" fontId="42" fillId="0" borderId="1" xfId="0" applyNumberFormat="1" applyFont="1" applyBorder="1"/>
    <xf numFmtId="3" fontId="38" fillId="0" borderId="0" xfId="0" applyNumberFormat="1" applyFont="1"/>
    <xf numFmtId="0" fontId="14" fillId="0" borderId="3" xfId="0" applyFont="1" applyBorder="1" applyAlignment="1">
      <alignment vertical="center"/>
    </xf>
    <xf numFmtId="4" fontId="14" fillId="0" borderId="2" xfId="4" applyNumberFormat="1" applyFont="1" applyFill="1" applyBorder="1" applyAlignment="1">
      <alignment horizontal="right" vertical="center"/>
    </xf>
    <xf numFmtId="0" fontId="14" fillId="0" borderId="7" xfId="0" applyFont="1" applyBorder="1" applyAlignment="1">
      <alignment horizontal="center" vertical="center" wrapText="1"/>
    </xf>
    <xf numFmtId="3" fontId="38" fillId="0" borderId="2" xfId="4" applyNumberFormat="1" applyFont="1" applyFill="1" applyBorder="1" applyAlignment="1">
      <alignment horizontal="right" vertical="center"/>
    </xf>
    <xf numFmtId="3" fontId="14" fillId="0" borderId="2" xfId="4" applyNumberFormat="1" applyFont="1" applyFill="1" applyBorder="1" applyAlignment="1">
      <alignment horizontal="center" vertical="center"/>
    </xf>
    <xf numFmtId="0" fontId="38" fillId="0" borderId="3" xfId="4" applyFont="1" applyFill="1" applyBorder="1">
      <alignment vertical="center"/>
    </xf>
    <xf numFmtId="17" fontId="38" fillId="0" borderId="3" xfId="4" applyNumberFormat="1" applyFont="1" applyFill="1" applyBorder="1">
      <alignment vertical="center"/>
    </xf>
    <xf numFmtId="0" fontId="38" fillId="0" borderId="11" xfId="0" applyFont="1" applyBorder="1"/>
    <xf numFmtId="177" fontId="38" fillId="0" borderId="0" xfId="0" applyNumberFormat="1" applyFont="1" applyBorder="1"/>
    <xf numFmtId="0" fontId="38" fillId="0" borderId="0" xfId="0" applyFont="1" applyBorder="1"/>
    <xf numFmtId="0" fontId="14" fillId="2" borderId="0" xfId="4" applyFont="1" applyFill="1" applyBorder="1">
      <alignment vertical="center"/>
    </xf>
    <xf numFmtId="0" fontId="14" fillId="2" borderId="0" xfId="0" applyFont="1" applyFill="1" applyBorder="1"/>
    <xf numFmtId="0" fontId="14" fillId="0" borderId="0" xfId="4" applyFont="1" applyBorder="1">
      <alignment vertical="center"/>
    </xf>
    <xf numFmtId="0" fontId="39" fillId="0" borderId="0" xfId="0" applyFont="1" applyBorder="1"/>
    <xf numFmtId="0" fontId="38" fillId="0" borderId="0" xfId="4" applyFont="1" applyBorder="1">
      <alignment vertical="center"/>
    </xf>
    <xf numFmtId="3" fontId="38" fillId="0" borderId="0" xfId="9" applyNumberFormat="1" applyFont="1" applyBorder="1" applyAlignment="1">
      <alignment horizontal="right" vertical="center"/>
    </xf>
    <xf numFmtId="0" fontId="38" fillId="0" borderId="4" xfId="4" applyFont="1" applyBorder="1">
      <alignment vertical="center"/>
    </xf>
    <xf numFmtId="3" fontId="38" fillId="0" borderId="5" xfId="9" applyNumberFormat="1" applyFont="1" applyBorder="1" applyAlignment="1">
      <alignment horizontal="right" vertical="center"/>
    </xf>
    <xf numFmtId="0" fontId="14" fillId="0" borderId="6" xfId="0" applyFont="1" applyBorder="1"/>
    <xf numFmtId="3" fontId="38" fillId="0" borderId="2" xfId="9" applyNumberFormat="1" applyFont="1" applyBorder="1" applyAlignment="1">
      <alignment horizontal="right" vertical="center"/>
    </xf>
    <xf numFmtId="0" fontId="14" fillId="0" borderId="7" xfId="0" applyFont="1" applyBorder="1"/>
    <xf numFmtId="185" fontId="14" fillId="0" borderId="2" xfId="9" applyNumberFormat="1" applyFont="1" applyBorder="1" applyAlignment="1">
      <alignment horizontal="right" vertical="center"/>
    </xf>
    <xf numFmtId="190" fontId="14" fillId="0" borderId="2" xfId="9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center" vertical="center"/>
    </xf>
    <xf numFmtId="189" fontId="14" fillId="0" borderId="2" xfId="9" applyNumberFormat="1" applyFont="1" applyBorder="1" applyAlignment="1">
      <alignment horizontal="right" vertical="center"/>
    </xf>
    <xf numFmtId="9" fontId="14" fillId="0" borderId="2" xfId="7" applyFont="1" applyFill="1" applyBorder="1" applyAlignment="1">
      <alignment horizontal="right" vertical="center"/>
    </xf>
    <xf numFmtId="191" fontId="14" fillId="0" borderId="2" xfId="9" applyNumberFormat="1" applyFont="1" applyBorder="1" applyAlignment="1">
      <alignment horizontal="right" vertical="center"/>
    </xf>
    <xf numFmtId="0" fontId="38" fillId="0" borderId="12" xfId="4" applyFont="1" applyBorder="1">
      <alignment vertical="center"/>
    </xf>
    <xf numFmtId="0" fontId="14" fillId="0" borderId="13" xfId="0" applyFont="1" applyBorder="1" applyAlignment="1">
      <alignment horizontal="center"/>
    </xf>
    <xf numFmtId="0" fontId="14" fillId="2" borderId="0" xfId="4" applyFont="1" applyFill="1">
      <alignment vertical="center"/>
    </xf>
    <xf numFmtId="0" fontId="64" fillId="0" borderId="0" xfId="4" applyFont="1" applyAlignment="1"/>
    <xf numFmtId="0" fontId="14" fillId="0" borderId="2" xfId="0" applyFont="1" applyBorder="1" applyAlignment="1">
      <alignment horizontal="center" vertical="center" wrapText="1"/>
    </xf>
    <xf numFmtId="2" fontId="14" fillId="5" borderId="2" xfId="4" applyNumberFormat="1" applyFont="1" applyFill="1" applyBorder="1" applyAlignment="1">
      <alignment horizontal="right"/>
    </xf>
    <xf numFmtId="9" fontId="14" fillId="5" borderId="2" xfId="0" applyNumberFormat="1" applyFont="1" applyFill="1" applyBorder="1"/>
    <xf numFmtId="185" fontId="14" fillId="5" borderId="2" xfId="0" applyNumberFormat="1" applyFont="1" applyFill="1" applyBorder="1"/>
    <xf numFmtId="184" fontId="14" fillId="0" borderId="2" xfId="9" applyNumberFormat="1" applyFont="1" applyBorder="1" applyAlignment="1">
      <alignment horizontal="right" vertical="center"/>
    </xf>
    <xf numFmtId="4" fontId="14" fillId="0" borderId="2" xfId="9" applyNumberFormat="1" applyFont="1" applyBorder="1" applyAlignment="1">
      <alignment horizontal="right" vertical="center"/>
    </xf>
    <xf numFmtId="0" fontId="38" fillId="5" borderId="4" xfId="0" applyFont="1" applyFill="1" applyBorder="1" applyAlignment="1">
      <alignment horizontal="center"/>
    </xf>
    <xf numFmtId="0" fontId="14" fillId="0" borderId="2" xfId="4" applyFont="1" applyBorder="1" applyAlignment="1">
      <alignment horizontal="right"/>
    </xf>
    <xf numFmtId="0" fontId="14" fillId="0" borderId="2" xfId="4" applyFont="1" applyBorder="1" applyAlignment="1">
      <alignment horizontal="right" vertical="center"/>
    </xf>
    <xf numFmtId="9" fontId="14" fillId="5" borderId="2" xfId="0" applyNumberFormat="1" applyFont="1" applyFill="1" applyBorder="1" applyAlignment="1">
      <alignment horizontal="right"/>
    </xf>
    <xf numFmtId="3" fontId="14" fillId="0" borderId="2" xfId="9" applyNumberFormat="1" applyFont="1" applyBorder="1" applyAlignment="1">
      <alignment horizontal="right" vertical="center"/>
    </xf>
    <xf numFmtId="0" fontId="14" fillId="0" borderId="1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38" fillId="0" borderId="12" xfId="4" applyFont="1" applyBorder="1" applyAlignment="1">
      <alignment horizontal="left" vertical="center"/>
    </xf>
    <xf numFmtId="0" fontId="14" fillId="0" borderId="2" xfId="0" applyFont="1" applyBorder="1" applyAlignment="1">
      <alignment horizontal="center" wrapText="1"/>
    </xf>
    <xf numFmtId="0" fontId="14" fillId="0" borderId="17" xfId="0" applyFont="1" applyBorder="1" applyAlignment="1">
      <alignment horizontal="center" vertical="center" wrapText="1"/>
    </xf>
    <xf numFmtId="3" fontId="38" fillId="0" borderId="0" xfId="0" applyNumberFormat="1" applyFont="1" applyAlignment="1">
      <alignment horizontal="right"/>
    </xf>
    <xf numFmtId="3" fontId="70" fillId="3" borderId="0" xfId="0" applyNumberFormat="1" applyFont="1" applyFill="1" applyAlignment="1">
      <alignment horizontal="left" wrapText="1"/>
    </xf>
    <xf numFmtId="17" fontId="42" fillId="0" borderId="4" xfId="0" applyNumberFormat="1" applyFont="1" applyBorder="1"/>
    <xf numFmtId="17" fontId="42" fillId="0" borderId="12" xfId="0" applyNumberFormat="1" applyFont="1" applyBorder="1"/>
    <xf numFmtId="3" fontId="70" fillId="3" borderId="0" xfId="0" applyNumberFormat="1" applyFont="1" applyFill="1" applyAlignment="1">
      <alignment horizontal="center" wrapText="1"/>
    </xf>
    <xf numFmtId="17" fontId="42" fillId="0" borderId="2" xfId="0" applyNumberFormat="1" applyFont="1" applyBorder="1"/>
    <xf numFmtId="3" fontId="14" fillId="0" borderId="2" xfId="0" applyNumberFormat="1" applyFont="1" applyBorder="1"/>
    <xf numFmtId="177" fontId="14" fillId="0" borderId="0" xfId="0" applyNumberFormat="1" applyFont="1" applyAlignment="1">
      <alignment horizontal="left"/>
    </xf>
    <xf numFmtId="0" fontId="71" fillId="0" borderId="8" xfId="0" applyFont="1" applyBorder="1" applyAlignment="1">
      <alignment vertical="center"/>
    </xf>
    <xf numFmtId="0" fontId="71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38" fillId="0" borderId="9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 wrapText="1"/>
    </xf>
    <xf numFmtId="17" fontId="14" fillId="4" borderId="8" xfId="0" applyNumberFormat="1" applyFont="1" applyFill="1" applyBorder="1" applyAlignment="1">
      <alignment horizontal="right" vertical="center"/>
    </xf>
    <xf numFmtId="1" fontId="14" fillId="0" borderId="2" xfId="0" applyNumberFormat="1" applyFont="1" applyBorder="1" applyAlignment="1">
      <alignment horizontal="center" vertical="center"/>
    </xf>
    <xf numFmtId="179" fontId="14" fillId="6" borderId="2" xfId="0" applyNumberFormat="1" applyFont="1" applyFill="1" applyBorder="1" applyAlignment="1">
      <alignment horizontal="center" vertical="center"/>
    </xf>
    <xf numFmtId="192" fontId="14" fillId="6" borderId="2" xfId="0" applyNumberFormat="1" applyFont="1" applyFill="1" applyBorder="1" applyAlignment="1">
      <alignment horizontal="center" vertical="center" wrapText="1"/>
    </xf>
    <xf numFmtId="192" fontId="14" fillId="6" borderId="2" xfId="0" applyNumberFormat="1" applyFont="1" applyFill="1" applyBorder="1" applyAlignment="1">
      <alignment horizontal="center" vertical="center"/>
    </xf>
    <xf numFmtId="179" fontId="14" fillId="7" borderId="2" xfId="0" applyNumberFormat="1" applyFont="1" applyFill="1" applyBorder="1" applyAlignment="1">
      <alignment horizontal="center" vertical="center"/>
    </xf>
    <xf numFmtId="1" fontId="14" fillId="7" borderId="2" xfId="0" applyNumberFormat="1" applyFont="1" applyFill="1" applyBorder="1" applyAlignment="1">
      <alignment horizontal="center" vertical="center" wrapText="1"/>
    </xf>
    <xf numFmtId="2" fontId="14" fillId="7" borderId="2" xfId="0" applyNumberFormat="1" applyFont="1" applyFill="1" applyBorder="1" applyAlignment="1">
      <alignment horizontal="center" vertical="center" wrapText="1"/>
    </xf>
    <xf numFmtId="192" fontId="14" fillId="7" borderId="2" xfId="0" applyNumberFormat="1" applyFont="1" applyFill="1" applyBorder="1" applyAlignment="1">
      <alignment horizontal="center" vertical="center" wrapText="1"/>
    </xf>
    <xf numFmtId="2" fontId="14" fillId="6" borderId="2" xfId="0" applyNumberFormat="1" applyFont="1" applyFill="1" applyBorder="1" applyAlignment="1">
      <alignment horizontal="center" vertical="center"/>
    </xf>
    <xf numFmtId="2" fontId="14" fillId="7" borderId="2" xfId="0" applyNumberFormat="1" applyFont="1" applyFill="1" applyBorder="1" applyAlignment="1">
      <alignment horizontal="center" vertical="center"/>
    </xf>
    <xf numFmtId="192" fontId="14" fillId="7" borderId="2" xfId="0" applyNumberFormat="1" applyFont="1" applyFill="1" applyBorder="1" applyAlignment="1">
      <alignment horizontal="center" vertical="center"/>
    </xf>
    <xf numFmtId="193" fontId="14" fillId="6" borderId="2" xfId="0" applyNumberFormat="1" applyFont="1" applyFill="1" applyBorder="1" applyAlignment="1">
      <alignment horizontal="center" vertical="center" wrapText="1"/>
    </xf>
    <xf numFmtId="2" fontId="14" fillId="6" borderId="2" xfId="0" applyNumberFormat="1" applyFont="1" applyFill="1" applyBorder="1" applyAlignment="1">
      <alignment horizontal="center" vertical="center" wrapText="1"/>
    </xf>
    <xf numFmtId="179" fontId="14" fillId="8" borderId="27" xfId="0" applyNumberFormat="1" applyFont="1" applyFill="1" applyBorder="1" applyAlignment="1">
      <alignment vertical="center"/>
    </xf>
    <xf numFmtId="187" fontId="14" fillId="8" borderId="2" xfId="0" applyNumberFormat="1" applyFont="1" applyFill="1" applyBorder="1" applyAlignment="1">
      <alignment horizontal="center" vertical="center"/>
    </xf>
    <xf numFmtId="1" fontId="14" fillId="0" borderId="0" xfId="0" applyNumberFormat="1" applyFont="1" applyAlignment="1">
      <alignment vertical="center"/>
    </xf>
    <xf numFmtId="0" fontId="71" fillId="0" borderId="0" xfId="0" applyFont="1" applyAlignment="1">
      <alignment vertical="center"/>
    </xf>
    <xf numFmtId="178" fontId="71" fillId="0" borderId="0" xfId="0" applyNumberFormat="1" applyFont="1" applyAlignment="1">
      <alignment vertical="center"/>
    </xf>
    <xf numFmtId="1" fontId="71" fillId="0" borderId="0" xfId="0" applyNumberFormat="1" applyFont="1" applyAlignment="1">
      <alignment vertical="center"/>
    </xf>
    <xf numFmtId="0" fontId="38" fillId="0" borderId="10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5" borderId="2" xfId="0" applyFont="1" applyFill="1" applyBorder="1" applyAlignment="1">
      <alignment horizontal="center" vertical="center"/>
    </xf>
    <xf numFmtId="179" fontId="14" fillId="0" borderId="10" xfId="0" applyNumberFormat="1" applyFont="1" applyBorder="1" applyAlignment="1">
      <alignment vertical="center"/>
    </xf>
    <xf numFmtId="179" fontId="14" fillId="0" borderId="0" xfId="0" applyNumberFormat="1" applyFont="1" applyAlignment="1">
      <alignment vertical="center"/>
    </xf>
    <xf numFmtId="0" fontId="38" fillId="0" borderId="0" xfId="0" applyFont="1" applyAlignment="1">
      <alignment horizontal="center" vertical="center"/>
    </xf>
    <xf numFmtId="179" fontId="14" fillId="0" borderId="0" xfId="0" applyNumberFormat="1" applyFont="1" applyAlignment="1">
      <alignment horizontal="left" vertical="center"/>
    </xf>
    <xf numFmtId="179" fontId="14" fillId="0" borderId="10" xfId="0" applyNumberFormat="1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187" fontId="38" fillId="0" borderId="2" xfId="0" applyNumberFormat="1" applyFont="1" applyBorder="1" applyAlignment="1">
      <alignment horizontal="center" vertical="center"/>
    </xf>
    <xf numFmtId="179" fontId="14" fillId="0" borderId="0" xfId="0" applyNumberFormat="1" applyFont="1" applyAlignment="1">
      <alignment vertical="center" wrapText="1"/>
    </xf>
    <xf numFmtId="179" fontId="14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vertical="center"/>
    </xf>
    <xf numFmtId="0" fontId="38" fillId="0" borderId="2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right" vertical="center"/>
    </xf>
    <xf numFmtId="187" fontId="14" fillId="5" borderId="2" xfId="0" applyNumberFormat="1" applyFont="1" applyFill="1" applyBorder="1" applyAlignment="1">
      <alignment horizontal="center" vertical="center"/>
    </xf>
    <xf numFmtId="179" fontId="14" fillId="5" borderId="2" xfId="0" applyNumberFormat="1" applyFont="1" applyFill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 wrapText="1"/>
    </xf>
    <xf numFmtId="187" fontId="14" fillId="0" borderId="2" xfId="0" applyNumberFormat="1" applyFont="1" applyBorder="1" applyAlignment="1">
      <alignment horizontal="center" vertical="center"/>
    </xf>
    <xf numFmtId="10" fontId="14" fillId="0" borderId="2" xfId="0" applyNumberFormat="1" applyFont="1" applyBorder="1" applyAlignment="1">
      <alignment horizontal="center" vertical="center"/>
    </xf>
    <xf numFmtId="0" fontId="14" fillId="0" borderId="0" xfId="0" applyFont="1"/>
    <xf numFmtId="0" fontId="14" fillId="0" borderId="7" xfId="4" applyFont="1" applyBorder="1" applyAlignment="1">
      <alignment horizontal="center" vertical="center" wrapText="1"/>
    </xf>
    <xf numFmtId="0" fontId="14" fillId="0" borderId="3" xfId="4" applyFont="1" applyBorder="1" applyAlignment="1">
      <alignment vertical="center"/>
    </xf>
    <xf numFmtId="0" fontId="14" fillId="5" borderId="2" xfId="4" applyFont="1" applyFill="1" applyBorder="1" applyAlignment="1">
      <alignment horizontal="right" vertical="center"/>
    </xf>
    <xf numFmtId="0" fontId="14" fillId="0" borderId="3" xfId="5" applyFont="1" applyBorder="1" applyAlignment="1">
      <alignment vertical="center"/>
    </xf>
    <xf numFmtId="0" fontId="14" fillId="0" borderId="3" xfId="9" applyFont="1" applyBorder="1" applyAlignment="1">
      <alignment vertical="center"/>
    </xf>
    <xf numFmtId="0" fontId="31" fillId="0" borderId="6" xfId="0" applyFont="1" applyBorder="1"/>
    <xf numFmtId="2" fontId="31" fillId="0" borderId="7" xfId="0" applyNumberFormat="1" applyFont="1" applyBorder="1" applyAlignment="1">
      <alignment horizontal="center"/>
    </xf>
    <xf numFmtId="176" fontId="31" fillId="0" borderId="13" xfId="11" applyFont="1" applyBorder="1"/>
    <xf numFmtId="3" fontId="38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3" fontId="38" fillId="0" borderId="11" xfId="0" applyNumberFormat="1" applyFont="1" applyBorder="1" applyAlignment="1">
      <alignment horizontal="center"/>
    </xf>
    <xf numFmtId="3" fontId="38" fillId="0" borderId="5" xfId="0" applyNumberFormat="1" applyFont="1" applyBorder="1" applyAlignment="1">
      <alignment horizontal="center"/>
    </xf>
    <xf numFmtId="193" fontId="14" fillId="0" borderId="2" xfId="0" applyNumberFormat="1" applyFont="1" applyFill="1" applyBorder="1" applyAlignment="1">
      <alignment horizontal="center"/>
    </xf>
    <xf numFmtId="193" fontId="14" fillId="0" borderId="11" xfId="11" applyNumberFormat="1" applyFont="1" applyFill="1" applyBorder="1" applyAlignment="1">
      <alignment horizontal="center"/>
    </xf>
    <xf numFmtId="0" fontId="38" fillId="0" borderId="40" xfId="0" applyFont="1" applyBorder="1" applyAlignment="1">
      <alignment horizontal="center"/>
    </xf>
    <xf numFmtId="177" fontId="38" fillId="0" borderId="5" xfId="11" applyNumberFormat="1" applyFont="1" applyFill="1" applyBorder="1" applyAlignment="1">
      <alignment horizontal="right"/>
    </xf>
    <xf numFmtId="177" fontId="38" fillId="0" borderId="2" xfId="11" applyNumberFormat="1" applyFont="1" applyFill="1" applyBorder="1" applyAlignment="1">
      <alignment horizontal="right"/>
    </xf>
    <xf numFmtId="177" fontId="38" fillId="0" borderId="11" xfId="11" applyNumberFormat="1" applyFont="1" applyFill="1" applyBorder="1" applyAlignment="1">
      <alignment horizontal="right"/>
    </xf>
    <xf numFmtId="177" fontId="14" fillId="0" borderId="5" xfId="0" applyNumberFormat="1" applyFont="1" applyBorder="1" applyAlignment="1">
      <alignment horizontal="center"/>
    </xf>
    <xf numFmtId="177" fontId="14" fillId="0" borderId="2" xfId="0" applyNumberFormat="1" applyFont="1" applyBorder="1" applyAlignment="1">
      <alignment horizontal="center"/>
    </xf>
    <xf numFmtId="177" fontId="14" fillId="0" borderId="11" xfId="0" applyNumberFormat="1" applyFont="1" applyBorder="1"/>
    <xf numFmtId="177" fontId="14" fillId="0" borderId="13" xfId="0" applyNumberFormat="1" applyFont="1" applyBorder="1" applyAlignment="1">
      <alignment horizontal="center"/>
    </xf>
    <xf numFmtId="17" fontId="42" fillId="0" borderId="5" xfId="0" applyNumberFormat="1" applyFont="1" applyBorder="1"/>
    <xf numFmtId="3" fontId="14" fillId="0" borderId="5" xfId="0" applyNumberFormat="1" applyFont="1" applyBorder="1"/>
    <xf numFmtId="17" fontId="42" fillId="0" borderId="11" xfId="0" applyNumberFormat="1" applyFont="1" applyBorder="1"/>
    <xf numFmtId="3" fontId="14" fillId="0" borderId="11" xfId="0" applyNumberFormat="1" applyFont="1" applyBorder="1"/>
    <xf numFmtId="17" fontId="38" fillId="0" borderId="12" xfId="0" applyNumberFormat="1" applyFont="1" applyBorder="1"/>
    <xf numFmtId="177" fontId="38" fillId="0" borderId="5" xfId="0" applyNumberFormat="1" applyFont="1" applyBorder="1" applyAlignment="1">
      <alignment horizontal="center"/>
    </xf>
    <xf numFmtId="177" fontId="38" fillId="0" borderId="2" xfId="0" applyNumberFormat="1" applyFont="1" applyBorder="1" applyAlignment="1">
      <alignment horizontal="center"/>
    </xf>
    <xf numFmtId="177" fontId="38" fillId="0" borderId="11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" xfId="0" applyFont="1" applyFill="1" applyBorder="1" applyAlignment="1">
      <alignment horizontal="left" vertical="center"/>
    </xf>
    <xf numFmtId="0" fontId="17" fillId="9" borderId="17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3" fontId="38" fillId="0" borderId="9" xfId="0" applyNumberFormat="1" applyFont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3" fontId="38" fillId="0" borderId="27" xfId="0" applyNumberFormat="1" applyFont="1" applyBorder="1" applyAlignment="1">
      <alignment horizontal="center"/>
    </xf>
    <xf numFmtId="0" fontId="42" fillId="0" borderId="17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38" fillId="0" borderId="0" xfId="0" applyFont="1" applyAlignment="1">
      <alignment wrapText="1"/>
    </xf>
    <xf numFmtId="0" fontId="14" fillId="0" borderId="0" xfId="0" applyFont="1"/>
    <xf numFmtId="0" fontId="42" fillId="0" borderId="2" xfId="0" applyFont="1" applyFill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3" fontId="38" fillId="0" borderId="2" xfId="0" applyNumberFormat="1" applyFont="1" applyBorder="1" applyAlignment="1">
      <alignment horizont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/>
    </xf>
    <xf numFmtId="0" fontId="42" fillId="0" borderId="19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/>
    </xf>
    <xf numFmtId="177" fontId="38" fillId="0" borderId="11" xfId="11" applyNumberFormat="1" applyFont="1" applyFill="1" applyBorder="1" applyAlignment="1"/>
    <xf numFmtId="0" fontId="38" fillId="0" borderId="11" xfId="0" applyFont="1" applyBorder="1" applyAlignment="1">
      <alignment horizontal="center"/>
    </xf>
    <xf numFmtId="3" fontId="38" fillId="0" borderId="9" xfId="9" applyNumberFormat="1" applyFont="1" applyBorder="1" applyAlignment="1">
      <alignment horizontal="center" vertical="center"/>
    </xf>
    <xf numFmtId="3" fontId="38" fillId="0" borderId="27" xfId="9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/>
    </xf>
    <xf numFmtId="3" fontId="14" fillId="0" borderId="27" xfId="0" applyNumberFormat="1" applyFont="1" applyBorder="1" applyAlignment="1">
      <alignment horizontal="center"/>
    </xf>
    <xf numFmtId="0" fontId="42" fillId="0" borderId="2" xfId="0" applyFont="1" applyBorder="1" applyAlignment="1">
      <alignment horizontal="center" wrapText="1"/>
    </xf>
    <xf numFmtId="0" fontId="42" fillId="0" borderId="7" xfId="0" applyFont="1" applyBorder="1" applyAlignment="1">
      <alignment horizontal="center" wrapText="1"/>
    </xf>
    <xf numFmtId="9" fontId="14" fillId="0" borderId="17" xfId="4" applyNumberFormat="1" applyFont="1" applyBorder="1" applyAlignment="1">
      <alignment horizontal="center" vertical="center"/>
    </xf>
    <xf numFmtId="9" fontId="14" fillId="0" borderId="18" xfId="4" applyNumberFormat="1" applyFont="1" applyBorder="1" applyAlignment="1">
      <alignment horizontal="center" vertical="center"/>
    </xf>
    <xf numFmtId="9" fontId="14" fillId="0" borderId="14" xfId="4" applyNumberFormat="1" applyFont="1" applyBorder="1" applyAlignment="1">
      <alignment horizontal="center" vertical="center"/>
    </xf>
    <xf numFmtId="3" fontId="14" fillId="0" borderId="2" xfId="4" applyNumberFormat="1" applyFont="1" applyFill="1" applyBorder="1" applyAlignment="1">
      <alignment horizontal="center" vertical="center"/>
    </xf>
    <xf numFmtId="191" fontId="38" fillId="0" borderId="2" xfId="9" applyNumberFormat="1" applyFont="1" applyBorder="1" applyAlignment="1">
      <alignment horizontal="center" vertical="center"/>
    </xf>
    <xf numFmtId="191" fontId="38" fillId="0" borderId="11" xfId="9" applyNumberFormat="1" applyFont="1" applyBorder="1" applyAlignment="1">
      <alignment horizontal="center" vertical="center"/>
    </xf>
    <xf numFmtId="185" fontId="14" fillId="0" borderId="2" xfId="0" applyNumberFormat="1" applyFont="1" applyFill="1" applyBorder="1" applyAlignment="1">
      <alignment horizontal="center"/>
    </xf>
    <xf numFmtId="0" fontId="14" fillId="0" borderId="17" xfId="9" applyFont="1" applyBorder="1" applyAlignment="1">
      <alignment horizontal="center" vertical="center"/>
    </xf>
    <xf numFmtId="0" fontId="14" fillId="0" borderId="18" xfId="9" applyFont="1" applyBorder="1" applyAlignment="1">
      <alignment horizontal="center" vertical="center"/>
    </xf>
    <xf numFmtId="0" fontId="14" fillId="0" borderId="14" xfId="9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2" xfId="9" applyFont="1" applyBorder="1" applyAlignment="1">
      <alignment horizontal="center" vertical="center"/>
    </xf>
    <xf numFmtId="0" fontId="14" fillId="0" borderId="23" xfId="9" applyFont="1" applyBorder="1" applyAlignment="1">
      <alignment horizontal="center" vertical="center"/>
    </xf>
    <xf numFmtId="0" fontId="14" fillId="0" borderId="10" xfId="9" applyFont="1" applyBorder="1" applyAlignment="1">
      <alignment horizontal="center" vertical="center"/>
    </xf>
    <xf numFmtId="0" fontId="14" fillId="0" borderId="24" xfId="9" applyFont="1" applyBorder="1" applyAlignment="1">
      <alignment horizontal="center" vertical="center"/>
    </xf>
    <xf numFmtId="0" fontId="14" fillId="0" borderId="25" xfId="9" applyFont="1" applyBorder="1" applyAlignment="1">
      <alignment horizontal="center" vertical="center"/>
    </xf>
    <xf numFmtId="0" fontId="14" fillId="0" borderId="26" xfId="9" applyFont="1" applyBorder="1" applyAlignment="1">
      <alignment horizontal="center" vertical="center"/>
    </xf>
    <xf numFmtId="0" fontId="14" fillId="0" borderId="2" xfId="9" applyFont="1" applyBorder="1" applyAlignment="1">
      <alignment horizontal="center" vertical="center"/>
    </xf>
    <xf numFmtId="0" fontId="14" fillId="0" borderId="7" xfId="9" applyFont="1" applyBorder="1" applyAlignment="1">
      <alignment horizontal="center" vertical="center"/>
    </xf>
    <xf numFmtId="0" fontId="42" fillId="0" borderId="5" xfId="0" applyFont="1" applyBorder="1" applyAlignment="1">
      <alignment horizontal="center" wrapText="1"/>
    </xf>
    <xf numFmtId="0" fontId="42" fillId="0" borderId="6" xfId="0" applyFont="1" applyBorder="1" applyAlignment="1">
      <alignment horizontal="center" wrapText="1"/>
    </xf>
    <xf numFmtId="0" fontId="14" fillId="0" borderId="11" xfId="9" applyFont="1" applyFill="1" applyBorder="1" applyAlignment="1">
      <alignment horizontal="center" vertical="center" wrapText="1"/>
    </xf>
    <xf numFmtId="0" fontId="14" fillId="0" borderId="13" xfId="9" applyFont="1" applyFill="1" applyBorder="1" applyAlignment="1">
      <alignment horizontal="center" vertical="center" wrapText="1"/>
    </xf>
    <xf numFmtId="0" fontId="38" fillId="0" borderId="40" xfId="0" applyFont="1" applyBorder="1" applyAlignment="1">
      <alignment horizontal="center"/>
    </xf>
    <xf numFmtId="0" fontId="38" fillId="0" borderId="41" xfId="0" applyFont="1" applyBorder="1" applyAlignment="1">
      <alignment horizontal="center"/>
    </xf>
    <xf numFmtId="185" fontId="14" fillId="5" borderId="9" xfId="0" applyNumberFormat="1" applyFont="1" applyFill="1" applyBorder="1" applyAlignment="1">
      <alignment horizontal="center"/>
    </xf>
    <xf numFmtId="185" fontId="14" fillId="5" borderId="27" xfId="0" applyNumberFormat="1" applyFont="1" applyFill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14" fillId="0" borderId="2" xfId="9" applyFont="1" applyBorder="1" applyAlignment="1">
      <alignment horizontal="center" vertical="center" wrapText="1"/>
    </xf>
    <xf numFmtId="0" fontId="14" fillId="0" borderId="7" xfId="9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7" xfId="4" applyFont="1" applyFill="1" applyBorder="1" applyAlignment="1">
      <alignment horizontal="center" vertical="center" wrapText="1"/>
    </xf>
    <xf numFmtId="0" fontId="14" fillId="5" borderId="7" xfId="4" applyFont="1" applyFill="1" applyBorder="1" applyAlignment="1">
      <alignment horizontal="center" vertical="center"/>
    </xf>
    <xf numFmtId="3" fontId="38" fillId="0" borderId="11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3" fontId="14" fillId="0" borderId="2" xfId="0" applyNumberFormat="1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3" fontId="38" fillId="0" borderId="11" xfId="9" applyNumberFormat="1" applyFont="1" applyBorder="1" applyAlignment="1">
      <alignment horizontal="center" vertical="center"/>
    </xf>
    <xf numFmtId="3" fontId="38" fillId="0" borderId="9" xfId="0" applyNumberFormat="1" applyFont="1" applyFill="1" applyBorder="1" applyAlignment="1">
      <alignment horizontal="center"/>
    </xf>
    <xf numFmtId="3" fontId="38" fillId="0" borderId="27" xfId="0" applyNumberFormat="1" applyFont="1" applyFill="1" applyBorder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3" fontId="38" fillId="0" borderId="5" xfId="0" applyNumberFormat="1" applyFont="1" applyBorder="1" applyAlignment="1">
      <alignment horizontal="center"/>
    </xf>
    <xf numFmtId="0" fontId="14" fillId="0" borderId="31" xfId="0" applyFont="1" applyBorder="1" applyAlignment="1">
      <alignment horizontal="center" vertical="center" wrapText="1"/>
    </xf>
    <xf numFmtId="3" fontId="38" fillId="0" borderId="11" xfId="0" applyNumberFormat="1" applyFont="1" applyFill="1" applyBorder="1" applyAlignment="1">
      <alignment horizontal="center"/>
    </xf>
    <xf numFmtId="3" fontId="38" fillId="0" borderId="2" xfId="9" applyNumberFormat="1" applyFont="1" applyFill="1" applyBorder="1" applyAlignment="1">
      <alignment horizontal="center" vertical="center"/>
    </xf>
    <xf numFmtId="3" fontId="38" fillId="0" borderId="11" xfId="9" applyNumberFormat="1" applyFont="1" applyFill="1" applyBorder="1" applyAlignment="1">
      <alignment horizontal="center" vertical="center"/>
    </xf>
    <xf numFmtId="3" fontId="38" fillId="0" borderId="9" xfId="9" applyNumberFormat="1" applyFont="1" applyFill="1" applyBorder="1" applyAlignment="1">
      <alignment horizontal="center" vertical="center"/>
    </xf>
    <xf numFmtId="3" fontId="38" fillId="0" borderId="27" xfId="9" applyNumberFormat="1" applyFont="1" applyFill="1" applyBorder="1" applyAlignment="1">
      <alignment horizontal="center" vertical="center"/>
    </xf>
    <xf numFmtId="4" fontId="38" fillId="0" borderId="9" xfId="9" applyNumberFormat="1" applyFont="1" applyFill="1" applyBorder="1" applyAlignment="1">
      <alignment horizontal="center" vertical="center"/>
    </xf>
    <xf numFmtId="4" fontId="38" fillId="0" borderId="27" xfId="9" applyNumberFormat="1" applyFont="1" applyFill="1" applyBorder="1" applyAlignment="1">
      <alignment horizontal="center" vertical="center"/>
    </xf>
    <xf numFmtId="0" fontId="14" fillId="0" borderId="2" xfId="5" applyFont="1" applyBorder="1" applyAlignment="1">
      <alignment horizontal="center" vertical="center" wrapText="1"/>
    </xf>
    <xf numFmtId="0" fontId="14" fillId="0" borderId="2" xfId="5" applyFont="1" applyBorder="1" applyAlignment="1">
      <alignment horizontal="center" vertical="center"/>
    </xf>
    <xf numFmtId="0" fontId="14" fillId="0" borderId="11" xfId="5" applyFont="1" applyBorder="1" applyAlignment="1">
      <alignment horizontal="center" vertical="center"/>
    </xf>
    <xf numFmtId="3" fontId="14" fillId="0" borderId="9" xfId="5" applyNumberFormat="1" applyFont="1" applyBorder="1" applyAlignment="1">
      <alignment horizontal="center" vertical="center"/>
    </xf>
    <xf numFmtId="3" fontId="14" fillId="0" borderId="27" xfId="5" applyNumberFormat="1" applyFont="1" applyBorder="1" applyAlignment="1">
      <alignment horizontal="center" vertical="center"/>
    </xf>
    <xf numFmtId="1" fontId="38" fillId="0" borderId="9" xfId="5" applyNumberFormat="1" applyFont="1" applyBorder="1" applyAlignment="1">
      <alignment horizontal="center" vertical="center"/>
    </xf>
    <xf numFmtId="1" fontId="38" fillId="0" borderId="27" xfId="5" applyNumberFormat="1" applyFont="1" applyBorder="1" applyAlignment="1">
      <alignment horizontal="center" vertical="center"/>
    </xf>
    <xf numFmtId="3" fontId="38" fillId="0" borderId="9" xfId="5" applyNumberFormat="1" applyFont="1" applyBorder="1" applyAlignment="1">
      <alignment horizontal="center" vertical="center"/>
    </xf>
    <xf numFmtId="3" fontId="38" fillId="0" borderId="27" xfId="5" applyNumberFormat="1" applyFont="1" applyBorder="1" applyAlignment="1">
      <alignment horizontal="center" vertical="center"/>
    </xf>
    <xf numFmtId="3" fontId="38" fillId="0" borderId="21" xfId="5" applyNumberFormat="1" applyFont="1" applyBorder="1" applyAlignment="1">
      <alignment horizontal="center" vertical="center"/>
    </xf>
    <xf numFmtId="3" fontId="38" fillId="0" borderId="35" xfId="5" applyNumberFormat="1" applyFont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2" fontId="14" fillId="0" borderId="9" xfId="5" applyNumberFormat="1" applyFont="1" applyBorder="1" applyAlignment="1">
      <alignment horizontal="center" vertical="center"/>
    </xf>
    <xf numFmtId="2" fontId="14" fillId="0" borderId="27" xfId="5" applyNumberFormat="1" applyFont="1" applyBorder="1" applyAlignment="1">
      <alignment horizontal="center" vertical="center"/>
    </xf>
    <xf numFmtId="176" fontId="14" fillId="0" borderId="9" xfId="5" applyNumberFormat="1" applyFont="1" applyBorder="1" applyAlignment="1">
      <alignment horizontal="center" vertical="center"/>
    </xf>
    <xf numFmtId="176" fontId="14" fillId="0" borderId="27" xfId="5" applyNumberFormat="1" applyFont="1" applyBorder="1" applyAlignment="1">
      <alignment horizontal="center" vertical="center"/>
    </xf>
    <xf numFmtId="3" fontId="38" fillId="0" borderId="11" xfId="5" applyNumberFormat="1" applyFont="1" applyBorder="1" applyAlignment="1">
      <alignment horizontal="center" vertical="center"/>
    </xf>
    <xf numFmtId="3" fontId="38" fillId="0" borderId="2" xfId="5" applyNumberFormat="1" applyFont="1" applyBorder="1" applyAlignment="1">
      <alignment horizontal="center" vertical="center"/>
    </xf>
    <xf numFmtId="1" fontId="38" fillId="0" borderId="2" xfId="5" applyNumberFormat="1" applyFont="1" applyBorder="1" applyAlignment="1">
      <alignment horizontal="center" vertical="center"/>
    </xf>
    <xf numFmtId="0" fontId="14" fillId="0" borderId="7" xfId="5" applyFont="1" applyBorder="1" applyAlignment="1">
      <alignment horizontal="center" vertical="center"/>
    </xf>
    <xf numFmtId="0" fontId="14" fillId="0" borderId="13" xfId="5" applyFont="1" applyBorder="1" applyAlignment="1">
      <alignment horizontal="center" vertical="center"/>
    </xf>
    <xf numFmtId="3" fontId="14" fillId="0" borderId="2" xfId="11" applyNumberFormat="1" applyFont="1" applyFill="1" applyBorder="1" applyAlignment="1">
      <alignment horizontal="center" vertical="center"/>
    </xf>
    <xf numFmtId="0" fontId="14" fillId="0" borderId="7" xfId="5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3" fontId="14" fillId="0" borderId="9" xfId="11" applyNumberFormat="1" applyFont="1" applyFill="1" applyBorder="1" applyAlignment="1">
      <alignment horizontal="center" vertical="center"/>
    </xf>
    <xf numFmtId="3" fontId="14" fillId="0" borderId="27" xfId="1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36" xfId="0" applyFont="1" applyBorder="1" applyAlignment="1">
      <alignment horizontal="center" wrapText="1"/>
    </xf>
    <xf numFmtId="0" fontId="14" fillId="0" borderId="37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14" fillId="0" borderId="38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38" fillId="8" borderId="17" xfId="0" applyFont="1" applyFill="1" applyBorder="1" applyAlignment="1">
      <alignment horizontal="center" vertical="center"/>
    </xf>
    <xf numFmtId="0" fontId="38" fillId="8" borderId="14" xfId="0" applyFont="1" applyFill="1" applyBorder="1" applyAlignment="1">
      <alignment horizontal="center" vertical="center"/>
    </xf>
    <xf numFmtId="0" fontId="38" fillId="8" borderId="17" xfId="0" applyFont="1" applyFill="1" applyBorder="1" applyAlignment="1">
      <alignment horizontal="center" vertical="center" wrapText="1"/>
    </xf>
    <xf numFmtId="0" fontId="38" fillId="8" borderId="14" xfId="0" applyFont="1" applyFill="1" applyBorder="1" applyAlignment="1">
      <alignment horizontal="center" vertical="center" wrapText="1"/>
    </xf>
    <xf numFmtId="0" fontId="71" fillId="0" borderId="8" xfId="0" applyFont="1" applyBorder="1" applyAlignment="1">
      <alignment horizontal="left" vertical="center"/>
    </xf>
    <xf numFmtId="0" fontId="38" fillId="6" borderId="9" xfId="0" applyFont="1" applyFill="1" applyBorder="1" applyAlignment="1">
      <alignment horizontal="center" vertical="center"/>
    </xf>
    <xf numFmtId="0" fontId="38" fillId="6" borderId="32" xfId="0" applyFont="1" applyFill="1" applyBorder="1" applyAlignment="1">
      <alignment horizontal="center" vertical="center"/>
    </xf>
    <xf numFmtId="0" fontId="38" fillId="6" borderId="27" xfId="0" applyFont="1" applyFill="1" applyBorder="1" applyAlignment="1">
      <alignment horizontal="center" vertical="center"/>
    </xf>
    <xf numFmtId="0" fontId="38" fillId="7" borderId="9" xfId="0" applyFont="1" applyFill="1" applyBorder="1" applyAlignment="1">
      <alignment horizontal="center" vertical="center"/>
    </xf>
    <xf numFmtId="0" fontId="38" fillId="7" borderId="32" xfId="0" applyFont="1" applyFill="1" applyBorder="1" applyAlignment="1">
      <alignment horizontal="center" vertical="center"/>
    </xf>
    <xf numFmtId="0" fontId="38" fillId="7" borderId="27" xfId="0" applyFont="1" applyFill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38" fillId="9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left" vertical="center"/>
    </xf>
    <xf numFmtId="179" fontId="14" fillId="5" borderId="2" xfId="0" applyNumberFormat="1" applyFont="1" applyFill="1" applyBorder="1" applyAlignment="1">
      <alignment horizontal="left" vertical="center"/>
    </xf>
    <xf numFmtId="0" fontId="25" fillId="0" borderId="9" xfId="14" applyFont="1" applyBorder="1" applyAlignment="1">
      <alignment horizontal="center" vertical="center"/>
    </xf>
    <xf numFmtId="0" fontId="25" fillId="0" borderId="27" xfId="14" applyFont="1" applyBorder="1" applyAlignment="1">
      <alignment horizontal="center" vertical="center"/>
    </xf>
    <xf numFmtId="0" fontId="24" fillId="0" borderId="2" xfId="14" applyFont="1" applyBorder="1" applyAlignment="1">
      <alignment horizontal="left"/>
    </xf>
    <xf numFmtId="0" fontId="25" fillId="0" borderId="2" xfId="14" applyFont="1" applyBorder="1" applyAlignment="1">
      <alignment horizontal="center" vertical="center"/>
    </xf>
    <xf numFmtId="0" fontId="25" fillId="0" borderId="17" xfId="14" applyFont="1" applyBorder="1" applyAlignment="1">
      <alignment horizontal="center" vertical="center"/>
    </xf>
    <xf numFmtId="0" fontId="25" fillId="0" borderId="14" xfId="14" applyFont="1" applyBorder="1" applyAlignment="1">
      <alignment horizontal="center" vertical="center"/>
    </xf>
    <xf numFmtId="0" fontId="23" fillId="0" borderId="9" xfId="14" applyFont="1" applyBorder="1" applyAlignment="1">
      <alignment horizontal="center"/>
    </xf>
    <xf numFmtId="0" fontId="23" fillId="0" borderId="32" xfId="14" applyFont="1" applyBorder="1" applyAlignment="1">
      <alignment horizontal="center"/>
    </xf>
    <xf numFmtId="0" fontId="23" fillId="0" borderId="27" xfId="14" applyFont="1" applyBorder="1" applyAlignment="1">
      <alignment horizontal="center"/>
    </xf>
    <xf numFmtId="0" fontId="24" fillId="0" borderId="14" xfId="14" applyFont="1" applyBorder="1" applyAlignment="1">
      <alignment horizontal="left"/>
    </xf>
    <xf numFmtId="0" fontId="24" fillId="0" borderId="43" xfId="14" applyFont="1" applyBorder="1" applyAlignment="1">
      <alignment horizontal="left"/>
    </xf>
    <xf numFmtId="0" fontId="24" fillId="0" borderId="44" xfId="14" applyFont="1" applyBorder="1" applyAlignment="1">
      <alignment horizontal="left"/>
    </xf>
    <xf numFmtId="0" fontId="24" fillId="0" borderId="45" xfId="14" applyFont="1" applyBorder="1" applyAlignment="1">
      <alignment horizontal="left"/>
    </xf>
    <xf numFmtId="0" fontId="25" fillId="0" borderId="32" xfId="14" applyFont="1" applyBorder="1" applyAlignment="1">
      <alignment horizontal="center" vertical="center"/>
    </xf>
    <xf numFmtId="0" fontId="24" fillId="0" borderId="9" xfId="14" applyFont="1" applyBorder="1" applyAlignment="1">
      <alignment horizontal="left"/>
    </xf>
    <xf numFmtId="0" fontId="24" fillId="0" borderId="32" xfId="14" applyFont="1" applyBorder="1" applyAlignment="1">
      <alignment horizontal="left"/>
    </xf>
    <xf numFmtId="0" fontId="24" fillId="0" borderId="27" xfId="14" applyFont="1" applyBorder="1" applyAlignment="1">
      <alignment horizontal="left"/>
    </xf>
  </cellXfs>
  <cellStyles count="15">
    <cellStyle name="Euro" xfId="1" xr:uid="{00000000-0005-0000-0000-000000000000}"/>
    <cellStyle name="Normal 2" xfId="2" xr:uid="{00000000-0005-0000-0000-000001000000}"/>
    <cellStyle name="Normal_AMIGO AGRO (HOGS INVTY 06)" xfId="3" xr:uid="{00000000-0005-0000-0000-000002000000}"/>
    <cellStyle name="Normal_Sheet2" xfId="4" xr:uid="{00000000-0005-0000-0000-000003000000}"/>
    <cellStyle name="Normal_Sheet3" xfId="5" xr:uid="{00000000-0005-0000-0000-000004000000}"/>
    <cellStyle name="Percent 2" xfId="6" xr:uid="{00000000-0005-0000-0000-000005000000}"/>
    <cellStyle name="百分比" xfId="7" builtinId="5"/>
    <cellStyle name="常规" xfId="0" builtinId="0"/>
    <cellStyle name="常规 2" xfId="12" xr:uid="{82907693-CA91-411D-82CC-49956B83C243}"/>
    <cellStyle name="常规 3" xfId="13" xr:uid="{FA031BCD-847C-4C57-BB50-26EE90CE2A6B}"/>
    <cellStyle name="常规 4" xfId="14" xr:uid="{CFBBBA6A-D6F1-40D5-8E18-2E6C3B49F2E7}"/>
    <cellStyle name="常规_Sheet2" xfId="8" xr:uid="{00000000-0005-0000-0000-000008000000}"/>
    <cellStyle name="常规_范霍夫数－计算结果" xfId="9" xr:uid="{00000000-0005-0000-0000-000009000000}"/>
    <cellStyle name="超链接" xfId="10" builtinId="8"/>
    <cellStyle name="千位分隔" xfId="1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Relationship Id="rId9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625929</xdr:colOff>
      <xdr:row>3</xdr:row>
      <xdr:rowOff>49893</xdr:rowOff>
    </xdr:to>
    <xdr:pic>
      <xdr:nvPicPr>
        <xdr:cNvPr id="77382" name="Picture 3">
          <a:extLst>
            <a:ext uri="{FF2B5EF4-FFF2-40B4-BE49-F238E27FC236}">
              <a16:creationId xmlns:a16="http://schemas.microsoft.com/office/drawing/2014/main" id="{AA46EAA2-61F1-457D-ACAB-D3BF5E10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850"/>
          <a:ext cx="2889250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93839</xdr:colOff>
      <xdr:row>3</xdr:row>
      <xdr:rowOff>26811</xdr:rowOff>
    </xdr:from>
    <xdr:to>
      <xdr:col>3</xdr:col>
      <xdr:colOff>93537</xdr:colOff>
      <xdr:row>6</xdr:row>
      <xdr:rowOff>98374</xdr:rowOff>
    </xdr:to>
    <xdr:pic>
      <xdr:nvPicPr>
        <xdr:cNvPr id="77383" name="图片 1">
          <a:extLst>
            <a:ext uri="{FF2B5EF4-FFF2-40B4-BE49-F238E27FC236}">
              <a16:creationId xmlns:a16="http://schemas.microsoft.com/office/drawing/2014/main" id="{A9CC20F7-B996-4F07-A0E4-4F2B95F2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672" y="619478"/>
          <a:ext cx="2116365" cy="579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536222</xdr:colOff>
      <xdr:row>4</xdr:row>
      <xdr:rowOff>46548</xdr:rowOff>
    </xdr:from>
    <xdr:to>
      <xdr:col>4</xdr:col>
      <xdr:colOff>1552222</xdr:colOff>
      <xdr:row>7</xdr:row>
      <xdr:rowOff>17234</xdr:rowOff>
    </xdr:to>
    <xdr:pic>
      <xdr:nvPicPr>
        <xdr:cNvPr id="77384" name="Picture 4">
          <a:extLst>
            <a:ext uri="{FF2B5EF4-FFF2-40B4-BE49-F238E27FC236}">
              <a16:creationId xmlns:a16="http://schemas.microsoft.com/office/drawing/2014/main" id="{B52CA2E7-8777-478E-A9B9-D10E1038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722" y="787381"/>
          <a:ext cx="3210278" cy="4786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3</xdr:col>
      <xdr:colOff>421822</xdr:colOff>
      <xdr:row>115</xdr:row>
      <xdr:rowOff>26307</xdr:rowOff>
    </xdr:to>
    <xdr:pic>
      <xdr:nvPicPr>
        <xdr:cNvPr id="77385" name="图片 3">
          <a:extLst>
            <a:ext uri="{FF2B5EF4-FFF2-40B4-BE49-F238E27FC236}">
              <a16:creationId xmlns:a16="http://schemas.microsoft.com/office/drawing/2014/main" id="{5E34BCAC-0B7A-4940-B9B2-66658E34E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25650"/>
          <a:ext cx="48069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3505200</xdr:colOff>
      <xdr:row>116</xdr:row>
      <xdr:rowOff>88900</xdr:rowOff>
    </xdr:from>
    <xdr:to>
      <xdr:col>4</xdr:col>
      <xdr:colOff>10886</xdr:colOff>
      <xdr:row>119</xdr:row>
      <xdr:rowOff>353</xdr:rowOff>
    </xdr:to>
    <xdr:pic>
      <xdr:nvPicPr>
        <xdr:cNvPr id="77386" name="图片 4">
          <a:extLst>
            <a:ext uri="{FF2B5EF4-FFF2-40B4-BE49-F238E27FC236}">
              <a16:creationId xmlns:a16="http://schemas.microsoft.com/office/drawing/2014/main" id="{1326E91D-B73D-41FB-9B0B-5459D8BA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5309850"/>
          <a:ext cx="4318000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2117</xdr:colOff>
      <xdr:row>118</xdr:row>
      <xdr:rowOff>158750</xdr:rowOff>
    </xdr:from>
    <xdr:to>
      <xdr:col>3</xdr:col>
      <xdr:colOff>493889</xdr:colOff>
      <xdr:row>121</xdr:row>
      <xdr:rowOff>160338</xdr:rowOff>
    </xdr:to>
    <xdr:pic>
      <xdr:nvPicPr>
        <xdr:cNvPr id="77387" name="Picture 5">
          <a:extLst>
            <a:ext uri="{FF2B5EF4-FFF2-40B4-BE49-F238E27FC236}">
              <a16:creationId xmlns:a16="http://schemas.microsoft.com/office/drawing/2014/main" id="{5438E3D8-D74D-4D87-9452-FF9EDBC2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21487694"/>
          <a:ext cx="2608439" cy="49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</xdr:colOff>
      <xdr:row>119</xdr:row>
      <xdr:rowOff>0</xdr:rowOff>
    </xdr:from>
    <xdr:to>
      <xdr:col>4</xdr:col>
      <xdr:colOff>2257778</xdr:colOff>
      <xdr:row>121</xdr:row>
      <xdr:rowOff>160337</xdr:rowOff>
    </xdr:to>
    <xdr:pic>
      <xdr:nvPicPr>
        <xdr:cNvPr id="77388" name="Picture 6">
          <a:extLst>
            <a:ext uri="{FF2B5EF4-FFF2-40B4-BE49-F238E27FC236}">
              <a16:creationId xmlns:a16="http://schemas.microsoft.com/office/drawing/2014/main" id="{3D63557B-D2CF-4503-AA6C-1BF4F295C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5779" y="21491222"/>
          <a:ext cx="2257777" cy="489656"/>
        </a:xfrm>
        <a:prstGeom prst="rect">
          <a:avLst/>
        </a:prstGeom>
        <a:solidFill>
          <a:srgbClr val="FF0000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4</xdr:col>
      <xdr:colOff>1814</xdr:colOff>
      <xdr:row>223</xdr:row>
      <xdr:rowOff>7258</xdr:rowOff>
    </xdr:to>
    <xdr:pic>
      <xdr:nvPicPr>
        <xdr:cNvPr id="77389" name="图片 5">
          <a:extLst>
            <a:ext uri="{FF2B5EF4-FFF2-40B4-BE49-F238E27FC236}">
              <a16:creationId xmlns:a16="http://schemas.microsoft.com/office/drawing/2014/main" id="{CDF402F3-EBDB-4FD7-928C-515499A3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7362150"/>
          <a:ext cx="4318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768350</xdr:colOff>
      <xdr:row>1</xdr:row>
      <xdr:rowOff>120650</xdr:rowOff>
    </xdr:from>
    <xdr:to>
      <xdr:col>2</xdr:col>
      <xdr:colOff>647699</xdr:colOff>
      <xdr:row>4</xdr:row>
      <xdr:rowOff>125413</xdr:rowOff>
    </xdr:to>
    <xdr:pic>
      <xdr:nvPicPr>
        <xdr:cNvPr id="76693" name="图片 3">
          <a:extLst>
            <a:ext uri="{FF2B5EF4-FFF2-40B4-BE49-F238E27FC236}">
              <a16:creationId xmlns:a16="http://schemas.microsoft.com/office/drawing/2014/main" id="{E225E8B4-60FB-4BB7-8798-140683B7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0" y="317500"/>
          <a:ext cx="38862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263172</xdr:colOff>
      <xdr:row>6</xdr:row>
      <xdr:rowOff>150989</xdr:rowOff>
    </xdr:from>
    <xdr:to>
      <xdr:col>2</xdr:col>
      <xdr:colOff>810153</xdr:colOff>
      <xdr:row>10</xdr:row>
      <xdr:rowOff>47450</xdr:rowOff>
    </xdr:to>
    <xdr:pic>
      <xdr:nvPicPr>
        <xdr:cNvPr id="76694" name="图片 4">
          <a:extLst>
            <a:ext uri="{FF2B5EF4-FFF2-40B4-BE49-F238E27FC236}">
              <a16:creationId xmlns:a16="http://schemas.microsoft.com/office/drawing/2014/main" id="{ED8BC111-E295-4639-A868-52C2282E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2" y="1124656"/>
          <a:ext cx="4555772" cy="575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929216</xdr:colOff>
      <xdr:row>6</xdr:row>
      <xdr:rowOff>150989</xdr:rowOff>
    </xdr:from>
    <xdr:to>
      <xdr:col>4</xdr:col>
      <xdr:colOff>1028877</xdr:colOff>
      <xdr:row>10</xdr:row>
      <xdr:rowOff>68616</xdr:rowOff>
    </xdr:to>
    <xdr:pic>
      <xdr:nvPicPr>
        <xdr:cNvPr id="76695" name="图片 8">
          <a:extLst>
            <a:ext uri="{FF2B5EF4-FFF2-40B4-BE49-F238E27FC236}">
              <a16:creationId xmlns:a16="http://schemas.microsoft.com/office/drawing/2014/main" id="{E4B7E634-A1D3-4222-819C-4C88F066B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7994" y="1124656"/>
          <a:ext cx="4052006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539750</xdr:colOff>
      <xdr:row>38</xdr:row>
      <xdr:rowOff>2117</xdr:rowOff>
    </xdr:from>
    <xdr:to>
      <xdr:col>2</xdr:col>
      <xdr:colOff>1229606</xdr:colOff>
      <xdr:row>39</xdr:row>
      <xdr:rowOff>190499</xdr:rowOff>
    </xdr:to>
    <xdr:pic>
      <xdr:nvPicPr>
        <xdr:cNvPr id="76696" name="图片 5">
          <a:extLst>
            <a:ext uri="{FF2B5EF4-FFF2-40B4-BE49-F238E27FC236}">
              <a16:creationId xmlns:a16="http://schemas.microsoft.com/office/drawing/2014/main" id="{D721C603-905B-45D1-AD28-060A47E41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7424561"/>
          <a:ext cx="4695472" cy="484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292100</xdr:colOff>
      <xdr:row>68</xdr:row>
      <xdr:rowOff>57150</xdr:rowOff>
    </xdr:from>
    <xdr:to>
      <xdr:col>2</xdr:col>
      <xdr:colOff>1650710</xdr:colOff>
      <xdr:row>72</xdr:row>
      <xdr:rowOff>125765</xdr:rowOff>
    </xdr:to>
    <xdr:pic>
      <xdr:nvPicPr>
        <xdr:cNvPr id="76697" name="图片 1">
          <a:extLst>
            <a:ext uri="{FF2B5EF4-FFF2-40B4-BE49-F238E27FC236}">
              <a16:creationId xmlns:a16="http://schemas.microsoft.com/office/drawing/2014/main" id="{832DC113-CBCF-4200-8909-ADF7D218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10452100"/>
          <a:ext cx="53276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214312</xdr:colOff>
      <xdr:row>109</xdr:row>
      <xdr:rowOff>26988</xdr:rowOff>
    </xdr:from>
    <xdr:to>
      <xdr:col>3</xdr:col>
      <xdr:colOff>1685924</xdr:colOff>
      <xdr:row>112</xdr:row>
      <xdr:rowOff>47625</xdr:rowOff>
    </xdr:to>
    <xdr:pic>
      <xdr:nvPicPr>
        <xdr:cNvPr id="76698" name="Picture 4">
          <a:extLst>
            <a:ext uri="{FF2B5EF4-FFF2-40B4-BE49-F238E27FC236}">
              <a16:creationId xmlns:a16="http://schemas.microsoft.com/office/drawing/2014/main" id="{288DC32C-21E6-455A-9C63-70043F36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" y="19680238"/>
          <a:ext cx="719137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1073150</xdr:colOff>
      <xdr:row>181</xdr:row>
      <xdr:rowOff>285750</xdr:rowOff>
    </xdr:from>
    <xdr:to>
      <xdr:col>2</xdr:col>
      <xdr:colOff>1650710</xdr:colOff>
      <xdr:row>184</xdr:row>
      <xdr:rowOff>141288</xdr:rowOff>
    </xdr:to>
    <xdr:pic>
      <xdr:nvPicPr>
        <xdr:cNvPr id="76699" name="Picture 5">
          <a:extLst>
            <a:ext uri="{FF2B5EF4-FFF2-40B4-BE49-F238E27FC236}">
              <a16:creationId xmlns:a16="http://schemas.microsoft.com/office/drawing/2014/main" id="{7D4484A0-EF09-4ADC-9BD7-C9552A9C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150" y="24676100"/>
          <a:ext cx="4546600" cy="48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2571750</xdr:colOff>
      <xdr:row>185</xdr:row>
      <xdr:rowOff>171450</xdr:rowOff>
    </xdr:from>
    <xdr:to>
      <xdr:col>2</xdr:col>
      <xdr:colOff>1650710</xdr:colOff>
      <xdr:row>187</xdr:row>
      <xdr:rowOff>179388</xdr:rowOff>
    </xdr:to>
    <xdr:pic>
      <xdr:nvPicPr>
        <xdr:cNvPr id="76700" name="Picture 6">
          <a:extLst>
            <a:ext uri="{FF2B5EF4-FFF2-40B4-BE49-F238E27FC236}">
              <a16:creationId xmlns:a16="http://schemas.microsoft.com/office/drawing/2014/main" id="{CC36CEEB-C7E6-40FE-8533-F9E87F5B7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330150"/>
          <a:ext cx="316230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2260600</xdr:colOff>
      <xdr:row>254</xdr:row>
      <xdr:rowOff>50800</xdr:rowOff>
    </xdr:from>
    <xdr:to>
      <xdr:col>2</xdr:col>
      <xdr:colOff>1417637</xdr:colOff>
      <xdr:row>257</xdr:row>
      <xdr:rowOff>34926</xdr:rowOff>
    </xdr:to>
    <xdr:pic>
      <xdr:nvPicPr>
        <xdr:cNvPr id="76701" name="Picture 7">
          <a:extLst>
            <a:ext uri="{FF2B5EF4-FFF2-40B4-BE49-F238E27FC236}">
              <a16:creationId xmlns:a16="http://schemas.microsoft.com/office/drawing/2014/main" id="{BD0418A2-8703-4E45-B2A0-C7044B94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0600" y="37439600"/>
          <a:ext cx="3162300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1308100</xdr:colOff>
      <xdr:row>0</xdr:row>
      <xdr:rowOff>342900</xdr:rowOff>
    </xdr:from>
    <xdr:to>
      <xdr:col>2</xdr:col>
      <xdr:colOff>563739</xdr:colOff>
      <xdr:row>2</xdr:row>
      <xdr:rowOff>159103</xdr:rowOff>
    </xdr:to>
    <xdr:pic>
      <xdr:nvPicPr>
        <xdr:cNvPr id="78095" name="Picture 1">
          <a:extLst>
            <a:ext uri="{FF2B5EF4-FFF2-40B4-BE49-F238E27FC236}">
              <a16:creationId xmlns:a16="http://schemas.microsoft.com/office/drawing/2014/main" id="{B8B36D09-1CAF-45FE-BDD2-AE016003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" y="196850"/>
          <a:ext cx="301625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285751</xdr:colOff>
      <xdr:row>4</xdr:row>
      <xdr:rowOff>150284</xdr:rowOff>
    </xdr:from>
    <xdr:to>
      <xdr:col>3</xdr:col>
      <xdr:colOff>469195</xdr:colOff>
      <xdr:row>18</xdr:row>
      <xdr:rowOff>45862</xdr:rowOff>
    </xdr:to>
    <xdr:pic>
      <xdr:nvPicPr>
        <xdr:cNvPr id="78096" name="Picture 2">
          <a:extLst>
            <a:ext uri="{FF2B5EF4-FFF2-40B4-BE49-F238E27FC236}">
              <a16:creationId xmlns:a16="http://schemas.microsoft.com/office/drawing/2014/main" id="{399A622F-05E3-425A-9A24-5C2B6E70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1" y="848784"/>
          <a:ext cx="5174897" cy="2269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158749</xdr:colOff>
      <xdr:row>131</xdr:row>
      <xdr:rowOff>152400</xdr:rowOff>
    </xdr:from>
    <xdr:to>
      <xdr:col>3</xdr:col>
      <xdr:colOff>526343</xdr:colOff>
      <xdr:row>146</xdr:row>
      <xdr:rowOff>8467</xdr:rowOff>
    </xdr:to>
    <xdr:pic>
      <xdr:nvPicPr>
        <xdr:cNvPr id="78097" name="Picture 4">
          <a:extLst>
            <a:ext uri="{FF2B5EF4-FFF2-40B4-BE49-F238E27FC236}">
              <a16:creationId xmlns:a16="http://schemas.microsoft.com/office/drawing/2014/main" id="{ADA8F9CB-92EC-4105-9843-03F9DDEBA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49" y="23111178"/>
          <a:ext cx="5359047" cy="23992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388762</xdr:colOff>
      <xdr:row>226</xdr:row>
      <xdr:rowOff>116180</xdr:rowOff>
    </xdr:from>
    <xdr:to>
      <xdr:col>4</xdr:col>
      <xdr:colOff>17287</xdr:colOff>
      <xdr:row>233</xdr:row>
      <xdr:rowOff>111126</xdr:rowOff>
    </xdr:to>
    <xdr:pic>
      <xdr:nvPicPr>
        <xdr:cNvPr id="78098" name="Picture 3">
          <a:extLst>
            <a:ext uri="{FF2B5EF4-FFF2-40B4-BE49-F238E27FC236}">
              <a16:creationId xmlns:a16="http://schemas.microsoft.com/office/drawing/2014/main" id="{DC9FDB8E-F5F4-4024-B4FC-35624A29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762" y="40135291"/>
          <a:ext cx="6246636" cy="11802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226783</xdr:colOff>
      <xdr:row>2</xdr:row>
      <xdr:rowOff>18142</xdr:rowOff>
    </xdr:from>
    <xdr:to>
      <xdr:col>10</xdr:col>
      <xdr:colOff>1064983</xdr:colOff>
      <xdr:row>2</xdr:row>
      <xdr:rowOff>361042</xdr:rowOff>
    </xdr:to>
    <xdr:pic>
      <xdr:nvPicPr>
        <xdr:cNvPr id="10" name="图片 6">
          <a:extLst>
            <a:ext uri="{FF2B5EF4-FFF2-40B4-BE49-F238E27FC236}">
              <a16:creationId xmlns:a16="http://schemas.microsoft.com/office/drawing/2014/main" id="{7B4EB813-6B8D-434B-8B35-E5519942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8854" y="662213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36286</xdr:colOff>
      <xdr:row>2</xdr:row>
      <xdr:rowOff>63501</xdr:rowOff>
    </xdr:from>
    <xdr:to>
      <xdr:col>19</xdr:col>
      <xdr:colOff>874486</xdr:colOff>
      <xdr:row>3</xdr:row>
      <xdr:rowOff>16330</xdr:rowOff>
    </xdr:to>
    <xdr:pic>
      <xdr:nvPicPr>
        <xdr:cNvPr id="11" name="图片 6">
          <a:extLst>
            <a:ext uri="{FF2B5EF4-FFF2-40B4-BE49-F238E27FC236}">
              <a16:creationId xmlns:a16="http://schemas.microsoft.com/office/drawing/2014/main" id="{27B77113-7B47-419B-BBD3-3A910D2C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8500" y="707572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838200</xdr:colOff>
      <xdr:row>2</xdr:row>
      <xdr:rowOff>342900</xdr:rowOff>
    </xdr:to>
    <xdr:pic>
      <xdr:nvPicPr>
        <xdr:cNvPr id="12" name="图片 6">
          <a:extLst>
            <a:ext uri="{FF2B5EF4-FFF2-40B4-BE49-F238E27FC236}">
              <a16:creationId xmlns:a16="http://schemas.microsoft.com/office/drawing/2014/main" id="{9DB26BF9-1609-48EA-A584-0B8104E2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40143" y="644071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37</xdr:col>
      <xdr:colOff>97971</xdr:colOff>
      <xdr:row>2</xdr:row>
      <xdr:rowOff>25400</xdr:rowOff>
    </xdr:from>
    <xdr:to>
      <xdr:col>37</xdr:col>
      <xdr:colOff>936171</xdr:colOff>
      <xdr:row>2</xdr:row>
      <xdr:rowOff>371475</xdr:rowOff>
    </xdr:to>
    <xdr:pic>
      <xdr:nvPicPr>
        <xdr:cNvPr id="13" name="图片 6">
          <a:extLst>
            <a:ext uri="{FF2B5EF4-FFF2-40B4-BE49-F238E27FC236}">
              <a16:creationId xmlns:a16="http://schemas.microsoft.com/office/drawing/2014/main" id="{F054F885-A914-4151-B84C-23607AB58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69971" y="669471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54429</xdr:colOff>
      <xdr:row>2</xdr:row>
      <xdr:rowOff>0</xdr:rowOff>
    </xdr:from>
    <xdr:to>
      <xdr:col>46</xdr:col>
      <xdr:colOff>892629</xdr:colOff>
      <xdr:row>2</xdr:row>
      <xdr:rowOff>342900</xdr:rowOff>
    </xdr:to>
    <xdr:pic>
      <xdr:nvPicPr>
        <xdr:cNvPr id="14" name="图片 6">
          <a:extLst>
            <a:ext uri="{FF2B5EF4-FFF2-40B4-BE49-F238E27FC236}">
              <a16:creationId xmlns:a16="http://schemas.microsoft.com/office/drawing/2014/main" id="{9B3FDCAB-C345-4D89-ABF4-B77E35D86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5715" y="644071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55</xdr:col>
      <xdr:colOff>199571</xdr:colOff>
      <xdr:row>2</xdr:row>
      <xdr:rowOff>27214</xdr:rowOff>
    </xdr:from>
    <xdr:to>
      <xdr:col>55</xdr:col>
      <xdr:colOff>1040946</xdr:colOff>
      <xdr:row>2</xdr:row>
      <xdr:rowOff>373289</xdr:rowOff>
    </xdr:to>
    <xdr:pic>
      <xdr:nvPicPr>
        <xdr:cNvPr id="15" name="图片 6">
          <a:extLst>
            <a:ext uri="{FF2B5EF4-FFF2-40B4-BE49-F238E27FC236}">
              <a16:creationId xmlns:a16="http://schemas.microsoft.com/office/drawing/2014/main" id="{20319B2F-624E-496E-AE4E-AF35E63E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1714" y="67128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83</xdr:col>
      <xdr:colOff>0</xdr:colOff>
      <xdr:row>2</xdr:row>
      <xdr:rowOff>18142</xdr:rowOff>
    </xdr:from>
    <xdr:to>
      <xdr:col>84</xdr:col>
      <xdr:colOff>55033</xdr:colOff>
      <xdr:row>2</xdr:row>
      <xdr:rowOff>361042</xdr:rowOff>
    </xdr:to>
    <xdr:pic>
      <xdr:nvPicPr>
        <xdr:cNvPr id="16" name="图片 6">
          <a:extLst>
            <a:ext uri="{FF2B5EF4-FFF2-40B4-BE49-F238E27FC236}">
              <a16:creationId xmlns:a16="http://schemas.microsoft.com/office/drawing/2014/main" id="{73D2A8B0-C630-47A5-A638-FDF60ADB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0275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64</xdr:col>
      <xdr:colOff>208643</xdr:colOff>
      <xdr:row>2</xdr:row>
      <xdr:rowOff>18142</xdr:rowOff>
    </xdr:from>
    <xdr:ext cx="838200" cy="342900"/>
    <xdr:pic>
      <xdr:nvPicPr>
        <xdr:cNvPr id="17" name="图片 6">
          <a:extLst>
            <a:ext uri="{FF2B5EF4-FFF2-40B4-BE49-F238E27FC236}">
              <a16:creationId xmlns:a16="http://schemas.microsoft.com/office/drawing/2014/main" id="{8E170DE5-0DFC-454A-8D5B-EF062983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4929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73</xdr:col>
      <xdr:colOff>208643</xdr:colOff>
      <xdr:row>2</xdr:row>
      <xdr:rowOff>18142</xdr:rowOff>
    </xdr:from>
    <xdr:ext cx="838200" cy="342900"/>
    <xdr:pic>
      <xdr:nvPicPr>
        <xdr:cNvPr id="18" name="图片 6">
          <a:extLst>
            <a:ext uri="{FF2B5EF4-FFF2-40B4-BE49-F238E27FC236}">
              <a16:creationId xmlns:a16="http://schemas.microsoft.com/office/drawing/2014/main" id="{D01B582D-8C85-4D57-9D1C-C083EF25E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325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82</xdr:col>
      <xdr:colOff>208643</xdr:colOff>
      <xdr:row>2</xdr:row>
      <xdr:rowOff>18142</xdr:rowOff>
    </xdr:from>
    <xdr:ext cx="838200" cy="342900"/>
    <xdr:pic>
      <xdr:nvPicPr>
        <xdr:cNvPr id="19" name="图片 6">
          <a:extLst>
            <a:ext uri="{FF2B5EF4-FFF2-40B4-BE49-F238E27FC236}">
              <a16:creationId xmlns:a16="http://schemas.microsoft.com/office/drawing/2014/main" id="{36786023-DEB2-4D15-B80F-B831133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3650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2</xdr:row>
      <xdr:rowOff>18142</xdr:rowOff>
    </xdr:from>
    <xdr:ext cx="838200" cy="342900"/>
    <xdr:pic>
      <xdr:nvPicPr>
        <xdr:cNvPr id="20" name="图片 6">
          <a:extLst>
            <a:ext uri="{FF2B5EF4-FFF2-40B4-BE49-F238E27FC236}">
              <a16:creationId xmlns:a16="http://schemas.microsoft.com/office/drawing/2014/main" id="{43CAAFD8-E61B-498E-B3E9-A99E693A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975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2</xdr:row>
      <xdr:rowOff>18142</xdr:rowOff>
    </xdr:from>
    <xdr:ext cx="838200" cy="342900"/>
    <xdr:pic>
      <xdr:nvPicPr>
        <xdr:cNvPr id="21" name="图片 6">
          <a:extLst>
            <a:ext uri="{FF2B5EF4-FFF2-40B4-BE49-F238E27FC236}">
              <a16:creationId xmlns:a16="http://schemas.microsoft.com/office/drawing/2014/main" id="{1C4FD7A4-9FD9-4A31-9A9E-EF4B2C58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4300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2</xdr:row>
      <xdr:rowOff>18142</xdr:rowOff>
    </xdr:from>
    <xdr:ext cx="838200" cy="342900"/>
    <xdr:pic>
      <xdr:nvPicPr>
        <xdr:cNvPr id="22" name="图片 6">
          <a:extLst>
            <a:ext uri="{FF2B5EF4-FFF2-40B4-BE49-F238E27FC236}">
              <a16:creationId xmlns:a16="http://schemas.microsoft.com/office/drawing/2014/main" id="{1DC3C0B3-45D1-45B0-828A-B8DF839F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2</xdr:row>
      <xdr:rowOff>18142</xdr:rowOff>
    </xdr:from>
    <xdr:ext cx="838200" cy="342900"/>
    <xdr:pic>
      <xdr:nvPicPr>
        <xdr:cNvPr id="23" name="图片 6">
          <a:extLst>
            <a:ext uri="{FF2B5EF4-FFF2-40B4-BE49-F238E27FC236}">
              <a16:creationId xmlns:a16="http://schemas.microsoft.com/office/drawing/2014/main" id="{E8C5FC1A-F62D-4029-A1DE-6BAF49AB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4950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2</xdr:row>
      <xdr:rowOff>18142</xdr:rowOff>
    </xdr:from>
    <xdr:ext cx="838200" cy="342900"/>
    <xdr:pic>
      <xdr:nvPicPr>
        <xdr:cNvPr id="24" name="图片 6">
          <a:extLst>
            <a:ext uri="{FF2B5EF4-FFF2-40B4-BE49-F238E27FC236}">
              <a16:creationId xmlns:a16="http://schemas.microsoft.com/office/drawing/2014/main" id="{78F2AC52-FD7D-4D82-B59A-C0CE11C2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02750" y="576035"/>
          <a:ext cx="838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8034;&#28113;&#20848;/&#21442;&#32771;&#39033;&#30446;/&#20859;&#27542;&#22330;&#39033;&#30446;/3716/ER%20Calculation_Deqingyuan_37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8034;&#28113;&#20848;\&#21442;&#32771;&#39033;&#30446;\&#20859;&#27542;&#22330;&#39033;&#30446;\3716\ER%20Calculation_Deqingyuan_37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8034;&#28113;&#20848;\&#20859;&#27542;&#22330;\&#27491;&#37030;\02%20ji'an-GS11238\3.%20Validation\MR\2nd\1st%20ER%20-%20Zhengbang%20Ji'an%20AMMS%20Project-V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asic data"/>
      <sheetName val="ER"/>
      <sheetName val="Sheet1"/>
      <sheetName val="Sheet2"/>
      <sheetName val="Sheet3"/>
      <sheetName val="Sheet4"/>
      <sheetName val="Sheet5"/>
      <sheetName val="Sheet6"/>
      <sheetName val="Sheet7"/>
      <sheetName val="Wsite"/>
      <sheetName val="Electricity"/>
      <sheetName val="Biogas"/>
      <sheetName val="Temperature"/>
    </sheetNames>
    <sheetDataSet>
      <sheetData sheetId="0"/>
      <sheetData sheetId="1"/>
      <sheetData sheetId="2">
        <row r="1">
          <cell r="B1">
            <v>32861</v>
          </cell>
        </row>
        <row r="2">
          <cell r="B2">
            <v>54261</v>
          </cell>
        </row>
        <row r="8">
          <cell r="B8">
            <v>12282.917114928456</v>
          </cell>
        </row>
        <row r="17">
          <cell r="B17">
            <v>9116.4939179598041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asic data"/>
      <sheetName val="ER"/>
      <sheetName val="Sheet1"/>
      <sheetName val="Sheet2"/>
      <sheetName val="Sheet3"/>
      <sheetName val="Sheet4"/>
      <sheetName val="Sheet5"/>
      <sheetName val="Sheet6"/>
      <sheetName val="Sheet7"/>
      <sheetName val="Wsite"/>
      <sheetName val="Electricity"/>
      <sheetName val="Biogas"/>
      <sheetName val="Temperature"/>
    </sheetNames>
    <sheetDataSet>
      <sheetData sheetId="0"/>
      <sheetData sheetId="1"/>
      <sheetData sheetId="2">
        <row r="1">
          <cell r="B1">
            <v>32861</v>
          </cell>
        </row>
        <row r="2">
          <cell r="B2">
            <v>54261</v>
          </cell>
        </row>
        <row r="8">
          <cell r="B8">
            <v>12282.917114928456</v>
          </cell>
        </row>
        <row r="17">
          <cell r="B17">
            <v>9116.4939179598041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SDG Outcomes"/>
      <sheetName val="Baseline Emission"/>
      <sheetName val="Project Emission"/>
      <sheetName val="Leakage"/>
      <sheetName val="monitoring results"/>
      <sheetName val="Reliability Check"/>
      <sheetName val="2020-10"/>
      <sheetName val="2020-11"/>
      <sheetName val="2020-12"/>
      <sheetName val="2021-1"/>
      <sheetName val="2021-2"/>
      <sheetName val="2021-3"/>
      <sheetName val="2021-4"/>
      <sheetName val="2021-5"/>
      <sheetName val="2021-6"/>
      <sheetName val="2021-7"/>
    </sheetNames>
    <sheetDataSet>
      <sheetData sheetId="0" refreshError="1"/>
      <sheetData sheetId="1" refreshError="1"/>
      <sheetData sheetId="2" refreshError="1">
        <row r="10">
          <cell r="B10" t="str">
            <v>Market Swine</v>
          </cell>
          <cell r="C10" t="str">
            <v>Breeding Swine</v>
          </cell>
        </row>
        <row r="13">
          <cell r="B13">
            <v>6.7000000000000002E-4</v>
          </cell>
          <cell r="C13">
            <v>6.7000000000000002E-4</v>
          </cell>
        </row>
        <row r="17">
          <cell r="B17">
            <v>0.28999999999999998</v>
          </cell>
          <cell r="C17">
            <v>0.28999999999999998</v>
          </cell>
        </row>
        <row r="18">
          <cell r="D18" t="str">
            <v>No of heads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B1" zoomScale="85" zoomScaleNormal="85" workbookViewId="0">
      <selection activeCell="C18" sqref="C18"/>
    </sheetView>
  </sheetViews>
  <sheetFormatPr defaultColWidth="8.7265625" defaultRowHeight="13.5" x14ac:dyDescent="0.3"/>
  <cols>
    <col min="1" max="1" width="9.26953125" style="3" customWidth="1"/>
    <col min="2" max="2" width="52.08984375" style="3" customWidth="1"/>
    <col min="3" max="3" width="48" style="3" customWidth="1"/>
    <col min="4" max="4" width="8.7265625" style="3"/>
    <col min="5" max="5" width="9.90625" style="3" customWidth="1"/>
    <col min="6" max="6" width="9.81640625" style="3" bestFit="1" customWidth="1"/>
    <col min="7" max="7" width="8.7265625" style="3"/>
    <col min="8" max="8" width="12.36328125" style="3" bestFit="1" customWidth="1"/>
    <col min="9" max="16384" width="8.7265625" style="3"/>
  </cols>
  <sheetData>
    <row r="1" spans="1:8" x14ac:dyDescent="0.3">
      <c r="A1" s="1"/>
      <c r="B1" s="2"/>
      <c r="C1" s="2"/>
      <c r="D1" s="2"/>
      <c r="E1" s="2"/>
      <c r="F1" s="2"/>
    </row>
    <row r="2" spans="1:8" x14ac:dyDescent="0.3">
      <c r="A2" s="1"/>
      <c r="B2" s="4"/>
      <c r="C2" s="4"/>
      <c r="D2" s="4"/>
      <c r="E2" s="2"/>
      <c r="F2" s="2"/>
    </row>
    <row r="3" spans="1:8" x14ac:dyDescent="0.3">
      <c r="A3" s="1"/>
      <c r="B3" s="4"/>
      <c r="C3" s="4"/>
      <c r="D3" s="4"/>
      <c r="E3" s="2"/>
      <c r="F3" s="2"/>
    </row>
    <row r="4" spans="1:8" ht="14" thickBot="1" x14ac:dyDescent="0.35">
      <c r="A4" s="1"/>
      <c r="B4" s="5"/>
      <c r="C4" s="4"/>
      <c r="D4" s="4"/>
      <c r="E4" s="2"/>
      <c r="F4" s="2"/>
    </row>
    <row r="5" spans="1:8" ht="27" x14ac:dyDescent="0.3">
      <c r="A5" s="1"/>
      <c r="B5" s="6" t="s">
        <v>71</v>
      </c>
      <c r="C5" s="16" t="s">
        <v>203</v>
      </c>
      <c r="D5" s="4"/>
      <c r="E5" s="2"/>
      <c r="F5" s="2"/>
    </row>
    <row r="6" spans="1:8" x14ac:dyDescent="0.3">
      <c r="A6" s="1"/>
      <c r="B6" s="7" t="s">
        <v>72</v>
      </c>
      <c r="C6" s="17" t="s">
        <v>202</v>
      </c>
      <c r="D6" s="4"/>
      <c r="E6" s="2"/>
      <c r="F6" s="2"/>
    </row>
    <row r="7" spans="1:8" ht="23.5" customHeight="1" x14ac:dyDescent="0.3">
      <c r="A7" s="1"/>
      <c r="B7" s="7" t="s">
        <v>73</v>
      </c>
      <c r="C7" s="422">
        <v>2</v>
      </c>
      <c r="D7" s="4"/>
      <c r="E7" s="2"/>
      <c r="F7" s="2"/>
    </row>
    <row r="8" spans="1:8" x14ac:dyDescent="0.3">
      <c r="A8" s="8"/>
      <c r="B8" s="7" t="s">
        <v>74</v>
      </c>
      <c r="C8" s="422" t="s">
        <v>374</v>
      </c>
      <c r="D8" s="8"/>
      <c r="E8" s="8"/>
      <c r="F8" s="8"/>
    </row>
    <row r="9" spans="1:8" ht="14" thickBot="1" x14ac:dyDescent="0.35">
      <c r="A9" s="8"/>
      <c r="B9" s="9" t="s">
        <v>75</v>
      </c>
      <c r="C9" s="16" t="s">
        <v>204</v>
      </c>
      <c r="D9" s="8"/>
      <c r="E9" s="10"/>
      <c r="F9" s="8"/>
    </row>
    <row r="10" spans="1:8" x14ac:dyDescent="0.3">
      <c r="C10" s="11"/>
    </row>
    <row r="12" spans="1:8" x14ac:dyDescent="0.3">
      <c r="F12" s="12"/>
      <c r="G12" s="13"/>
      <c r="H12" s="14"/>
    </row>
    <row r="13" spans="1:8" x14ac:dyDescent="0.3">
      <c r="D13" s="13"/>
      <c r="F13" s="12"/>
      <c r="G13" s="13"/>
    </row>
    <row r="15" spans="1:8" x14ac:dyDescent="0.3">
      <c r="F15" s="15"/>
    </row>
    <row r="23" spans="6:6" x14ac:dyDescent="0.3">
      <c r="F23" s="12"/>
    </row>
  </sheetData>
  <phoneticPr fontId="1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91A-BAC1-40FB-ABC7-AFB7843289C6}">
  <dimension ref="A1:G142"/>
  <sheetViews>
    <sheetView topLeftCell="A129" workbookViewId="0">
      <selection activeCell="E143" sqref="E143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39.700000000000003</v>
      </c>
      <c r="C5" s="163">
        <v>61</v>
      </c>
      <c r="D5" s="163">
        <v>98.8</v>
      </c>
      <c r="E5" s="163">
        <v>26.5</v>
      </c>
      <c r="F5" s="163">
        <v>70.900000000000006</v>
      </c>
      <c r="G5" s="163">
        <v>110.9</v>
      </c>
    </row>
    <row r="6" spans="1:7" x14ac:dyDescent="0.25">
      <c r="A6" s="161">
        <v>2</v>
      </c>
      <c r="B6" s="163">
        <v>38.9</v>
      </c>
      <c r="C6" s="163">
        <v>59.8</v>
      </c>
      <c r="D6" s="163">
        <v>104.3</v>
      </c>
      <c r="E6" s="163">
        <v>32.799999999999997</v>
      </c>
      <c r="F6" s="163">
        <v>83.6</v>
      </c>
      <c r="G6" s="163">
        <v>101.4</v>
      </c>
    </row>
    <row r="7" spans="1:7" ht="14.5" thickBot="1" x14ac:dyDescent="0.3">
      <c r="A7" s="164">
        <v>3</v>
      </c>
      <c r="B7" s="165"/>
      <c r="C7" s="165"/>
      <c r="D7" s="165"/>
      <c r="E7" s="165">
        <v>49.6</v>
      </c>
      <c r="F7" s="165">
        <v>76.900000000000006</v>
      </c>
      <c r="G7" s="165">
        <v>113.8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19.7</v>
      </c>
      <c r="C11" s="163">
        <v>64.900000000000006</v>
      </c>
      <c r="D11" s="163">
        <v>93.7</v>
      </c>
      <c r="E11" s="163">
        <v>37.9</v>
      </c>
      <c r="F11" s="163">
        <v>75.900000000000006</v>
      </c>
      <c r="G11" s="163">
        <v>108.8</v>
      </c>
    </row>
    <row r="12" spans="1:7" x14ac:dyDescent="0.25">
      <c r="A12" s="161">
        <v>2</v>
      </c>
      <c r="B12" s="163">
        <v>49.4</v>
      </c>
      <c r="C12" s="163">
        <v>64.599999999999994</v>
      </c>
      <c r="D12" s="163">
        <v>89.2</v>
      </c>
      <c r="E12" s="163"/>
      <c r="F12" s="163"/>
      <c r="G12" s="163"/>
    </row>
    <row r="13" spans="1:7" x14ac:dyDescent="0.25">
      <c r="A13" s="161">
        <v>3</v>
      </c>
      <c r="B13" s="163">
        <v>27.9</v>
      </c>
      <c r="C13" s="163">
        <v>68.400000000000006</v>
      </c>
      <c r="D13" s="163">
        <v>105.4</v>
      </c>
      <c r="E13" s="162"/>
      <c r="F13" s="162"/>
      <c r="G13" s="162"/>
    </row>
    <row r="14" spans="1:7" x14ac:dyDescent="0.25">
      <c r="A14" s="161">
        <v>4</v>
      </c>
      <c r="B14" s="163">
        <v>37.200000000000003</v>
      </c>
      <c r="C14" s="163">
        <v>63.5</v>
      </c>
      <c r="D14" s="163">
        <v>71.900000000000006</v>
      </c>
      <c r="E14" s="162"/>
      <c r="F14" s="162"/>
      <c r="G14" s="162"/>
    </row>
    <row r="15" spans="1:7" ht="14.5" thickBot="1" x14ac:dyDescent="0.3">
      <c r="A15" s="164">
        <v>5</v>
      </c>
      <c r="B15" s="165">
        <v>42.3</v>
      </c>
      <c r="C15" s="165">
        <v>68</v>
      </c>
      <c r="D15" s="165">
        <v>102.2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22.8</v>
      </c>
      <c r="C19" s="163">
        <v>67.2</v>
      </c>
      <c r="D19" s="163">
        <v>98.9</v>
      </c>
      <c r="E19" s="163">
        <v>51</v>
      </c>
      <c r="F19" s="163">
        <v>75.599999999999994</v>
      </c>
      <c r="G19" s="163">
        <v>103.3</v>
      </c>
    </row>
    <row r="20" spans="1:7" x14ac:dyDescent="0.25">
      <c r="A20" s="161">
        <v>2</v>
      </c>
      <c r="B20" s="163">
        <v>44.9</v>
      </c>
      <c r="C20" s="163">
        <v>64.7</v>
      </c>
      <c r="D20" s="163">
        <v>78.400000000000006</v>
      </c>
      <c r="E20" s="163">
        <v>25.6</v>
      </c>
      <c r="F20" s="163">
        <v>61.7</v>
      </c>
      <c r="G20" s="163">
        <v>110.9</v>
      </c>
    </row>
    <row r="21" spans="1:7" x14ac:dyDescent="0.25">
      <c r="A21" s="161">
        <v>3</v>
      </c>
      <c r="B21" s="163">
        <v>25</v>
      </c>
      <c r="C21" s="163">
        <v>56</v>
      </c>
      <c r="D21" s="163">
        <v>91.4</v>
      </c>
      <c r="E21" s="163">
        <v>46.8</v>
      </c>
      <c r="F21" s="163">
        <v>79.099999999999994</v>
      </c>
      <c r="G21" s="163">
        <v>91.1</v>
      </c>
    </row>
    <row r="22" spans="1:7" x14ac:dyDescent="0.25">
      <c r="A22" s="161">
        <v>4</v>
      </c>
      <c r="B22" s="163">
        <v>32.9</v>
      </c>
      <c r="C22" s="163">
        <v>50.1</v>
      </c>
      <c r="D22" s="163">
        <v>110</v>
      </c>
      <c r="E22" s="163">
        <v>46.7</v>
      </c>
      <c r="F22" s="163">
        <v>81.7</v>
      </c>
      <c r="G22" s="163">
        <v>101.9</v>
      </c>
    </row>
    <row r="23" spans="1:7" x14ac:dyDescent="0.25">
      <c r="A23" s="161">
        <v>5</v>
      </c>
      <c r="B23" s="163">
        <v>23.8</v>
      </c>
      <c r="C23" s="163">
        <v>67.400000000000006</v>
      </c>
      <c r="D23" s="163">
        <v>86.5</v>
      </c>
      <c r="E23" s="163">
        <v>39.4</v>
      </c>
      <c r="F23" s="163">
        <v>79.2</v>
      </c>
      <c r="G23" s="163">
        <v>101.2</v>
      </c>
    </row>
    <row r="24" spans="1:7" x14ac:dyDescent="0.25">
      <c r="A24" s="161">
        <v>6</v>
      </c>
      <c r="B24" s="163">
        <v>26.9</v>
      </c>
      <c r="C24" s="163">
        <v>57.4</v>
      </c>
      <c r="D24" s="163">
        <v>71.3</v>
      </c>
      <c r="E24" s="163">
        <v>27.7</v>
      </c>
      <c r="F24" s="163">
        <v>60.2</v>
      </c>
      <c r="G24" s="163">
        <v>108.5</v>
      </c>
    </row>
    <row r="25" spans="1:7" x14ac:dyDescent="0.25">
      <c r="A25" s="161">
        <v>7</v>
      </c>
      <c r="B25" s="163">
        <v>32.5</v>
      </c>
      <c r="C25" s="163">
        <v>69.400000000000006</v>
      </c>
      <c r="D25" s="163">
        <v>70</v>
      </c>
      <c r="E25" s="163">
        <v>35.299999999999997</v>
      </c>
      <c r="F25" s="163">
        <v>76.7</v>
      </c>
      <c r="G25" s="163">
        <v>90.9</v>
      </c>
    </row>
    <row r="26" spans="1:7" x14ac:dyDescent="0.25">
      <c r="A26" s="161">
        <v>8</v>
      </c>
      <c r="B26" s="163">
        <v>25</v>
      </c>
      <c r="C26" s="163">
        <v>50</v>
      </c>
      <c r="D26" s="163">
        <v>102.9</v>
      </c>
      <c r="E26" s="163">
        <v>36.200000000000003</v>
      </c>
      <c r="F26" s="163">
        <v>84.8</v>
      </c>
      <c r="G26" s="163">
        <v>91.3</v>
      </c>
    </row>
    <row r="27" spans="1:7" x14ac:dyDescent="0.25">
      <c r="A27" s="161">
        <v>9</v>
      </c>
      <c r="B27" s="163">
        <v>43.9</v>
      </c>
      <c r="C27" s="163">
        <v>50.9</v>
      </c>
      <c r="D27" s="163">
        <v>102.3</v>
      </c>
      <c r="E27" s="163">
        <v>34.700000000000003</v>
      </c>
      <c r="F27" s="163">
        <v>89.7</v>
      </c>
      <c r="G27" s="163">
        <v>112.2</v>
      </c>
    </row>
    <row r="28" spans="1:7" x14ac:dyDescent="0.25">
      <c r="A28" s="161">
        <v>10</v>
      </c>
      <c r="B28" s="163">
        <v>42.2</v>
      </c>
      <c r="C28" s="163">
        <v>55.6</v>
      </c>
      <c r="D28" s="163">
        <v>97.2</v>
      </c>
      <c r="E28" s="163">
        <v>53.3</v>
      </c>
      <c r="F28" s="163">
        <v>81.5</v>
      </c>
      <c r="G28" s="163">
        <v>94.4</v>
      </c>
    </row>
    <row r="29" spans="1:7" x14ac:dyDescent="0.25">
      <c r="A29" s="161">
        <v>11</v>
      </c>
      <c r="B29" s="163">
        <v>25.9</v>
      </c>
      <c r="C29" s="163">
        <v>63.4</v>
      </c>
      <c r="D29" s="163">
        <v>93.9</v>
      </c>
      <c r="E29" s="163"/>
      <c r="F29" s="163"/>
      <c r="G29" s="163"/>
    </row>
    <row r="30" spans="1:7" x14ac:dyDescent="0.25">
      <c r="A30" s="161">
        <v>12</v>
      </c>
      <c r="B30" s="163">
        <v>28.6</v>
      </c>
      <c r="C30" s="163">
        <v>68.099999999999994</v>
      </c>
      <c r="D30" s="163">
        <v>91.1</v>
      </c>
      <c r="E30" s="163"/>
      <c r="F30" s="163"/>
      <c r="G30" s="163"/>
    </row>
    <row r="31" spans="1:7" x14ac:dyDescent="0.25">
      <c r="A31" s="161">
        <v>13</v>
      </c>
      <c r="B31" s="163">
        <v>35</v>
      </c>
      <c r="C31" s="163">
        <v>60.2</v>
      </c>
      <c r="D31" s="163">
        <v>89.4</v>
      </c>
      <c r="E31" s="163"/>
      <c r="F31" s="163"/>
      <c r="G31" s="163"/>
    </row>
    <row r="32" spans="1:7" x14ac:dyDescent="0.25">
      <c r="A32" s="161">
        <v>14</v>
      </c>
      <c r="B32" s="163">
        <v>21.2</v>
      </c>
      <c r="C32" s="163">
        <v>62.8</v>
      </c>
      <c r="D32" s="163">
        <v>85.9</v>
      </c>
      <c r="E32" s="163"/>
      <c r="F32" s="163"/>
      <c r="G32" s="163"/>
    </row>
    <row r="33" spans="1:7" ht="14.5" thickBot="1" x14ac:dyDescent="0.3">
      <c r="A33" s="166">
        <v>15</v>
      </c>
      <c r="B33" s="165">
        <v>33.200000000000003</v>
      </c>
      <c r="C33" s="165">
        <v>62</v>
      </c>
      <c r="D33" s="165">
        <v>81.099999999999994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42.7</v>
      </c>
      <c r="C37" s="163">
        <v>63.4</v>
      </c>
      <c r="D37" s="163">
        <v>99.1</v>
      </c>
      <c r="E37" s="163">
        <v>27</v>
      </c>
      <c r="F37" s="163">
        <v>63.5</v>
      </c>
      <c r="G37" s="163">
        <v>110.9</v>
      </c>
    </row>
    <row r="38" spans="1:7" x14ac:dyDescent="0.25">
      <c r="A38" s="161">
        <v>2</v>
      </c>
      <c r="B38" s="163">
        <v>28.4</v>
      </c>
      <c r="C38" s="163">
        <v>69.3</v>
      </c>
      <c r="D38" s="163">
        <v>94.5</v>
      </c>
      <c r="E38" s="163">
        <v>51.6</v>
      </c>
      <c r="F38" s="163">
        <v>71.5</v>
      </c>
      <c r="G38" s="163">
        <v>114.2</v>
      </c>
    </row>
    <row r="39" spans="1:7" x14ac:dyDescent="0.25">
      <c r="A39" s="161">
        <v>3</v>
      </c>
      <c r="B39" s="163">
        <v>38.4</v>
      </c>
      <c r="C39" s="163">
        <v>55</v>
      </c>
      <c r="D39" s="163">
        <v>79.2</v>
      </c>
      <c r="E39" s="163">
        <v>34.4</v>
      </c>
      <c r="F39" s="163">
        <v>76.5</v>
      </c>
      <c r="G39" s="163">
        <v>118.2</v>
      </c>
    </row>
    <row r="40" spans="1:7" x14ac:dyDescent="0.25">
      <c r="A40" s="161">
        <v>4</v>
      </c>
      <c r="B40" s="163">
        <v>45.6</v>
      </c>
      <c r="C40" s="163">
        <v>59.4</v>
      </c>
      <c r="D40" s="163">
        <v>93</v>
      </c>
      <c r="E40" s="163">
        <v>55</v>
      </c>
      <c r="F40" s="163">
        <v>72.099999999999994</v>
      </c>
      <c r="G40" s="163">
        <v>116</v>
      </c>
    </row>
    <row r="41" spans="1:7" x14ac:dyDescent="0.25">
      <c r="A41" s="161">
        <v>5</v>
      </c>
      <c r="B41" s="163">
        <v>25</v>
      </c>
      <c r="C41" s="163">
        <v>57.9</v>
      </c>
      <c r="D41" s="163">
        <v>74.7</v>
      </c>
      <c r="E41" s="163">
        <v>34.5</v>
      </c>
      <c r="F41" s="163">
        <v>69.5</v>
      </c>
      <c r="G41" s="163">
        <v>90.1</v>
      </c>
    </row>
    <row r="42" spans="1:7" x14ac:dyDescent="0.25">
      <c r="A42" s="161">
        <v>6</v>
      </c>
      <c r="B42" s="163">
        <v>17.100000000000001</v>
      </c>
      <c r="C42" s="163">
        <v>54.9</v>
      </c>
      <c r="D42" s="163">
        <v>106.8</v>
      </c>
      <c r="E42" s="163">
        <v>44.7</v>
      </c>
      <c r="F42" s="163">
        <v>87.7</v>
      </c>
      <c r="G42" s="163">
        <v>103.9</v>
      </c>
    </row>
    <row r="43" spans="1:7" x14ac:dyDescent="0.25">
      <c r="A43" s="161">
        <v>7</v>
      </c>
      <c r="B43" s="163">
        <v>17.7</v>
      </c>
      <c r="C43" s="163">
        <v>56.3</v>
      </c>
      <c r="D43" s="163">
        <v>99.6</v>
      </c>
      <c r="E43" s="163">
        <v>38.5</v>
      </c>
      <c r="F43" s="163">
        <v>73.5</v>
      </c>
      <c r="G43" s="163">
        <v>95.4</v>
      </c>
    </row>
    <row r="44" spans="1:7" x14ac:dyDescent="0.25">
      <c r="A44" s="161">
        <v>8</v>
      </c>
      <c r="B44" s="163">
        <v>29.2</v>
      </c>
      <c r="C44" s="163">
        <v>55.6</v>
      </c>
      <c r="D44" s="163">
        <v>87.5</v>
      </c>
      <c r="E44" s="162"/>
      <c r="F44" s="162"/>
      <c r="G44" s="162"/>
    </row>
    <row r="45" spans="1:7" x14ac:dyDescent="0.25">
      <c r="A45" s="161">
        <v>9</v>
      </c>
      <c r="B45" s="163">
        <v>23.9</v>
      </c>
      <c r="C45" s="163">
        <v>65.2</v>
      </c>
      <c r="D45" s="163">
        <v>100.9</v>
      </c>
      <c r="E45" s="162"/>
      <c r="F45" s="162"/>
      <c r="G45" s="162"/>
    </row>
    <row r="46" spans="1:7" x14ac:dyDescent="0.25">
      <c r="A46" s="161">
        <v>10</v>
      </c>
      <c r="B46" s="163">
        <v>49.1</v>
      </c>
      <c r="C46" s="163">
        <v>66.2</v>
      </c>
      <c r="D46" s="163">
        <v>105.7</v>
      </c>
      <c r="E46" s="162"/>
      <c r="F46" s="162"/>
      <c r="G46" s="162"/>
    </row>
    <row r="47" spans="1:7" x14ac:dyDescent="0.25">
      <c r="A47" s="161">
        <v>11</v>
      </c>
      <c r="B47" s="163">
        <v>41.1</v>
      </c>
      <c r="C47" s="163">
        <v>54.3</v>
      </c>
      <c r="D47" s="163">
        <v>96.1</v>
      </c>
      <c r="E47" s="162"/>
      <c r="F47" s="162"/>
      <c r="G47" s="162"/>
    </row>
    <row r="48" spans="1:7" x14ac:dyDescent="0.25">
      <c r="A48" s="161">
        <v>12</v>
      </c>
      <c r="B48" s="163">
        <v>35.9</v>
      </c>
      <c r="C48" s="163">
        <v>65.7</v>
      </c>
      <c r="D48" s="163">
        <v>79.099999999999994</v>
      </c>
      <c r="E48" s="162"/>
      <c r="F48" s="162"/>
      <c r="G48" s="162"/>
    </row>
    <row r="49" spans="1:7" x14ac:dyDescent="0.25">
      <c r="A49" s="161">
        <v>13</v>
      </c>
      <c r="B49" s="163">
        <v>16.600000000000001</v>
      </c>
      <c r="C49" s="163">
        <v>54</v>
      </c>
      <c r="D49" s="163">
        <v>89.5</v>
      </c>
      <c r="E49" s="162"/>
      <c r="F49" s="162"/>
      <c r="G49" s="162"/>
    </row>
    <row r="50" spans="1:7" x14ac:dyDescent="0.25">
      <c r="A50" s="161">
        <v>14</v>
      </c>
      <c r="B50" s="163">
        <v>47.4</v>
      </c>
      <c r="C50" s="163">
        <v>63</v>
      </c>
      <c r="D50" s="163">
        <v>108.4</v>
      </c>
      <c r="E50" s="162"/>
      <c r="F50" s="162"/>
      <c r="G50" s="162"/>
    </row>
    <row r="51" spans="1:7" x14ac:dyDescent="0.25">
      <c r="A51" s="161">
        <v>15</v>
      </c>
      <c r="B51" s="163">
        <v>48</v>
      </c>
      <c r="C51" s="163">
        <v>56.1</v>
      </c>
      <c r="D51" s="163">
        <v>74.2</v>
      </c>
      <c r="E51" s="162"/>
      <c r="F51" s="162"/>
      <c r="G51" s="162"/>
    </row>
    <row r="52" spans="1:7" x14ac:dyDescent="0.25">
      <c r="A52" s="161">
        <v>16</v>
      </c>
      <c r="B52" s="163">
        <v>40.4</v>
      </c>
      <c r="C52" s="163">
        <v>58.4</v>
      </c>
      <c r="D52" s="163">
        <v>84.3</v>
      </c>
      <c r="E52" s="162"/>
      <c r="F52" s="162"/>
      <c r="G52" s="162"/>
    </row>
    <row r="53" spans="1:7" x14ac:dyDescent="0.25">
      <c r="A53" s="161">
        <v>17</v>
      </c>
      <c r="B53" s="163">
        <v>15.1</v>
      </c>
      <c r="C53" s="163">
        <v>52.8</v>
      </c>
      <c r="D53" s="163">
        <v>95.2</v>
      </c>
      <c r="E53" s="162"/>
      <c r="F53" s="162"/>
      <c r="G53" s="162"/>
    </row>
    <row r="54" spans="1:7" x14ac:dyDescent="0.25">
      <c r="A54" s="161">
        <v>18</v>
      </c>
      <c r="B54" s="163">
        <v>18</v>
      </c>
      <c r="C54" s="163">
        <v>62.3</v>
      </c>
      <c r="D54" s="163">
        <v>73</v>
      </c>
      <c r="E54" s="162"/>
      <c r="F54" s="162"/>
      <c r="G54" s="162"/>
    </row>
    <row r="55" spans="1:7" ht="14.5" thickBot="1" x14ac:dyDescent="0.3">
      <c r="A55" s="164">
        <v>19</v>
      </c>
      <c r="B55" s="165">
        <v>27.4</v>
      </c>
      <c r="C55" s="165">
        <v>53.9</v>
      </c>
      <c r="D55" s="165">
        <v>88.3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43.6</v>
      </c>
      <c r="C59" s="163">
        <v>59.3</v>
      </c>
      <c r="D59" s="163">
        <v>94.4</v>
      </c>
      <c r="E59" s="163">
        <v>48.7</v>
      </c>
      <c r="F59" s="163">
        <v>79</v>
      </c>
      <c r="G59" s="163">
        <v>93.6</v>
      </c>
    </row>
    <row r="60" spans="1:7" x14ac:dyDescent="0.25">
      <c r="A60" s="161">
        <v>2</v>
      </c>
      <c r="B60" s="163">
        <v>44.6</v>
      </c>
      <c r="C60" s="163">
        <v>65.3</v>
      </c>
      <c r="D60" s="163">
        <v>86.3</v>
      </c>
      <c r="E60" s="163">
        <v>59.7</v>
      </c>
      <c r="F60" s="163">
        <v>76.599999999999994</v>
      </c>
      <c r="G60" s="163">
        <v>104.7</v>
      </c>
    </row>
    <row r="61" spans="1:7" x14ac:dyDescent="0.25">
      <c r="A61" s="161">
        <v>3</v>
      </c>
      <c r="B61" s="163">
        <v>48.4</v>
      </c>
      <c r="C61" s="163">
        <v>60.9</v>
      </c>
      <c r="D61" s="163">
        <v>104.1</v>
      </c>
      <c r="E61" s="163">
        <v>40.299999999999997</v>
      </c>
      <c r="F61" s="163">
        <v>60.9</v>
      </c>
      <c r="G61" s="163">
        <v>101.5</v>
      </c>
    </row>
    <row r="62" spans="1:7" x14ac:dyDescent="0.25">
      <c r="A62" s="161">
        <v>4</v>
      </c>
      <c r="B62" s="163">
        <v>40.299999999999997</v>
      </c>
      <c r="C62" s="163">
        <v>63.3</v>
      </c>
      <c r="D62" s="163">
        <v>104</v>
      </c>
      <c r="E62" s="163">
        <v>56.3</v>
      </c>
      <c r="F62" s="163">
        <v>77.599999999999994</v>
      </c>
      <c r="G62" s="163">
        <v>119.3</v>
      </c>
    </row>
    <row r="63" spans="1:7" x14ac:dyDescent="0.25">
      <c r="A63" s="161">
        <v>5</v>
      </c>
      <c r="B63" s="163">
        <v>30.1</v>
      </c>
      <c r="C63" s="163">
        <v>61.6</v>
      </c>
      <c r="D63" s="163">
        <v>78.900000000000006</v>
      </c>
      <c r="E63" s="163">
        <v>57.8</v>
      </c>
      <c r="F63" s="163">
        <v>85.5</v>
      </c>
      <c r="G63" s="163">
        <v>101.2</v>
      </c>
    </row>
    <row r="64" spans="1:7" x14ac:dyDescent="0.25">
      <c r="A64" s="167">
        <v>6</v>
      </c>
      <c r="B64" s="163">
        <v>17.3</v>
      </c>
      <c r="C64" s="163">
        <v>58.3</v>
      </c>
      <c r="D64" s="163">
        <v>109.9</v>
      </c>
      <c r="E64" s="163">
        <v>39.6</v>
      </c>
      <c r="F64" s="163">
        <v>75.400000000000006</v>
      </c>
      <c r="G64" s="163">
        <v>114.9</v>
      </c>
    </row>
    <row r="65" spans="1:7" ht="14.5" thickBot="1" x14ac:dyDescent="0.3">
      <c r="A65" s="164">
        <v>7</v>
      </c>
      <c r="B65" s="165">
        <v>38</v>
      </c>
      <c r="C65" s="165">
        <v>57.2</v>
      </c>
      <c r="D65" s="165">
        <v>75.8</v>
      </c>
      <c r="E65" s="165">
        <v>40.299999999999997</v>
      </c>
      <c r="F65" s="165">
        <v>81.099999999999994</v>
      </c>
      <c r="G65" s="165">
        <v>116.6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31.9</v>
      </c>
      <c r="C69" s="163">
        <v>59.9</v>
      </c>
      <c r="D69" s="163">
        <v>79.3</v>
      </c>
      <c r="E69" s="163">
        <v>40.200000000000003</v>
      </c>
      <c r="F69" s="163">
        <v>73.5</v>
      </c>
      <c r="G69" s="163">
        <v>106.7</v>
      </c>
    </row>
    <row r="70" spans="1:7" x14ac:dyDescent="0.25">
      <c r="A70" s="161">
        <v>2</v>
      </c>
      <c r="B70" s="163">
        <v>39.6</v>
      </c>
      <c r="C70" s="163">
        <v>60.1</v>
      </c>
      <c r="D70" s="163">
        <v>86.3</v>
      </c>
      <c r="E70" s="163">
        <v>46.9</v>
      </c>
      <c r="F70" s="163">
        <v>78.5</v>
      </c>
      <c r="G70" s="163">
        <v>104.9</v>
      </c>
    </row>
    <row r="71" spans="1:7" x14ac:dyDescent="0.25">
      <c r="A71" s="161">
        <v>3</v>
      </c>
      <c r="B71" s="163">
        <v>43.5</v>
      </c>
      <c r="C71" s="163">
        <v>56.3</v>
      </c>
      <c r="D71" s="163">
        <v>97</v>
      </c>
      <c r="E71" s="163">
        <v>29.5</v>
      </c>
      <c r="F71" s="163">
        <v>85.4</v>
      </c>
      <c r="G71" s="163">
        <v>98.4</v>
      </c>
    </row>
    <row r="72" spans="1:7" x14ac:dyDescent="0.25">
      <c r="A72" s="161">
        <v>4</v>
      </c>
      <c r="B72" s="163">
        <v>21.5</v>
      </c>
      <c r="C72" s="163">
        <v>64.099999999999994</v>
      </c>
      <c r="D72" s="163">
        <v>95.8</v>
      </c>
      <c r="E72" s="163">
        <v>42.6</v>
      </c>
      <c r="F72" s="163">
        <v>84.3</v>
      </c>
      <c r="G72" s="163">
        <v>98.4</v>
      </c>
    </row>
    <row r="73" spans="1:7" x14ac:dyDescent="0.25">
      <c r="A73" s="161">
        <v>5</v>
      </c>
      <c r="B73" s="163">
        <v>43.9</v>
      </c>
      <c r="C73" s="163">
        <v>69.7</v>
      </c>
      <c r="D73" s="163">
        <v>95.1</v>
      </c>
      <c r="E73" s="163">
        <v>59.7</v>
      </c>
      <c r="F73" s="163">
        <v>80</v>
      </c>
      <c r="G73" s="163">
        <v>95.8</v>
      </c>
    </row>
    <row r="74" spans="1:7" x14ac:dyDescent="0.25">
      <c r="A74" s="161">
        <v>6</v>
      </c>
      <c r="B74" s="163">
        <v>19.7</v>
      </c>
      <c r="C74" s="163">
        <v>64</v>
      </c>
      <c r="D74" s="163">
        <v>94.3</v>
      </c>
      <c r="E74" s="163">
        <v>51.3</v>
      </c>
      <c r="F74" s="163">
        <v>83.6</v>
      </c>
      <c r="G74" s="163">
        <v>119.9</v>
      </c>
    </row>
    <row r="75" spans="1:7" x14ac:dyDescent="0.25">
      <c r="A75" s="161">
        <v>7</v>
      </c>
      <c r="B75" s="163">
        <v>47.9</v>
      </c>
      <c r="C75" s="163">
        <v>55</v>
      </c>
      <c r="D75" s="163">
        <v>99.2</v>
      </c>
      <c r="E75" s="163">
        <v>58.2</v>
      </c>
      <c r="F75" s="163">
        <v>77.099999999999994</v>
      </c>
      <c r="G75" s="163">
        <v>102.9</v>
      </c>
    </row>
    <row r="76" spans="1:7" x14ac:dyDescent="0.25">
      <c r="A76" s="161">
        <v>8</v>
      </c>
      <c r="B76" s="163">
        <v>26.3</v>
      </c>
      <c r="C76" s="163">
        <v>61.1</v>
      </c>
      <c r="D76" s="163">
        <v>108.3</v>
      </c>
      <c r="E76" s="163">
        <v>50.5</v>
      </c>
      <c r="F76" s="163">
        <v>67.900000000000006</v>
      </c>
      <c r="G76" s="163">
        <v>105.4</v>
      </c>
    </row>
    <row r="77" spans="1:7" x14ac:dyDescent="0.25">
      <c r="A77" s="161">
        <v>9</v>
      </c>
      <c r="B77" s="163">
        <v>26.6</v>
      </c>
      <c r="C77" s="163">
        <v>62.9</v>
      </c>
      <c r="D77" s="163">
        <v>86.7</v>
      </c>
      <c r="E77" s="163">
        <v>48.4</v>
      </c>
      <c r="F77" s="163">
        <v>75.400000000000006</v>
      </c>
      <c r="G77" s="163">
        <v>109.5</v>
      </c>
    </row>
    <row r="78" spans="1:7" x14ac:dyDescent="0.25">
      <c r="A78" s="161">
        <v>10</v>
      </c>
      <c r="B78" s="163">
        <v>15.4</v>
      </c>
      <c r="C78" s="163">
        <v>60.9</v>
      </c>
      <c r="D78" s="163">
        <v>73.099999999999994</v>
      </c>
      <c r="E78" s="163">
        <v>32.9</v>
      </c>
      <c r="F78" s="163">
        <v>66.7</v>
      </c>
      <c r="G78" s="163">
        <v>97</v>
      </c>
    </row>
    <row r="79" spans="1:7" x14ac:dyDescent="0.25">
      <c r="A79" s="161">
        <v>11</v>
      </c>
      <c r="B79" s="163">
        <v>38.9</v>
      </c>
      <c r="C79" s="163">
        <v>51.5</v>
      </c>
      <c r="D79" s="163">
        <v>104.6</v>
      </c>
      <c r="E79" s="163">
        <v>37.700000000000003</v>
      </c>
      <c r="F79" s="163">
        <v>76.8</v>
      </c>
      <c r="G79" s="163">
        <v>99.4</v>
      </c>
    </row>
    <row r="80" spans="1:7" x14ac:dyDescent="0.25">
      <c r="A80" s="161">
        <v>12</v>
      </c>
      <c r="B80" s="163">
        <v>46</v>
      </c>
      <c r="C80" s="163">
        <v>61.3</v>
      </c>
      <c r="D80" s="163">
        <v>106.8</v>
      </c>
      <c r="E80" s="163">
        <v>41.4</v>
      </c>
      <c r="F80" s="163">
        <v>88.5</v>
      </c>
      <c r="G80" s="163">
        <v>100</v>
      </c>
    </row>
    <row r="81" spans="1:7" x14ac:dyDescent="0.25">
      <c r="A81" s="161">
        <v>13</v>
      </c>
      <c r="B81" s="163">
        <v>18.5</v>
      </c>
      <c r="C81" s="163">
        <v>53.3</v>
      </c>
      <c r="D81" s="163">
        <v>81.599999999999994</v>
      </c>
      <c r="E81" s="163">
        <v>56.9</v>
      </c>
      <c r="F81" s="163">
        <v>80</v>
      </c>
      <c r="G81" s="163">
        <v>111.5</v>
      </c>
    </row>
    <row r="82" spans="1:7" x14ac:dyDescent="0.25">
      <c r="A82" s="161">
        <v>14</v>
      </c>
      <c r="B82" s="163">
        <v>39.9</v>
      </c>
      <c r="C82" s="163">
        <v>65.099999999999994</v>
      </c>
      <c r="D82" s="163">
        <v>108.1</v>
      </c>
      <c r="E82" s="163">
        <v>33.200000000000003</v>
      </c>
      <c r="F82" s="163">
        <v>75.599999999999994</v>
      </c>
      <c r="G82" s="163">
        <v>92.8</v>
      </c>
    </row>
    <row r="83" spans="1:7" x14ac:dyDescent="0.25">
      <c r="A83" s="161">
        <v>15</v>
      </c>
      <c r="B83" s="163">
        <v>39.200000000000003</v>
      </c>
      <c r="C83" s="163">
        <v>69.5</v>
      </c>
      <c r="D83" s="163">
        <v>74.7</v>
      </c>
      <c r="E83" s="163">
        <v>32.799999999999997</v>
      </c>
      <c r="F83" s="163">
        <v>71</v>
      </c>
      <c r="G83" s="163">
        <v>95.6</v>
      </c>
    </row>
    <row r="84" spans="1:7" x14ac:dyDescent="0.25">
      <c r="A84" s="161">
        <v>16</v>
      </c>
      <c r="B84" s="163">
        <v>17</v>
      </c>
      <c r="C84" s="163">
        <v>54.7</v>
      </c>
      <c r="D84" s="163">
        <v>87</v>
      </c>
      <c r="E84" s="163"/>
      <c r="F84" s="163"/>
      <c r="G84" s="163"/>
    </row>
    <row r="85" spans="1:7" ht="14.5" thickBot="1" x14ac:dyDescent="0.3">
      <c r="A85" s="166">
        <v>17</v>
      </c>
      <c r="B85" s="168">
        <v>48.6</v>
      </c>
      <c r="C85" s="168">
        <v>53.7</v>
      </c>
      <c r="D85" s="168">
        <v>70.5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29.7</v>
      </c>
      <c r="C89" s="163">
        <v>68.8</v>
      </c>
      <c r="D89" s="163">
        <v>85.8</v>
      </c>
      <c r="E89" s="163">
        <v>43.2</v>
      </c>
      <c r="F89" s="163">
        <v>71</v>
      </c>
      <c r="G89" s="163">
        <v>107.3</v>
      </c>
    </row>
    <row r="90" spans="1:7" x14ac:dyDescent="0.25">
      <c r="A90" s="161">
        <v>2</v>
      </c>
      <c r="B90" s="163">
        <v>24</v>
      </c>
      <c r="C90" s="163">
        <v>69.599999999999994</v>
      </c>
      <c r="D90" s="163">
        <v>98</v>
      </c>
      <c r="E90" s="163">
        <v>42.9</v>
      </c>
      <c r="F90" s="163">
        <v>87.9</v>
      </c>
      <c r="G90" s="163">
        <v>111.6</v>
      </c>
    </row>
    <row r="91" spans="1:7" x14ac:dyDescent="0.25">
      <c r="A91" s="161">
        <v>3</v>
      </c>
      <c r="B91" s="163">
        <v>24.1</v>
      </c>
      <c r="C91" s="163">
        <v>54.6</v>
      </c>
      <c r="D91" s="163">
        <v>108.5</v>
      </c>
      <c r="E91" s="163">
        <v>57.4</v>
      </c>
      <c r="F91" s="163">
        <v>89.4</v>
      </c>
      <c r="G91" s="163">
        <v>105.7</v>
      </c>
    </row>
    <row r="92" spans="1:7" x14ac:dyDescent="0.25">
      <c r="A92" s="161">
        <v>4</v>
      </c>
      <c r="B92" s="163">
        <v>36.4</v>
      </c>
      <c r="C92" s="163">
        <v>59.3</v>
      </c>
      <c r="D92" s="163">
        <v>70</v>
      </c>
      <c r="E92" s="163">
        <v>41.7</v>
      </c>
      <c r="F92" s="163">
        <v>70.5</v>
      </c>
      <c r="G92" s="163">
        <v>95.9</v>
      </c>
    </row>
    <row r="93" spans="1:7" x14ac:dyDescent="0.25">
      <c r="A93" s="161">
        <v>5</v>
      </c>
      <c r="B93" s="163">
        <v>47.5</v>
      </c>
      <c r="C93" s="163">
        <v>52.7</v>
      </c>
      <c r="D93" s="163">
        <v>88.8</v>
      </c>
      <c r="E93" s="163">
        <v>45.6</v>
      </c>
      <c r="F93" s="163">
        <v>60.4</v>
      </c>
      <c r="G93" s="163">
        <v>97</v>
      </c>
    </row>
    <row r="94" spans="1:7" x14ac:dyDescent="0.25">
      <c r="A94" s="161">
        <v>6</v>
      </c>
      <c r="B94" s="163">
        <v>49.1</v>
      </c>
      <c r="C94" s="163">
        <v>67.900000000000006</v>
      </c>
      <c r="D94" s="163">
        <v>109.9</v>
      </c>
      <c r="E94" s="163">
        <v>42.6</v>
      </c>
      <c r="F94" s="163">
        <v>62.1</v>
      </c>
      <c r="G94" s="163">
        <v>118.4</v>
      </c>
    </row>
    <row r="95" spans="1:7" x14ac:dyDescent="0.25">
      <c r="A95" s="161">
        <v>7</v>
      </c>
      <c r="B95" s="163">
        <v>23.6</v>
      </c>
      <c r="C95" s="163">
        <v>67.3</v>
      </c>
      <c r="D95" s="163">
        <v>93.9</v>
      </c>
      <c r="E95" s="163">
        <v>55.8</v>
      </c>
      <c r="F95" s="163">
        <v>86.8</v>
      </c>
      <c r="G95" s="163">
        <v>115</v>
      </c>
    </row>
    <row r="96" spans="1:7" x14ac:dyDescent="0.25">
      <c r="A96" s="161">
        <v>8</v>
      </c>
      <c r="B96" s="163">
        <v>28.1</v>
      </c>
      <c r="C96" s="163">
        <v>57.4</v>
      </c>
      <c r="D96" s="163">
        <v>104.3</v>
      </c>
      <c r="E96" s="162"/>
      <c r="F96" s="162"/>
      <c r="G96" s="162"/>
    </row>
    <row r="97" spans="1:7" x14ac:dyDescent="0.25">
      <c r="A97" s="161">
        <v>9</v>
      </c>
      <c r="B97" s="163">
        <v>39</v>
      </c>
      <c r="C97" s="163">
        <v>50.2</v>
      </c>
      <c r="D97" s="163">
        <v>101.2</v>
      </c>
      <c r="E97" s="162"/>
      <c r="F97" s="162"/>
      <c r="G97" s="162"/>
    </row>
    <row r="98" spans="1:7" x14ac:dyDescent="0.25">
      <c r="A98" s="161">
        <v>10</v>
      </c>
      <c r="B98" s="163">
        <v>45.2</v>
      </c>
      <c r="C98" s="163">
        <v>62.6</v>
      </c>
      <c r="D98" s="163">
        <v>85.2</v>
      </c>
      <c r="E98" s="162"/>
      <c r="F98" s="162"/>
      <c r="G98" s="162"/>
    </row>
    <row r="99" spans="1:7" x14ac:dyDescent="0.25">
      <c r="A99" s="161">
        <v>11</v>
      </c>
      <c r="B99" s="163">
        <v>32.9</v>
      </c>
      <c r="C99" s="163">
        <v>60.9</v>
      </c>
      <c r="D99" s="163">
        <v>86.1</v>
      </c>
      <c r="E99" s="162"/>
      <c r="F99" s="162"/>
      <c r="G99" s="162"/>
    </row>
    <row r="100" spans="1:7" x14ac:dyDescent="0.25">
      <c r="A100" s="161">
        <v>12</v>
      </c>
      <c r="B100" s="163">
        <v>49.8</v>
      </c>
      <c r="C100" s="163">
        <v>55.9</v>
      </c>
      <c r="D100" s="163">
        <v>79.5</v>
      </c>
      <c r="E100" s="162"/>
      <c r="F100" s="162"/>
      <c r="G100" s="162"/>
    </row>
    <row r="101" spans="1:7" x14ac:dyDescent="0.25">
      <c r="A101" s="161">
        <v>13</v>
      </c>
      <c r="B101" s="163">
        <v>48.4</v>
      </c>
      <c r="C101" s="163">
        <v>65.7</v>
      </c>
      <c r="D101" s="163">
        <v>84.3</v>
      </c>
      <c r="E101" s="162"/>
      <c r="F101" s="162"/>
      <c r="G101" s="162"/>
    </row>
    <row r="102" spans="1:7" x14ac:dyDescent="0.25">
      <c r="A102" s="161">
        <v>14</v>
      </c>
      <c r="B102" s="163">
        <v>33.9</v>
      </c>
      <c r="C102" s="163">
        <v>70</v>
      </c>
      <c r="D102" s="163">
        <v>83.4</v>
      </c>
      <c r="E102" s="162"/>
      <c r="F102" s="162"/>
      <c r="G102" s="162"/>
    </row>
    <row r="103" spans="1:7" x14ac:dyDescent="0.25">
      <c r="A103" s="161">
        <v>15</v>
      </c>
      <c r="B103" s="163">
        <v>45.1</v>
      </c>
      <c r="C103" s="163">
        <v>60.4</v>
      </c>
      <c r="D103" s="163">
        <v>89.3</v>
      </c>
      <c r="E103" s="162"/>
      <c r="F103" s="162"/>
      <c r="G103" s="162"/>
    </row>
    <row r="104" spans="1:7" x14ac:dyDescent="0.25">
      <c r="A104" s="161">
        <v>16</v>
      </c>
      <c r="B104" s="163">
        <v>45</v>
      </c>
      <c r="C104" s="163">
        <v>56.9</v>
      </c>
      <c r="D104" s="163">
        <v>76.5</v>
      </c>
      <c r="E104" s="162"/>
      <c r="F104" s="162"/>
      <c r="G104" s="162"/>
    </row>
    <row r="105" spans="1:7" x14ac:dyDescent="0.25">
      <c r="A105" s="161">
        <v>17</v>
      </c>
      <c r="B105" s="163">
        <v>30.8</v>
      </c>
      <c r="C105" s="163">
        <v>54.7</v>
      </c>
      <c r="D105" s="163">
        <v>94.9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79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15.9</v>
      </c>
      <c r="C110" s="163">
        <v>66.5</v>
      </c>
      <c r="D110" s="163">
        <v>98.9</v>
      </c>
      <c r="E110" s="163">
        <v>43.4</v>
      </c>
      <c r="F110" s="163">
        <v>68.099999999999994</v>
      </c>
      <c r="G110" s="163">
        <v>106.8</v>
      </c>
    </row>
    <row r="111" spans="1:7" x14ac:dyDescent="0.25">
      <c r="A111" s="161">
        <v>2</v>
      </c>
      <c r="B111" s="163">
        <v>19.899999999999999</v>
      </c>
      <c r="C111" s="163">
        <v>54.2</v>
      </c>
      <c r="D111" s="163">
        <v>95</v>
      </c>
      <c r="E111" s="163">
        <v>42.4</v>
      </c>
      <c r="F111" s="163">
        <v>80.900000000000006</v>
      </c>
      <c r="G111" s="163">
        <v>116.3</v>
      </c>
    </row>
    <row r="112" spans="1:7" ht="14.5" thickBot="1" x14ac:dyDescent="0.3">
      <c r="A112" s="166">
        <v>3</v>
      </c>
      <c r="B112" s="168"/>
      <c r="C112" s="168"/>
      <c r="D112" s="168"/>
      <c r="E112" s="168">
        <v>50.9</v>
      </c>
      <c r="F112" s="168">
        <v>77.099999999999994</v>
      </c>
      <c r="G112" s="168">
        <v>90.4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33.6</v>
      </c>
      <c r="C116" s="163">
        <v>66.599999999999994</v>
      </c>
      <c r="D116" s="163">
        <v>75.099999999999994</v>
      </c>
      <c r="E116" s="163">
        <v>59.4</v>
      </c>
      <c r="F116" s="163">
        <v>75.3</v>
      </c>
      <c r="G116" s="163">
        <v>111.6</v>
      </c>
    </row>
    <row r="117" spans="1:7" x14ac:dyDescent="0.25">
      <c r="A117" s="161">
        <v>2</v>
      </c>
      <c r="B117" s="163">
        <v>48.3</v>
      </c>
      <c r="C117" s="163">
        <v>53.1</v>
      </c>
      <c r="D117" s="163">
        <v>106.8</v>
      </c>
      <c r="E117" s="163">
        <v>48.1</v>
      </c>
      <c r="F117" s="163">
        <v>71.7</v>
      </c>
      <c r="G117" s="163">
        <v>112.6</v>
      </c>
    </row>
    <row r="118" spans="1:7" x14ac:dyDescent="0.25">
      <c r="A118" s="161">
        <v>3</v>
      </c>
      <c r="B118" s="163">
        <v>18.399999999999999</v>
      </c>
      <c r="C118" s="163">
        <v>69.099999999999994</v>
      </c>
      <c r="D118" s="163">
        <v>98.6</v>
      </c>
      <c r="E118" s="163">
        <v>37.1</v>
      </c>
      <c r="F118" s="163">
        <v>71.3</v>
      </c>
      <c r="G118" s="163">
        <v>107.2</v>
      </c>
    </row>
    <row r="119" spans="1:7" x14ac:dyDescent="0.25">
      <c r="A119" s="161">
        <v>4</v>
      </c>
      <c r="B119" s="163">
        <v>24.8</v>
      </c>
      <c r="C119" s="163">
        <v>54.3</v>
      </c>
      <c r="D119" s="163">
        <v>71.099999999999994</v>
      </c>
      <c r="E119" s="163">
        <v>36.1</v>
      </c>
      <c r="F119" s="163">
        <v>79.599999999999994</v>
      </c>
      <c r="G119" s="163">
        <v>101.5</v>
      </c>
    </row>
    <row r="120" spans="1:7" x14ac:dyDescent="0.25">
      <c r="A120" s="161">
        <v>5</v>
      </c>
      <c r="B120" s="162"/>
      <c r="C120" s="162"/>
      <c r="D120" s="162"/>
      <c r="E120" s="163">
        <v>37.6</v>
      </c>
      <c r="F120" s="163">
        <v>64.599999999999994</v>
      </c>
      <c r="G120" s="163">
        <v>104.7</v>
      </c>
    </row>
    <row r="121" spans="1:7" x14ac:dyDescent="0.25">
      <c r="A121" s="161">
        <v>6</v>
      </c>
      <c r="B121" s="162"/>
      <c r="C121" s="162"/>
      <c r="D121" s="162"/>
      <c r="E121" s="163">
        <v>41</v>
      </c>
      <c r="F121" s="163">
        <v>85.7</v>
      </c>
      <c r="G121" s="163">
        <v>104.9</v>
      </c>
    </row>
    <row r="122" spans="1:7" x14ac:dyDescent="0.25">
      <c r="A122" s="161">
        <v>7</v>
      </c>
      <c r="B122" s="162"/>
      <c r="C122" s="162"/>
      <c r="D122" s="162"/>
      <c r="E122" s="163">
        <v>30.9</v>
      </c>
      <c r="F122" s="163">
        <v>65.8</v>
      </c>
      <c r="G122" s="163">
        <v>109.9</v>
      </c>
    </row>
    <row r="123" spans="1:7" x14ac:dyDescent="0.25">
      <c r="A123" s="161">
        <v>8</v>
      </c>
      <c r="B123" s="162"/>
      <c r="C123" s="162"/>
      <c r="D123" s="162"/>
      <c r="E123" s="163">
        <v>37.1</v>
      </c>
      <c r="F123" s="163">
        <v>76.900000000000006</v>
      </c>
      <c r="G123" s="163">
        <v>101.2</v>
      </c>
    </row>
    <row r="124" spans="1:7" ht="14.5" thickBot="1" x14ac:dyDescent="0.3">
      <c r="A124" s="166">
        <v>9</v>
      </c>
      <c r="B124" s="168"/>
      <c r="C124" s="168"/>
      <c r="D124" s="168"/>
      <c r="E124" s="168">
        <v>25.2</v>
      </c>
      <c r="F124" s="168">
        <v>79.900000000000006</v>
      </c>
      <c r="G124" s="168">
        <v>102.5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67.083333333333329</v>
      </c>
      <c r="C129" s="170">
        <f>AVERAGE(E5:G7)</f>
        <v>74.044444444444437</v>
      </c>
      <c r="D129" s="161">
        <f>'2020.12'!D129</f>
        <v>2166</v>
      </c>
      <c r="E129" s="161">
        <v>4338</v>
      </c>
      <c r="F129" s="161">
        <f>D129*B129</f>
        <v>145302.5</v>
      </c>
      <c r="G129" s="161">
        <f>E129*C129</f>
        <v>321204.8</v>
      </c>
    </row>
    <row r="130" spans="1:7" x14ac:dyDescent="0.25">
      <c r="A130" s="162" t="str">
        <f>A8</f>
        <v>Dongyuan Huangtian swine Farm</v>
      </c>
      <c r="B130" s="169">
        <f>AVERAGE((B11:D15))</f>
        <v>64.553333333333327</v>
      </c>
      <c r="C130" s="169">
        <f>AVERAGE(E11:G11)</f>
        <v>74.2</v>
      </c>
      <c r="D130" s="161">
        <f>'2020.12'!D130</f>
        <v>6431</v>
      </c>
      <c r="E130" s="161">
        <v>1451</v>
      </c>
      <c r="F130" s="161">
        <f t="shared" ref="F130:G137" si="0">D130*B130</f>
        <v>415142.48666666663</v>
      </c>
      <c r="G130" s="161">
        <f t="shared" si="0"/>
        <v>107664.2</v>
      </c>
    </row>
    <row r="131" spans="1:7" x14ac:dyDescent="0.25">
      <c r="A131" s="162" t="str">
        <f>A16</f>
        <v>Enping Shahu swine  Farm</v>
      </c>
      <c r="B131" s="169">
        <f>AVERAGE(B19:D33)</f>
        <v>60.428888888888892</v>
      </c>
      <c r="C131" s="169">
        <f>AVERAGE(E19:G28)</f>
        <v>72.420000000000016</v>
      </c>
      <c r="D131" s="161">
        <f>'2020.12'!D131</f>
        <v>23413</v>
      </c>
      <c r="E131" s="161">
        <v>15552</v>
      </c>
      <c r="F131" s="161">
        <f t="shared" si="0"/>
        <v>1414821.5755555555</v>
      </c>
      <c r="G131" s="161">
        <f t="shared" si="0"/>
        <v>1126275.8400000003</v>
      </c>
    </row>
    <row r="132" spans="1:7" x14ac:dyDescent="0.25">
      <c r="A132" s="162" t="str">
        <f>A34</f>
        <v>Langtian Yuehui swine Farm</v>
      </c>
      <c r="B132" s="169">
        <f>AVERAGE(B37:D55)</f>
        <v>60.698245614035102</v>
      </c>
      <c r="C132" s="169">
        <f>AVERAGE(E37:G43)</f>
        <v>73.747619047619054</v>
      </c>
      <c r="D132" s="161">
        <f>'2020.12'!D132</f>
        <v>29497</v>
      </c>
      <c r="E132" s="161">
        <v>10146</v>
      </c>
      <c r="F132" s="161">
        <f t="shared" si="0"/>
        <v>1790416.1508771933</v>
      </c>
      <c r="G132" s="161">
        <f t="shared" si="0"/>
        <v>748243.34285714291</v>
      </c>
    </row>
    <row r="133" spans="1:7" x14ac:dyDescent="0.25">
      <c r="A133" s="162" t="str">
        <f>A56</f>
        <v>Qujiang Fengwan swine Farm</v>
      </c>
      <c r="B133" s="169">
        <f>AVERAGE(B59:D65)</f>
        <v>63.885714285714279</v>
      </c>
      <c r="C133" s="169">
        <f>AVERAGE(E59:G65)</f>
        <v>77.647619047619045</v>
      </c>
      <c r="D133" s="161">
        <f>'2020.12'!D133</f>
        <v>9686</v>
      </c>
      <c r="E133" s="161">
        <v>11335</v>
      </c>
      <c r="F133" s="161">
        <f t="shared" si="0"/>
        <v>618797.0285714285</v>
      </c>
      <c r="G133" s="161">
        <f t="shared" si="0"/>
        <v>880135.76190476189</v>
      </c>
    </row>
    <row r="134" spans="1:7" x14ac:dyDescent="0.25">
      <c r="A134" s="162" t="str">
        <f>A66</f>
        <v>Pingyuan Zhongshi swine Farm</v>
      </c>
      <c r="B134" s="169">
        <f>AVERAGE(B69:D85)</f>
        <v>61.488235294117651</v>
      </c>
      <c r="C134" s="169">
        <f>AVERAGE(E69:G83)</f>
        <v>74.771111111111125</v>
      </c>
      <c r="D134" s="161">
        <f>'2020.12'!D134</f>
        <v>26358</v>
      </c>
      <c r="E134" s="161">
        <v>23578</v>
      </c>
      <c r="F134" s="161">
        <f t="shared" si="0"/>
        <v>1620706.905882353</v>
      </c>
      <c r="G134" s="161">
        <f t="shared" si="0"/>
        <v>1762953.2577777782</v>
      </c>
    </row>
    <row r="135" spans="1:7" x14ac:dyDescent="0.25">
      <c r="A135" s="162" t="str">
        <f>A86</f>
        <v>Yangchun Tanshui swine Farm</v>
      </c>
      <c r="B135" s="169">
        <f>AVERAGE(B89:D106)</f>
        <v>63.194230769230792</v>
      </c>
      <c r="C135" s="169">
        <f>AVERAGE(E89:G95)</f>
        <v>76.580952380952368</v>
      </c>
      <c r="D135" s="161">
        <f>'2020.12'!D135</f>
        <v>26581</v>
      </c>
      <c r="E135" s="161">
        <v>11683</v>
      </c>
      <c r="F135" s="161">
        <f t="shared" si="0"/>
        <v>1679765.8480769238</v>
      </c>
      <c r="G135" s="161">
        <f t="shared" si="0"/>
        <v>894695.26666666649</v>
      </c>
    </row>
    <row r="136" spans="1:7" x14ac:dyDescent="0.25">
      <c r="A136" s="162" t="str">
        <f>A107</f>
        <v>Xinfeng Shatian swine Farm</v>
      </c>
      <c r="B136" s="169">
        <f>AVERAGE(B110:D112)</f>
        <v>58.400000000000006</v>
      </c>
      <c r="C136" s="169">
        <f>AVERAGE(E110:G112)</f>
        <v>75.144444444444446</v>
      </c>
      <c r="D136" s="161">
        <f>'2020.12'!D136</f>
        <v>2074</v>
      </c>
      <c r="E136" s="161">
        <v>3782</v>
      </c>
      <c r="F136" s="161">
        <f t="shared" si="0"/>
        <v>121121.60000000001</v>
      </c>
      <c r="G136" s="161">
        <f t="shared" si="0"/>
        <v>284196.2888888889</v>
      </c>
    </row>
    <row r="137" spans="1:7" x14ac:dyDescent="0.25">
      <c r="A137" s="162" t="str">
        <f>A113</f>
        <v>Kaiping Cangcheng swine Farm</v>
      </c>
      <c r="B137" s="169">
        <f>AVERAGE(B116:D119)</f>
        <v>59.983333333333327</v>
      </c>
      <c r="C137" s="169">
        <f>AVERAGE(E116:G124)</f>
        <v>73.311111111111131</v>
      </c>
      <c r="D137" s="161">
        <f>'2020.12'!D137</f>
        <v>5872</v>
      </c>
      <c r="E137" s="161">
        <v>14035</v>
      </c>
      <c r="F137" s="161">
        <f t="shared" si="0"/>
        <v>352222.1333333333</v>
      </c>
      <c r="G137" s="161">
        <f t="shared" si="0"/>
        <v>1028921.4444444447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95900</v>
      </c>
      <c r="F138" s="161">
        <f t="shared" ref="F138:G138" si="1">SUM(F129:F137)</f>
        <v>8158296.2289634533</v>
      </c>
      <c r="G138" s="161">
        <f t="shared" si="1"/>
        <v>7154290.2025396833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61.7</v>
      </c>
      <c r="D142" s="171">
        <f>ROUNDDOWN(G138/E138,1)</f>
        <v>74.599999999999994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1114-5B0C-4437-BE57-B1B6167A5D92}">
  <dimension ref="A1:G142"/>
  <sheetViews>
    <sheetView topLeftCell="A127" workbookViewId="0">
      <selection activeCell="E143" sqref="E142:E143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41.2</v>
      </c>
      <c r="C5" s="163">
        <v>63.7</v>
      </c>
      <c r="D5" s="163">
        <v>109.5</v>
      </c>
      <c r="E5" s="163">
        <v>49.9</v>
      </c>
      <c r="F5" s="163">
        <v>77.8</v>
      </c>
      <c r="G5" s="163">
        <v>116.8</v>
      </c>
    </row>
    <row r="6" spans="1:7" x14ac:dyDescent="0.25">
      <c r="A6" s="161">
        <v>2</v>
      </c>
      <c r="B6" s="163">
        <v>32</v>
      </c>
      <c r="C6" s="163">
        <v>62.9</v>
      </c>
      <c r="D6" s="163">
        <v>86.5</v>
      </c>
      <c r="E6" s="163">
        <v>41.9</v>
      </c>
      <c r="F6" s="163">
        <v>73.8</v>
      </c>
      <c r="G6" s="163">
        <v>101.8</v>
      </c>
    </row>
    <row r="7" spans="1:7" ht="14.5" thickBot="1" x14ac:dyDescent="0.3">
      <c r="A7" s="164">
        <v>3</v>
      </c>
      <c r="B7" s="165"/>
      <c r="C7" s="165"/>
      <c r="D7" s="165"/>
      <c r="E7" s="165">
        <v>58.5</v>
      </c>
      <c r="F7" s="165">
        <v>60.2</v>
      </c>
      <c r="G7" s="165">
        <v>90.6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42.9</v>
      </c>
      <c r="C11" s="163">
        <v>69.8</v>
      </c>
      <c r="D11" s="163">
        <v>88.1</v>
      </c>
      <c r="E11" s="163">
        <v>39.9</v>
      </c>
      <c r="F11" s="163">
        <v>63</v>
      </c>
      <c r="G11" s="163">
        <v>105.9</v>
      </c>
    </row>
    <row r="12" spans="1:7" x14ac:dyDescent="0.25">
      <c r="A12" s="161">
        <v>2</v>
      </c>
      <c r="B12" s="163">
        <v>32.5</v>
      </c>
      <c r="C12" s="163">
        <v>62.5</v>
      </c>
      <c r="D12" s="163">
        <v>96.8</v>
      </c>
      <c r="E12" s="163"/>
      <c r="F12" s="163"/>
      <c r="G12" s="163"/>
    </row>
    <row r="13" spans="1:7" x14ac:dyDescent="0.25">
      <c r="A13" s="161">
        <v>3</v>
      </c>
      <c r="B13" s="163">
        <v>36.700000000000003</v>
      </c>
      <c r="C13" s="163">
        <v>57.2</v>
      </c>
      <c r="D13" s="163">
        <v>70.400000000000006</v>
      </c>
      <c r="E13" s="162"/>
      <c r="F13" s="162"/>
      <c r="G13" s="162"/>
    </row>
    <row r="14" spans="1:7" x14ac:dyDescent="0.25">
      <c r="A14" s="161">
        <v>4</v>
      </c>
      <c r="B14" s="163">
        <v>25</v>
      </c>
      <c r="C14" s="163">
        <v>52.4</v>
      </c>
      <c r="D14" s="163">
        <v>88.6</v>
      </c>
      <c r="E14" s="162"/>
      <c r="F14" s="162"/>
      <c r="G14" s="162"/>
    </row>
    <row r="15" spans="1:7" ht="14.5" thickBot="1" x14ac:dyDescent="0.3">
      <c r="A15" s="164">
        <v>5</v>
      </c>
      <c r="B15" s="165">
        <v>18</v>
      </c>
      <c r="C15" s="165">
        <v>62.5</v>
      </c>
      <c r="D15" s="165">
        <v>89.2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19.5</v>
      </c>
      <c r="C19" s="163">
        <v>66.7</v>
      </c>
      <c r="D19" s="163">
        <v>93.5</v>
      </c>
      <c r="E19" s="163">
        <v>25.5</v>
      </c>
      <c r="F19" s="163">
        <v>62.2</v>
      </c>
      <c r="G19" s="163">
        <v>91.1</v>
      </c>
    </row>
    <row r="20" spans="1:7" x14ac:dyDescent="0.25">
      <c r="A20" s="161">
        <v>2</v>
      </c>
      <c r="B20" s="163">
        <v>16.600000000000001</v>
      </c>
      <c r="C20" s="163">
        <v>67.400000000000006</v>
      </c>
      <c r="D20" s="163">
        <v>84.5</v>
      </c>
      <c r="E20" s="163">
        <v>30.4</v>
      </c>
      <c r="F20" s="163">
        <v>70.599999999999994</v>
      </c>
      <c r="G20" s="163">
        <v>92.9</v>
      </c>
    </row>
    <row r="21" spans="1:7" x14ac:dyDescent="0.25">
      <c r="A21" s="161">
        <v>3</v>
      </c>
      <c r="B21" s="163">
        <v>38.200000000000003</v>
      </c>
      <c r="C21" s="163">
        <v>50.9</v>
      </c>
      <c r="D21" s="163">
        <v>84.2</v>
      </c>
      <c r="E21" s="163">
        <v>57.2</v>
      </c>
      <c r="F21" s="163">
        <v>66.7</v>
      </c>
      <c r="G21" s="163">
        <v>99.2</v>
      </c>
    </row>
    <row r="22" spans="1:7" x14ac:dyDescent="0.25">
      <c r="A22" s="161">
        <v>4</v>
      </c>
      <c r="B22" s="163">
        <v>45.6</v>
      </c>
      <c r="C22" s="163">
        <v>68.3</v>
      </c>
      <c r="D22" s="163">
        <v>99.3</v>
      </c>
      <c r="E22" s="163">
        <v>45.6</v>
      </c>
      <c r="F22" s="163">
        <v>64.7</v>
      </c>
      <c r="G22" s="163">
        <v>98.7</v>
      </c>
    </row>
    <row r="23" spans="1:7" x14ac:dyDescent="0.25">
      <c r="A23" s="161">
        <v>5</v>
      </c>
      <c r="B23" s="163">
        <v>18.5</v>
      </c>
      <c r="C23" s="163">
        <v>54.6</v>
      </c>
      <c r="D23" s="163">
        <v>102.5</v>
      </c>
      <c r="E23" s="163">
        <v>36.299999999999997</v>
      </c>
      <c r="F23" s="163">
        <v>76.5</v>
      </c>
      <c r="G23" s="163">
        <v>103</v>
      </c>
    </row>
    <row r="24" spans="1:7" x14ac:dyDescent="0.25">
      <c r="A24" s="161">
        <v>6</v>
      </c>
      <c r="B24" s="163">
        <v>16.899999999999999</v>
      </c>
      <c r="C24" s="163">
        <v>60.2</v>
      </c>
      <c r="D24" s="163">
        <v>95</v>
      </c>
      <c r="E24" s="163">
        <v>57.8</v>
      </c>
      <c r="F24" s="163">
        <v>81.900000000000006</v>
      </c>
      <c r="G24" s="163">
        <v>105.6</v>
      </c>
    </row>
    <row r="25" spans="1:7" x14ac:dyDescent="0.25">
      <c r="A25" s="161">
        <v>7</v>
      </c>
      <c r="B25" s="163">
        <v>36.6</v>
      </c>
      <c r="C25" s="163">
        <v>69.3</v>
      </c>
      <c r="D25" s="163">
        <v>99.3</v>
      </c>
      <c r="E25" s="163">
        <v>29.4</v>
      </c>
      <c r="F25" s="163">
        <v>85.6</v>
      </c>
      <c r="G25" s="163">
        <v>120</v>
      </c>
    </row>
    <row r="26" spans="1:7" x14ac:dyDescent="0.25">
      <c r="A26" s="161">
        <v>8</v>
      </c>
      <c r="B26" s="163">
        <v>24</v>
      </c>
      <c r="C26" s="163">
        <v>51</v>
      </c>
      <c r="D26" s="163">
        <v>76.599999999999994</v>
      </c>
      <c r="E26" s="163">
        <v>32.6</v>
      </c>
      <c r="F26" s="163">
        <v>60.6</v>
      </c>
      <c r="G26" s="163">
        <v>109.9</v>
      </c>
    </row>
    <row r="27" spans="1:7" x14ac:dyDescent="0.25">
      <c r="A27" s="161">
        <v>9</v>
      </c>
      <c r="B27" s="163">
        <v>39.6</v>
      </c>
      <c r="C27" s="163">
        <v>61</v>
      </c>
      <c r="D27" s="163">
        <v>102.5</v>
      </c>
      <c r="E27" s="163">
        <v>26.9</v>
      </c>
      <c r="F27" s="163">
        <v>62.1</v>
      </c>
      <c r="G27" s="163">
        <v>119.9</v>
      </c>
    </row>
    <row r="28" spans="1:7" x14ac:dyDescent="0.25">
      <c r="A28" s="161">
        <v>10</v>
      </c>
      <c r="B28" s="163">
        <v>35.5</v>
      </c>
      <c r="C28" s="163">
        <v>63.2</v>
      </c>
      <c r="D28" s="163">
        <v>105.9</v>
      </c>
      <c r="E28" s="163">
        <v>37</v>
      </c>
      <c r="F28" s="163">
        <v>82.9</v>
      </c>
      <c r="G28" s="163">
        <v>114.5</v>
      </c>
    </row>
    <row r="29" spans="1:7" x14ac:dyDescent="0.25">
      <c r="A29" s="161">
        <v>11</v>
      </c>
      <c r="B29" s="163">
        <v>43.1</v>
      </c>
      <c r="C29" s="163">
        <v>63</v>
      </c>
      <c r="D29" s="163">
        <v>72.5</v>
      </c>
      <c r="E29" s="163"/>
      <c r="F29" s="163"/>
      <c r="G29" s="163"/>
    </row>
    <row r="30" spans="1:7" x14ac:dyDescent="0.25">
      <c r="A30" s="161">
        <v>12</v>
      </c>
      <c r="B30" s="163">
        <v>28.3</v>
      </c>
      <c r="C30" s="163">
        <v>66.2</v>
      </c>
      <c r="D30" s="163">
        <v>109.4</v>
      </c>
      <c r="E30" s="163"/>
      <c r="F30" s="163"/>
      <c r="G30" s="163"/>
    </row>
    <row r="31" spans="1:7" x14ac:dyDescent="0.25">
      <c r="A31" s="161">
        <v>13</v>
      </c>
      <c r="B31" s="163">
        <v>18.2</v>
      </c>
      <c r="C31" s="163">
        <v>62.9</v>
      </c>
      <c r="D31" s="163">
        <v>109</v>
      </c>
      <c r="E31" s="163"/>
      <c r="F31" s="163"/>
      <c r="G31" s="163"/>
    </row>
    <row r="32" spans="1:7" x14ac:dyDescent="0.25">
      <c r="A32" s="161">
        <v>14</v>
      </c>
      <c r="B32" s="163">
        <v>26.1</v>
      </c>
      <c r="C32" s="163">
        <v>53.7</v>
      </c>
      <c r="D32" s="163">
        <v>70</v>
      </c>
      <c r="E32" s="163"/>
      <c r="F32" s="163"/>
      <c r="G32" s="163"/>
    </row>
    <row r="33" spans="1:7" ht="14.5" thickBot="1" x14ac:dyDescent="0.3">
      <c r="A33" s="166">
        <v>15</v>
      </c>
      <c r="B33" s="165">
        <v>48</v>
      </c>
      <c r="C33" s="165">
        <v>59.5</v>
      </c>
      <c r="D33" s="165">
        <v>95.4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20.6</v>
      </c>
      <c r="C37" s="163">
        <v>52.8</v>
      </c>
      <c r="D37" s="163">
        <v>102.6</v>
      </c>
      <c r="E37" s="163">
        <v>31.4</v>
      </c>
      <c r="F37" s="163">
        <v>86.4</v>
      </c>
      <c r="G37" s="163">
        <v>98.3</v>
      </c>
    </row>
    <row r="38" spans="1:7" x14ac:dyDescent="0.25">
      <c r="A38" s="161">
        <v>2</v>
      </c>
      <c r="B38" s="163">
        <v>47.4</v>
      </c>
      <c r="C38" s="163">
        <v>55</v>
      </c>
      <c r="D38" s="163">
        <v>98</v>
      </c>
      <c r="E38" s="163">
        <v>57.1</v>
      </c>
      <c r="F38" s="163">
        <v>70</v>
      </c>
      <c r="G38" s="163">
        <v>97.7</v>
      </c>
    </row>
    <row r="39" spans="1:7" x14ac:dyDescent="0.25">
      <c r="A39" s="161">
        <v>3</v>
      </c>
      <c r="B39" s="163">
        <v>37.6</v>
      </c>
      <c r="C39" s="163">
        <v>68.599999999999994</v>
      </c>
      <c r="D39" s="163">
        <v>101.1</v>
      </c>
      <c r="E39" s="163">
        <v>44.6</v>
      </c>
      <c r="F39" s="163">
        <v>79</v>
      </c>
      <c r="G39" s="163">
        <v>110.8</v>
      </c>
    </row>
    <row r="40" spans="1:7" x14ac:dyDescent="0.25">
      <c r="A40" s="161">
        <v>4</v>
      </c>
      <c r="B40" s="163">
        <v>39.5</v>
      </c>
      <c r="C40" s="163">
        <v>57.3</v>
      </c>
      <c r="D40" s="163">
        <v>96.4</v>
      </c>
      <c r="E40" s="163">
        <v>25.4</v>
      </c>
      <c r="F40" s="163">
        <v>77.8</v>
      </c>
      <c r="G40" s="163">
        <v>115.2</v>
      </c>
    </row>
    <row r="41" spans="1:7" x14ac:dyDescent="0.25">
      <c r="A41" s="161">
        <v>5</v>
      </c>
      <c r="B41" s="163">
        <v>32.4</v>
      </c>
      <c r="C41" s="163">
        <v>51.5</v>
      </c>
      <c r="D41" s="163">
        <v>77.099999999999994</v>
      </c>
      <c r="E41" s="163">
        <v>59.3</v>
      </c>
      <c r="F41" s="163">
        <v>64.2</v>
      </c>
      <c r="G41" s="163">
        <v>104.7</v>
      </c>
    </row>
    <row r="42" spans="1:7" x14ac:dyDescent="0.25">
      <c r="A42" s="161">
        <v>6</v>
      </c>
      <c r="B42" s="163">
        <v>41.6</v>
      </c>
      <c r="C42" s="163">
        <v>62</v>
      </c>
      <c r="D42" s="163">
        <v>78.400000000000006</v>
      </c>
      <c r="E42" s="163">
        <v>58.2</v>
      </c>
      <c r="F42" s="163">
        <v>65.5</v>
      </c>
      <c r="G42" s="163">
        <v>116.3</v>
      </c>
    </row>
    <row r="43" spans="1:7" x14ac:dyDescent="0.25">
      <c r="A43" s="161">
        <v>7</v>
      </c>
      <c r="B43" s="163">
        <v>23.6</v>
      </c>
      <c r="C43" s="163">
        <v>60.4</v>
      </c>
      <c r="D43" s="163">
        <v>89.7</v>
      </c>
      <c r="E43" s="163">
        <v>30.4</v>
      </c>
      <c r="F43" s="163">
        <v>72.5</v>
      </c>
      <c r="G43" s="163">
        <v>118.6</v>
      </c>
    </row>
    <row r="44" spans="1:7" x14ac:dyDescent="0.25">
      <c r="A44" s="161">
        <v>8</v>
      </c>
      <c r="B44" s="163">
        <v>47</v>
      </c>
      <c r="C44" s="163">
        <v>51.8</v>
      </c>
      <c r="D44" s="163">
        <v>99</v>
      </c>
      <c r="E44" s="162"/>
      <c r="F44" s="162"/>
      <c r="G44" s="162"/>
    </row>
    <row r="45" spans="1:7" x14ac:dyDescent="0.25">
      <c r="A45" s="161">
        <v>9</v>
      </c>
      <c r="B45" s="163">
        <v>36.5</v>
      </c>
      <c r="C45" s="163">
        <v>64.7</v>
      </c>
      <c r="D45" s="163">
        <v>90.9</v>
      </c>
      <c r="E45" s="162"/>
      <c r="F45" s="162"/>
      <c r="G45" s="162"/>
    </row>
    <row r="46" spans="1:7" x14ac:dyDescent="0.25">
      <c r="A46" s="161">
        <v>10</v>
      </c>
      <c r="B46" s="163">
        <v>37.799999999999997</v>
      </c>
      <c r="C46" s="163">
        <v>58.6</v>
      </c>
      <c r="D46" s="163">
        <v>70.099999999999994</v>
      </c>
      <c r="E46" s="162"/>
      <c r="F46" s="162"/>
      <c r="G46" s="162"/>
    </row>
    <row r="47" spans="1:7" x14ac:dyDescent="0.25">
      <c r="A47" s="161">
        <v>11</v>
      </c>
      <c r="B47" s="163">
        <v>37.6</v>
      </c>
      <c r="C47" s="163">
        <v>61.8</v>
      </c>
      <c r="D47" s="163">
        <v>109.6</v>
      </c>
      <c r="E47" s="162"/>
      <c r="F47" s="162"/>
      <c r="G47" s="162"/>
    </row>
    <row r="48" spans="1:7" x14ac:dyDescent="0.25">
      <c r="A48" s="161">
        <v>12</v>
      </c>
      <c r="B48" s="163">
        <v>29.9</v>
      </c>
      <c r="C48" s="163">
        <v>63.9</v>
      </c>
      <c r="D48" s="163">
        <v>79.099999999999994</v>
      </c>
      <c r="E48" s="162"/>
      <c r="F48" s="162"/>
      <c r="G48" s="162"/>
    </row>
    <row r="49" spans="1:7" x14ac:dyDescent="0.25">
      <c r="A49" s="161">
        <v>13</v>
      </c>
      <c r="B49" s="163">
        <v>16.600000000000001</v>
      </c>
      <c r="C49" s="163">
        <v>61.3</v>
      </c>
      <c r="D49" s="163">
        <v>104.4</v>
      </c>
      <c r="E49" s="162"/>
      <c r="F49" s="162"/>
      <c r="G49" s="162"/>
    </row>
    <row r="50" spans="1:7" x14ac:dyDescent="0.25">
      <c r="A50" s="161">
        <v>14</v>
      </c>
      <c r="B50" s="163">
        <v>27.7</v>
      </c>
      <c r="C50" s="163">
        <v>53.1</v>
      </c>
      <c r="D50" s="163">
        <v>81.400000000000006</v>
      </c>
      <c r="E50" s="162"/>
      <c r="F50" s="162"/>
      <c r="G50" s="162"/>
    </row>
    <row r="51" spans="1:7" x14ac:dyDescent="0.25">
      <c r="A51" s="161">
        <v>15</v>
      </c>
      <c r="B51" s="163">
        <v>39.9</v>
      </c>
      <c r="C51" s="163">
        <v>65.900000000000006</v>
      </c>
      <c r="D51" s="163">
        <v>92.6</v>
      </c>
      <c r="E51" s="162"/>
      <c r="F51" s="162"/>
      <c r="G51" s="162"/>
    </row>
    <row r="52" spans="1:7" x14ac:dyDescent="0.25">
      <c r="A52" s="161">
        <v>16</v>
      </c>
      <c r="B52" s="163">
        <v>15.7</v>
      </c>
      <c r="C52" s="163">
        <v>69.3</v>
      </c>
      <c r="D52" s="163">
        <v>97.8</v>
      </c>
      <c r="E52" s="162"/>
      <c r="F52" s="162"/>
      <c r="G52" s="162"/>
    </row>
    <row r="53" spans="1:7" x14ac:dyDescent="0.25">
      <c r="A53" s="161">
        <v>17</v>
      </c>
      <c r="B53" s="163">
        <v>44</v>
      </c>
      <c r="C53" s="163">
        <v>51.5</v>
      </c>
      <c r="D53" s="163">
        <v>72</v>
      </c>
      <c r="E53" s="162"/>
      <c r="F53" s="162"/>
      <c r="G53" s="162"/>
    </row>
    <row r="54" spans="1:7" x14ac:dyDescent="0.25">
      <c r="A54" s="161">
        <v>18</v>
      </c>
      <c r="B54" s="163">
        <v>23.7</v>
      </c>
      <c r="C54" s="163">
        <v>51.5</v>
      </c>
      <c r="D54" s="163">
        <v>83</v>
      </c>
      <c r="E54" s="162"/>
      <c r="F54" s="162"/>
      <c r="G54" s="162"/>
    </row>
    <row r="55" spans="1:7" ht="14.5" thickBot="1" x14ac:dyDescent="0.3">
      <c r="A55" s="164">
        <v>19</v>
      </c>
      <c r="B55" s="165">
        <v>47</v>
      </c>
      <c r="C55" s="165">
        <v>66.099999999999994</v>
      </c>
      <c r="D55" s="165">
        <v>90.2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18.100000000000001</v>
      </c>
      <c r="C59" s="163">
        <v>50</v>
      </c>
      <c r="D59" s="163">
        <v>94.6</v>
      </c>
      <c r="E59" s="163">
        <v>48.5</v>
      </c>
      <c r="F59" s="163">
        <v>73.8</v>
      </c>
      <c r="G59" s="163">
        <v>94.9</v>
      </c>
    </row>
    <row r="60" spans="1:7" x14ac:dyDescent="0.25">
      <c r="A60" s="161">
        <v>2</v>
      </c>
      <c r="B60" s="163">
        <v>48</v>
      </c>
      <c r="C60" s="163">
        <v>56.4</v>
      </c>
      <c r="D60" s="163">
        <v>96.7</v>
      </c>
      <c r="E60" s="163">
        <v>30</v>
      </c>
      <c r="F60" s="163">
        <v>79</v>
      </c>
      <c r="G60" s="163">
        <v>105.6</v>
      </c>
    </row>
    <row r="61" spans="1:7" x14ac:dyDescent="0.25">
      <c r="A61" s="161">
        <v>3</v>
      </c>
      <c r="B61" s="163">
        <v>29.5</v>
      </c>
      <c r="C61" s="163">
        <v>63.7</v>
      </c>
      <c r="D61" s="163">
        <v>74.400000000000006</v>
      </c>
      <c r="E61" s="163">
        <v>33.200000000000003</v>
      </c>
      <c r="F61" s="163">
        <v>74.900000000000006</v>
      </c>
      <c r="G61" s="163">
        <v>94.5</v>
      </c>
    </row>
    <row r="62" spans="1:7" x14ac:dyDescent="0.25">
      <c r="A62" s="161">
        <v>4</v>
      </c>
      <c r="B62" s="163">
        <v>40.4</v>
      </c>
      <c r="C62" s="163">
        <v>62.6</v>
      </c>
      <c r="D62" s="163">
        <v>76.2</v>
      </c>
      <c r="E62" s="163">
        <v>48.8</v>
      </c>
      <c r="F62" s="163">
        <v>85</v>
      </c>
      <c r="G62" s="163">
        <v>100</v>
      </c>
    </row>
    <row r="63" spans="1:7" x14ac:dyDescent="0.25">
      <c r="A63" s="161">
        <v>5</v>
      </c>
      <c r="B63" s="163">
        <v>49.1</v>
      </c>
      <c r="C63" s="163">
        <v>65.400000000000006</v>
      </c>
      <c r="D63" s="163">
        <v>87.6</v>
      </c>
      <c r="E63" s="163">
        <v>28.4</v>
      </c>
      <c r="F63" s="163">
        <v>80</v>
      </c>
      <c r="G63" s="163">
        <v>106.4</v>
      </c>
    </row>
    <row r="64" spans="1:7" x14ac:dyDescent="0.25">
      <c r="A64" s="167">
        <v>6</v>
      </c>
      <c r="B64" s="163">
        <v>47.2</v>
      </c>
      <c r="C64" s="163">
        <v>51.6</v>
      </c>
      <c r="D64" s="163">
        <v>74.7</v>
      </c>
      <c r="E64" s="163">
        <v>38.700000000000003</v>
      </c>
      <c r="F64" s="163">
        <v>60.5</v>
      </c>
      <c r="G64" s="163">
        <v>97.4</v>
      </c>
    </row>
    <row r="65" spans="1:7" ht="14.5" thickBot="1" x14ac:dyDescent="0.3">
      <c r="A65" s="164">
        <v>7</v>
      </c>
      <c r="B65" s="165">
        <v>17.399999999999999</v>
      </c>
      <c r="C65" s="165">
        <v>51.1</v>
      </c>
      <c r="D65" s="165">
        <v>93.5</v>
      </c>
      <c r="E65" s="165">
        <v>54.8</v>
      </c>
      <c r="F65" s="165">
        <v>89.2</v>
      </c>
      <c r="G65" s="165">
        <v>112.7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18.7</v>
      </c>
      <c r="C69" s="163">
        <v>59</v>
      </c>
      <c r="D69" s="163">
        <v>83.6</v>
      </c>
      <c r="E69" s="163">
        <v>29.1</v>
      </c>
      <c r="F69" s="163">
        <v>78.5</v>
      </c>
      <c r="G69" s="163">
        <v>96.8</v>
      </c>
    </row>
    <row r="70" spans="1:7" x14ac:dyDescent="0.25">
      <c r="A70" s="161">
        <v>2</v>
      </c>
      <c r="B70" s="163">
        <v>20.7</v>
      </c>
      <c r="C70" s="163">
        <v>59.6</v>
      </c>
      <c r="D70" s="163">
        <v>89</v>
      </c>
      <c r="E70" s="163">
        <v>45.4</v>
      </c>
      <c r="F70" s="163">
        <v>67.099999999999994</v>
      </c>
      <c r="G70" s="163">
        <v>111.1</v>
      </c>
    </row>
    <row r="71" spans="1:7" x14ac:dyDescent="0.25">
      <c r="A71" s="161">
        <v>3</v>
      </c>
      <c r="B71" s="163">
        <v>45.5</v>
      </c>
      <c r="C71" s="163">
        <v>60.3</v>
      </c>
      <c r="D71" s="163">
        <v>93.8</v>
      </c>
      <c r="E71" s="163">
        <v>53.2</v>
      </c>
      <c r="F71" s="163">
        <v>81.400000000000006</v>
      </c>
      <c r="G71" s="163">
        <v>113.1</v>
      </c>
    </row>
    <row r="72" spans="1:7" x14ac:dyDescent="0.25">
      <c r="A72" s="161">
        <v>4</v>
      </c>
      <c r="B72" s="163">
        <v>28.7</v>
      </c>
      <c r="C72" s="163">
        <v>65.5</v>
      </c>
      <c r="D72" s="163">
        <v>70.5</v>
      </c>
      <c r="E72" s="163">
        <v>50.2</v>
      </c>
      <c r="F72" s="163">
        <v>64.7</v>
      </c>
      <c r="G72" s="163">
        <v>106.6</v>
      </c>
    </row>
    <row r="73" spans="1:7" x14ac:dyDescent="0.25">
      <c r="A73" s="161">
        <v>5</v>
      </c>
      <c r="B73" s="163">
        <v>22.5</v>
      </c>
      <c r="C73" s="163">
        <v>58.3</v>
      </c>
      <c r="D73" s="163">
        <v>108.7</v>
      </c>
      <c r="E73" s="163">
        <v>42.4</v>
      </c>
      <c r="F73" s="163">
        <v>73.2</v>
      </c>
      <c r="G73" s="163">
        <v>112.5</v>
      </c>
    </row>
    <row r="74" spans="1:7" x14ac:dyDescent="0.25">
      <c r="A74" s="161">
        <v>6</v>
      </c>
      <c r="B74" s="163">
        <v>36.6</v>
      </c>
      <c r="C74" s="163">
        <v>66.7</v>
      </c>
      <c r="D74" s="163">
        <v>76.099999999999994</v>
      </c>
      <c r="E74" s="163">
        <v>41.3</v>
      </c>
      <c r="F74" s="163">
        <v>66.599999999999994</v>
      </c>
      <c r="G74" s="163">
        <v>113.4</v>
      </c>
    </row>
    <row r="75" spans="1:7" x14ac:dyDescent="0.25">
      <c r="A75" s="161">
        <v>7</v>
      </c>
      <c r="B75" s="163">
        <v>41</v>
      </c>
      <c r="C75" s="163">
        <v>65</v>
      </c>
      <c r="D75" s="163">
        <v>95.2</v>
      </c>
      <c r="E75" s="163">
        <v>33</v>
      </c>
      <c r="F75" s="163">
        <v>71.7</v>
      </c>
      <c r="G75" s="163">
        <v>98.6</v>
      </c>
    </row>
    <row r="76" spans="1:7" x14ac:dyDescent="0.25">
      <c r="A76" s="161">
        <v>8</v>
      </c>
      <c r="B76" s="163">
        <v>15.1</v>
      </c>
      <c r="C76" s="163">
        <v>65.3</v>
      </c>
      <c r="D76" s="163">
        <v>107.9</v>
      </c>
      <c r="E76" s="163">
        <v>28.6</v>
      </c>
      <c r="F76" s="163">
        <v>60.4</v>
      </c>
      <c r="G76" s="163">
        <v>98</v>
      </c>
    </row>
    <row r="77" spans="1:7" x14ac:dyDescent="0.25">
      <c r="A77" s="161">
        <v>9</v>
      </c>
      <c r="B77" s="163">
        <v>27.3</v>
      </c>
      <c r="C77" s="163">
        <v>64.2</v>
      </c>
      <c r="D77" s="163">
        <v>108.1</v>
      </c>
      <c r="E77" s="163">
        <v>51.2</v>
      </c>
      <c r="F77" s="163">
        <v>78</v>
      </c>
      <c r="G77" s="163">
        <v>115.2</v>
      </c>
    </row>
    <row r="78" spans="1:7" x14ac:dyDescent="0.25">
      <c r="A78" s="161">
        <v>10</v>
      </c>
      <c r="B78" s="163">
        <v>45.7</v>
      </c>
      <c r="C78" s="163">
        <v>69.5</v>
      </c>
      <c r="D78" s="163">
        <v>93.9</v>
      </c>
      <c r="E78" s="163">
        <v>35.700000000000003</v>
      </c>
      <c r="F78" s="163">
        <v>87.6</v>
      </c>
      <c r="G78" s="163">
        <v>92.9</v>
      </c>
    </row>
    <row r="79" spans="1:7" x14ac:dyDescent="0.25">
      <c r="A79" s="161">
        <v>11</v>
      </c>
      <c r="B79" s="163">
        <v>16.399999999999999</v>
      </c>
      <c r="C79" s="163">
        <v>61.5</v>
      </c>
      <c r="D79" s="163">
        <v>82.4</v>
      </c>
      <c r="E79" s="163">
        <v>29.1</v>
      </c>
      <c r="F79" s="163">
        <v>86.6</v>
      </c>
      <c r="G79" s="163">
        <v>103.6</v>
      </c>
    </row>
    <row r="80" spans="1:7" x14ac:dyDescent="0.25">
      <c r="A80" s="161">
        <v>12</v>
      </c>
      <c r="B80" s="163">
        <v>15.4</v>
      </c>
      <c r="C80" s="163">
        <v>63.4</v>
      </c>
      <c r="D80" s="163">
        <v>76.900000000000006</v>
      </c>
      <c r="E80" s="163">
        <v>39.5</v>
      </c>
      <c r="F80" s="163">
        <v>76.900000000000006</v>
      </c>
      <c r="G80" s="163">
        <v>90.3</v>
      </c>
    </row>
    <row r="81" spans="1:7" x14ac:dyDescent="0.25">
      <c r="A81" s="161">
        <v>13</v>
      </c>
      <c r="B81" s="163">
        <v>26.2</v>
      </c>
      <c r="C81" s="163">
        <v>69.3</v>
      </c>
      <c r="D81" s="163">
        <v>101</v>
      </c>
      <c r="E81" s="163">
        <v>46.6</v>
      </c>
      <c r="F81" s="163">
        <v>78.3</v>
      </c>
      <c r="G81" s="163">
        <v>101.4</v>
      </c>
    </row>
    <row r="82" spans="1:7" x14ac:dyDescent="0.25">
      <c r="A82" s="161">
        <v>14</v>
      </c>
      <c r="B82" s="163">
        <v>41.2</v>
      </c>
      <c r="C82" s="163">
        <v>51</v>
      </c>
      <c r="D82" s="163">
        <v>97.8</v>
      </c>
      <c r="E82" s="163">
        <v>56.2</v>
      </c>
      <c r="F82" s="163">
        <v>66.900000000000006</v>
      </c>
      <c r="G82" s="163">
        <v>94.2</v>
      </c>
    </row>
    <row r="83" spans="1:7" x14ac:dyDescent="0.25">
      <c r="A83" s="161">
        <v>15</v>
      </c>
      <c r="B83" s="163">
        <v>44.7</v>
      </c>
      <c r="C83" s="163">
        <v>66</v>
      </c>
      <c r="D83" s="163">
        <v>78.8</v>
      </c>
      <c r="E83" s="163">
        <v>49.1</v>
      </c>
      <c r="F83" s="163">
        <v>80</v>
      </c>
      <c r="G83" s="163">
        <v>119.5</v>
      </c>
    </row>
    <row r="84" spans="1:7" x14ac:dyDescent="0.25">
      <c r="A84" s="161">
        <v>16</v>
      </c>
      <c r="B84" s="163">
        <v>46.3</v>
      </c>
      <c r="C84" s="163">
        <v>51.3</v>
      </c>
      <c r="D84" s="163">
        <v>109.2</v>
      </c>
      <c r="E84" s="163"/>
      <c r="F84" s="163"/>
      <c r="G84" s="163"/>
    </row>
    <row r="85" spans="1:7" ht="14.5" thickBot="1" x14ac:dyDescent="0.3">
      <c r="A85" s="166">
        <v>17</v>
      </c>
      <c r="B85" s="168">
        <v>19.399999999999999</v>
      </c>
      <c r="C85" s="168">
        <v>65.3</v>
      </c>
      <c r="D85" s="168">
        <v>84.7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23.3</v>
      </c>
      <c r="C89" s="163">
        <v>66.400000000000006</v>
      </c>
      <c r="D89" s="163">
        <v>104.2</v>
      </c>
      <c r="E89" s="163">
        <v>30.4</v>
      </c>
      <c r="F89" s="163">
        <v>79.099999999999994</v>
      </c>
      <c r="G89" s="163">
        <v>92.8</v>
      </c>
    </row>
    <row r="90" spans="1:7" x14ac:dyDescent="0.25">
      <c r="A90" s="161">
        <v>2</v>
      </c>
      <c r="B90" s="163">
        <v>23.3</v>
      </c>
      <c r="C90" s="163">
        <v>68.599999999999994</v>
      </c>
      <c r="D90" s="163">
        <v>103.4</v>
      </c>
      <c r="E90" s="163">
        <v>32.700000000000003</v>
      </c>
      <c r="F90" s="163">
        <v>62.7</v>
      </c>
      <c r="G90" s="163">
        <v>106.8</v>
      </c>
    </row>
    <row r="91" spans="1:7" x14ac:dyDescent="0.25">
      <c r="A91" s="161">
        <v>3</v>
      </c>
      <c r="B91" s="163">
        <v>36</v>
      </c>
      <c r="C91" s="163">
        <v>63.2</v>
      </c>
      <c r="D91" s="163">
        <v>109.1</v>
      </c>
      <c r="E91" s="163">
        <v>35.6</v>
      </c>
      <c r="F91" s="163">
        <v>63.7</v>
      </c>
      <c r="G91" s="163">
        <v>114.4</v>
      </c>
    </row>
    <row r="92" spans="1:7" x14ac:dyDescent="0.25">
      <c r="A92" s="161">
        <v>4</v>
      </c>
      <c r="B92" s="163">
        <v>23.2</v>
      </c>
      <c r="C92" s="163">
        <v>67.400000000000006</v>
      </c>
      <c r="D92" s="163">
        <v>89.4</v>
      </c>
      <c r="E92" s="163">
        <v>29.2</v>
      </c>
      <c r="F92" s="163">
        <v>65.8</v>
      </c>
      <c r="G92" s="163">
        <v>106.3</v>
      </c>
    </row>
    <row r="93" spans="1:7" x14ac:dyDescent="0.25">
      <c r="A93" s="161">
        <v>5</v>
      </c>
      <c r="B93" s="163">
        <v>16.899999999999999</v>
      </c>
      <c r="C93" s="163">
        <v>59.4</v>
      </c>
      <c r="D93" s="163">
        <v>92.5</v>
      </c>
      <c r="E93" s="163">
        <v>56.1</v>
      </c>
      <c r="F93" s="163">
        <v>71.2</v>
      </c>
      <c r="G93" s="163">
        <v>114</v>
      </c>
    </row>
    <row r="94" spans="1:7" x14ac:dyDescent="0.25">
      <c r="A94" s="161">
        <v>6</v>
      </c>
      <c r="B94" s="163">
        <v>18.899999999999999</v>
      </c>
      <c r="C94" s="163">
        <v>58.6</v>
      </c>
      <c r="D94" s="163">
        <v>91.9</v>
      </c>
      <c r="E94" s="163">
        <v>28.3</v>
      </c>
      <c r="F94" s="163">
        <v>69.099999999999994</v>
      </c>
      <c r="G94" s="163">
        <v>93</v>
      </c>
    </row>
    <row r="95" spans="1:7" x14ac:dyDescent="0.25">
      <c r="A95" s="161">
        <v>7</v>
      </c>
      <c r="B95" s="163">
        <v>26.9</v>
      </c>
      <c r="C95" s="163">
        <v>66.099999999999994</v>
      </c>
      <c r="D95" s="163">
        <v>94</v>
      </c>
      <c r="E95" s="163">
        <v>36.5</v>
      </c>
      <c r="F95" s="163">
        <v>63</v>
      </c>
      <c r="G95" s="163">
        <v>99.2</v>
      </c>
    </row>
    <row r="96" spans="1:7" x14ac:dyDescent="0.25">
      <c r="A96" s="161">
        <v>8</v>
      </c>
      <c r="B96" s="163">
        <v>27</v>
      </c>
      <c r="C96" s="163">
        <v>56.8</v>
      </c>
      <c r="D96" s="163">
        <v>90.3</v>
      </c>
      <c r="E96" s="162"/>
      <c r="F96" s="162"/>
      <c r="G96" s="162"/>
    </row>
    <row r="97" spans="1:7" x14ac:dyDescent="0.25">
      <c r="A97" s="161">
        <v>9</v>
      </c>
      <c r="B97" s="163">
        <v>21.5</v>
      </c>
      <c r="C97" s="163">
        <v>63.7</v>
      </c>
      <c r="D97" s="163">
        <v>79.3</v>
      </c>
      <c r="E97" s="162"/>
      <c r="F97" s="162"/>
      <c r="G97" s="162"/>
    </row>
    <row r="98" spans="1:7" x14ac:dyDescent="0.25">
      <c r="A98" s="161">
        <v>10</v>
      </c>
      <c r="B98" s="163">
        <v>29.5</v>
      </c>
      <c r="C98" s="163">
        <v>57.2</v>
      </c>
      <c r="D98" s="163">
        <v>99.7</v>
      </c>
      <c r="E98" s="162"/>
      <c r="F98" s="162"/>
      <c r="G98" s="162"/>
    </row>
    <row r="99" spans="1:7" x14ac:dyDescent="0.25">
      <c r="A99" s="161">
        <v>11</v>
      </c>
      <c r="B99" s="163">
        <v>25.4</v>
      </c>
      <c r="C99" s="163">
        <v>55.7</v>
      </c>
      <c r="D99" s="163">
        <v>107.3</v>
      </c>
      <c r="E99" s="162"/>
      <c r="F99" s="162"/>
      <c r="G99" s="162"/>
    </row>
    <row r="100" spans="1:7" x14ac:dyDescent="0.25">
      <c r="A100" s="161">
        <v>12</v>
      </c>
      <c r="B100" s="163">
        <v>36.4</v>
      </c>
      <c r="C100" s="163">
        <v>69.599999999999994</v>
      </c>
      <c r="D100" s="163">
        <v>79.900000000000006</v>
      </c>
      <c r="E100" s="162"/>
      <c r="F100" s="162"/>
      <c r="G100" s="162"/>
    </row>
    <row r="101" spans="1:7" x14ac:dyDescent="0.25">
      <c r="A101" s="161">
        <v>13</v>
      </c>
      <c r="B101" s="163">
        <v>44.5</v>
      </c>
      <c r="C101" s="163">
        <v>64.7</v>
      </c>
      <c r="D101" s="163">
        <v>81.400000000000006</v>
      </c>
      <c r="E101" s="162"/>
      <c r="F101" s="162"/>
      <c r="G101" s="162"/>
    </row>
    <row r="102" spans="1:7" x14ac:dyDescent="0.25">
      <c r="A102" s="161">
        <v>14</v>
      </c>
      <c r="B102" s="163">
        <v>48.1</v>
      </c>
      <c r="C102" s="163">
        <v>68.3</v>
      </c>
      <c r="D102" s="163">
        <v>106.5</v>
      </c>
      <c r="E102" s="162"/>
      <c r="F102" s="162"/>
      <c r="G102" s="162"/>
    </row>
    <row r="103" spans="1:7" x14ac:dyDescent="0.25">
      <c r="A103" s="161">
        <v>15</v>
      </c>
      <c r="B103" s="163">
        <v>20.6</v>
      </c>
      <c r="C103" s="163">
        <v>68.3</v>
      </c>
      <c r="D103" s="163">
        <v>78.5</v>
      </c>
      <c r="E103" s="162"/>
      <c r="F103" s="162"/>
      <c r="G103" s="162"/>
    </row>
    <row r="104" spans="1:7" x14ac:dyDescent="0.25">
      <c r="A104" s="161">
        <v>16</v>
      </c>
      <c r="B104" s="163">
        <v>23.8</v>
      </c>
      <c r="C104" s="163">
        <v>55</v>
      </c>
      <c r="D104" s="163">
        <v>96.3</v>
      </c>
      <c r="E104" s="162"/>
      <c r="F104" s="162"/>
      <c r="G104" s="162"/>
    </row>
    <row r="105" spans="1:7" x14ac:dyDescent="0.25">
      <c r="A105" s="161">
        <v>17</v>
      </c>
      <c r="B105" s="163">
        <v>17.100000000000001</v>
      </c>
      <c r="C105" s="163">
        <v>53.2</v>
      </c>
      <c r="D105" s="163">
        <v>98.3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84.5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21.8</v>
      </c>
      <c r="C110" s="163">
        <v>67.7</v>
      </c>
      <c r="D110" s="163">
        <v>86.5</v>
      </c>
      <c r="E110" s="163">
        <v>40.5</v>
      </c>
      <c r="F110" s="163">
        <v>89.3</v>
      </c>
      <c r="G110" s="163">
        <v>111.5</v>
      </c>
    </row>
    <row r="111" spans="1:7" x14ac:dyDescent="0.25">
      <c r="A111" s="161">
        <v>2</v>
      </c>
      <c r="B111" s="163">
        <v>37.6</v>
      </c>
      <c r="C111" s="163">
        <v>54.2</v>
      </c>
      <c r="D111" s="163">
        <v>108.9</v>
      </c>
      <c r="E111" s="163">
        <v>40.799999999999997</v>
      </c>
      <c r="F111" s="163">
        <v>70.7</v>
      </c>
      <c r="G111" s="163">
        <v>100.9</v>
      </c>
    </row>
    <row r="112" spans="1:7" ht="14.5" thickBot="1" x14ac:dyDescent="0.3">
      <c r="A112" s="166">
        <v>3</v>
      </c>
      <c r="B112" s="168"/>
      <c r="C112" s="168"/>
      <c r="D112" s="168"/>
      <c r="E112" s="168">
        <v>38.200000000000003</v>
      </c>
      <c r="F112" s="168">
        <v>74.2</v>
      </c>
      <c r="G112" s="168">
        <v>101.9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45</v>
      </c>
      <c r="C116" s="163">
        <v>56.1</v>
      </c>
      <c r="D116" s="163">
        <v>105</v>
      </c>
      <c r="E116" s="163">
        <v>29.8</v>
      </c>
      <c r="F116" s="163">
        <v>61.3</v>
      </c>
      <c r="G116" s="163">
        <v>102.6</v>
      </c>
    </row>
    <row r="117" spans="1:7" x14ac:dyDescent="0.25">
      <c r="A117" s="161">
        <v>2</v>
      </c>
      <c r="B117" s="163">
        <v>18.2</v>
      </c>
      <c r="C117" s="163">
        <v>68.3</v>
      </c>
      <c r="D117" s="163">
        <v>87.6</v>
      </c>
      <c r="E117" s="163">
        <v>55.2</v>
      </c>
      <c r="F117" s="163">
        <v>70.5</v>
      </c>
      <c r="G117" s="163">
        <v>110.8</v>
      </c>
    </row>
    <row r="118" spans="1:7" x14ac:dyDescent="0.25">
      <c r="A118" s="161">
        <v>3</v>
      </c>
      <c r="B118" s="163">
        <v>20.2</v>
      </c>
      <c r="C118" s="163">
        <v>51.9</v>
      </c>
      <c r="D118" s="163">
        <v>74.099999999999994</v>
      </c>
      <c r="E118" s="163">
        <v>36.299999999999997</v>
      </c>
      <c r="F118" s="163">
        <v>81.8</v>
      </c>
      <c r="G118" s="163">
        <v>96.9</v>
      </c>
    </row>
    <row r="119" spans="1:7" x14ac:dyDescent="0.25">
      <c r="A119" s="161">
        <v>4</v>
      </c>
      <c r="B119" s="163">
        <v>44.9</v>
      </c>
      <c r="C119" s="163">
        <v>66.7</v>
      </c>
      <c r="D119" s="163">
        <v>90</v>
      </c>
      <c r="E119" s="163">
        <v>46.9</v>
      </c>
      <c r="F119" s="163">
        <v>70</v>
      </c>
      <c r="G119" s="163">
        <v>117.6</v>
      </c>
    </row>
    <row r="120" spans="1:7" x14ac:dyDescent="0.25">
      <c r="A120" s="161">
        <v>5</v>
      </c>
      <c r="B120" s="162"/>
      <c r="C120" s="162"/>
      <c r="D120" s="162"/>
      <c r="E120" s="163">
        <v>31.8</v>
      </c>
      <c r="F120" s="163">
        <v>81.3</v>
      </c>
      <c r="G120" s="163">
        <v>90.8</v>
      </c>
    </row>
    <row r="121" spans="1:7" x14ac:dyDescent="0.25">
      <c r="A121" s="161">
        <v>6</v>
      </c>
      <c r="B121" s="162"/>
      <c r="C121" s="162"/>
      <c r="D121" s="162"/>
      <c r="E121" s="163">
        <v>30.7</v>
      </c>
      <c r="F121" s="163">
        <v>83.7</v>
      </c>
      <c r="G121" s="163">
        <v>105</v>
      </c>
    </row>
    <row r="122" spans="1:7" x14ac:dyDescent="0.25">
      <c r="A122" s="161">
        <v>7</v>
      </c>
      <c r="B122" s="162"/>
      <c r="C122" s="162"/>
      <c r="D122" s="162"/>
      <c r="E122" s="163">
        <v>36</v>
      </c>
      <c r="F122" s="163">
        <v>80.2</v>
      </c>
      <c r="G122" s="163">
        <v>115.4</v>
      </c>
    </row>
    <row r="123" spans="1:7" x14ac:dyDescent="0.25">
      <c r="A123" s="161">
        <v>8</v>
      </c>
      <c r="B123" s="162"/>
      <c r="C123" s="162"/>
      <c r="D123" s="162"/>
      <c r="E123" s="163">
        <v>42</v>
      </c>
      <c r="F123" s="163">
        <v>76.8</v>
      </c>
      <c r="G123" s="163">
        <v>113</v>
      </c>
    </row>
    <row r="124" spans="1:7" ht="14.5" thickBot="1" x14ac:dyDescent="0.3">
      <c r="A124" s="166">
        <v>9</v>
      </c>
      <c r="B124" s="168"/>
      <c r="C124" s="168"/>
      <c r="D124" s="168"/>
      <c r="E124" s="168">
        <v>52.4</v>
      </c>
      <c r="F124" s="168">
        <v>78.3</v>
      </c>
      <c r="G124" s="168">
        <v>102.3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65.966666666666669</v>
      </c>
      <c r="C129" s="170">
        <f>AVERAGE(E5:G7)</f>
        <v>74.588888888888903</v>
      </c>
      <c r="D129" s="161">
        <f>'2021.1'!D129</f>
        <v>2166</v>
      </c>
      <c r="E129" s="161">
        <v>4339</v>
      </c>
      <c r="F129" s="161">
        <f>D129*B129</f>
        <v>142883.80000000002</v>
      </c>
      <c r="G129" s="161">
        <f>E129*C129</f>
        <v>323641.18888888892</v>
      </c>
    </row>
    <row r="130" spans="1:7" x14ac:dyDescent="0.25">
      <c r="A130" s="162" t="str">
        <f>A8</f>
        <v>Dongyuan Huangtian swine Farm</v>
      </c>
      <c r="B130" s="169">
        <f>AVERAGE((B11:D15))</f>
        <v>59.506666666666668</v>
      </c>
      <c r="C130" s="169">
        <f>AVERAGE(E11:G11)</f>
        <v>69.600000000000009</v>
      </c>
      <c r="D130" s="161">
        <f>'2021.1'!D130</f>
        <v>6431</v>
      </c>
      <c r="E130" s="161">
        <v>1442</v>
      </c>
      <c r="F130" s="161">
        <f t="shared" ref="F130:G137" si="0">D130*B130</f>
        <v>382687.37333333335</v>
      </c>
      <c r="G130" s="161">
        <f t="shared" si="0"/>
        <v>100363.20000000001</v>
      </c>
    </row>
    <row r="131" spans="1:7" x14ac:dyDescent="0.25">
      <c r="A131" s="162" t="str">
        <f>A16</f>
        <v>Enping Shahu swine  Farm</v>
      </c>
      <c r="B131" s="169">
        <f>AVERAGE(B19:D33)</f>
        <v>61.604444444444432</v>
      </c>
      <c r="C131" s="169">
        <f>AVERAGE(E19:G28)</f>
        <v>71.576666666666668</v>
      </c>
      <c r="D131" s="161">
        <f>'2021.1'!D131</f>
        <v>23413</v>
      </c>
      <c r="E131" s="161">
        <v>15614</v>
      </c>
      <c r="F131" s="161">
        <f t="shared" si="0"/>
        <v>1442344.8577777776</v>
      </c>
      <c r="G131" s="161">
        <f t="shared" si="0"/>
        <v>1117598.0733333332</v>
      </c>
    </row>
    <row r="132" spans="1:7" x14ac:dyDescent="0.25">
      <c r="A132" s="162" t="str">
        <f>A34</f>
        <v>Langtian Yuehui swine Farm</v>
      </c>
      <c r="B132" s="169">
        <f>AVERAGE(B37:D55)</f>
        <v>61.168421052631579</v>
      </c>
      <c r="C132" s="169">
        <f>AVERAGE(E37:G43)</f>
        <v>75.399999999999991</v>
      </c>
      <c r="D132" s="161">
        <f>'2021.1'!D132</f>
        <v>29497</v>
      </c>
      <c r="E132" s="161">
        <v>10149</v>
      </c>
      <c r="F132" s="161">
        <f t="shared" si="0"/>
        <v>1804284.9157894738</v>
      </c>
      <c r="G132" s="161">
        <f t="shared" si="0"/>
        <v>765234.59999999986</v>
      </c>
    </row>
    <row r="133" spans="1:7" x14ac:dyDescent="0.25">
      <c r="A133" s="162" t="str">
        <f>A56</f>
        <v>Qujiang Fengwan swine Farm</v>
      </c>
      <c r="B133" s="169">
        <f>AVERAGE(B59:D65)</f>
        <v>59.438095238095244</v>
      </c>
      <c r="C133" s="169">
        <f>AVERAGE(E59:G65)</f>
        <v>73.157142857142873</v>
      </c>
      <c r="D133" s="161">
        <f>'2021.1'!D133</f>
        <v>9686</v>
      </c>
      <c r="E133" s="161">
        <v>11372</v>
      </c>
      <c r="F133" s="161">
        <f t="shared" si="0"/>
        <v>575717.39047619049</v>
      </c>
      <c r="G133" s="161">
        <f t="shared" si="0"/>
        <v>831943.02857142873</v>
      </c>
    </row>
    <row r="134" spans="1:7" x14ac:dyDescent="0.25">
      <c r="A134" s="162" t="str">
        <f>A66</f>
        <v>Pingyuan Zhongshi swine Farm</v>
      </c>
      <c r="B134" s="169">
        <f>AVERAGE(B69:D85)</f>
        <v>61.376470588235307</v>
      </c>
      <c r="C134" s="169">
        <f>AVERAGE(E69:G83)</f>
        <v>73.682222222222222</v>
      </c>
      <c r="D134" s="161">
        <f>'2021.1'!D134</f>
        <v>26358</v>
      </c>
      <c r="E134" s="161">
        <v>23584</v>
      </c>
      <c r="F134" s="161">
        <f t="shared" si="0"/>
        <v>1617761.0117647061</v>
      </c>
      <c r="G134" s="161">
        <f t="shared" si="0"/>
        <v>1737721.5288888889</v>
      </c>
    </row>
    <row r="135" spans="1:7" x14ac:dyDescent="0.25">
      <c r="A135" s="162" t="str">
        <f>A86</f>
        <v>Yangchun Tanshui swine Farm</v>
      </c>
      <c r="B135" s="169">
        <f>AVERAGE(B89:D106)</f>
        <v>61.751923076923084</v>
      </c>
      <c r="C135" s="169">
        <f>AVERAGE(E89:G95)</f>
        <v>69.042857142857144</v>
      </c>
      <c r="D135" s="161">
        <f>'2021.1'!D135</f>
        <v>26581</v>
      </c>
      <c r="E135" s="161">
        <v>11670</v>
      </c>
      <c r="F135" s="161">
        <f t="shared" si="0"/>
        <v>1641427.8673076925</v>
      </c>
      <c r="G135" s="161">
        <f t="shared" si="0"/>
        <v>805730.14285714284</v>
      </c>
    </row>
    <row r="136" spans="1:7" x14ac:dyDescent="0.25">
      <c r="A136" s="162" t="str">
        <f>A107</f>
        <v>Xinfeng Shatian swine Farm</v>
      </c>
      <c r="B136" s="169">
        <f>AVERAGE(B110:D112)</f>
        <v>62.783333333333339</v>
      </c>
      <c r="C136" s="169">
        <f>AVERAGE(E110:G112)</f>
        <v>74.222222222222229</v>
      </c>
      <c r="D136" s="161">
        <f>'2021.1'!D136</f>
        <v>2074</v>
      </c>
      <c r="E136" s="161">
        <v>3778</v>
      </c>
      <c r="F136" s="161">
        <f t="shared" si="0"/>
        <v>130212.63333333335</v>
      </c>
      <c r="G136" s="161">
        <f t="shared" si="0"/>
        <v>280411.55555555556</v>
      </c>
    </row>
    <row r="137" spans="1:7" x14ac:dyDescent="0.25">
      <c r="A137" s="162" t="str">
        <f>A113</f>
        <v>Kaiping Cangcheng swine Farm</v>
      </c>
      <c r="B137" s="169">
        <f>AVERAGE(B116:D119)</f>
        <v>60.666666666666657</v>
      </c>
      <c r="C137" s="169">
        <f>AVERAGE(E116:G124)</f>
        <v>74.05185185185185</v>
      </c>
      <c r="D137" s="161">
        <f>'2021.1'!D137</f>
        <v>5872</v>
      </c>
      <c r="E137" s="161">
        <v>13999</v>
      </c>
      <c r="F137" s="161">
        <f t="shared" si="0"/>
        <v>356234.66666666663</v>
      </c>
      <c r="G137" s="161">
        <f t="shared" si="0"/>
        <v>1036651.8740740741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95947</v>
      </c>
      <c r="F138" s="161">
        <f t="shared" ref="F138:G138" si="1">SUM(F129:F137)</f>
        <v>8093554.5164491748</v>
      </c>
      <c r="G138" s="161">
        <f t="shared" si="1"/>
        <v>6999295.1921693124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61.2</v>
      </c>
      <c r="D142" s="171">
        <f>ROUNDDOWN(G138/E138,1)</f>
        <v>72.900000000000006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1D8E8-DCEA-4AE7-A6A5-B5810101E15E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45.1</v>
      </c>
      <c r="C5" s="163">
        <v>62.8</v>
      </c>
      <c r="D5" s="163">
        <v>85.5</v>
      </c>
      <c r="E5" s="163">
        <v>36</v>
      </c>
      <c r="F5" s="163">
        <v>61.6</v>
      </c>
      <c r="G5" s="163">
        <v>106.2</v>
      </c>
    </row>
    <row r="6" spans="1:7" x14ac:dyDescent="0.25">
      <c r="A6" s="161">
        <v>2</v>
      </c>
      <c r="B6" s="163">
        <v>17.7</v>
      </c>
      <c r="C6" s="163">
        <v>62.7</v>
      </c>
      <c r="D6" s="163">
        <v>93</v>
      </c>
      <c r="E6" s="163">
        <v>25.7</v>
      </c>
      <c r="F6" s="163">
        <v>66.3</v>
      </c>
      <c r="G6" s="163">
        <v>108.5</v>
      </c>
    </row>
    <row r="7" spans="1:7" ht="14.5" thickBot="1" x14ac:dyDescent="0.3">
      <c r="A7" s="164">
        <v>3</v>
      </c>
      <c r="B7" s="165"/>
      <c r="C7" s="165"/>
      <c r="D7" s="165"/>
      <c r="E7" s="165">
        <v>38.4</v>
      </c>
      <c r="F7" s="165">
        <v>73.5</v>
      </c>
      <c r="G7" s="165">
        <v>113.9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23.6</v>
      </c>
      <c r="C11" s="163">
        <v>69.400000000000006</v>
      </c>
      <c r="D11" s="163">
        <v>99.8</v>
      </c>
      <c r="E11" s="163">
        <v>26.7</v>
      </c>
      <c r="F11" s="163">
        <v>85.4</v>
      </c>
      <c r="G11" s="163">
        <v>93.7</v>
      </c>
    </row>
    <row r="12" spans="1:7" x14ac:dyDescent="0.25">
      <c r="A12" s="161">
        <v>2</v>
      </c>
      <c r="B12" s="163">
        <v>34.799999999999997</v>
      </c>
      <c r="C12" s="163">
        <v>60.1</v>
      </c>
      <c r="D12" s="163">
        <v>79</v>
      </c>
      <c r="E12" s="163"/>
      <c r="F12" s="163"/>
      <c r="G12" s="163"/>
    </row>
    <row r="13" spans="1:7" x14ac:dyDescent="0.25">
      <c r="A13" s="161">
        <v>3</v>
      </c>
      <c r="B13" s="163">
        <v>23.5</v>
      </c>
      <c r="C13" s="163">
        <v>66.7</v>
      </c>
      <c r="D13" s="163">
        <v>92</v>
      </c>
      <c r="E13" s="162"/>
      <c r="F13" s="162"/>
      <c r="G13" s="162"/>
    </row>
    <row r="14" spans="1:7" x14ac:dyDescent="0.25">
      <c r="A14" s="161">
        <v>4</v>
      </c>
      <c r="B14" s="163">
        <v>15.7</v>
      </c>
      <c r="C14" s="163">
        <v>52.2</v>
      </c>
      <c r="D14" s="163">
        <v>93.1</v>
      </c>
      <c r="E14" s="162"/>
      <c r="F14" s="162"/>
      <c r="G14" s="162"/>
    </row>
    <row r="15" spans="1:7" ht="14.5" thickBot="1" x14ac:dyDescent="0.3">
      <c r="A15" s="164">
        <v>5</v>
      </c>
      <c r="B15" s="165">
        <v>26.9</v>
      </c>
      <c r="C15" s="165">
        <v>66</v>
      </c>
      <c r="D15" s="165">
        <v>76.599999999999994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15.3</v>
      </c>
      <c r="C19" s="163">
        <v>69.8</v>
      </c>
      <c r="D19" s="163">
        <v>85.2</v>
      </c>
      <c r="E19" s="163">
        <v>57.6</v>
      </c>
      <c r="F19" s="163">
        <v>69.599999999999994</v>
      </c>
      <c r="G19" s="163">
        <v>96.2</v>
      </c>
    </row>
    <row r="20" spans="1:7" x14ac:dyDescent="0.25">
      <c r="A20" s="161">
        <v>2</v>
      </c>
      <c r="B20" s="163">
        <v>42.4</v>
      </c>
      <c r="C20" s="163">
        <v>67</v>
      </c>
      <c r="D20" s="163">
        <v>104.1</v>
      </c>
      <c r="E20" s="163">
        <v>53.3</v>
      </c>
      <c r="F20" s="163">
        <v>76</v>
      </c>
      <c r="G20" s="163">
        <v>108.5</v>
      </c>
    </row>
    <row r="21" spans="1:7" x14ac:dyDescent="0.25">
      <c r="A21" s="161">
        <v>3</v>
      </c>
      <c r="B21" s="163">
        <v>29.4</v>
      </c>
      <c r="C21" s="163">
        <v>64.3</v>
      </c>
      <c r="D21" s="163">
        <v>84.6</v>
      </c>
      <c r="E21" s="163">
        <v>37.200000000000003</v>
      </c>
      <c r="F21" s="163">
        <v>65.5</v>
      </c>
      <c r="G21" s="163">
        <v>91.4</v>
      </c>
    </row>
    <row r="22" spans="1:7" x14ac:dyDescent="0.25">
      <c r="A22" s="161">
        <v>4</v>
      </c>
      <c r="B22" s="163">
        <v>23.9</v>
      </c>
      <c r="C22" s="163">
        <v>64.5</v>
      </c>
      <c r="D22" s="163">
        <v>83.9</v>
      </c>
      <c r="E22" s="163">
        <v>39.9</v>
      </c>
      <c r="F22" s="163">
        <v>64.400000000000006</v>
      </c>
      <c r="G22" s="163">
        <v>93</v>
      </c>
    </row>
    <row r="23" spans="1:7" x14ac:dyDescent="0.25">
      <c r="A23" s="161">
        <v>5</v>
      </c>
      <c r="B23" s="163">
        <v>41.2</v>
      </c>
      <c r="C23" s="163">
        <v>53.5</v>
      </c>
      <c r="D23" s="163">
        <v>107.7</v>
      </c>
      <c r="E23" s="163">
        <v>56.3</v>
      </c>
      <c r="F23" s="163">
        <v>70.900000000000006</v>
      </c>
      <c r="G23" s="163">
        <v>100.7</v>
      </c>
    </row>
    <row r="24" spans="1:7" x14ac:dyDescent="0.25">
      <c r="A24" s="161">
        <v>6</v>
      </c>
      <c r="B24" s="163">
        <v>43.3</v>
      </c>
      <c r="C24" s="163">
        <v>50.5</v>
      </c>
      <c r="D24" s="163">
        <v>91.5</v>
      </c>
      <c r="E24" s="163">
        <v>39.299999999999997</v>
      </c>
      <c r="F24" s="163">
        <v>64.099999999999994</v>
      </c>
      <c r="G24" s="163">
        <v>116.5</v>
      </c>
    </row>
    <row r="25" spans="1:7" x14ac:dyDescent="0.25">
      <c r="A25" s="161">
        <v>7</v>
      </c>
      <c r="B25" s="163">
        <v>37.200000000000003</v>
      </c>
      <c r="C25" s="163">
        <v>63.3</v>
      </c>
      <c r="D25" s="163">
        <v>71.400000000000006</v>
      </c>
      <c r="E25" s="163">
        <v>58.2</v>
      </c>
      <c r="F25" s="163">
        <v>73.099999999999994</v>
      </c>
      <c r="G25" s="163">
        <v>96</v>
      </c>
    </row>
    <row r="26" spans="1:7" x14ac:dyDescent="0.25">
      <c r="A26" s="161">
        <v>8</v>
      </c>
      <c r="B26" s="163">
        <v>17.7</v>
      </c>
      <c r="C26" s="163">
        <v>52.6</v>
      </c>
      <c r="D26" s="163">
        <v>86.3</v>
      </c>
      <c r="E26" s="163">
        <v>33.799999999999997</v>
      </c>
      <c r="F26" s="163">
        <v>88.4</v>
      </c>
      <c r="G26" s="163">
        <v>98.6</v>
      </c>
    </row>
    <row r="27" spans="1:7" x14ac:dyDescent="0.25">
      <c r="A27" s="161">
        <v>9</v>
      </c>
      <c r="B27" s="163">
        <v>33</v>
      </c>
      <c r="C27" s="163">
        <v>63.6</v>
      </c>
      <c r="D27" s="163">
        <v>99.4</v>
      </c>
      <c r="E27" s="163">
        <v>30.6</v>
      </c>
      <c r="F27" s="163">
        <v>62</v>
      </c>
      <c r="G27" s="163">
        <v>103.5</v>
      </c>
    </row>
    <row r="28" spans="1:7" x14ac:dyDescent="0.25">
      <c r="A28" s="161">
        <v>10</v>
      </c>
      <c r="B28" s="163">
        <v>23.8</v>
      </c>
      <c r="C28" s="163">
        <v>54.2</v>
      </c>
      <c r="D28" s="163">
        <v>91.8</v>
      </c>
      <c r="E28" s="163">
        <v>45.6</v>
      </c>
      <c r="F28" s="163">
        <v>67.2</v>
      </c>
      <c r="G28" s="163">
        <v>91.8</v>
      </c>
    </row>
    <row r="29" spans="1:7" x14ac:dyDescent="0.25">
      <c r="A29" s="161">
        <v>11</v>
      </c>
      <c r="B29" s="163">
        <v>26.6</v>
      </c>
      <c r="C29" s="163">
        <v>61.7</v>
      </c>
      <c r="D29" s="163">
        <v>107.2</v>
      </c>
      <c r="E29" s="163"/>
      <c r="F29" s="163"/>
      <c r="G29" s="163"/>
    </row>
    <row r="30" spans="1:7" x14ac:dyDescent="0.25">
      <c r="A30" s="161">
        <v>12</v>
      </c>
      <c r="B30" s="163">
        <v>21.3</v>
      </c>
      <c r="C30" s="163">
        <v>63.9</v>
      </c>
      <c r="D30" s="163">
        <v>105.2</v>
      </c>
      <c r="E30" s="163"/>
      <c r="F30" s="163"/>
      <c r="G30" s="163"/>
    </row>
    <row r="31" spans="1:7" x14ac:dyDescent="0.25">
      <c r="A31" s="161">
        <v>13</v>
      </c>
      <c r="B31" s="163">
        <v>32</v>
      </c>
      <c r="C31" s="163">
        <v>64.599999999999994</v>
      </c>
      <c r="D31" s="163">
        <v>83.5</v>
      </c>
      <c r="E31" s="163"/>
      <c r="F31" s="163"/>
      <c r="G31" s="163"/>
    </row>
    <row r="32" spans="1:7" x14ac:dyDescent="0.25">
      <c r="A32" s="161">
        <v>14</v>
      </c>
      <c r="B32" s="163">
        <v>28.7</v>
      </c>
      <c r="C32" s="163">
        <v>50.2</v>
      </c>
      <c r="D32" s="163">
        <v>102.7</v>
      </c>
      <c r="E32" s="163"/>
      <c r="F32" s="163"/>
      <c r="G32" s="163"/>
    </row>
    <row r="33" spans="1:7" ht="14.5" thickBot="1" x14ac:dyDescent="0.3">
      <c r="A33" s="166">
        <v>15</v>
      </c>
      <c r="B33" s="165">
        <v>32.5</v>
      </c>
      <c r="C33" s="165">
        <v>53.3</v>
      </c>
      <c r="D33" s="165">
        <v>90.7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34.6</v>
      </c>
      <c r="C37" s="163">
        <v>51.2</v>
      </c>
      <c r="D37" s="163">
        <v>84.1</v>
      </c>
      <c r="E37" s="163">
        <v>41.4</v>
      </c>
      <c r="F37" s="163">
        <v>62.8</v>
      </c>
      <c r="G37" s="163">
        <v>118.3</v>
      </c>
    </row>
    <row r="38" spans="1:7" x14ac:dyDescent="0.25">
      <c r="A38" s="161">
        <v>2</v>
      </c>
      <c r="B38" s="163">
        <v>24.3</v>
      </c>
      <c r="C38" s="163">
        <v>54.8</v>
      </c>
      <c r="D38" s="163">
        <v>105.9</v>
      </c>
      <c r="E38" s="163">
        <v>29.7</v>
      </c>
      <c r="F38" s="163">
        <v>78.8</v>
      </c>
      <c r="G38" s="163">
        <v>108.8</v>
      </c>
    </row>
    <row r="39" spans="1:7" x14ac:dyDescent="0.25">
      <c r="A39" s="161">
        <v>3</v>
      </c>
      <c r="B39" s="163">
        <v>33.700000000000003</v>
      </c>
      <c r="C39" s="163">
        <v>59.7</v>
      </c>
      <c r="D39" s="163">
        <v>99.3</v>
      </c>
      <c r="E39" s="163">
        <v>26.3</v>
      </c>
      <c r="F39" s="163">
        <v>74.7</v>
      </c>
      <c r="G39" s="163">
        <v>108.7</v>
      </c>
    </row>
    <row r="40" spans="1:7" x14ac:dyDescent="0.25">
      <c r="A40" s="161">
        <v>4</v>
      </c>
      <c r="B40" s="163">
        <v>21</v>
      </c>
      <c r="C40" s="163">
        <v>65.5</v>
      </c>
      <c r="D40" s="163">
        <v>74.099999999999994</v>
      </c>
      <c r="E40" s="163">
        <v>44.3</v>
      </c>
      <c r="F40" s="163">
        <v>89.7</v>
      </c>
      <c r="G40" s="163">
        <v>90.9</v>
      </c>
    </row>
    <row r="41" spans="1:7" x14ac:dyDescent="0.25">
      <c r="A41" s="161">
        <v>5</v>
      </c>
      <c r="B41" s="163">
        <v>41.9</v>
      </c>
      <c r="C41" s="163">
        <v>61.2</v>
      </c>
      <c r="D41" s="163">
        <v>102.4</v>
      </c>
      <c r="E41" s="163">
        <v>47.3</v>
      </c>
      <c r="F41" s="163">
        <v>87.6</v>
      </c>
      <c r="G41" s="163">
        <v>95</v>
      </c>
    </row>
    <row r="42" spans="1:7" x14ac:dyDescent="0.25">
      <c r="A42" s="161">
        <v>6</v>
      </c>
      <c r="B42" s="163">
        <v>21.5</v>
      </c>
      <c r="C42" s="163">
        <v>53.7</v>
      </c>
      <c r="D42" s="163">
        <v>94.1</v>
      </c>
      <c r="E42" s="163">
        <v>31.8</v>
      </c>
      <c r="F42" s="163">
        <v>61.3</v>
      </c>
      <c r="G42" s="163">
        <v>97.3</v>
      </c>
    </row>
    <row r="43" spans="1:7" x14ac:dyDescent="0.25">
      <c r="A43" s="161">
        <v>7</v>
      </c>
      <c r="B43" s="163">
        <v>37.1</v>
      </c>
      <c r="C43" s="163">
        <v>64.400000000000006</v>
      </c>
      <c r="D43" s="163">
        <v>71.2</v>
      </c>
      <c r="E43" s="163">
        <v>37.700000000000003</v>
      </c>
      <c r="F43" s="163">
        <v>86.1</v>
      </c>
      <c r="G43" s="163">
        <v>102.1</v>
      </c>
    </row>
    <row r="44" spans="1:7" x14ac:dyDescent="0.25">
      <c r="A44" s="161">
        <v>8</v>
      </c>
      <c r="B44" s="163">
        <v>28.3</v>
      </c>
      <c r="C44" s="163">
        <v>56.9</v>
      </c>
      <c r="D44" s="163">
        <v>96.8</v>
      </c>
      <c r="E44" s="162"/>
      <c r="F44" s="162"/>
      <c r="G44" s="162"/>
    </row>
    <row r="45" spans="1:7" x14ac:dyDescent="0.25">
      <c r="A45" s="161">
        <v>9</v>
      </c>
      <c r="B45" s="163">
        <v>35.299999999999997</v>
      </c>
      <c r="C45" s="163">
        <v>56.3</v>
      </c>
      <c r="D45" s="163">
        <v>104</v>
      </c>
      <c r="E45" s="162"/>
      <c r="F45" s="162"/>
      <c r="G45" s="162"/>
    </row>
    <row r="46" spans="1:7" x14ac:dyDescent="0.25">
      <c r="A46" s="161">
        <v>10</v>
      </c>
      <c r="B46" s="163">
        <v>21.1</v>
      </c>
      <c r="C46" s="163">
        <v>52.7</v>
      </c>
      <c r="D46" s="163">
        <v>97.2</v>
      </c>
      <c r="E46" s="162"/>
      <c r="F46" s="162"/>
      <c r="G46" s="162"/>
    </row>
    <row r="47" spans="1:7" x14ac:dyDescent="0.25">
      <c r="A47" s="161">
        <v>11</v>
      </c>
      <c r="B47" s="163">
        <v>20.9</v>
      </c>
      <c r="C47" s="163">
        <v>67.7</v>
      </c>
      <c r="D47" s="163">
        <v>97.6</v>
      </c>
      <c r="E47" s="162"/>
      <c r="F47" s="162"/>
      <c r="G47" s="162"/>
    </row>
    <row r="48" spans="1:7" x14ac:dyDescent="0.25">
      <c r="A48" s="161">
        <v>12</v>
      </c>
      <c r="B48" s="163">
        <v>46.5</v>
      </c>
      <c r="C48" s="163">
        <v>52.5</v>
      </c>
      <c r="D48" s="163">
        <v>79.2</v>
      </c>
      <c r="E48" s="162"/>
      <c r="F48" s="162"/>
      <c r="G48" s="162"/>
    </row>
    <row r="49" spans="1:7" x14ac:dyDescent="0.25">
      <c r="A49" s="161">
        <v>13</v>
      </c>
      <c r="B49" s="163">
        <v>22.9</v>
      </c>
      <c r="C49" s="163">
        <v>58.1</v>
      </c>
      <c r="D49" s="163">
        <v>108.5</v>
      </c>
      <c r="E49" s="162"/>
      <c r="F49" s="162"/>
      <c r="G49" s="162"/>
    </row>
    <row r="50" spans="1:7" x14ac:dyDescent="0.25">
      <c r="A50" s="161">
        <v>14</v>
      </c>
      <c r="B50" s="163">
        <v>28.2</v>
      </c>
      <c r="C50" s="163">
        <v>55.7</v>
      </c>
      <c r="D50" s="163">
        <v>106</v>
      </c>
      <c r="E50" s="162"/>
      <c r="F50" s="162"/>
      <c r="G50" s="162"/>
    </row>
    <row r="51" spans="1:7" x14ac:dyDescent="0.25">
      <c r="A51" s="161">
        <v>15</v>
      </c>
      <c r="B51" s="163">
        <v>21.9</v>
      </c>
      <c r="C51" s="163">
        <v>54.3</v>
      </c>
      <c r="D51" s="163">
        <v>83.2</v>
      </c>
      <c r="E51" s="162"/>
      <c r="F51" s="162"/>
      <c r="G51" s="162"/>
    </row>
    <row r="52" spans="1:7" x14ac:dyDescent="0.25">
      <c r="A52" s="161">
        <v>16</v>
      </c>
      <c r="B52" s="163">
        <v>37.6</v>
      </c>
      <c r="C52" s="163">
        <v>69.599999999999994</v>
      </c>
      <c r="D52" s="163">
        <v>101.9</v>
      </c>
      <c r="E52" s="162"/>
      <c r="F52" s="162"/>
      <c r="G52" s="162"/>
    </row>
    <row r="53" spans="1:7" x14ac:dyDescent="0.25">
      <c r="A53" s="161">
        <v>17</v>
      </c>
      <c r="B53" s="163">
        <v>45.7</v>
      </c>
      <c r="C53" s="163">
        <v>57.3</v>
      </c>
      <c r="D53" s="163">
        <v>100.6</v>
      </c>
      <c r="E53" s="162"/>
      <c r="F53" s="162"/>
      <c r="G53" s="162"/>
    </row>
    <row r="54" spans="1:7" x14ac:dyDescent="0.25">
      <c r="A54" s="161">
        <v>18</v>
      </c>
      <c r="B54" s="163">
        <v>37.1</v>
      </c>
      <c r="C54" s="163">
        <v>62.7</v>
      </c>
      <c r="D54" s="163">
        <v>78.599999999999994</v>
      </c>
      <c r="E54" s="162"/>
      <c r="F54" s="162"/>
      <c r="G54" s="162"/>
    </row>
    <row r="55" spans="1:7" ht="14.5" thickBot="1" x14ac:dyDescent="0.3">
      <c r="A55" s="164">
        <v>19</v>
      </c>
      <c r="B55" s="165">
        <v>28.3</v>
      </c>
      <c r="C55" s="165">
        <v>69.599999999999994</v>
      </c>
      <c r="D55" s="165">
        <v>107.7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45.8</v>
      </c>
      <c r="C59" s="163">
        <v>56.1</v>
      </c>
      <c r="D59" s="163">
        <v>82</v>
      </c>
      <c r="E59" s="163">
        <v>50.8</v>
      </c>
      <c r="F59" s="163">
        <v>84.4</v>
      </c>
      <c r="G59" s="163">
        <v>97.8</v>
      </c>
    </row>
    <row r="60" spans="1:7" x14ac:dyDescent="0.25">
      <c r="A60" s="161">
        <v>2</v>
      </c>
      <c r="B60" s="163">
        <v>17.600000000000001</v>
      </c>
      <c r="C60" s="163">
        <v>61.8</v>
      </c>
      <c r="D60" s="163">
        <v>75.2</v>
      </c>
      <c r="E60" s="163">
        <v>34.700000000000003</v>
      </c>
      <c r="F60" s="163">
        <v>70.400000000000006</v>
      </c>
      <c r="G60" s="163">
        <v>93.2</v>
      </c>
    </row>
    <row r="61" spans="1:7" x14ac:dyDescent="0.25">
      <c r="A61" s="161">
        <v>3</v>
      </c>
      <c r="B61" s="163">
        <v>30.2</v>
      </c>
      <c r="C61" s="163">
        <v>65.099999999999994</v>
      </c>
      <c r="D61" s="163">
        <v>75.900000000000006</v>
      </c>
      <c r="E61" s="163">
        <v>29</v>
      </c>
      <c r="F61" s="163">
        <v>76.5</v>
      </c>
      <c r="G61" s="163">
        <v>97.5</v>
      </c>
    </row>
    <row r="62" spans="1:7" x14ac:dyDescent="0.25">
      <c r="A62" s="161">
        <v>4</v>
      </c>
      <c r="B62" s="163">
        <v>29.1</v>
      </c>
      <c r="C62" s="163">
        <v>51.4</v>
      </c>
      <c r="D62" s="163">
        <v>96.1</v>
      </c>
      <c r="E62" s="163">
        <v>54.3</v>
      </c>
      <c r="F62" s="163">
        <v>88.5</v>
      </c>
      <c r="G62" s="163">
        <v>103.9</v>
      </c>
    </row>
    <row r="63" spans="1:7" x14ac:dyDescent="0.25">
      <c r="A63" s="161">
        <v>5</v>
      </c>
      <c r="B63" s="163">
        <v>46.2</v>
      </c>
      <c r="C63" s="163">
        <v>64</v>
      </c>
      <c r="D63" s="163">
        <v>72.7</v>
      </c>
      <c r="E63" s="163">
        <v>52.8</v>
      </c>
      <c r="F63" s="163">
        <v>89.2</v>
      </c>
      <c r="G63" s="163">
        <v>99</v>
      </c>
    </row>
    <row r="64" spans="1:7" x14ac:dyDescent="0.25">
      <c r="A64" s="167">
        <v>6</v>
      </c>
      <c r="B64" s="163">
        <v>39.799999999999997</v>
      </c>
      <c r="C64" s="163">
        <v>52.9</v>
      </c>
      <c r="D64" s="163">
        <v>90.6</v>
      </c>
      <c r="E64" s="163">
        <v>39.4</v>
      </c>
      <c r="F64" s="163">
        <v>77</v>
      </c>
      <c r="G64" s="163">
        <v>91.5</v>
      </c>
    </row>
    <row r="65" spans="1:7" ht="14.5" thickBot="1" x14ac:dyDescent="0.3">
      <c r="A65" s="164">
        <v>7</v>
      </c>
      <c r="B65" s="165">
        <v>45.1</v>
      </c>
      <c r="C65" s="165">
        <v>54.3</v>
      </c>
      <c r="D65" s="165">
        <v>87.2</v>
      </c>
      <c r="E65" s="165">
        <v>31.3</v>
      </c>
      <c r="F65" s="165">
        <v>60.3</v>
      </c>
      <c r="G65" s="165">
        <v>105.5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42.2</v>
      </c>
      <c r="C69" s="163">
        <v>55.7</v>
      </c>
      <c r="D69" s="163">
        <v>73.5</v>
      </c>
      <c r="E69" s="163">
        <v>42.8</v>
      </c>
      <c r="F69" s="163">
        <v>66.599999999999994</v>
      </c>
      <c r="G69" s="163">
        <v>116.1</v>
      </c>
    </row>
    <row r="70" spans="1:7" x14ac:dyDescent="0.25">
      <c r="A70" s="161">
        <v>2</v>
      </c>
      <c r="B70" s="163">
        <v>23.4</v>
      </c>
      <c r="C70" s="163">
        <v>66.7</v>
      </c>
      <c r="D70" s="163">
        <v>104.1</v>
      </c>
      <c r="E70" s="163">
        <v>40.1</v>
      </c>
      <c r="F70" s="163">
        <v>72.3</v>
      </c>
      <c r="G70" s="163">
        <v>119.4</v>
      </c>
    </row>
    <row r="71" spans="1:7" x14ac:dyDescent="0.25">
      <c r="A71" s="161">
        <v>3</v>
      </c>
      <c r="B71" s="163">
        <v>35.700000000000003</v>
      </c>
      <c r="C71" s="163">
        <v>53.5</v>
      </c>
      <c r="D71" s="163">
        <v>77.5</v>
      </c>
      <c r="E71" s="163">
        <v>58.2</v>
      </c>
      <c r="F71" s="163">
        <v>88.8</v>
      </c>
      <c r="G71" s="163">
        <v>99.9</v>
      </c>
    </row>
    <row r="72" spans="1:7" x14ac:dyDescent="0.25">
      <c r="A72" s="161">
        <v>4</v>
      </c>
      <c r="B72" s="163">
        <v>25.4</v>
      </c>
      <c r="C72" s="163">
        <v>51.6</v>
      </c>
      <c r="D72" s="163">
        <v>71.8</v>
      </c>
      <c r="E72" s="163">
        <v>30.8</v>
      </c>
      <c r="F72" s="163">
        <v>89.9</v>
      </c>
      <c r="G72" s="163">
        <v>110.3</v>
      </c>
    </row>
    <row r="73" spans="1:7" x14ac:dyDescent="0.25">
      <c r="A73" s="161">
        <v>5</v>
      </c>
      <c r="B73" s="163">
        <v>42.3</v>
      </c>
      <c r="C73" s="163">
        <v>54.3</v>
      </c>
      <c r="D73" s="163">
        <v>79.900000000000006</v>
      </c>
      <c r="E73" s="163">
        <v>53</v>
      </c>
      <c r="F73" s="163">
        <v>63.7</v>
      </c>
      <c r="G73" s="163">
        <v>115</v>
      </c>
    </row>
    <row r="74" spans="1:7" x14ac:dyDescent="0.25">
      <c r="A74" s="161">
        <v>6</v>
      </c>
      <c r="B74" s="163">
        <v>26.1</v>
      </c>
      <c r="C74" s="163">
        <v>51.1</v>
      </c>
      <c r="D74" s="163">
        <v>72.5</v>
      </c>
      <c r="E74" s="163">
        <v>29</v>
      </c>
      <c r="F74" s="163">
        <v>75.599999999999994</v>
      </c>
      <c r="G74" s="163">
        <v>102.2</v>
      </c>
    </row>
    <row r="75" spans="1:7" x14ac:dyDescent="0.25">
      <c r="A75" s="161">
        <v>7</v>
      </c>
      <c r="B75" s="163">
        <v>19.7</v>
      </c>
      <c r="C75" s="163">
        <v>63.3</v>
      </c>
      <c r="D75" s="163">
        <v>71.5</v>
      </c>
      <c r="E75" s="163">
        <v>42.2</v>
      </c>
      <c r="F75" s="163">
        <v>84.4</v>
      </c>
      <c r="G75" s="163">
        <v>110.8</v>
      </c>
    </row>
    <row r="76" spans="1:7" x14ac:dyDescent="0.25">
      <c r="A76" s="161">
        <v>8</v>
      </c>
      <c r="B76" s="163">
        <v>34.6</v>
      </c>
      <c r="C76" s="163">
        <v>68</v>
      </c>
      <c r="D76" s="163">
        <v>76.099999999999994</v>
      </c>
      <c r="E76" s="163">
        <v>51</v>
      </c>
      <c r="F76" s="163">
        <v>61</v>
      </c>
      <c r="G76" s="163">
        <v>100.7</v>
      </c>
    </row>
    <row r="77" spans="1:7" x14ac:dyDescent="0.25">
      <c r="A77" s="161">
        <v>9</v>
      </c>
      <c r="B77" s="163">
        <v>48.9</v>
      </c>
      <c r="C77" s="163">
        <v>50.2</v>
      </c>
      <c r="D77" s="163">
        <v>84.4</v>
      </c>
      <c r="E77" s="163">
        <v>48.2</v>
      </c>
      <c r="F77" s="163">
        <v>61.4</v>
      </c>
      <c r="G77" s="163">
        <v>102</v>
      </c>
    </row>
    <row r="78" spans="1:7" x14ac:dyDescent="0.25">
      <c r="A78" s="161">
        <v>10</v>
      </c>
      <c r="B78" s="163">
        <v>33.6</v>
      </c>
      <c r="C78" s="163">
        <v>65.900000000000006</v>
      </c>
      <c r="D78" s="163">
        <v>70.3</v>
      </c>
      <c r="E78" s="163">
        <v>39.6</v>
      </c>
      <c r="F78" s="163">
        <v>79.599999999999994</v>
      </c>
      <c r="G78" s="163">
        <v>119.7</v>
      </c>
    </row>
    <row r="79" spans="1:7" x14ac:dyDescent="0.25">
      <c r="A79" s="161">
        <v>11</v>
      </c>
      <c r="B79" s="163">
        <v>22.5</v>
      </c>
      <c r="C79" s="163">
        <v>63.5</v>
      </c>
      <c r="D79" s="163">
        <v>79.599999999999994</v>
      </c>
      <c r="E79" s="163">
        <v>56</v>
      </c>
      <c r="F79" s="163">
        <v>73.099999999999994</v>
      </c>
      <c r="G79" s="163">
        <v>104.1</v>
      </c>
    </row>
    <row r="80" spans="1:7" x14ac:dyDescent="0.25">
      <c r="A80" s="161">
        <v>12</v>
      </c>
      <c r="B80" s="163">
        <v>20.7</v>
      </c>
      <c r="C80" s="163">
        <v>62.5</v>
      </c>
      <c r="D80" s="163">
        <v>83</v>
      </c>
      <c r="E80" s="163">
        <v>26.3</v>
      </c>
      <c r="F80" s="163">
        <v>68.5</v>
      </c>
      <c r="G80" s="163">
        <v>94.4</v>
      </c>
    </row>
    <row r="81" spans="1:7" x14ac:dyDescent="0.25">
      <c r="A81" s="161">
        <v>13</v>
      </c>
      <c r="B81" s="163">
        <v>21</v>
      </c>
      <c r="C81" s="163">
        <v>50.7</v>
      </c>
      <c r="D81" s="163">
        <v>106.1</v>
      </c>
      <c r="E81" s="163">
        <v>34.1</v>
      </c>
      <c r="F81" s="163">
        <v>85.8</v>
      </c>
      <c r="G81" s="163">
        <v>103.9</v>
      </c>
    </row>
    <row r="82" spans="1:7" x14ac:dyDescent="0.25">
      <c r="A82" s="161">
        <v>14</v>
      </c>
      <c r="B82" s="163">
        <v>16.8</v>
      </c>
      <c r="C82" s="163">
        <v>58.5</v>
      </c>
      <c r="D82" s="163">
        <v>96.4</v>
      </c>
      <c r="E82" s="163">
        <v>40.200000000000003</v>
      </c>
      <c r="F82" s="163">
        <v>64.900000000000006</v>
      </c>
      <c r="G82" s="163">
        <v>97.8</v>
      </c>
    </row>
    <row r="83" spans="1:7" x14ac:dyDescent="0.25">
      <c r="A83" s="161">
        <v>15</v>
      </c>
      <c r="B83" s="163">
        <v>28.5</v>
      </c>
      <c r="C83" s="163">
        <v>60.9</v>
      </c>
      <c r="D83" s="163">
        <v>102.4</v>
      </c>
      <c r="E83" s="163">
        <v>26.3</v>
      </c>
      <c r="F83" s="163">
        <v>81.400000000000006</v>
      </c>
      <c r="G83" s="163">
        <v>104.3</v>
      </c>
    </row>
    <row r="84" spans="1:7" x14ac:dyDescent="0.25">
      <c r="A84" s="161">
        <v>16</v>
      </c>
      <c r="B84" s="163">
        <v>40.4</v>
      </c>
      <c r="C84" s="163">
        <v>64.900000000000006</v>
      </c>
      <c r="D84" s="163">
        <v>108.5</v>
      </c>
      <c r="E84" s="163"/>
      <c r="F84" s="163"/>
      <c r="G84" s="163"/>
    </row>
    <row r="85" spans="1:7" ht="14.5" thickBot="1" x14ac:dyDescent="0.3">
      <c r="A85" s="166">
        <v>17</v>
      </c>
      <c r="B85" s="168">
        <v>39.799999999999997</v>
      </c>
      <c r="C85" s="168">
        <v>57.5</v>
      </c>
      <c r="D85" s="168">
        <v>93.4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43.1</v>
      </c>
      <c r="C89" s="163">
        <v>52.5</v>
      </c>
      <c r="D89" s="163">
        <v>77.900000000000006</v>
      </c>
      <c r="E89" s="163">
        <v>50.4</v>
      </c>
      <c r="F89" s="163">
        <v>73.7</v>
      </c>
      <c r="G89" s="163">
        <v>107.1</v>
      </c>
    </row>
    <row r="90" spans="1:7" x14ac:dyDescent="0.25">
      <c r="A90" s="161">
        <v>2</v>
      </c>
      <c r="B90" s="163">
        <v>46.2</v>
      </c>
      <c r="C90" s="163">
        <v>63.4</v>
      </c>
      <c r="D90" s="163">
        <v>104.5</v>
      </c>
      <c r="E90" s="163">
        <v>55.5</v>
      </c>
      <c r="F90" s="163">
        <v>86.4</v>
      </c>
      <c r="G90" s="163">
        <v>110.1</v>
      </c>
    </row>
    <row r="91" spans="1:7" x14ac:dyDescent="0.25">
      <c r="A91" s="161">
        <v>3</v>
      </c>
      <c r="B91" s="163">
        <v>24.8</v>
      </c>
      <c r="C91" s="163">
        <v>61.2</v>
      </c>
      <c r="D91" s="163">
        <v>96</v>
      </c>
      <c r="E91" s="163">
        <v>54.9</v>
      </c>
      <c r="F91" s="163">
        <v>73.099999999999994</v>
      </c>
      <c r="G91" s="163">
        <v>118.3</v>
      </c>
    </row>
    <row r="92" spans="1:7" x14ac:dyDescent="0.25">
      <c r="A92" s="161">
        <v>4</v>
      </c>
      <c r="B92" s="163">
        <v>30.1</v>
      </c>
      <c r="C92" s="163">
        <v>56.6</v>
      </c>
      <c r="D92" s="163">
        <v>87</v>
      </c>
      <c r="E92" s="163">
        <v>50.8</v>
      </c>
      <c r="F92" s="163">
        <v>82.2</v>
      </c>
      <c r="G92" s="163">
        <v>93.6</v>
      </c>
    </row>
    <row r="93" spans="1:7" x14ac:dyDescent="0.25">
      <c r="A93" s="161">
        <v>5</v>
      </c>
      <c r="B93" s="163">
        <v>32.9</v>
      </c>
      <c r="C93" s="163">
        <v>62.7</v>
      </c>
      <c r="D93" s="163">
        <v>97.7</v>
      </c>
      <c r="E93" s="163">
        <v>40.1</v>
      </c>
      <c r="F93" s="163">
        <v>68.5</v>
      </c>
      <c r="G93" s="163">
        <v>98.9</v>
      </c>
    </row>
    <row r="94" spans="1:7" x14ac:dyDescent="0.25">
      <c r="A94" s="161">
        <v>6</v>
      </c>
      <c r="B94" s="163">
        <v>34.5</v>
      </c>
      <c r="C94" s="163">
        <v>54.9</v>
      </c>
      <c r="D94" s="163">
        <v>100.9</v>
      </c>
      <c r="E94" s="163">
        <v>49</v>
      </c>
      <c r="F94" s="163">
        <v>87.1</v>
      </c>
      <c r="G94" s="163">
        <v>104.7</v>
      </c>
    </row>
    <row r="95" spans="1:7" x14ac:dyDescent="0.25">
      <c r="A95" s="161">
        <v>7</v>
      </c>
      <c r="B95" s="163">
        <v>26.3</v>
      </c>
      <c r="C95" s="163">
        <v>61</v>
      </c>
      <c r="D95" s="163">
        <v>85.5</v>
      </c>
      <c r="E95" s="163">
        <v>44.4</v>
      </c>
      <c r="F95" s="163">
        <v>79.400000000000006</v>
      </c>
      <c r="G95" s="163">
        <v>116.1</v>
      </c>
    </row>
    <row r="96" spans="1:7" x14ac:dyDescent="0.25">
      <c r="A96" s="161">
        <v>8</v>
      </c>
      <c r="B96" s="163">
        <v>21.4</v>
      </c>
      <c r="C96" s="163">
        <v>56.7</v>
      </c>
      <c r="D96" s="163">
        <v>86.7</v>
      </c>
      <c r="E96" s="162"/>
      <c r="F96" s="162"/>
      <c r="G96" s="162"/>
    </row>
    <row r="97" spans="1:7" x14ac:dyDescent="0.25">
      <c r="A97" s="161">
        <v>9</v>
      </c>
      <c r="B97" s="163">
        <v>30.3</v>
      </c>
      <c r="C97" s="163">
        <v>61.1</v>
      </c>
      <c r="D97" s="163">
        <v>78.7</v>
      </c>
      <c r="E97" s="162"/>
      <c r="F97" s="162"/>
      <c r="G97" s="162"/>
    </row>
    <row r="98" spans="1:7" x14ac:dyDescent="0.25">
      <c r="A98" s="161">
        <v>10</v>
      </c>
      <c r="B98" s="163">
        <v>22.2</v>
      </c>
      <c r="C98" s="163">
        <v>66.5</v>
      </c>
      <c r="D98" s="163">
        <v>102.7</v>
      </c>
      <c r="E98" s="162"/>
      <c r="F98" s="162"/>
      <c r="G98" s="162"/>
    </row>
    <row r="99" spans="1:7" x14ac:dyDescent="0.25">
      <c r="A99" s="161">
        <v>11</v>
      </c>
      <c r="B99" s="163">
        <v>42</v>
      </c>
      <c r="C99" s="163">
        <v>69.3</v>
      </c>
      <c r="D99" s="163">
        <v>90.9</v>
      </c>
      <c r="E99" s="162"/>
      <c r="F99" s="162"/>
      <c r="G99" s="162"/>
    </row>
    <row r="100" spans="1:7" x14ac:dyDescent="0.25">
      <c r="A100" s="161">
        <v>12</v>
      </c>
      <c r="B100" s="163">
        <v>43.3</v>
      </c>
      <c r="C100" s="163">
        <v>59.7</v>
      </c>
      <c r="D100" s="163">
        <v>73.3</v>
      </c>
      <c r="E100" s="162"/>
      <c r="F100" s="162"/>
      <c r="G100" s="162"/>
    </row>
    <row r="101" spans="1:7" x14ac:dyDescent="0.25">
      <c r="A101" s="161">
        <v>13</v>
      </c>
      <c r="B101" s="163">
        <v>43.5</v>
      </c>
      <c r="C101" s="163">
        <v>50.2</v>
      </c>
      <c r="D101" s="163">
        <v>94.7</v>
      </c>
      <c r="E101" s="162"/>
      <c r="F101" s="162"/>
      <c r="G101" s="162"/>
    </row>
    <row r="102" spans="1:7" x14ac:dyDescent="0.25">
      <c r="A102" s="161">
        <v>14</v>
      </c>
      <c r="B102" s="163">
        <v>38.6</v>
      </c>
      <c r="C102" s="163">
        <v>59.9</v>
      </c>
      <c r="D102" s="163">
        <v>82.8</v>
      </c>
      <c r="E102" s="162"/>
      <c r="F102" s="162"/>
      <c r="G102" s="162"/>
    </row>
    <row r="103" spans="1:7" x14ac:dyDescent="0.25">
      <c r="A103" s="161">
        <v>15</v>
      </c>
      <c r="B103" s="163">
        <v>39.6</v>
      </c>
      <c r="C103" s="163">
        <v>65</v>
      </c>
      <c r="D103" s="163">
        <v>108.6</v>
      </c>
      <c r="E103" s="162"/>
      <c r="F103" s="162"/>
      <c r="G103" s="162"/>
    </row>
    <row r="104" spans="1:7" x14ac:dyDescent="0.25">
      <c r="A104" s="161">
        <v>16</v>
      </c>
      <c r="B104" s="163">
        <v>20.3</v>
      </c>
      <c r="C104" s="163">
        <v>65.900000000000006</v>
      </c>
      <c r="D104" s="163">
        <v>89.5</v>
      </c>
      <c r="E104" s="162"/>
      <c r="F104" s="162"/>
      <c r="G104" s="162"/>
    </row>
    <row r="105" spans="1:7" x14ac:dyDescent="0.25">
      <c r="A105" s="161">
        <v>17</v>
      </c>
      <c r="B105" s="163">
        <v>19.600000000000001</v>
      </c>
      <c r="C105" s="163">
        <v>59.7</v>
      </c>
      <c r="D105" s="163">
        <v>71.3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90.5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42.6</v>
      </c>
      <c r="C110" s="163">
        <v>63.3</v>
      </c>
      <c r="D110" s="163">
        <v>96.9</v>
      </c>
      <c r="E110" s="163">
        <v>52.4</v>
      </c>
      <c r="F110" s="163">
        <v>79.8</v>
      </c>
      <c r="G110" s="163">
        <v>102.3</v>
      </c>
    </row>
    <row r="111" spans="1:7" x14ac:dyDescent="0.25">
      <c r="A111" s="161">
        <v>2</v>
      </c>
      <c r="B111" s="163">
        <v>32.700000000000003</v>
      </c>
      <c r="C111" s="163">
        <v>56.5</v>
      </c>
      <c r="D111" s="163">
        <v>81.400000000000006</v>
      </c>
      <c r="E111" s="163">
        <v>45.5</v>
      </c>
      <c r="F111" s="163">
        <v>76.2</v>
      </c>
      <c r="G111" s="163">
        <v>104.8</v>
      </c>
    </row>
    <row r="112" spans="1:7" ht="14.5" thickBot="1" x14ac:dyDescent="0.3">
      <c r="A112" s="166">
        <v>3</v>
      </c>
      <c r="B112" s="168"/>
      <c r="C112" s="168"/>
      <c r="D112" s="168"/>
      <c r="E112" s="168">
        <v>41.8</v>
      </c>
      <c r="F112" s="168">
        <v>76.7</v>
      </c>
      <c r="G112" s="168">
        <v>102.2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32.4</v>
      </c>
      <c r="C116" s="163">
        <v>63.6</v>
      </c>
      <c r="D116" s="163">
        <v>93.1</v>
      </c>
      <c r="E116" s="163">
        <v>35.1</v>
      </c>
      <c r="F116" s="163">
        <v>75.400000000000006</v>
      </c>
      <c r="G116" s="163">
        <v>104.1</v>
      </c>
    </row>
    <row r="117" spans="1:7" x14ac:dyDescent="0.25">
      <c r="A117" s="161">
        <v>2</v>
      </c>
      <c r="B117" s="163">
        <v>20.7</v>
      </c>
      <c r="C117" s="163">
        <v>51.7</v>
      </c>
      <c r="D117" s="163">
        <v>108.8</v>
      </c>
      <c r="E117" s="163">
        <v>42.4</v>
      </c>
      <c r="F117" s="163">
        <v>65.5</v>
      </c>
      <c r="G117" s="163">
        <v>92.4</v>
      </c>
    </row>
    <row r="118" spans="1:7" x14ac:dyDescent="0.25">
      <c r="A118" s="161">
        <v>3</v>
      </c>
      <c r="B118" s="163">
        <v>35.200000000000003</v>
      </c>
      <c r="C118" s="163">
        <v>68.599999999999994</v>
      </c>
      <c r="D118" s="163">
        <v>75.400000000000006</v>
      </c>
      <c r="E118" s="163">
        <v>28.6</v>
      </c>
      <c r="F118" s="163">
        <v>89.9</v>
      </c>
      <c r="G118" s="163">
        <v>91.2</v>
      </c>
    </row>
    <row r="119" spans="1:7" x14ac:dyDescent="0.25">
      <c r="A119" s="161">
        <v>4</v>
      </c>
      <c r="B119" s="163">
        <v>49.9</v>
      </c>
      <c r="C119" s="163">
        <v>63.8</v>
      </c>
      <c r="D119" s="163">
        <v>81.900000000000006</v>
      </c>
      <c r="E119" s="163">
        <v>38.799999999999997</v>
      </c>
      <c r="F119" s="163">
        <v>72.400000000000006</v>
      </c>
      <c r="G119" s="163">
        <v>91.1</v>
      </c>
    </row>
    <row r="120" spans="1:7" x14ac:dyDescent="0.25">
      <c r="A120" s="161">
        <v>5</v>
      </c>
      <c r="B120" s="162"/>
      <c r="C120" s="162"/>
      <c r="D120" s="162"/>
      <c r="E120" s="163">
        <v>32.6</v>
      </c>
      <c r="F120" s="163">
        <v>65.7</v>
      </c>
      <c r="G120" s="163">
        <v>118.7</v>
      </c>
    </row>
    <row r="121" spans="1:7" x14ac:dyDescent="0.25">
      <c r="A121" s="161">
        <v>6</v>
      </c>
      <c r="B121" s="162"/>
      <c r="C121" s="162"/>
      <c r="D121" s="162"/>
      <c r="E121" s="163">
        <v>27.4</v>
      </c>
      <c r="F121" s="163">
        <v>83</v>
      </c>
      <c r="G121" s="163">
        <v>92.5</v>
      </c>
    </row>
    <row r="122" spans="1:7" x14ac:dyDescent="0.25">
      <c r="A122" s="161">
        <v>7</v>
      </c>
      <c r="B122" s="162"/>
      <c r="C122" s="162"/>
      <c r="D122" s="162"/>
      <c r="E122" s="163">
        <v>53.2</v>
      </c>
      <c r="F122" s="163">
        <v>72.7</v>
      </c>
      <c r="G122" s="163">
        <v>104.5</v>
      </c>
    </row>
    <row r="123" spans="1:7" x14ac:dyDescent="0.25">
      <c r="A123" s="161">
        <v>8</v>
      </c>
      <c r="B123" s="162"/>
      <c r="C123" s="162"/>
      <c r="D123" s="162"/>
      <c r="E123" s="163">
        <v>42.4</v>
      </c>
      <c r="F123" s="163">
        <v>60.9</v>
      </c>
      <c r="G123" s="163">
        <v>106.2</v>
      </c>
    </row>
    <row r="124" spans="1:7" ht="14.5" thickBot="1" x14ac:dyDescent="0.3">
      <c r="A124" s="166">
        <v>9</v>
      </c>
      <c r="B124" s="168"/>
      <c r="C124" s="168"/>
      <c r="D124" s="168"/>
      <c r="E124" s="168">
        <v>53.1</v>
      </c>
      <c r="F124" s="168">
        <v>71.5</v>
      </c>
      <c r="G124" s="168">
        <v>93.5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61.133333333333333</v>
      </c>
      <c r="C129" s="170">
        <f>AVERAGE(E5:G7)</f>
        <v>70.01111111111112</v>
      </c>
      <c r="D129" s="161">
        <f>'2021.1'!D129</f>
        <v>2166</v>
      </c>
      <c r="E129" s="161">
        <v>4354</v>
      </c>
      <c r="F129" s="161">
        <f>D129*B129</f>
        <v>132414.79999999999</v>
      </c>
      <c r="G129" s="161">
        <f>E129*C129</f>
        <v>304828.37777777785</v>
      </c>
    </row>
    <row r="130" spans="1:7" x14ac:dyDescent="0.25">
      <c r="A130" s="162" t="str">
        <f>A8</f>
        <v>Dongyuan Huangtian swine Farm</v>
      </c>
      <c r="B130" s="169">
        <f>AVERAGE((B11:D15))</f>
        <v>58.626666666666679</v>
      </c>
      <c r="C130" s="169">
        <f>AVERAGE(E11:G11)</f>
        <v>68.600000000000009</v>
      </c>
      <c r="D130" s="161">
        <f>'2021.1'!D130</f>
        <v>6431</v>
      </c>
      <c r="E130" s="161">
        <v>1444</v>
      </c>
      <c r="F130" s="161">
        <f t="shared" ref="F130:G137" si="0">D130*B130</f>
        <v>377028.09333333344</v>
      </c>
      <c r="G130" s="161">
        <f t="shared" si="0"/>
        <v>99058.400000000009</v>
      </c>
    </row>
    <row r="131" spans="1:7" x14ac:dyDescent="0.25">
      <c r="A131" s="162" t="str">
        <f>A16</f>
        <v>Enping Shahu swine  Farm</v>
      </c>
      <c r="B131" s="169">
        <f>AVERAGE(B19:D33)</f>
        <v>60.899999999999977</v>
      </c>
      <c r="C131" s="169">
        <f>AVERAGE(E19:G28)</f>
        <v>71.639999999999972</v>
      </c>
      <c r="D131" s="161">
        <f>'2021.1'!D131</f>
        <v>23413</v>
      </c>
      <c r="E131" s="161">
        <v>15500</v>
      </c>
      <c r="F131" s="161">
        <f t="shared" si="0"/>
        <v>1425851.6999999995</v>
      </c>
      <c r="G131" s="161">
        <f t="shared" si="0"/>
        <v>1110419.9999999995</v>
      </c>
    </row>
    <row r="132" spans="1:7" x14ac:dyDescent="0.25">
      <c r="A132" s="162" t="str">
        <f>A34</f>
        <v>Langtian Yuehui swine Farm</v>
      </c>
      <c r="B132" s="169">
        <f>AVERAGE(B37:D55)</f>
        <v>61.477192982456124</v>
      </c>
      <c r="C132" s="169">
        <f>AVERAGE(E37:G43)</f>
        <v>72.409523809523805</v>
      </c>
      <c r="D132" s="161">
        <f>'2021.1'!D132</f>
        <v>29497</v>
      </c>
      <c r="E132" s="161">
        <v>10140</v>
      </c>
      <c r="F132" s="161">
        <f t="shared" si="0"/>
        <v>1813392.7614035083</v>
      </c>
      <c r="G132" s="161">
        <f t="shared" si="0"/>
        <v>734232.57142857136</v>
      </c>
    </row>
    <row r="133" spans="1:7" x14ac:dyDescent="0.25">
      <c r="A133" s="162" t="str">
        <f>A56</f>
        <v>Qujiang Fengwan swine Farm</v>
      </c>
      <c r="B133" s="169">
        <f>AVERAGE(B59:D65)</f>
        <v>59.004761904761899</v>
      </c>
      <c r="C133" s="169">
        <f>AVERAGE(E59:G65)</f>
        <v>72.714285714285708</v>
      </c>
      <c r="D133" s="161">
        <f>'2021.1'!D133</f>
        <v>9686</v>
      </c>
      <c r="E133" s="161">
        <v>11344</v>
      </c>
      <c r="F133" s="161">
        <f t="shared" si="0"/>
        <v>571520.12380952376</v>
      </c>
      <c r="G133" s="161">
        <f t="shared" si="0"/>
        <v>824870.85714285704</v>
      </c>
    </row>
    <row r="134" spans="1:7" x14ac:dyDescent="0.25">
      <c r="A134" s="162" t="str">
        <f>A66</f>
        <v>Pingyuan Zhongshi swine Farm</v>
      </c>
      <c r="B134" s="169">
        <f>AVERAGE(B69:D85)</f>
        <v>58.262745098039225</v>
      </c>
      <c r="C134" s="169">
        <f>AVERAGE(E69:G83)</f>
        <v>74.120000000000019</v>
      </c>
      <c r="D134" s="161">
        <f>'2021.1'!D134</f>
        <v>26358</v>
      </c>
      <c r="E134" s="161">
        <v>23598</v>
      </c>
      <c r="F134" s="161">
        <f t="shared" si="0"/>
        <v>1535689.435294118</v>
      </c>
      <c r="G134" s="161">
        <f t="shared" si="0"/>
        <v>1749083.7600000005</v>
      </c>
    </row>
    <row r="135" spans="1:7" x14ac:dyDescent="0.25">
      <c r="A135" s="162" t="str">
        <f>A86</f>
        <v>Yangchun Tanshui swine Farm</v>
      </c>
      <c r="B135" s="169">
        <f>AVERAGE(B89:D106)</f>
        <v>61.619230769230775</v>
      </c>
      <c r="C135" s="169">
        <f>AVERAGE(E89:G95)</f>
        <v>78.300000000000011</v>
      </c>
      <c r="D135" s="161">
        <f>'2021.1'!D135</f>
        <v>26581</v>
      </c>
      <c r="E135" s="161">
        <v>11618</v>
      </c>
      <c r="F135" s="161">
        <f t="shared" si="0"/>
        <v>1637900.7730769233</v>
      </c>
      <c r="G135" s="161">
        <f t="shared" si="0"/>
        <v>909689.40000000014</v>
      </c>
    </row>
    <row r="136" spans="1:7" x14ac:dyDescent="0.25">
      <c r="A136" s="162" t="str">
        <f>A107</f>
        <v>Xinfeng Shatian swine Farm</v>
      </c>
      <c r="B136" s="169">
        <f>AVERAGE(B110:D112)</f>
        <v>62.233333333333327</v>
      </c>
      <c r="C136" s="169">
        <f>AVERAGE(E110:G112)</f>
        <v>75.744444444444454</v>
      </c>
      <c r="D136" s="161">
        <f>'2021.1'!D136</f>
        <v>2074</v>
      </c>
      <c r="E136" s="161">
        <v>3792</v>
      </c>
      <c r="F136" s="161">
        <f t="shared" si="0"/>
        <v>129071.93333333332</v>
      </c>
      <c r="G136" s="161">
        <f t="shared" si="0"/>
        <v>287222.93333333335</v>
      </c>
    </row>
    <row r="137" spans="1:7" x14ac:dyDescent="0.25">
      <c r="A137" s="162" t="str">
        <f>A113</f>
        <v>Kaiping Cangcheng swine Farm</v>
      </c>
      <c r="B137" s="169">
        <f>AVERAGE(B116:D119)</f>
        <v>62.091666666666661</v>
      </c>
      <c r="C137" s="169">
        <f>AVERAGE(E116:G124)</f>
        <v>70.548148148148158</v>
      </c>
      <c r="D137" s="161">
        <f>'2021.1'!D137</f>
        <v>5872</v>
      </c>
      <c r="E137" s="161">
        <v>13988</v>
      </c>
      <c r="F137" s="161">
        <f t="shared" si="0"/>
        <v>364602.26666666666</v>
      </c>
      <c r="G137" s="161">
        <f t="shared" si="0"/>
        <v>986827.49629629648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95778</v>
      </c>
      <c r="F138" s="161">
        <f t="shared" ref="F138:G138" si="1">SUM(F129:F137)</f>
        <v>7987471.8869174067</v>
      </c>
      <c r="G138" s="161">
        <f t="shared" si="1"/>
        <v>7006233.7959788376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60.4</v>
      </c>
      <c r="D142" s="171">
        <f>ROUNDDOWN(G138/E138,1)</f>
        <v>73.099999999999994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84EE-E8A9-46C7-BCA4-E1B0898AA72C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26.1</v>
      </c>
      <c r="C5" s="163">
        <v>51.3</v>
      </c>
      <c r="D5" s="163">
        <v>72</v>
      </c>
      <c r="E5" s="163">
        <v>47.7</v>
      </c>
      <c r="F5" s="163">
        <v>64.599999999999994</v>
      </c>
      <c r="G5" s="163">
        <v>118.6</v>
      </c>
    </row>
    <row r="6" spans="1:7" x14ac:dyDescent="0.25">
      <c r="A6" s="161">
        <v>2</v>
      </c>
      <c r="B6" s="163">
        <v>17.8</v>
      </c>
      <c r="C6" s="163">
        <v>63</v>
      </c>
      <c r="D6" s="163">
        <v>77.7</v>
      </c>
      <c r="E6" s="163">
        <v>38.5</v>
      </c>
      <c r="F6" s="163">
        <v>69.3</v>
      </c>
      <c r="G6" s="163">
        <v>90.4</v>
      </c>
    </row>
    <row r="7" spans="1:7" ht="14.5" thickBot="1" x14ac:dyDescent="0.3">
      <c r="A7" s="164">
        <v>3</v>
      </c>
      <c r="B7" s="165"/>
      <c r="C7" s="165"/>
      <c r="D7" s="165"/>
      <c r="E7" s="165">
        <v>51.8</v>
      </c>
      <c r="F7" s="165">
        <v>85.9</v>
      </c>
      <c r="G7" s="165">
        <v>115.9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26</v>
      </c>
      <c r="C11" s="163">
        <v>57</v>
      </c>
      <c r="D11" s="163">
        <v>84.1</v>
      </c>
      <c r="E11" s="163">
        <v>28.7</v>
      </c>
      <c r="F11" s="163">
        <v>79.8</v>
      </c>
      <c r="G11" s="163">
        <v>111.8</v>
      </c>
    </row>
    <row r="12" spans="1:7" x14ac:dyDescent="0.25">
      <c r="A12" s="161">
        <v>2</v>
      </c>
      <c r="B12" s="163">
        <v>33.299999999999997</v>
      </c>
      <c r="C12" s="163">
        <v>55.4</v>
      </c>
      <c r="D12" s="163">
        <v>72.5</v>
      </c>
      <c r="E12" s="163"/>
      <c r="F12" s="163"/>
      <c r="G12" s="163"/>
    </row>
    <row r="13" spans="1:7" x14ac:dyDescent="0.25">
      <c r="A13" s="161">
        <v>3</v>
      </c>
      <c r="B13" s="163">
        <v>41.6</v>
      </c>
      <c r="C13" s="163">
        <v>66.400000000000006</v>
      </c>
      <c r="D13" s="163">
        <v>74.599999999999994</v>
      </c>
      <c r="E13" s="162"/>
      <c r="F13" s="162"/>
      <c r="G13" s="162"/>
    </row>
    <row r="14" spans="1:7" x14ac:dyDescent="0.25">
      <c r="A14" s="161">
        <v>4</v>
      </c>
      <c r="B14" s="163">
        <v>35.200000000000003</v>
      </c>
      <c r="C14" s="163">
        <v>61.8</v>
      </c>
      <c r="D14" s="163">
        <v>103.8</v>
      </c>
      <c r="E14" s="162"/>
      <c r="F14" s="162"/>
      <c r="G14" s="162"/>
    </row>
    <row r="15" spans="1:7" ht="14.5" thickBot="1" x14ac:dyDescent="0.3">
      <c r="A15" s="164">
        <v>5</v>
      </c>
      <c r="B15" s="165">
        <v>31</v>
      </c>
      <c r="C15" s="165">
        <v>58.3</v>
      </c>
      <c r="D15" s="165">
        <v>74.7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15.5</v>
      </c>
      <c r="C19" s="163">
        <v>61.2</v>
      </c>
      <c r="D19" s="163">
        <v>80.400000000000006</v>
      </c>
      <c r="E19" s="163">
        <v>25.4</v>
      </c>
      <c r="F19" s="163">
        <v>74.099999999999994</v>
      </c>
      <c r="G19" s="163">
        <v>98.2</v>
      </c>
    </row>
    <row r="20" spans="1:7" x14ac:dyDescent="0.25">
      <c r="A20" s="161">
        <v>2</v>
      </c>
      <c r="B20" s="163">
        <v>38.9</v>
      </c>
      <c r="C20" s="163">
        <v>51.2</v>
      </c>
      <c r="D20" s="163">
        <v>91.8</v>
      </c>
      <c r="E20" s="163">
        <v>50.8</v>
      </c>
      <c r="F20" s="163">
        <v>61.3</v>
      </c>
      <c r="G20" s="163">
        <v>94.1</v>
      </c>
    </row>
    <row r="21" spans="1:7" x14ac:dyDescent="0.25">
      <c r="A21" s="161">
        <v>3</v>
      </c>
      <c r="B21" s="163">
        <v>31.6</v>
      </c>
      <c r="C21" s="163">
        <v>52.7</v>
      </c>
      <c r="D21" s="163">
        <v>89.2</v>
      </c>
      <c r="E21" s="163">
        <v>55.9</v>
      </c>
      <c r="F21" s="163">
        <v>75.2</v>
      </c>
      <c r="G21" s="163">
        <v>104.1</v>
      </c>
    </row>
    <row r="22" spans="1:7" x14ac:dyDescent="0.25">
      <c r="A22" s="161">
        <v>4</v>
      </c>
      <c r="B22" s="163">
        <v>38.700000000000003</v>
      </c>
      <c r="C22" s="163">
        <v>53.3</v>
      </c>
      <c r="D22" s="163">
        <v>85.3</v>
      </c>
      <c r="E22" s="163">
        <v>54.2</v>
      </c>
      <c r="F22" s="163">
        <v>75.7</v>
      </c>
      <c r="G22" s="163">
        <v>98.2</v>
      </c>
    </row>
    <row r="23" spans="1:7" x14ac:dyDescent="0.25">
      <c r="A23" s="161">
        <v>5</v>
      </c>
      <c r="B23" s="163">
        <v>25.6</v>
      </c>
      <c r="C23" s="163">
        <v>62.8</v>
      </c>
      <c r="D23" s="163">
        <v>70.400000000000006</v>
      </c>
      <c r="E23" s="163">
        <v>58</v>
      </c>
      <c r="F23" s="163">
        <v>65.2</v>
      </c>
      <c r="G23" s="163">
        <v>97.1</v>
      </c>
    </row>
    <row r="24" spans="1:7" x14ac:dyDescent="0.25">
      <c r="A24" s="161">
        <v>6</v>
      </c>
      <c r="B24" s="163">
        <v>33.4</v>
      </c>
      <c r="C24" s="163">
        <v>64.5</v>
      </c>
      <c r="D24" s="163">
        <v>93.3</v>
      </c>
      <c r="E24" s="163">
        <v>34</v>
      </c>
      <c r="F24" s="163">
        <v>86.8</v>
      </c>
      <c r="G24" s="163">
        <v>109.6</v>
      </c>
    </row>
    <row r="25" spans="1:7" x14ac:dyDescent="0.25">
      <c r="A25" s="161">
        <v>7</v>
      </c>
      <c r="B25" s="163">
        <v>28.4</v>
      </c>
      <c r="C25" s="163">
        <v>61.6</v>
      </c>
      <c r="D25" s="163">
        <v>76.2</v>
      </c>
      <c r="E25" s="163">
        <v>56.3</v>
      </c>
      <c r="F25" s="163">
        <v>60.2</v>
      </c>
      <c r="G25" s="163">
        <v>111.4</v>
      </c>
    </row>
    <row r="26" spans="1:7" x14ac:dyDescent="0.25">
      <c r="A26" s="161">
        <v>8</v>
      </c>
      <c r="B26" s="163">
        <v>29.1</v>
      </c>
      <c r="C26" s="163">
        <v>64.599999999999994</v>
      </c>
      <c r="D26" s="163">
        <v>87.9</v>
      </c>
      <c r="E26" s="163">
        <v>54.6</v>
      </c>
      <c r="F26" s="163">
        <v>84.7</v>
      </c>
      <c r="G26" s="163">
        <v>103.2</v>
      </c>
    </row>
    <row r="27" spans="1:7" x14ac:dyDescent="0.25">
      <c r="A27" s="161">
        <v>9</v>
      </c>
      <c r="B27" s="163">
        <v>47.8</v>
      </c>
      <c r="C27" s="163">
        <v>67.3</v>
      </c>
      <c r="D27" s="163">
        <v>93</v>
      </c>
      <c r="E27" s="163">
        <v>42.6</v>
      </c>
      <c r="F27" s="163">
        <v>64.099999999999994</v>
      </c>
      <c r="G27" s="163">
        <v>117.4</v>
      </c>
    </row>
    <row r="28" spans="1:7" x14ac:dyDescent="0.25">
      <c r="A28" s="161">
        <v>10</v>
      </c>
      <c r="B28" s="163">
        <v>22.7</v>
      </c>
      <c r="C28" s="163">
        <v>54.9</v>
      </c>
      <c r="D28" s="163">
        <v>104.4</v>
      </c>
      <c r="E28" s="163">
        <v>42.4</v>
      </c>
      <c r="F28" s="163">
        <v>65.599999999999994</v>
      </c>
      <c r="G28" s="163">
        <v>114.3</v>
      </c>
    </row>
    <row r="29" spans="1:7" x14ac:dyDescent="0.25">
      <c r="A29" s="161">
        <v>11</v>
      </c>
      <c r="B29" s="163">
        <v>18.600000000000001</v>
      </c>
      <c r="C29" s="163">
        <v>57.1</v>
      </c>
      <c r="D29" s="163">
        <v>79.900000000000006</v>
      </c>
      <c r="E29" s="163"/>
      <c r="F29" s="163"/>
      <c r="G29" s="163"/>
    </row>
    <row r="30" spans="1:7" x14ac:dyDescent="0.25">
      <c r="A30" s="161">
        <v>12</v>
      </c>
      <c r="B30" s="163">
        <v>41.3</v>
      </c>
      <c r="C30" s="163">
        <v>66.599999999999994</v>
      </c>
      <c r="D30" s="163">
        <v>76</v>
      </c>
      <c r="E30" s="163"/>
      <c r="F30" s="163"/>
      <c r="G30" s="163"/>
    </row>
    <row r="31" spans="1:7" x14ac:dyDescent="0.25">
      <c r="A31" s="161">
        <v>13</v>
      </c>
      <c r="B31" s="163">
        <v>20.7</v>
      </c>
      <c r="C31" s="163">
        <v>69.7</v>
      </c>
      <c r="D31" s="163">
        <v>79</v>
      </c>
      <c r="E31" s="163"/>
      <c r="F31" s="163"/>
      <c r="G31" s="163"/>
    </row>
    <row r="32" spans="1:7" x14ac:dyDescent="0.25">
      <c r="A32" s="161">
        <v>14</v>
      </c>
      <c r="B32" s="163">
        <v>31.1</v>
      </c>
      <c r="C32" s="163">
        <v>51.6</v>
      </c>
      <c r="D32" s="163">
        <v>95.4</v>
      </c>
      <c r="E32" s="163"/>
      <c r="F32" s="163"/>
      <c r="G32" s="163"/>
    </row>
    <row r="33" spans="1:7" ht="14.5" thickBot="1" x14ac:dyDescent="0.3">
      <c r="A33" s="166">
        <v>15</v>
      </c>
      <c r="B33" s="165">
        <v>21</v>
      </c>
      <c r="C33" s="165">
        <v>53.6</v>
      </c>
      <c r="D33" s="165">
        <v>107.6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24</v>
      </c>
      <c r="C37" s="163">
        <v>59.7</v>
      </c>
      <c r="D37" s="163">
        <v>105.5</v>
      </c>
      <c r="E37" s="163">
        <v>53</v>
      </c>
      <c r="F37" s="163">
        <v>64.8</v>
      </c>
      <c r="G37" s="163">
        <v>92.8</v>
      </c>
    </row>
    <row r="38" spans="1:7" x14ac:dyDescent="0.25">
      <c r="A38" s="161">
        <v>2</v>
      </c>
      <c r="B38" s="163">
        <v>15.5</v>
      </c>
      <c r="C38" s="163">
        <v>58.6</v>
      </c>
      <c r="D38" s="163">
        <v>96.3</v>
      </c>
      <c r="E38" s="163">
        <v>45</v>
      </c>
      <c r="F38" s="163">
        <v>82</v>
      </c>
      <c r="G38" s="163">
        <v>99.7</v>
      </c>
    </row>
    <row r="39" spans="1:7" x14ac:dyDescent="0.25">
      <c r="A39" s="161">
        <v>3</v>
      </c>
      <c r="B39" s="163">
        <v>22.5</v>
      </c>
      <c r="C39" s="163">
        <v>59.1</v>
      </c>
      <c r="D39" s="163">
        <v>83.3</v>
      </c>
      <c r="E39" s="163">
        <v>56.2</v>
      </c>
      <c r="F39" s="163">
        <v>62.5</v>
      </c>
      <c r="G39" s="163">
        <v>114.4</v>
      </c>
    </row>
    <row r="40" spans="1:7" x14ac:dyDescent="0.25">
      <c r="A40" s="161">
        <v>4</v>
      </c>
      <c r="B40" s="163">
        <v>32.1</v>
      </c>
      <c r="C40" s="163">
        <v>51.5</v>
      </c>
      <c r="D40" s="163">
        <v>81.099999999999994</v>
      </c>
      <c r="E40" s="163">
        <v>41.9</v>
      </c>
      <c r="F40" s="163">
        <v>66.7</v>
      </c>
      <c r="G40" s="163">
        <v>114</v>
      </c>
    </row>
    <row r="41" spans="1:7" x14ac:dyDescent="0.25">
      <c r="A41" s="161">
        <v>5</v>
      </c>
      <c r="B41" s="163">
        <v>16.2</v>
      </c>
      <c r="C41" s="163">
        <v>61.7</v>
      </c>
      <c r="D41" s="163">
        <v>106.5</v>
      </c>
      <c r="E41" s="163">
        <v>58.7</v>
      </c>
      <c r="F41" s="163">
        <v>71.7</v>
      </c>
      <c r="G41" s="163">
        <v>91.9</v>
      </c>
    </row>
    <row r="42" spans="1:7" x14ac:dyDescent="0.25">
      <c r="A42" s="161">
        <v>6</v>
      </c>
      <c r="B42" s="163">
        <v>38.4</v>
      </c>
      <c r="C42" s="163">
        <v>70</v>
      </c>
      <c r="D42" s="163">
        <v>78</v>
      </c>
      <c r="E42" s="163">
        <v>36.9</v>
      </c>
      <c r="F42" s="163">
        <v>61.4</v>
      </c>
      <c r="G42" s="163">
        <v>117</v>
      </c>
    </row>
    <row r="43" spans="1:7" x14ac:dyDescent="0.25">
      <c r="A43" s="161">
        <v>7</v>
      </c>
      <c r="B43" s="163">
        <v>27.7</v>
      </c>
      <c r="C43" s="163">
        <v>67.599999999999994</v>
      </c>
      <c r="D43" s="163">
        <v>81.7</v>
      </c>
      <c r="E43" s="163">
        <v>38</v>
      </c>
      <c r="F43" s="163">
        <v>62.9</v>
      </c>
      <c r="G43" s="163">
        <v>103.7</v>
      </c>
    </row>
    <row r="44" spans="1:7" x14ac:dyDescent="0.25">
      <c r="A44" s="161">
        <v>8</v>
      </c>
      <c r="B44" s="163">
        <v>27.7</v>
      </c>
      <c r="C44" s="163">
        <v>57.9</v>
      </c>
      <c r="D44" s="163">
        <v>100.1</v>
      </c>
      <c r="E44" s="162"/>
      <c r="F44" s="162"/>
      <c r="G44" s="162"/>
    </row>
    <row r="45" spans="1:7" x14ac:dyDescent="0.25">
      <c r="A45" s="161">
        <v>9</v>
      </c>
      <c r="B45" s="163">
        <v>39.200000000000003</v>
      </c>
      <c r="C45" s="163">
        <v>62.5</v>
      </c>
      <c r="D45" s="163">
        <v>78.400000000000006</v>
      </c>
      <c r="E45" s="162"/>
      <c r="F45" s="162"/>
      <c r="G45" s="162"/>
    </row>
    <row r="46" spans="1:7" x14ac:dyDescent="0.25">
      <c r="A46" s="161">
        <v>10</v>
      </c>
      <c r="B46" s="163">
        <v>44.3</v>
      </c>
      <c r="C46" s="163">
        <v>51.9</v>
      </c>
      <c r="D46" s="163">
        <v>91.1</v>
      </c>
      <c r="E46" s="162"/>
      <c r="F46" s="162"/>
      <c r="G46" s="162"/>
    </row>
    <row r="47" spans="1:7" x14ac:dyDescent="0.25">
      <c r="A47" s="161">
        <v>11</v>
      </c>
      <c r="B47" s="163">
        <v>27.6</v>
      </c>
      <c r="C47" s="163">
        <v>69.3</v>
      </c>
      <c r="D47" s="163">
        <v>98.8</v>
      </c>
      <c r="E47" s="162"/>
      <c r="F47" s="162"/>
      <c r="G47" s="162"/>
    </row>
    <row r="48" spans="1:7" x14ac:dyDescent="0.25">
      <c r="A48" s="161">
        <v>12</v>
      </c>
      <c r="B48" s="163">
        <v>17.7</v>
      </c>
      <c r="C48" s="163">
        <v>69.400000000000006</v>
      </c>
      <c r="D48" s="163">
        <v>104</v>
      </c>
      <c r="E48" s="162"/>
      <c r="F48" s="162"/>
      <c r="G48" s="162"/>
    </row>
    <row r="49" spans="1:7" x14ac:dyDescent="0.25">
      <c r="A49" s="161">
        <v>13</v>
      </c>
      <c r="B49" s="163">
        <v>37</v>
      </c>
      <c r="C49" s="163">
        <v>57.7</v>
      </c>
      <c r="D49" s="163">
        <v>100.5</v>
      </c>
      <c r="E49" s="162"/>
      <c r="F49" s="162"/>
      <c r="G49" s="162"/>
    </row>
    <row r="50" spans="1:7" x14ac:dyDescent="0.25">
      <c r="A50" s="161">
        <v>14</v>
      </c>
      <c r="B50" s="163">
        <v>46.8</v>
      </c>
      <c r="C50" s="163">
        <v>62.2</v>
      </c>
      <c r="D50" s="163">
        <v>89.3</v>
      </c>
      <c r="E50" s="162"/>
      <c r="F50" s="162"/>
      <c r="G50" s="162"/>
    </row>
    <row r="51" spans="1:7" x14ac:dyDescent="0.25">
      <c r="A51" s="161">
        <v>15</v>
      </c>
      <c r="B51" s="163">
        <v>16.8</v>
      </c>
      <c r="C51" s="163">
        <v>59.5</v>
      </c>
      <c r="D51" s="163">
        <v>89.7</v>
      </c>
      <c r="E51" s="162"/>
      <c r="F51" s="162"/>
      <c r="G51" s="162"/>
    </row>
    <row r="52" spans="1:7" x14ac:dyDescent="0.25">
      <c r="A52" s="161">
        <v>16</v>
      </c>
      <c r="B52" s="163">
        <v>39.6</v>
      </c>
      <c r="C52" s="163">
        <v>50.9</v>
      </c>
      <c r="D52" s="163">
        <v>101.8</v>
      </c>
      <c r="E52" s="162"/>
      <c r="F52" s="162"/>
      <c r="G52" s="162"/>
    </row>
    <row r="53" spans="1:7" x14ac:dyDescent="0.25">
      <c r="A53" s="161">
        <v>17</v>
      </c>
      <c r="B53" s="163">
        <v>45.4</v>
      </c>
      <c r="C53" s="163">
        <v>64.599999999999994</v>
      </c>
      <c r="D53" s="163">
        <v>90.8</v>
      </c>
      <c r="E53" s="162"/>
      <c r="F53" s="162"/>
      <c r="G53" s="162"/>
    </row>
    <row r="54" spans="1:7" x14ac:dyDescent="0.25">
      <c r="A54" s="161">
        <v>18</v>
      </c>
      <c r="B54" s="163">
        <v>44.6</v>
      </c>
      <c r="C54" s="163">
        <v>59.1</v>
      </c>
      <c r="D54" s="163">
        <v>101.3</v>
      </c>
      <c r="E54" s="162"/>
      <c r="F54" s="162"/>
      <c r="G54" s="162"/>
    </row>
    <row r="55" spans="1:7" ht="14.5" thickBot="1" x14ac:dyDescent="0.3">
      <c r="A55" s="164">
        <v>19</v>
      </c>
      <c r="B55" s="165">
        <v>39.5</v>
      </c>
      <c r="C55" s="165">
        <v>67.2</v>
      </c>
      <c r="D55" s="165">
        <v>75.3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48.8</v>
      </c>
      <c r="C59" s="163">
        <v>68.3</v>
      </c>
      <c r="D59" s="163">
        <v>98.3</v>
      </c>
      <c r="E59" s="163">
        <v>58.7</v>
      </c>
      <c r="F59" s="163">
        <v>65.900000000000006</v>
      </c>
      <c r="G59" s="163">
        <v>118.6</v>
      </c>
    </row>
    <row r="60" spans="1:7" x14ac:dyDescent="0.25">
      <c r="A60" s="161">
        <v>2</v>
      </c>
      <c r="B60" s="163">
        <v>43.4</v>
      </c>
      <c r="C60" s="163">
        <v>51.3</v>
      </c>
      <c r="D60" s="163">
        <v>77.3</v>
      </c>
      <c r="E60" s="163">
        <v>28.8</v>
      </c>
      <c r="F60" s="163">
        <v>88.6</v>
      </c>
      <c r="G60" s="163">
        <v>95.7</v>
      </c>
    </row>
    <row r="61" spans="1:7" x14ac:dyDescent="0.25">
      <c r="A61" s="161">
        <v>3</v>
      </c>
      <c r="B61" s="163">
        <v>23.3</v>
      </c>
      <c r="C61" s="163">
        <v>53.6</v>
      </c>
      <c r="D61" s="163">
        <v>107.6</v>
      </c>
      <c r="E61" s="163">
        <v>54.7</v>
      </c>
      <c r="F61" s="163">
        <v>60.2</v>
      </c>
      <c r="G61" s="163">
        <v>93.2</v>
      </c>
    </row>
    <row r="62" spans="1:7" x14ac:dyDescent="0.25">
      <c r="A62" s="161">
        <v>4</v>
      </c>
      <c r="B62" s="163">
        <v>20.2</v>
      </c>
      <c r="C62" s="163">
        <v>61.2</v>
      </c>
      <c r="D62" s="163">
        <v>108.7</v>
      </c>
      <c r="E62" s="163">
        <v>29.9</v>
      </c>
      <c r="F62" s="163">
        <v>84.7</v>
      </c>
      <c r="G62" s="163">
        <v>107.1</v>
      </c>
    </row>
    <row r="63" spans="1:7" x14ac:dyDescent="0.25">
      <c r="A63" s="161">
        <v>5</v>
      </c>
      <c r="B63" s="163">
        <v>48.3</v>
      </c>
      <c r="C63" s="163">
        <v>64.400000000000006</v>
      </c>
      <c r="D63" s="163">
        <v>98.1</v>
      </c>
      <c r="E63" s="163">
        <v>56.2</v>
      </c>
      <c r="F63" s="163">
        <v>75.7</v>
      </c>
      <c r="G63" s="163">
        <v>99</v>
      </c>
    </row>
    <row r="64" spans="1:7" x14ac:dyDescent="0.25">
      <c r="A64" s="167">
        <v>6</v>
      </c>
      <c r="B64" s="163">
        <v>48.6</v>
      </c>
      <c r="C64" s="163">
        <v>68.099999999999994</v>
      </c>
      <c r="D64" s="163">
        <v>84.5</v>
      </c>
      <c r="E64" s="163">
        <v>45.1</v>
      </c>
      <c r="F64" s="163">
        <v>69.8</v>
      </c>
      <c r="G64" s="163">
        <v>109</v>
      </c>
    </row>
    <row r="65" spans="1:7" ht="14.5" thickBot="1" x14ac:dyDescent="0.3">
      <c r="A65" s="164">
        <v>7</v>
      </c>
      <c r="B65" s="165">
        <v>31.1</v>
      </c>
      <c r="C65" s="165">
        <v>69.3</v>
      </c>
      <c r="D65" s="165">
        <v>71.2</v>
      </c>
      <c r="E65" s="165">
        <v>29.5</v>
      </c>
      <c r="F65" s="165">
        <v>64.7</v>
      </c>
      <c r="G65" s="165">
        <v>94.6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21.4</v>
      </c>
      <c r="C69" s="163">
        <v>55.2</v>
      </c>
      <c r="D69" s="163">
        <v>73.2</v>
      </c>
      <c r="E69" s="163">
        <v>29.9</v>
      </c>
      <c r="F69" s="163">
        <v>66.8</v>
      </c>
      <c r="G69" s="163">
        <v>119.8</v>
      </c>
    </row>
    <row r="70" spans="1:7" x14ac:dyDescent="0.25">
      <c r="A70" s="161">
        <v>2</v>
      </c>
      <c r="B70" s="163">
        <v>36.799999999999997</v>
      </c>
      <c r="C70" s="163">
        <v>60.3</v>
      </c>
      <c r="D70" s="163">
        <v>80.900000000000006</v>
      </c>
      <c r="E70" s="163">
        <v>59.8</v>
      </c>
      <c r="F70" s="163">
        <v>78.3</v>
      </c>
      <c r="G70" s="163">
        <v>119.1</v>
      </c>
    </row>
    <row r="71" spans="1:7" x14ac:dyDescent="0.25">
      <c r="A71" s="161">
        <v>3</v>
      </c>
      <c r="B71" s="163">
        <v>38.5</v>
      </c>
      <c r="C71" s="163">
        <v>63.3</v>
      </c>
      <c r="D71" s="163">
        <v>107.8</v>
      </c>
      <c r="E71" s="163">
        <v>36.1</v>
      </c>
      <c r="F71" s="163">
        <v>82.5</v>
      </c>
      <c r="G71" s="163">
        <v>95.9</v>
      </c>
    </row>
    <row r="72" spans="1:7" x14ac:dyDescent="0.25">
      <c r="A72" s="161">
        <v>4</v>
      </c>
      <c r="B72" s="163">
        <v>47</v>
      </c>
      <c r="C72" s="163">
        <v>55.3</v>
      </c>
      <c r="D72" s="163">
        <v>75.5</v>
      </c>
      <c r="E72" s="163">
        <v>41.9</v>
      </c>
      <c r="F72" s="163">
        <v>60</v>
      </c>
      <c r="G72" s="163">
        <v>106</v>
      </c>
    </row>
    <row r="73" spans="1:7" x14ac:dyDescent="0.25">
      <c r="A73" s="161">
        <v>5</v>
      </c>
      <c r="B73" s="163">
        <v>24.2</v>
      </c>
      <c r="C73" s="163">
        <v>53.9</v>
      </c>
      <c r="D73" s="163">
        <v>98.1</v>
      </c>
      <c r="E73" s="163">
        <v>58.1</v>
      </c>
      <c r="F73" s="163">
        <v>68.3</v>
      </c>
      <c r="G73" s="163">
        <v>116.6</v>
      </c>
    </row>
    <row r="74" spans="1:7" x14ac:dyDescent="0.25">
      <c r="A74" s="161">
        <v>6</v>
      </c>
      <c r="B74" s="163">
        <v>44.9</v>
      </c>
      <c r="C74" s="163">
        <v>56.2</v>
      </c>
      <c r="D74" s="163">
        <v>89.4</v>
      </c>
      <c r="E74" s="163">
        <v>42.1</v>
      </c>
      <c r="F74" s="163">
        <v>83.2</v>
      </c>
      <c r="G74" s="163">
        <v>109.1</v>
      </c>
    </row>
    <row r="75" spans="1:7" x14ac:dyDescent="0.25">
      <c r="A75" s="161">
        <v>7</v>
      </c>
      <c r="B75" s="163">
        <v>44.8</v>
      </c>
      <c r="C75" s="163">
        <v>56.1</v>
      </c>
      <c r="D75" s="163">
        <v>91.2</v>
      </c>
      <c r="E75" s="163">
        <v>38.299999999999997</v>
      </c>
      <c r="F75" s="163">
        <v>65.8</v>
      </c>
      <c r="G75" s="163">
        <v>97.8</v>
      </c>
    </row>
    <row r="76" spans="1:7" x14ac:dyDescent="0.25">
      <c r="A76" s="161">
        <v>8</v>
      </c>
      <c r="B76" s="163">
        <v>20.7</v>
      </c>
      <c r="C76" s="163">
        <v>54.8</v>
      </c>
      <c r="D76" s="163">
        <v>109.6</v>
      </c>
      <c r="E76" s="163">
        <v>55.1</v>
      </c>
      <c r="F76" s="163">
        <v>65.3</v>
      </c>
      <c r="G76" s="163">
        <v>113.6</v>
      </c>
    </row>
    <row r="77" spans="1:7" x14ac:dyDescent="0.25">
      <c r="A77" s="161">
        <v>9</v>
      </c>
      <c r="B77" s="163">
        <v>38.299999999999997</v>
      </c>
      <c r="C77" s="163">
        <v>54.9</v>
      </c>
      <c r="D77" s="163">
        <v>87.5</v>
      </c>
      <c r="E77" s="163">
        <v>57.2</v>
      </c>
      <c r="F77" s="163">
        <v>75.5</v>
      </c>
      <c r="G77" s="163">
        <v>102.3</v>
      </c>
    </row>
    <row r="78" spans="1:7" x14ac:dyDescent="0.25">
      <c r="A78" s="161">
        <v>10</v>
      </c>
      <c r="B78" s="163">
        <v>33.6</v>
      </c>
      <c r="C78" s="163">
        <v>52.2</v>
      </c>
      <c r="D78" s="163">
        <v>72.8</v>
      </c>
      <c r="E78" s="163">
        <v>49.1</v>
      </c>
      <c r="F78" s="163">
        <v>68.400000000000006</v>
      </c>
      <c r="G78" s="163">
        <v>99.1</v>
      </c>
    </row>
    <row r="79" spans="1:7" x14ac:dyDescent="0.25">
      <c r="A79" s="161">
        <v>11</v>
      </c>
      <c r="B79" s="163">
        <v>49.2</v>
      </c>
      <c r="C79" s="163">
        <v>52.6</v>
      </c>
      <c r="D79" s="163">
        <v>107.1</v>
      </c>
      <c r="E79" s="163">
        <v>51.7</v>
      </c>
      <c r="F79" s="163">
        <v>89.5</v>
      </c>
      <c r="G79" s="163">
        <v>113.5</v>
      </c>
    </row>
    <row r="80" spans="1:7" x14ac:dyDescent="0.25">
      <c r="A80" s="161">
        <v>12</v>
      </c>
      <c r="B80" s="163">
        <v>17.3</v>
      </c>
      <c r="C80" s="163">
        <v>66.599999999999994</v>
      </c>
      <c r="D80" s="163">
        <v>108.1</v>
      </c>
      <c r="E80" s="163">
        <v>46.8</v>
      </c>
      <c r="F80" s="163">
        <v>77.2</v>
      </c>
      <c r="G80" s="163">
        <v>100.2</v>
      </c>
    </row>
    <row r="81" spans="1:7" x14ac:dyDescent="0.25">
      <c r="A81" s="161">
        <v>13</v>
      </c>
      <c r="B81" s="163">
        <v>40.700000000000003</v>
      </c>
      <c r="C81" s="163">
        <v>68.900000000000006</v>
      </c>
      <c r="D81" s="163">
        <v>96.6</v>
      </c>
      <c r="E81" s="163">
        <v>51.6</v>
      </c>
      <c r="F81" s="163">
        <v>64.400000000000006</v>
      </c>
      <c r="G81" s="163">
        <v>105.9</v>
      </c>
    </row>
    <row r="82" spans="1:7" x14ac:dyDescent="0.25">
      <c r="A82" s="161">
        <v>14</v>
      </c>
      <c r="B82" s="163">
        <v>23.5</v>
      </c>
      <c r="C82" s="163">
        <v>61.9</v>
      </c>
      <c r="D82" s="163">
        <v>87.3</v>
      </c>
      <c r="E82" s="163">
        <v>38</v>
      </c>
      <c r="F82" s="163">
        <v>87.2</v>
      </c>
      <c r="G82" s="163">
        <v>94.5</v>
      </c>
    </row>
    <row r="83" spans="1:7" x14ac:dyDescent="0.25">
      <c r="A83" s="161">
        <v>15</v>
      </c>
      <c r="B83" s="163">
        <v>34.700000000000003</v>
      </c>
      <c r="C83" s="163">
        <v>55.2</v>
      </c>
      <c r="D83" s="163">
        <v>91.8</v>
      </c>
      <c r="E83" s="163">
        <v>41.4</v>
      </c>
      <c r="F83" s="163">
        <v>84</v>
      </c>
      <c r="G83" s="163">
        <v>100.9</v>
      </c>
    </row>
    <row r="84" spans="1:7" x14ac:dyDescent="0.25">
      <c r="A84" s="161">
        <v>16</v>
      </c>
      <c r="B84" s="163">
        <v>29.2</v>
      </c>
      <c r="C84" s="163">
        <v>56.2</v>
      </c>
      <c r="D84" s="163">
        <v>78</v>
      </c>
      <c r="E84" s="163"/>
      <c r="F84" s="163"/>
      <c r="G84" s="163"/>
    </row>
    <row r="85" spans="1:7" ht="14.5" thickBot="1" x14ac:dyDescent="0.3">
      <c r="A85" s="166">
        <v>17</v>
      </c>
      <c r="B85" s="168">
        <v>46.6</v>
      </c>
      <c r="C85" s="168">
        <v>60.8</v>
      </c>
      <c r="D85" s="168">
        <v>79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20.399999999999999</v>
      </c>
      <c r="C89" s="163">
        <v>51</v>
      </c>
      <c r="D89" s="163">
        <v>100.8</v>
      </c>
      <c r="E89" s="163">
        <v>36.6</v>
      </c>
      <c r="F89" s="163">
        <v>71.8</v>
      </c>
      <c r="G89" s="163">
        <v>106.2</v>
      </c>
    </row>
    <row r="90" spans="1:7" x14ac:dyDescent="0.25">
      <c r="A90" s="161">
        <v>2</v>
      </c>
      <c r="B90" s="163">
        <v>23.5</v>
      </c>
      <c r="C90" s="163">
        <v>64.599999999999994</v>
      </c>
      <c r="D90" s="163">
        <v>74.5</v>
      </c>
      <c r="E90" s="163">
        <v>49.8</v>
      </c>
      <c r="F90" s="163">
        <v>87.1</v>
      </c>
      <c r="G90" s="163">
        <v>95.3</v>
      </c>
    </row>
    <row r="91" spans="1:7" x14ac:dyDescent="0.25">
      <c r="A91" s="161">
        <v>3</v>
      </c>
      <c r="B91" s="163">
        <v>45.6</v>
      </c>
      <c r="C91" s="163">
        <v>65.5</v>
      </c>
      <c r="D91" s="163">
        <v>81.2</v>
      </c>
      <c r="E91" s="163">
        <v>39.6</v>
      </c>
      <c r="F91" s="163">
        <v>89.9</v>
      </c>
      <c r="G91" s="163">
        <v>102.6</v>
      </c>
    </row>
    <row r="92" spans="1:7" x14ac:dyDescent="0.25">
      <c r="A92" s="161">
        <v>4</v>
      </c>
      <c r="B92" s="163">
        <v>40.6</v>
      </c>
      <c r="C92" s="163">
        <v>66.400000000000006</v>
      </c>
      <c r="D92" s="163">
        <v>77.599999999999994</v>
      </c>
      <c r="E92" s="163">
        <v>31.3</v>
      </c>
      <c r="F92" s="163">
        <v>73.2</v>
      </c>
      <c r="G92" s="163">
        <v>109.8</v>
      </c>
    </row>
    <row r="93" spans="1:7" x14ac:dyDescent="0.25">
      <c r="A93" s="161">
        <v>5</v>
      </c>
      <c r="B93" s="163">
        <v>26.3</v>
      </c>
      <c r="C93" s="163">
        <v>57</v>
      </c>
      <c r="D93" s="163">
        <v>95.9</v>
      </c>
      <c r="E93" s="163">
        <v>43.9</v>
      </c>
      <c r="F93" s="163">
        <v>77.8</v>
      </c>
      <c r="G93" s="163">
        <v>110.6</v>
      </c>
    </row>
    <row r="94" spans="1:7" x14ac:dyDescent="0.25">
      <c r="A94" s="161">
        <v>6</v>
      </c>
      <c r="B94" s="163">
        <v>20</v>
      </c>
      <c r="C94" s="163">
        <v>65.7</v>
      </c>
      <c r="D94" s="163">
        <v>75.099999999999994</v>
      </c>
      <c r="E94" s="163">
        <v>41</v>
      </c>
      <c r="F94" s="163">
        <v>77.3</v>
      </c>
      <c r="G94" s="163">
        <v>93.5</v>
      </c>
    </row>
    <row r="95" spans="1:7" x14ac:dyDescent="0.25">
      <c r="A95" s="161">
        <v>7</v>
      </c>
      <c r="B95" s="163">
        <v>49.1</v>
      </c>
      <c r="C95" s="163">
        <v>53</v>
      </c>
      <c r="D95" s="163">
        <v>77.599999999999994</v>
      </c>
      <c r="E95" s="163">
        <v>57.6</v>
      </c>
      <c r="F95" s="163">
        <v>89.1</v>
      </c>
      <c r="G95" s="163">
        <v>93</v>
      </c>
    </row>
    <row r="96" spans="1:7" x14ac:dyDescent="0.25">
      <c r="A96" s="161">
        <v>8</v>
      </c>
      <c r="B96" s="163">
        <v>26.2</v>
      </c>
      <c r="C96" s="163">
        <v>68.7</v>
      </c>
      <c r="D96" s="163">
        <v>90.1</v>
      </c>
      <c r="E96" s="162"/>
      <c r="F96" s="162"/>
      <c r="G96" s="162"/>
    </row>
    <row r="97" spans="1:7" x14ac:dyDescent="0.25">
      <c r="A97" s="161">
        <v>9</v>
      </c>
      <c r="B97" s="163">
        <v>19.5</v>
      </c>
      <c r="C97" s="163">
        <v>58.4</v>
      </c>
      <c r="D97" s="163">
        <v>86.1</v>
      </c>
      <c r="E97" s="162"/>
      <c r="F97" s="162"/>
      <c r="G97" s="162"/>
    </row>
    <row r="98" spans="1:7" x14ac:dyDescent="0.25">
      <c r="A98" s="161">
        <v>10</v>
      </c>
      <c r="B98" s="163">
        <v>30.9</v>
      </c>
      <c r="C98" s="163">
        <v>57</v>
      </c>
      <c r="D98" s="163">
        <v>96.5</v>
      </c>
      <c r="E98" s="162"/>
      <c r="F98" s="162"/>
      <c r="G98" s="162"/>
    </row>
    <row r="99" spans="1:7" x14ac:dyDescent="0.25">
      <c r="A99" s="161">
        <v>11</v>
      </c>
      <c r="B99" s="163">
        <v>20.399999999999999</v>
      </c>
      <c r="C99" s="163">
        <v>65.099999999999994</v>
      </c>
      <c r="D99" s="163">
        <v>95</v>
      </c>
      <c r="E99" s="162"/>
      <c r="F99" s="162"/>
      <c r="G99" s="162"/>
    </row>
    <row r="100" spans="1:7" x14ac:dyDescent="0.25">
      <c r="A100" s="161">
        <v>12</v>
      </c>
      <c r="B100" s="163">
        <v>20.100000000000001</v>
      </c>
      <c r="C100" s="163">
        <v>60</v>
      </c>
      <c r="D100" s="163">
        <v>91</v>
      </c>
      <c r="E100" s="162"/>
      <c r="F100" s="162"/>
      <c r="G100" s="162"/>
    </row>
    <row r="101" spans="1:7" x14ac:dyDescent="0.25">
      <c r="A101" s="161">
        <v>13</v>
      </c>
      <c r="B101" s="163">
        <v>38.5</v>
      </c>
      <c r="C101" s="163">
        <v>51.6</v>
      </c>
      <c r="D101" s="163">
        <v>93.7</v>
      </c>
      <c r="E101" s="162"/>
      <c r="F101" s="162"/>
      <c r="G101" s="162"/>
    </row>
    <row r="102" spans="1:7" x14ac:dyDescent="0.25">
      <c r="A102" s="161">
        <v>14</v>
      </c>
      <c r="B102" s="163">
        <v>49.3</v>
      </c>
      <c r="C102" s="163">
        <v>65.400000000000006</v>
      </c>
      <c r="D102" s="163">
        <v>105.3</v>
      </c>
      <c r="E102" s="162"/>
      <c r="F102" s="162"/>
      <c r="G102" s="162"/>
    </row>
    <row r="103" spans="1:7" x14ac:dyDescent="0.25">
      <c r="A103" s="161">
        <v>15</v>
      </c>
      <c r="B103" s="163">
        <v>31.6</v>
      </c>
      <c r="C103" s="163">
        <v>60.4</v>
      </c>
      <c r="D103" s="163">
        <v>103.4</v>
      </c>
      <c r="E103" s="162"/>
      <c r="F103" s="162"/>
      <c r="G103" s="162"/>
    </row>
    <row r="104" spans="1:7" x14ac:dyDescent="0.25">
      <c r="A104" s="161">
        <v>16</v>
      </c>
      <c r="B104" s="163">
        <v>44.1</v>
      </c>
      <c r="C104" s="163">
        <v>65</v>
      </c>
      <c r="D104" s="163">
        <v>85</v>
      </c>
      <c r="E104" s="162"/>
      <c r="F104" s="162"/>
      <c r="G104" s="162"/>
    </row>
    <row r="105" spans="1:7" x14ac:dyDescent="0.25">
      <c r="A105" s="161">
        <v>17</v>
      </c>
      <c r="B105" s="163">
        <v>35</v>
      </c>
      <c r="C105" s="163">
        <v>62.7</v>
      </c>
      <c r="D105" s="163">
        <v>70.400000000000006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74.099999999999994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39.4</v>
      </c>
      <c r="C110" s="163">
        <v>64.2</v>
      </c>
      <c r="D110" s="163">
        <v>81</v>
      </c>
      <c r="E110" s="163">
        <v>36</v>
      </c>
      <c r="F110" s="163">
        <v>61.3</v>
      </c>
      <c r="G110" s="163">
        <v>111.5</v>
      </c>
    </row>
    <row r="111" spans="1:7" x14ac:dyDescent="0.25">
      <c r="A111" s="161">
        <v>2</v>
      </c>
      <c r="B111" s="163">
        <v>37.4</v>
      </c>
      <c r="C111" s="163">
        <v>52.8</v>
      </c>
      <c r="D111" s="163">
        <v>100.4</v>
      </c>
      <c r="E111" s="163">
        <v>31.2</v>
      </c>
      <c r="F111" s="163">
        <v>64.400000000000006</v>
      </c>
      <c r="G111" s="163">
        <v>105.7</v>
      </c>
    </row>
    <row r="112" spans="1:7" ht="14.5" thickBot="1" x14ac:dyDescent="0.3">
      <c r="A112" s="166">
        <v>3</v>
      </c>
      <c r="B112" s="168"/>
      <c r="C112" s="168"/>
      <c r="D112" s="168"/>
      <c r="E112" s="168">
        <v>26.9</v>
      </c>
      <c r="F112" s="168">
        <v>71.7</v>
      </c>
      <c r="G112" s="168">
        <v>103.2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31</v>
      </c>
      <c r="C116" s="163">
        <v>61</v>
      </c>
      <c r="D116" s="163">
        <v>93.3</v>
      </c>
      <c r="E116" s="163">
        <v>28.6</v>
      </c>
      <c r="F116" s="163">
        <v>78.900000000000006</v>
      </c>
      <c r="G116" s="163">
        <v>110.2</v>
      </c>
    </row>
    <row r="117" spans="1:7" x14ac:dyDescent="0.25">
      <c r="A117" s="161">
        <v>2</v>
      </c>
      <c r="B117" s="163">
        <v>30.4</v>
      </c>
      <c r="C117" s="163">
        <v>59.7</v>
      </c>
      <c r="D117" s="163">
        <v>90.8</v>
      </c>
      <c r="E117" s="163">
        <v>45.6</v>
      </c>
      <c r="F117" s="163">
        <v>60</v>
      </c>
      <c r="G117" s="163">
        <v>110.3</v>
      </c>
    </row>
    <row r="118" spans="1:7" x14ac:dyDescent="0.25">
      <c r="A118" s="161">
        <v>3</v>
      </c>
      <c r="B118" s="163">
        <v>44.3</v>
      </c>
      <c r="C118" s="163">
        <v>56.1</v>
      </c>
      <c r="D118" s="163">
        <v>105.2</v>
      </c>
      <c r="E118" s="163">
        <v>48</v>
      </c>
      <c r="F118" s="163">
        <v>66.3</v>
      </c>
      <c r="G118" s="163">
        <v>106.6</v>
      </c>
    </row>
    <row r="119" spans="1:7" x14ac:dyDescent="0.25">
      <c r="A119" s="161">
        <v>4</v>
      </c>
      <c r="B119" s="163">
        <v>22.3</v>
      </c>
      <c r="C119" s="163">
        <v>50.6</v>
      </c>
      <c r="D119" s="163">
        <v>90.5</v>
      </c>
      <c r="E119" s="163">
        <v>42.3</v>
      </c>
      <c r="F119" s="163">
        <v>79.5</v>
      </c>
      <c r="G119" s="163">
        <v>104.1</v>
      </c>
    </row>
    <row r="120" spans="1:7" x14ac:dyDescent="0.25">
      <c r="A120" s="161">
        <v>5</v>
      </c>
      <c r="B120" s="162"/>
      <c r="C120" s="162"/>
      <c r="D120" s="162"/>
      <c r="E120" s="163">
        <v>44.2</v>
      </c>
      <c r="F120" s="163">
        <v>71.7</v>
      </c>
      <c r="G120" s="163">
        <v>112.2</v>
      </c>
    </row>
    <row r="121" spans="1:7" x14ac:dyDescent="0.25">
      <c r="A121" s="161">
        <v>6</v>
      </c>
      <c r="B121" s="162"/>
      <c r="C121" s="162"/>
      <c r="D121" s="162"/>
      <c r="E121" s="163">
        <v>38.9</v>
      </c>
      <c r="F121" s="163">
        <v>63.1</v>
      </c>
      <c r="G121" s="163">
        <v>94.4</v>
      </c>
    </row>
    <row r="122" spans="1:7" x14ac:dyDescent="0.25">
      <c r="A122" s="161">
        <v>7</v>
      </c>
      <c r="B122" s="162"/>
      <c r="C122" s="162"/>
      <c r="D122" s="162"/>
      <c r="E122" s="163">
        <v>28.5</v>
      </c>
      <c r="F122" s="163">
        <v>84.5</v>
      </c>
      <c r="G122" s="163">
        <v>115.9</v>
      </c>
    </row>
    <row r="123" spans="1:7" x14ac:dyDescent="0.25">
      <c r="A123" s="161">
        <v>8</v>
      </c>
      <c r="B123" s="162"/>
      <c r="C123" s="162"/>
      <c r="D123" s="162"/>
      <c r="E123" s="163">
        <v>50.1</v>
      </c>
      <c r="F123" s="163">
        <v>69</v>
      </c>
      <c r="G123" s="163">
        <v>115.5</v>
      </c>
    </row>
    <row r="124" spans="1:7" ht="14.5" thickBot="1" x14ac:dyDescent="0.3">
      <c r="A124" s="166">
        <v>9</v>
      </c>
      <c r="B124" s="168"/>
      <c r="C124" s="168"/>
      <c r="D124" s="168"/>
      <c r="E124" s="168">
        <v>30.6</v>
      </c>
      <c r="F124" s="168">
        <v>61.2</v>
      </c>
      <c r="G124" s="168">
        <v>90.8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51.31666666666667</v>
      </c>
      <c r="C129" s="170">
        <f>AVERAGE(E5:G7)</f>
        <v>75.855555555555554</v>
      </c>
      <c r="D129" s="161">
        <f>'2021.1'!D129</f>
        <v>2166</v>
      </c>
      <c r="E129" s="161">
        <v>4324</v>
      </c>
      <c r="F129" s="161">
        <f>D129*B129</f>
        <v>111151.90000000001</v>
      </c>
      <c r="G129" s="161">
        <f>E129*C129</f>
        <v>327999.4222222222</v>
      </c>
    </row>
    <row r="130" spans="1:7" x14ac:dyDescent="0.25">
      <c r="A130" s="162" t="str">
        <f>A8</f>
        <v>Dongyuan Huangtian swine Farm</v>
      </c>
      <c r="B130" s="169">
        <f>AVERAGE((B11:D15))</f>
        <v>58.379999999999995</v>
      </c>
      <c r="C130" s="169">
        <f>AVERAGE(E11:G11)</f>
        <v>73.433333333333337</v>
      </c>
      <c r="D130" s="161">
        <f>'2021.1'!D130</f>
        <v>6431</v>
      </c>
      <c r="E130" s="161">
        <v>1455</v>
      </c>
      <c r="F130" s="161">
        <f t="shared" ref="F130:G137" si="0">D130*B130</f>
        <v>375441.77999999997</v>
      </c>
      <c r="G130" s="161">
        <f t="shared" si="0"/>
        <v>106845.5</v>
      </c>
    </row>
    <row r="131" spans="1:7" x14ac:dyDescent="0.25">
      <c r="A131" s="162" t="str">
        <f>A16</f>
        <v>Enping Shahu swine  Farm</v>
      </c>
      <c r="B131" s="169">
        <f>AVERAGE(B19:D33)</f>
        <v>58.819999999999979</v>
      </c>
      <c r="C131" s="169">
        <f>AVERAGE(E19:G28)</f>
        <v>74.490000000000009</v>
      </c>
      <c r="D131" s="161">
        <f>'2021.1'!D131</f>
        <v>23413</v>
      </c>
      <c r="E131" s="161">
        <v>15483</v>
      </c>
      <c r="F131" s="161">
        <f t="shared" si="0"/>
        <v>1377152.6599999995</v>
      </c>
      <c r="G131" s="161">
        <f t="shared" si="0"/>
        <v>1153328.6700000002</v>
      </c>
    </row>
    <row r="132" spans="1:7" x14ac:dyDescent="0.25">
      <c r="A132" s="162" t="str">
        <f>A34</f>
        <v>Langtian Yuehui swine Farm</v>
      </c>
      <c r="B132" s="169">
        <f>AVERAGE(B37:D55)</f>
        <v>61.692982456140356</v>
      </c>
      <c r="C132" s="169">
        <f>AVERAGE(E37:G43)</f>
        <v>73.104761904761929</v>
      </c>
      <c r="D132" s="161">
        <f>'2021.1'!D132</f>
        <v>29497</v>
      </c>
      <c r="E132" s="161">
        <v>10133</v>
      </c>
      <c r="F132" s="161">
        <f t="shared" si="0"/>
        <v>1819757.9035087721</v>
      </c>
      <c r="G132" s="161">
        <f t="shared" si="0"/>
        <v>740770.55238095263</v>
      </c>
    </row>
    <row r="133" spans="1:7" x14ac:dyDescent="0.25">
      <c r="A133" s="162" t="str">
        <f>A56</f>
        <v>Qujiang Fengwan swine Farm</v>
      </c>
      <c r="B133" s="169">
        <f>AVERAGE(B59:D65)</f>
        <v>64.076190476190476</v>
      </c>
      <c r="C133" s="169">
        <f>AVERAGE(E59:G65)</f>
        <v>72.842857142857142</v>
      </c>
      <c r="D133" s="161">
        <f>'2021.1'!D133</f>
        <v>9686</v>
      </c>
      <c r="E133" s="161">
        <v>11347</v>
      </c>
      <c r="F133" s="161">
        <f t="shared" si="0"/>
        <v>620641.98095238092</v>
      </c>
      <c r="G133" s="161">
        <f t="shared" si="0"/>
        <v>826547.9</v>
      </c>
    </row>
    <row r="134" spans="1:7" x14ac:dyDescent="0.25">
      <c r="A134" s="162" t="str">
        <f>A66</f>
        <v>Pingyuan Zhongshi swine Farm</v>
      </c>
      <c r="B134" s="169">
        <f>AVERAGE(B69:D85)</f>
        <v>60.974509803921556</v>
      </c>
      <c r="C134" s="169">
        <f>AVERAGE(E69:G83)</f>
        <v>75.728888888888875</v>
      </c>
      <c r="D134" s="161">
        <f>'2021.1'!D134</f>
        <v>26358</v>
      </c>
      <c r="E134" s="161">
        <v>23577</v>
      </c>
      <c r="F134" s="161">
        <f t="shared" si="0"/>
        <v>1607166.1294117644</v>
      </c>
      <c r="G134" s="161">
        <f t="shared" si="0"/>
        <v>1785460.013333333</v>
      </c>
    </row>
    <row r="135" spans="1:7" x14ac:dyDescent="0.25">
      <c r="A135" s="162" t="str">
        <f>A86</f>
        <v>Yangchun Tanshui swine Farm</v>
      </c>
      <c r="B135" s="169">
        <f>AVERAGE(B89:D106)</f>
        <v>60.613461538461529</v>
      </c>
      <c r="C135" s="169">
        <f>AVERAGE(E89:G95)</f>
        <v>75.095238095238088</v>
      </c>
      <c r="D135" s="161">
        <f>'2021.1'!D135</f>
        <v>26581</v>
      </c>
      <c r="E135" s="161">
        <v>11636</v>
      </c>
      <c r="F135" s="161">
        <f t="shared" si="0"/>
        <v>1611166.421153846</v>
      </c>
      <c r="G135" s="161">
        <f t="shared" si="0"/>
        <v>873808.19047619042</v>
      </c>
    </row>
    <row r="136" spans="1:7" x14ac:dyDescent="0.25">
      <c r="A136" s="162" t="str">
        <f>A107</f>
        <v>Xinfeng Shatian swine Farm</v>
      </c>
      <c r="B136" s="169">
        <f>AVERAGE(B110:D112)</f>
        <v>62.533333333333339</v>
      </c>
      <c r="C136" s="169">
        <f>AVERAGE(E110:G112)</f>
        <v>67.98888888888888</v>
      </c>
      <c r="D136" s="161">
        <f>'2021.1'!D136</f>
        <v>2074</v>
      </c>
      <c r="E136" s="161">
        <v>3784</v>
      </c>
      <c r="F136" s="161">
        <f t="shared" si="0"/>
        <v>129694.13333333335</v>
      </c>
      <c r="G136" s="161">
        <f t="shared" si="0"/>
        <v>257269.95555555553</v>
      </c>
    </row>
    <row r="137" spans="1:7" x14ac:dyDescent="0.25">
      <c r="A137" s="162" t="str">
        <f>A113</f>
        <v>Kaiping Cangcheng swine Farm</v>
      </c>
      <c r="B137" s="169">
        <f>AVERAGE(B116:D119)</f>
        <v>61.266666666666673</v>
      </c>
      <c r="C137" s="169">
        <f>AVERAGE(E116:G124)</f>
        <v>72.259259259259252</v>
      </c>
      <c r="D137" s="161">
        <f>'2021.1'!D137</f>
        <v>5872</v>
      </c>
      <c r="E137" s="161">
        <v>14009</v>
      </c>
      <c r="F137" s="161">
        <f t="shared" si="0"/>
        <v>359757.8666666667</v>
      </c>
      <c r="G137" s="161">
        <f t="shared" si="0"/>
        <v>1012279.9629629629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95748</v>
      </c>
      <c r="F138" s="161">
        <f t="shared" ref="F138:G138" si="1">SUM(F129:F137)</f>
        <v>8011930.7750267629</v>
      </c>
      <c r="G138" s="161">
        <f t="shared" si="1"/>
        <v>7084310.1669312166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60.6</v>
      </c>
      <c r="D142" s="171">
        <f>ROUNDDOWN(G138/E138,1)</f>
        <v>73.900000000000006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84A2-C62A-4F8C-BAAE-0FDB828839CC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41.4</v>
      </c>
      <c r="C5" s="163">
        <v>63</v>
      </c>
      <c r="D5" s="163">
        <v>106.2</v>
      </c>
      <c r="E5" s="163">
        <v>33.6</v>
      </c>
      <c r="F5" s="163">
        <v>75.8</v>
      </c>
      <c r="G5" s="163">
        <v>115.1</v>
      </c>
    </row>
    <row r="6" spans="1:7" x14ac:dyDescent="0.25">
      <c r="A6" s="161">
        <v>2</v>
      </c>
      <c r="B6" s="163">
        <v>26.1</v>
      </c>
      <c r="C6" s="163">
        <v>60.5</v>
      </c>
      <c r="D6" s="163">
        <v>80.099999999999994</v>
      </c>
      <c r="E6" s="163">
        <v>29.1</v>
      </c>
      <c r="F6" s="163">
        <v>61.6</v>
      </c>
      <c r="G6" s="163">
        <v>120</v>
      </c>
    </row>
    <row r="7" spans="1:7" ht="14.5" thickBot="1" x14ac:dyDescent="0.3">
      <c r="A7" s="164">
        <v>3</v>
      </c>
      <c r="B7" s="165"/>
      <c r="C7" s="165"/>
      <c r="D7" s="165"/>
      <c r="E7" s="165">
        <v>26.7</v>
      </c>
      <c r="F7" s="165">
        <v>84.1</v>
      </c>
      <c r="G7" s="165">
        <v>117.9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26</v>
      </c>
      <c r="C11" s="163">
        <v>68.400000000000006</v>
      </c>
      <c r="D11" s="163">
        <v>71.900000000000006</v>
      </c>
      <c r="E11" s="163">
        <v>32.200000000000003</v>
      </c>
      <c r="F11" s="163">
        <v>84.1</v>
      </c>
      <c r="G11" s="163">
        <v>103.1</v>
      </c>
    </row>
    <row r="12" spans="1:7" x14ac:dyDescent="0.25">
      <c r="A12" s="161">
        <v>2</v>
      </c>
      <c r="B12" s="163">
        <v>24.5</v>
      </c>
      <c r="C12" s="163">
        <v>69.400000000000006</v>
      </c>
      <c r="D12" s="163">
        <v>86.2</v>
      </c>
      <c r="E12" s="163"/>
      <c r="F12" s="163"/>
      <c r="G12" s="163"/>
    </row>
    <row r="13" spans="1:7" x14ac:dyDescent="0.25">
      <c r="A13" s="161">
        <v>3</v>
      </c>
      <c r="B13" s="163">
        <v>22.6</v>
      </c>
      <c r="C13" s="163">
        <v>61.9</v>
      </c>
      <c r="D13" s="163">
        <v>87</v>
      </c>
      <c r="E13" s="162"/>
      <c r="F13" s="162"/>
      <c r="G13" s="162"/>
    </row>
    <row r="14" spans="1:7" x14ac:dyDescent="0.25">
      <c r="A14" s="161">
        <v>4</v>
      </c>
      <c r="B14" s="163">
        <v>45.4</v>
      </c>
      <c r="C14" s="163">
        <v>63.7</v>
      </c>
      <c r="D14" s="163">
        <v>76.2</v>
      </c>
      <c r="E14" s="162"/>
      <c r="F14" s="162"/>
      <c r="G14" s="162"/>
    </row>
    <row r="15" spans="1:7" ht="14.5" thickBot="1" x14ac:dyDescent="0.3">
      <c r="A15" s="164">
        <v>5</v>
      </c>
      <c r="B15" s="165">
        <v>37.4</v>
      </c>
      <c r="C15" s="165">
        <v>53.1</v>
      </c>
      <c r="D15" s="165">
        <v>89.9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23.4</v>
      </c>
      <c r="C19" s="163">
        <v>58.7</v>
      </c>
      <c r="D19" s="163">
        <v>86.6</v>
      </c>
      <c r="E19" s="163">
        <v>41.6</v>
      </c>
      <c r="F19" s="163">
        <v>61.4</v>
      </c>
      <c r="G19" s="163">
        <v>118.3</v>
      </c>
    </row>
    <row r="20" spans="1:7" x14ac:dyDescent="0.25">
      <c r="A20" s="161">
        <v>2</v>
      </c>
      <c r="B20" s="163">
        <v>31.1</v>
      </c>
      <c r="C20" s="163">
        <v>54</v>
      </c>
      <c r="D20" s="163">
        <v>102.3</v>
      </c>
      <c r="E20" s="163">
        <v>59.7</v>
      </c>
      <c r="F20" s="163">
        <v>83.3</v>
      </c>
      <c r="G20" s="163">
        <v>111.7</v>
      </c>
    </row>
    <row r="21" spans="1:7" x14ac:dyDescent="0.25">
      <c r="A21" s="161">
        <v>3</v>
      </c>
      <c r="B21" s="163">
        <v>25.5</v>
      </c>
      <c r="C21" s="163">
        <v>50.9</v>
      </c>
      <c r="D21" s="163">
        <v>92.4</v>
      </c>
      <c r="E21" s="163">
        <v>34.700000000000003</v>
      </c>
      <c r="F21" s="163">
        <v>63</v>
      </c>
      <c r="G21" s="163">
        <v>118.3</v>
      </c>
    </row>
    <row r="22" spans="1:7" x14ac:dyDescent="0.25">
      <c r="A22" s="161">
        <v>4</v>
      </c>
      <c r="B22" s="163">
        <v>34.9</v>
      </c>
      <c r="C22" s="163">
        <v>55.5</v>
      </c>
      <c r="D22" s="163">
        <v>86.6</v>
      </c>
      <c r="E22" s="163">
        <v>29.9</v>
      </c>
      <c r="F22" s="163">
        <v>77.2</v>
      </c>
      <c r="G22" s="163">
        <v>107.5</v>
      </c>
    </row>
    <row r="23" spans="1:7" x14ac:dyDescent="0.25">
      <c r="A23" s="161">
        <v>5</v>
      </c>
      <c r="B23" s="163">
        <v>23.5</v>
      </c>
      <c r="C23" s="163">
        <v>66</v>
      </c>
      <c r="D23" s="163">
        <v>99.2</v>
      </c>
      <c r="E23" s="163">
        <v>46</v>
      </c>
      <c r="F23" s="163">
        <v>83.3</v>
      </c>
      <c r="G23" s="163">
        <v>117.8</v>
      </c>
    </row>
    <row r="24" spans="1:7" x14ac:dyDescent="0.25">
      <c r="A24" s="161">
        <v>6</v>
      </c>
      <c r="B24" s="163">
        <v>42</v>
      </c>
      <c r="C24" s="163">
        <v>53.7</v>
      </c>
      <c r="D24" s="163">
        <v>78.400000000000006</v>
      </c>
      <c r="E24" s="163">
        <v>29.3</v>
      </c>
      <c r="F24" s="163">
        <v>61.8</v>
      </c>
      <c r="G24" s="163">
        <v>95.7</v>
      </c>
    </row>
    <row r="25" spans="1:7" x14ac:dyDescent="0.25">
      <c r="A25" s="161">
        <v>7</v>
      </c>
      <c r="B25" s="163">
        <v>21.7</v>
      </c>
      <c r="C25" s="163">
        <v>57.2</v>
      </c>
      <c r="D25" s="163">
        <v>77.3</v>
      </c>
      <c r="E25" s="163">
        <v>34.700000000000003</v>
      </c>
      <c r="F25" s="163">
        <v>89.3</v>
      </c>
      <c r="G25" s="163">
        <v>98.3</v>
      </c>
    </row>
    <row r="26" spans="1:7" x14ac:dyDescent="0.25">
      <c r="A26" s="161">
        <v>8</v>
      </c>
      <c r="B26" s="163">
        <v>23.8</v>
      </c>
      <c r="C26" s="163">
        <v>67.7</v>
      </c>
      <c r="D26" s="163">
        <v>72.900000000000006</v>
      </c>
      <c r="E26" s="163">
        <v>28.8</v>
      </c>
      <c r="F26" s="163">
        <v>80.2</v>
      </c>
      <c r="G26" s="163">
        <v>116.6</v>
      </c>
    </row>
    <row r="27" spans="1:7" x14ac:dyDescent="0.25">
      <c r="A27" s="161">
        <v>9</v>
      </c>
      <c r="B27" s="163">
        <v>46.3</v>
      </c>
      <c r="C27" s="163">
        <v>54.1</v>
      </c>
      <c r="D27" s="163">
        <v>104.3</v>
      </c>
      <c r="E27" s="163">
        <v>34.700000000000003</v>
      </c>
      <c r="F27" s="163">
        <v>60.2</v>
      </c>
      <c r="G27" s="163">
        <v>103.6</v>
      </c>
    </row>
    <row r="28" spans="1:7" x14ac:dyDescent="0.25">
      <c r="A28" s="161">
        <v>10</v>
      </c>
      <c r="B28" s="163">
        <v>48.7</v>
      </c>
      <c r="C28" s="163">
        <v>55.9</v>
      </c>
      <c r="D28" s="163">
        <v>103.3</v>
      </c>
      <c r="E28" s="163">
        <v>55.8</v>
      </c>
      <c r="F28" s="163">
        <v>77.8</v>
      </c>
      <c r="G28" s="163">
        <v>93.9</v>
      </c>
    </row>
    <row r="29" spans="1:7" x14ac:dyDescent="0.25">
      <c r="A29" s="161">
        <v>11</v>
      </c>
      <c r="B29" s="163">
        <v>32.4</v>
      </c>
      <c r="C29" s="163">
        <v>63.2</v>
      </c>
      <c r="D29" s="163">
        <v>83.2</v>
      </c>
      <c r="E29" s="163"/>
      <c r="F29" s="163"/>
      <c r="G29" s="163"/>
    </row>
    <row r="30" spans="1:7" x14ac:dyDescent="0.25">
      <c r="A30" s="161">
        <v>12</v>
      </c>
      <c r="B30" s="163">
        <v>46.2</v>
      </c>
      <c r="C30" s="163">
        <v>67.400000000000006</v>
      </c>
      <c r="D30" s="163">
        <v>108.7</v>
      </c>
      <c r="E30" s="163"/>
      <c r="F30" s="163"/>
      <c r="G30" s="163"/>
    </row>
    <row r="31" spans="1:7" x14ac:dyDescent="0.25">
      <c r="A31" s="161">
        <v>13</v>
      </c>
      <c r="B31" s="163">
        <v>21.8</v>
      </c>
      <c r="C31" s="163">
        <v>50.9</v>
      </c>
      <c r="D31" s="163">
        <v>70.7</v>
      </c>
      <c r="E31" s="163"/>
      <c r="F31" s="163"/>
      <c r="G31" s="163"/>
    </row>
    <row r="32" spans="1:7" x14ac:dyDescent="0.25">
      <c r="A32" s="161">
        <v>14</v>
      </c>
      <c r="B32" s="163">
        <v>30.7</v>
      </c>
      <c r="C32" s="163">
        <v>56.7</v>
      </c>
      <c r="D32" s="163">
        <v>73</v>
      </c>
      <c r="E32" s="163"/>
      <c r="F32" s="163"/>
      <c r="G32" s="163"/>
    </row>
    <row r="33" spans="1:7" ht="14.5" thickBot="1" x14ac:dyDescent="0.3">
      <c r="A33" s="166">
        <v>15</v>
      </c>
      <c r="B33" s="165">
        <v>40.6</v>
      </c>
      <c r="C33" s="165">
        <v>67</v>
      </c>
      <c r="D33" s="165">
        <v>90.1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34.1</v>
      </c>
      <c r="C37" s="163">
        <v>64.900000000000006</v>
      </c>
      <c r="D37" s="163">
        <v>102.7</v>
      </c>
      <c r="E37" s="163">
        <v>53.9</v>
      </c>
      <c r="F37" s="163">
        <v>63.2</v>
      </c>
      <c r="G37" s="163">
        <v>107.3</v>
      </c>
    </row>
    <row r="38" spans="1:7" x14ac:dyDescent="0.25">
      <c r="A38" s="161">
        <v>2</v>
      </c>
      <c r="B38" s="163">
        <v>37.9</v>
      </c>
      <c r="C38" s="163">
        <v>58.2</v>
      </c>
      <c r="D38" s="163">
        <v>95.4</v>
      </c>
      <c r="E38" s="163">
        <v>54.2</v>
      </c>
      <c r="F38" s="163">
        <v>82.7</v>
      </c>
      <c r="G38" s="163">
        <v>112</v>
      </c>
    </row>
    <row r="39" spans="1:7" x14ac:dyDescent="0.25">
      <c r="A39" s="161">
        <v>3</v>
      </c>
      <c r="B39" s="163">
        <v>39.299999999999997</v>
      </c>
      <c r="C39" s="163">
        <v>65.5</v>
      </c>
      <c r="D39" s="163">
        <v>79</v>
      </c>
      <c r="E39" s="163">
        <v>47.6</v>
      </c>
      <c r="F39" s="163">
        <v>66.599999999999994</v>
      </c>
      <c r="G39" s="163">
        <v>91.6</v>
      </c>
    </row>
    <row r="40" spans="1:7" x14ac:dyDescent="0.25">
      <c r="A40" s="161">
        <v>4</v>
      </c>
      <c r="B40" s="163">
        <v>28.9</v>
      </c>
      <c r="C40" s="163">
        <v>50.8</v>
      </c>
      <c r="D40" s="163">
        <v>97.7</v>
      </c>
      <c r="E40" s="163">
        <v>46.7</v>
      </c>
      <c r="F40" s="163">
        <v>73.3</v>
      </c>
      <c r="G40" s="163">
        <v>116</v>
      </c>
    </row>
    <row r="41" spans="1:7" x14ac:dyDescent="0.25">
      <c r="A41" s="161">
        <v>5</v>
      </c>
      <c r="B41" s="163">
        <v>30.6</v>
      </c>
      <c r="C41" s="163">
        <v>58.5</v>
      </c>
      <c r="D41" s="163">
        <v>89.7</v>
      </c>
      <c r="E41" s="163">
        <v>29.3</v>
      </c>
      <c r="F41" s="163">
        <v>73.8</v>
      </c>
      <c r="G41" s="163">
        <v>112.9</v>
      </c>
    </row>
    <row r="42" spans="1:7" x14ac:dyDescent="0.25">
      <c r="A42" s="161">
        <v>6</v>
      </c>
      <c r="B42" s="163">
        <v>36.700000000000003</v>
      </c>
      <c r="C42" s="163">
        <v>66.8</v>
      </c>
      <c r="D42" s="163">
        <v>72.3</v>
      </c>
      <c r="E42" s="163">
        <v>51</v>
      </c>
      <c r="F42" s="163">
        <v>90</v>
      </c>
      <c r="G42" s="163">
        <v>91.4</v>
      </c>
    </row>
    <row r="43" spans="1:7" x14ac:dyDescent="0.25">
      <c r="A43" s="161">
        <v>7</v>
      </c>
      <c r="B43" s="163">
        <v>18.899999999999999</v>
      </c>
      <c r="C43" s="163">
        <v>58.8</v>
      </c>
      <c r="D43" s="163">
        <v>106.5</v>
      </c>
      <c r="E43" s="163">
        <v>32.5</v>
      </c>
      <c r="F43" s="163">
        <v>64</v>
      </c>
      <c r="G43" s="163">
        <v>92</v>
      </c>
    </row>
    <row r="44" spans="1:7" x14ac:dyDescent="0.25">
      <c r="A44" s="161">
        <v>8</v>
      </c>
      <c r="B44" s="163">
        <v>17.8</v>
      </c>
      <c r="C44" s="163">
        <v>53.5</v>
      </c>
      <c r="D44" s="163">
        <v>75.400000000000006</v>
      </c>
      <c r="E44" s="162"/>
      <c r="F44" s="162"/>
      <c r="G44" s="162"/>
    </row>
    <row r="45" spans="1:7" x14ac:dyDescent="0.25">
      <c r="A45" s="161">
        <v>9</v>
      </c>
      <c r="B45" s="163">
        <v>33.700000000000003</v>
      </c>
      <c r="C45" s="163">
        <v>55.6</v>
      </c>
      <c r="D45" s="163">
        <v>92.5</v>
      </c>
      <c r="E45" s="162"/>
      <c r="F45" s="162"/>
      <c r="G45" s="162"/>
    </row>
    <row r="46" spans="1:7" x14ac:dyDescent="0.25">
      <c r="A46" s="161">
        <v>10</v>
      </c>
      <c r="B46" s="163">
        <v>30.4</v>
      </c>
      <c r="C46" s="163">
        <v>68.400000000000006</v>
      </c>
      <c r="D46" s="163">
        <v>103.5</v>
      </c>
      <c r="E46" s="162"/>
      <c r="F46" s="162"/>
      <c r="G46" s="162"/>
    </row>
    <row r="47" spans="1:7" x14ac:dyDescent="0.25">
      <c r="A47" s="161">
        <v>11</v>
      </c>
      <c r="B47" s="163">
        <v>30.1</v>
      </c>
      <c r="C47" s="163">
        <v>67.2</v>
      </c>
      <c r="D47" s="163">
        <v>92.3</v>
      </c>
      <c r="E47" s="162"/>
      <c r="F47" s="162"/>
      <c r="G47" s="162"/>
    </row>
    <row r="48" spans="1:7" x14ac:dyDescent="0.25">
      <c r="A48" s="161">
        <v>12</v>
      </c>
      <c r="B48" s="163">
        <v>40.1</v>
      </c>
      <c r="C48" s="163">
        <v>51.5</v>
      </c>
      <c r="D48" s="163">
        <v>84.4</v>
      </c>
      <c r="E48" s="162"/>
      <c r="F48" s="162"/>
      <c r="G48" s="162"/>
    </row>
    <row r="49" spans="1:7" x14ac:dyDescent="0.25">
      <c r="A49" s="161">
        <v>13</v>
      </c>
      <c r="B49" s="163">
        <v>21.1</v>
      </c>
      <c r="C49" s="163">
        <v>50.5</v>
      </c>
      <c r="D49" s="163">
        <v>97.5</v>
      </c>
      <c r="E49" s="162"/>
      <c r="F49" s="162"/>
      <c r="G49" s="162"/>
    </row>
    <row r="50" spans="1:7" x14ac:dyDescent="0.25">
      <c r="A50" s="161">
        <v>14</v>
      </c>
      <c r="B50" s="163">
        <v>24.7</v>
      </c>
      <c r="C50" s="163">
        <v>52.8</v>
      </c>
      <c r="D50" s="163">
        <v>94.5</v>
      </c>
      <c r="E50" s="162"/>
      <c r="F50" s="162"/>
      <c r="G50" s="162"/>
    </row>
    <row r="51" spans="1:7" x14ac:dyDescent="0.25">
      <c r="A51" s="161">
        <v>15</v>
      </c>
      <c r="B51" s="163">
        <v>41.5</v>
      </c>
      <c r="C51" s="163">
        <v>69.7</v>
      </c>
      <c r="D51" s="163">
        <v>83.4</v>
      </c>
      <c r="E51" s="162"/>
      <c r="F51" s="162"/>
      <c r="G51" s="162"/>
    </row>
    <row r="52" spans="1:7" x14ac:dyDescent="0.25">
      <c r="A52" s="161">
        <v>16</v>
      </c>
      <c r="B52" s="163">
        <v>17.899999999999999</v>
      </c>
      <c r="C52" s="163">
        <v>54.7</v>
      </c>
      <c r="D52" s="163">
        <v>108.4</v>
      </c>
      <c r="E52" s="162"/>
      <c r="F52" s="162"/>
      <c r="G52" s="162"/>
    </row>
    <row r="53" spans="1:7" x14ac:dyDescent="0.25">
      <c r="A53" s="161">
        <v>17</v>
      </c>
      <c r="B53" s="163">
        <v>39</v>
      </c>
      <c r="C53" s="163">
        <v>51.8</v>
      </c>
      <c r="D53" s="163">
        <v>109.5</v>
      </c>
      <c r="E53" s="162"/>
      <c r="F53" s="162"/>
      <c r="G53" s="162"/>
    </row>
    <row r="54" spans="1:7" x14ac:dyDescent="0.25">
      <c r="A54" s="161">
        <v>18</v>
      </c>
      <c r="B54" s="163">
        <v>22.7</v>
      </c>
      <c r="C54" s="163">
        <v>56.9</v>
      </c>
      <c r="D54" s="163">
        <v>79.400000000000006</v>
      </c>
      <c r="E54" s="162"/>
      <c r="F54" s="162"/>
      <c r="G54" s="162"/>
    </row>
    <row r="55" spans="1:7" ht="14.5" thickBot="1" x14ac:dyDescent="0.3">
      <c r="A55" s="164">
        <v>19</v>
      </c>
      <c r="B55" s="165">
        <v>36.9</v>
      </c>
      <c r="C55" s="165">
        <v>52.8</v>
      </c>
      <c r="D55" s="165">
        <v>101.8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36.4</v>
      </c>
      <c r="C59" s="163">
        <v>51.7</v>
      </c>
      <c r="D59" s="163">
        <v>70.7</v>
      </c>
      <c r="E59" s="163">
        <v>31.4</v>
      </c>
      <c r="F59" s="163">
        <v>71.3</v>
      </c>
      <c r="G59" s="163">
        <v>117.1</v>
      </c>
    </row>
    <row r="60" spans="1:7" x14ac:dyDescent="0.25">
      <c r="A60" s="161">
        <v>2</v>
      </c>
      <c r="B60" s="163">
        <v>22.9</v>
      </c>
      <c r="C60" s="163">
        <v>54.9</v>
      </c>
      <c r="D60" s="163">
        <v>92.4</v>
      </c>
      <c r="E60" s="163">
        <v>25.4</v>
      </c>
      <c r="F60" s="163">
        <v>85.1</v>
      </c>
      <c r="G60" s="163">
        <v>116.9</v>
      </c>
    </row>
    <row r="61" spans="1:7" x14ac:dyDescent="0.25">
      <c r="A61" s="161">
        <v>3</v>
      </c>
      <c r="B61" s="163">
        <v>43.3</v>
      </c>
      <c r="C61" s="163">
        <v>66</v>
      </c>
      <c r="D61" s="163">
        <v>89.4</v>
      </c>
      <c r="E61" s="163">
        <v>38.299999999999997</v>
      </c>
      <c r="F61" s="163">
        <v>84.1</v>
      </c>
      <c r="G61" s="163">
        <v>93.1</v>
      </c>
    </row>
    <row r="62" spans="1:7" x14ac:dyDescent="0.25">
      <c r="A62" s="161">
        <v>4</v>
      </c>
      <c r="B62" s="163">
        <v>33.700000000000003</v>
      </c>
      <c r="C62" s="163">
        <v>68.8</v>
      </c>
      <c r="D62" s="163">
        <v>98.4</v>
      </c>
      <c r="E62" s="163">
        <v>33.200000000000003</v>
      </c>
      <c r="F62" s="163">
        <v>63.1</v>
      </c>
      <c r="G62" s="163">
        <v>110.1</v>
      </c>
    </row>
    <row r="63" spans="1:7" x14ac:dyDescent="0.25">
      <c r="A63" s="161">
        <v>5</v>
      </c>
      <c r="B63" s="163">
        <v>30.6</v>
      </c>
      <c r="C63" s="163">
        <v>53.9</v>
      </c>
      <c r="D63" s="163">
        <v>94</v>
      </c>
      <c r="E63" s="163">
        <v>38.299999999999997</v>
      </c>
      <c r="F63" s="163">
        <v>61.6</v>
      </c>
      <c r="G63" s="163">
        <v>112.4</v>
      </c>
    </row>
    <row r="64" spans="1:7" x14ac:dyDescent="0.25">
      <c r="A64" s="167">
        <v>6</v>
      </c>
      <c r="B64" s="163">
        <v>44.1</v>
      </c>
      <c r="C64" s="163">
        <v>51.7</v>
      </c>
      <c r="D64" s="163">
        <v>90.1</v>
      </c>
      <c r="E64" s="163">
        <v>34.5</v>
      </c>
      <c r="F64" s="163">
        <v>67.8</v>
      </c>
      <c r="G64" s="163">
        <v>92.1</v>
      </c>
    </row>
    <row r="65" spans="1:7" ht="14.5" thickBot="1" x14ac:dyDescent="0.3">
      <c r="A65" s="164">
        <v>7</v>
      </c>
      <c r="B65" s="165">
        <v>49.7</v>
      </c>
      <c r="C65" s="165">
        <v>58.5</v>
      </c>
      <c r="D65" s="165">
        <v>100.3</v>
      </c>
      <c r="E65" s="165">
        <v>45</v>
      </c>
      <c r="F65" s="165">
        <v>80.900000000000006</v>
      </c>
      <c r="G65" s="165">
        <v>104.7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35</v>
      </c>
      <c r="C69" s="163">
        <v>52.5</v>
      </c>
      <c r="D69" s="163">
        <v>88.1</v>
      </c>
      <c r="E69" s="163">
        <v>48.7</v>
      </c>
      <c r="F69" s="163">
        <v>82.5</v>
      </c>
      <c r="G69" s="163">
        <v>114.1</v>
      </c>
    </row>
    <row r="70" spans="1:7" x14ac:dyDescent="0.25">
      <c r="A70" s="161">
        <v>2</v>
      </c>
      <c r="B70" s="163">
        <v>46.7</v>
      </c>
      <c r="C70" s="163">
        <v>65.900000000000006</v>
      </c>
      <c r="D70" s="163">
        <v>96.2</v>
      </c>
      <c r="E70" s="163">
        <v>57.9</v>
      </c>
      <c r="F70" s="163">
        <v>77.3</v>
      </c>
      <c r="G70" s="163">
        <v>120</v>
      </c>
    </row>
    <row r="71" spans="1:7" x14ac:dyDescent="0.25">
      <c r="A71" s="161">
        <v>3</v>
      </c>
      <c r="B71" s="163">
        <v>45.3</v>
      </c>
      <c r="C71" s="163">
        <v>52.8</v>
      </c>
      <c r="D71" s="163">
        <v>104</v>
      </c>
      <c r="E71" s="163">
        <v>57.7</v>
      </c>
      <c r="F71" s="163">
        <v>87.6</v>
      </c>
      <c r="G71" s="163">
        <v>106.8</v>
      </c>
    </row>
    <row r="72" spans="1:7" x14ac:dyDescent="0.25">
      <c r="A72" s="161">
        <v>4</v>
      </c>
      <c r="B72" s="163">
        <v>24.4</v>
      </c>
      <c r="C72" s="163">
        <v>52.6</v>
      </c>
      <c r="D72" s="163">
        <v>74.599999999999994</v>
      </c>
      <c r="E72" s="163">
        <v>52.2</v>
      </c>
      <c r="F72" s="163">
        <v>79</v>
      </c>
      <c r="G72" s="163">
        <v>111.4</v>
      </c>
    </row>
    <row r="73" spans="1:7" x14ac:dyDescent="0.25">
      <c r="A73" s="161">
        <v>5</v>
      </c>
      <c r="B73" s="163">
        <v>40.9</v>
      </c>
      <c r="C73" s="163">
        <v>52.4</v>
      </c>
      <c r="D73" s="163">
        <v>106.7</v>
      </c>
      <c r="E73" s="163">
        <v>53</v>
      </c>
      <c r="F73" s="163">
        <v>84.2</v>
      </c>
      <c r="G73" s="163">
        <v>99.7</v>
      </c>
    </row>
    <row r="74" spans="1:7" x14ac:dyDescent="0.25">
      <c r="A74" s="161">
        <v>6</v>
      </c>
      <c r="B74" s="163">
        <v>44.6</v>
      </c>
      <c r="C74" s="163">
        <v>58.9</v>
      </c>
      <c r="D74" s="163">
        <v>72.8</v>
      </c>
      <c r="E74" s="163">
        <v>27.3</v>
      </c>
      <c r="F74" s="163">
        <v>63.2</v>
      </c>
      <c r="G74" s="163">
        <v>106</v>
      </c>
    </row>
    <row r="75" spans="1:7" x14ac:dyDescent="0.25">
      <c r="A75" s="161">
        <v>7</v>
      </c>
      <c r="B75" s="163">
        <v>19.899999999999999</v>
      </c>
      <c r="C75" s="163">
        <v>67.8</v>
      </c>
      <c r="D75" s="163">
        <v>70.5</v>
      </c>
      <c r="E75" s="163">
        <v>47.5</v>
      </c>
      <c r="F75" s="163">
        <v>66.7</v>
      </c>
      <c r="G75" s="163">
        <v>115</v>
      </c>
    </row>
    <row r="76" spans="1:7" x14ac:dyDescent="0.25">
      <c r="A76" s="161">
        <v>8</v>
      </c>
      <c r="B76" s="163">
        <v>16.7</v>
      </c>
      <c r="C76" s="163">
        <v>67.400000000000006</v>
      </c>
      <c r="D76" s="163">
        <v>79.400000000000006</v>
      </c>
      <c r="E76" s="163">
        <v>39.1</v>
      </c>
      <c r="F76" s="163">
        <v>62.8</v>
      </c>
      <c r="G76" s="163">
        <v>99.9</v>
      </c>
    </row>
    <row r="77" spans="1:7" x14ac:dyDescent="0.25">
      <c r="A77" s="161">
        <v>9</v>
      </c>
      <c r="B77" s="163">
        <v>41.7</v>
      </c>
      <c r="C77" s="163">
        <v>66.3</v>
      </c>
      <c r="D77" s="163">
        <v>97.1</v>
      </c>
      <c r="E77" s="163">
        <v>36.299999999999997</v>
      </c>
      <c r="F77" s="163">
        <v>80.900000000000006</v>
      </c>
      <c r="G77" s="163">
        <v>108.4</v>
      </c>
    </row>
    <row r="78" spans="1:7" x14ac:dyDescent="0.25">
      <c r="A78" s="161">
        <v>10</v>
      </c>
      <c r="B78" s="163">
        <v>30</v>
      </c>
      <c r="C78" s="163">
        <v>57.4</v>
      </c>
      <c r="D78" s="163">
        <v>102.5</v>
      </c>
      <c r="E78" s="163">
        <v>47.4</v>
      </c>
      <c r="F78" s="163">
        <v>83.8</v>
      </c>
      <c r="G78" s="163">
        <v>109.1</v>
      </c>
    </row>
    <row r="79" spans="1:7" x14ac:dyDescent="0.25">
      <c r="A79" s="161">
        <v>11</v>
      </c>
      <c r="B79" s="163">
        <v>18.399999999999999</v>
      </c>
      <c r="C79" s="163">
        <v>51.4</v>
      </c>
      <c r="D79" s="163">
        <v>104.4</v>
      </c>
      <c r="E79" s="163">
        <v>30</v>
      </c>
      <c r="F79" s="163">
        <v>82.8</v>
      </c>
      <c r="G79" s="163">
        <v>107.6</v>
      </c>
    </row>
    <row r="80" spans="1:7" x14ac:dyDescent="0.25">
      <c r="A80" s="161">
        <v>12</v>
      </c>
      <c r="B80" s="163">
        <v>30.3</v>
      </c>
      <c r="C80" s="163">
        <v>68.3</v>
      </c>
      <c r="D80" s="163">
        <v>96</v>
      </c>
      <c r="E80" s="163">
        <v>27.9</v>
      </c>
      <c r="F80" s="163">
        <v>85.7</v>
      </c>
      <c r="G80" s="163">
        <v>106.6</v>
      </c>
    </row>
    <row r="81" spans="1:7" x14ac:dyDescent="0.25">
      <c r="A81" s="161">
        <v>13</v>
      </c>
      <c r="B81" s="163">
        <v>34.700000000000003</v>
      </c>
      <c r="C81" s="163">
        <v>62.1</v>
      </c>
      <c r="D81" s="163">
        <v>87.7</v>
      </c>
      <c r="E81" s="163">
        <v>49.5</v>
      </c>
      <c r="F81" s="163">
        <v>85.5</v>
      </c>
      <c r="G81" s="163">
        <v>102.2</v>
      </c>
    </row>
    <row r="82" spans="1:7" x14ac:dyDescent="0.25">
      <c r="A82" s="161">
        <v>14</v>
      </c>
      <c r="B82" s="163">
        <v>41.4</v>
      </c>
      <c r="C82" s="163">
        <v>54.5</v>
      </c>
      <c r="D82" s="163">
        <v>109.4</v>
      </c>
      <c r="E82" s="163">
        <v>57.9</v>
      </c>
      <c r="F82" s="163">
        <v>64.3</v>
      </c>
      <c r="G82" s="163">
        <v>117.1</v>
      </c>
    </row>
    <row r="83" spans="1:7" x14ac:dyDescent="0.25">
      <c r="A83" s="161">
        <v>15</v>
      </c>
      <c r="B83" s="163">
        <v>22</v>
      </c>
      <c r="C83" s="163">
        <v>63.1</v>
      </c>
      <c r="D83" s="163">
        <v>71.099999999999994</v>
      </c>
      <c r="E83" s="163">
        <v>59.8</v>
      </c>
      <c r="F83" s="163">
        <v>76.8</v>
      </c>
      <c r="G83" s="163">
        <v>94</v>
      </c>
    </row>
    <row r="84" spans="1:7" x14ac:dyDescent="0.25">
      <c r="A84" s="161">
        <v>16</v>
      </c>
      <c r="B84" s="163">
        <v>19.5</v>
      </c>
      <c r="C84" s="163">
        <v>64.7</v>
      </c>
      <c r="D84" s="163">
        <v>94.7</v>
      </c>
      <c r="E84" s="163"/>
      <c r="F84" s="163"/>
      <c r="G84" s="163"/>
    </row>
    <row r="85" spans="1:7" ht="14.5" thickBot="1" x14ac:dyDescent="0.3">
      <c r="A85" s="166">
        <v>17</v>
      </c>
      <c r="B85" s="168">
        <v>35.9</v>
      </c>
      <c r="C85" s="168">
        <v>54.9</v>
      </c>
      <c r="D85" s="168">
        <v>96.5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29</v>
      </c>
      <c r="C89" s="163">
        <v>66.3</v>
      </c>
      <c r="D89" s="163">
        <v>77.7</v>
      </c>
      <c r="E89" s="163">
        <v>32.6</v>
      </c>
      <c r="F89" s="163">
        <v>71.900000000000006</v>
      </c>
      <c r="G89" s="163">
        <v>102.9</v>
      </c>
    </row>
    <row r="90" spans="1:7" x14ac:dyDescent="0.25">
      <c r="A90" s="161">
        <v>2</v>
      </c>
      <c r="B90" s="163">
        <v>40.5</v>
      </c>
      <c r="C90" s="163">
        <v>58.6</v>
      </c>
      <c r="D90" s="163">
        <v>75.400000000000006</v>
      </c>
      <c r="E90" s="163">
        <v>44.3</v>
      </c>
      <c r="F90" s="163">
        <v>84</v>
      </c>
      <c r="G90" s="163">
        <v>119.6</v>
      </c>
    </row>
    <row r="91" spans="1:7" x14ac:dyDescent="0.25">
      <c r="A91" s="161">
        <v>3</v>
      </c>
      <c r="B91" s="163">
        <v>39.9</v>
      </c>
      <c r="C91" s="163">
        <v>67.8</v>
      </c>
      <c r="D91" s="163">
        <v>77.5</v>
      </c>
      <c r="E91" s="163">
        <v>42.2</v>
      </c>
      <c r="F91" s="163">
        <v>66.8</v>
      </c>
      <c r="G91" s="163">
        <v>114.7</v>
      </c>
    </row>
    <row r="92" spans="1:7" x14ac:dyDescent="0.25">
      <c r="A92" s="161">
        <v>4</v>
      </c>
      <c r="B92" s="163">
        <v>49.5</v>
      </c>
      <c r="C92" s="163">
        <v>68.5</v>
      </c>
      <c r="D92" s="163">
        <v>81.5</v>
      </c>
      <c r="E92" s="163">
        <v>44.3</v>
      </c>
      <c r="F92" s="163">
        <v>62.3</v>
      </c>
      <c r="G92" s="163">
        <v>114.1</v>
      </c>
    </row>
    <row r="93" spans="1:7" x14ac:dyDescent="0.25">
      <c r="A93" s="161">
        <v>5</v>
      </c>
      <c r="B93" s="163">
        <v>39</v>
      </c>
      <c r="C93" s="163">
        <v>65.599999999999994</v>
      </c>
      <c r="D93" s="163">
        <v>86.5</v>
      </c>
      <c r="E93" s="163">
        <v>49.6</v>
      </c>
      <c r="F93" s="163">
        <v>88.2</v>
      </c>
      <c r="G93" s="163">
        <v>112.2</v>
      </c>
    </row>
    <row r="94" spans="1:7" x14ac:dyDescent="0.25">
      <c r="A94" s="161">
        <v>6</v>
      </c>
      <c r="B94" s="163">
        <v>27.3</v>
      </c>
      <c r="C94" s="163">
        <v>55.6</v>
      </c>
      <c r="D94" s="163">
        <v>92.6</v>
      </c>
      <c r="E94" s="163">
        <v>44.6</v>
      </c>
      <c r="F94" s="163">
        <v>65.099999999999994</v>
      </c>
      <c r="G94" s="163">
        <v>96.5</v>
      </c>
    </row>
    <row r="95" spans="1:7" x14ac:dyDescent="0.25">
      <c r="A95" s="161">
        <v>7</v>
      </c>
      <c r="B95" s="163">
        <v>35.5</v>
      </c>
      <c r="C95" s="163">
        <v>51.2</v>
      </c>
      <c r="D95" s="163">
        <v>73.900000000000006</v>
      </c>
      <c r="E95" s="163">
        <v>31.8</v>
      </c>
      <c r="F95" s="163">
        <v>82.7</v>
      </c>
      <c r="G95" s="163">
        <v>113.5</v>
      </c>
    </row>
    <row r="96" spans="1:7" x14ac:dyDescent="0.25">
      <c r="A96" s="161">
        <v>8</v>
      </c>
      <c r="B96" s="163">
        <v>37.1</v>
      </c>
      <c r="C96" s="163">
        <v>50.5</v>
      </c>
      <c r="D96" s="163">
        <v>87</v>
      </c>
      <c r="E96" s="162"/>
      <c r="F96" s="162"/>
      <c r="G96" s="162"/>
    </row>
    <row r="97" spans="1:7" x14ac:dyDescent="0.25">
      <c r="A97" s="161">
        <v>9</v>
      </c>
      <c r="B97" s="163">
        <v>22.4</v>
      </c>
      <c r="C97" s="163">
        <v>52.9</v>
      </c>
      <c r="D97" s="163">
        <v>75.2</v>
      </c>
      <c r="E97" s="162"/>
      <c r="F97" s="162"/>
      <c r="G97" s="162"/>
    </row>
    <row r="98" spans="1:7" x14ac:dyDescent="0.25">
      <c r="A98" s="161">
        <v>10</v>
      </c>
      <c r="B98" s="163">
        <v>26.6</v>
      </c>
      <c r="C98" s="163">
        <v>66.8</v>
      </c>
      <c r="D98" s="163">
        <v>96.1</v>
      </c>
      <c r="E98" s="162"/>
      <c r="F98" s="162"/>
      <c r="G98" s="162"/>
    </row>
    <row r="99" spans="1:7" x14ac:dyDescent="0.25">
      <c r="A99" s="161">
        <v>11</v>
      </c>
      <c r="B99" s="163">
        <v>39.9</v>
      </c>
      <c r="C99" s="163">
        <v>52.7</v>
      </c>
      <c r="D99" s="163">
        <v>82.9</v>
      </c>
      <c r="E99" s="162"/>
      <c r="F99" s="162"/>
      <c r="G99" s="162"/>
    </row>
    <row r="100" spans="1:7" x14ac:dyDescent="0.25">
      <c r="A100" s="161">
        <v>12</v>
      </c>
      <c r="B100" s="163">
        <v>33</v>
      </c>
      <c r="C100" s="163">
        <v>61.9</v>
      </c>
      <c r="D100" s="163">
        <v>94.2</v>
      </c>
      <c r="E100" s="162"/>
      <c r="F100" s="162"/>
      <c r="G100" s="162"/>
    </row>
    <row r="101" spans="1:7" x14ac:dyDescent="0.25">
      <c r="A101" s="161">
        <v>13</v>
      </c>
      <c r="B101" s="163">
        <v>42.1</v>
      </c>
      <c r="C101" s="163">
        <v>64.599999999999994</v>
      </c>
      <c r="D101" s="163">
        <v>107.6</v>
      </c>
      <c r="E101" s="162"/>
      <c r="F101" s="162"/>
      <c r="G101" s="162"/>
    </row>
    <row r="102" spans="1:7" x14ac:dyDescent="0.25">
      <c r="A102" s="161">
        <v>14</v>
      </c>
      <c r="B102" s="163">
        <v>34.4</v>
      </c>
      <c r="C102" s="163">
        <v>50.3</v>
      </c>
      <c r="D102" s="163">
        <v>96.4</v>
      </c>
      <c r="E102" s="162"/>
      <c r="F102" s="162"/>
      <c r="G102" s="162"/>
    </row>
    <row r="103" spans="1:7" x14ac:dyDescent="0.25">
      <c r="A103" s="161">
        <v>15</v>
      </c>
      <c r="B103" s="163">
        <v>34.9</v>
      </c>
      <c r="C103" s="163">
        <v>61.3</v>
      </c>
      <c r="D103" s="163">
        <v>86.9</v>
      </c>
      <c r="E103" s="162"/>
      <c r="F103" s="162"/>
      <c r="G103" s="162"/>
    </row>
    <row r="104" spans="1:7" x14ac:dyDescent="0.25">
      <c r="A104" s="161">
        <v>16</v>
      </c>
      <c r="B104" s="163">
        <v>43.6</v>
      </c>
      <c r="C104" s="163">
        <v>58.1</v>
      </c>
      <c r="D104" s="163">
        <v>92.2</v>
      </c>
      <c r="E104" s="162"/>
      <c r="F104" s="162"/>
      <c r="G104" s="162"/>
    </row>
    <row r="105" spans="1:7" x14ac:dyDescent="0.25">
      <c r="A105" s="161">
        <v>17</v>
      </c>
      <c r="B105" s="163">
        <v>43.3</v>
      </c>
      <c r="C105" s="163">
        <v>60.8</v>
      </c>
      <c r="D105" s="163">
        <v>106.8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101.7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21.1</v>
      </c>
      <c r="C110" s="163">
        <v>52.3</v>
      </c>
      <c r="D110" s="163">
        <v>107.3</v>
      </c>
      <c r="E110" s="163">
        <v>29.5</v>
      </c>
      <c r="F110" s="163">
        <v>86.4</v>
      </c>
      <c r="G110" s="163">
        <v>93.4</v>
      </c>
    </row>
    <row r="111" spans="1:7" x14ac:dyDescent="0.25">
      <c r="A111" s="161">
        <v>2</v>
      </c>
      <c r="B111" s="163">
        <v>42.5</v>
      </c>
      <c r="C111" s="163">
        <v>53.3</v>
      </c>
      <c r="D111" s="163">
        <v>73.5</v>
      </c>
      <c r="E111" s="163">
        <v>37.4</v>
      </c>
      <c r="F111" s="163">
        <v>60.3</v>
      </c>
      <c r="G111" s="163">
        <v>115.8</v>
      </c>
    </row>
    <row r="112" spans="1:7" ht="14.5" thickBot="1" x14ac:dyDescent="0.3">
      <c r="A112" s="166">
        <v>3</v>
      </c>
      <c r="B112" s="168"/>
      <c r="C112" s="168"/>
      <c r="D112" s="168"/>
      <c r="E112" s="168">
        <v>27.9</v>
      </c>
      <c r="F112" s="168">
        <v>69.599999999999994</v>
      </c>
      <c r="G112" s="168">
        <v>107.5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34.299999999999997</v>
      </c>
      <c r="C116" s="163">
        <v>66.099999999999994</v>
      </c>
      <c r="D116" s="163">
        <v>103.5</v>
      </c>
      <c r="E116" s="163">
        <v>34.6</v>
      </c>
      <c r="F116" s="163">
        <v>87.3</v>
      </c>
      <c r="G116" s="163">
        <v>97.9</v>
      </c>
    </row>
    <row r="117" spans="1:7" x14ac:dyDescent="0.25">
      <c r="A117" s="161">
        <v>2</v>
      </c>
      <c r="B117" s="163">
        <v>35.700000000000003</v>
      </c>
      <c r="C117" s="163">
        <v>63.1</v>
      </c>
      <c r="D117" s="163">
        <v>80.599999999999994</v>
      </c>
      <c r="E117" s="163">
        <v>44.8</v>
      </c>
      <c r="F117" s="163">
        <v>88.4</v>
      </c>
      <c r="G117" s="163">
        <v>101.3</v>
      </c>
    </row>
    <row r="118" spans="1:7" x14ac:dyDescent="0.25">
      <c r="A118" s="161">
        <v>3</v>
      </c>
      <c r="B118" s="163">
        <v>16.3</v>
      </c>
      <c r="C118" s="163">
        <v>51.7</v>
      </c>
      <c r="D118" s="163">
        <v>100.9</v>
      </c>
      <c r="E118" s="163">
        <v>54.7</v>
      </c>
      <c r="F118" s="163">
        <v>80.5</v>
      </c>
      <c r="G118" s="163">
        <v>99.1</v>
      </c>
    </row>
    <row r="119" spans="1:7" x14ac:dyDescent="0.25">
      <c r="A119" s="161">
        <v>4</v>
      </c>
      <c r="B119" s="163">
        <v>38.299999999999997</v>
      </c>
      <c r="C119" s="163">
        <v>55.4</v>
      </c>
      <c r="D119" s="163">
        <v>98.5</v>
      </c>
      <c r="E119" s="163">
        <v>47.7</v>
      </c>
      <c r="F119" s="163">
        <v>85.4</v>
      </c>
      <c r="G119" s="163">
        <v>115</v>
      </c>
    </row>
    <row r="120" spans="1:7" x14ac:dyDescent="0.25">
      <c r="A120" s="161">
        <v>5</v>
      </c>
      <c r="B120" s="162"/>
      <c r="C120" s="162"/>
      <c r="D120" s="162"/>
      <c r="E120" s="163">
        <v>25.9</v>
      </c>
      <c r="F120" s="163">
        <v>61</v>
      </c>
      <c r="G120" s="163">
        <v>97.9</v>
      </c>
    </row>
    <row r="121" spans="1:7" x14ac:dyDescent="0.25">
      <c r="A121" s="161">
        <v>6</v>
      </c>
      <c r="B121" s="162"/>
      <c r="C121" s="162"/>
      <c r="D121" s="162"/>
      <c r="E121" s="163">
        <v>26.5</v>
      </c>
      <c r="F121" s="163">
        <v>83.3</v>
      </c>
      <c r="G121" s="163">
        <v>117.1</v>
      </c>
    </row>
    <row r="122" spans="1:7" x14ac:dyDescent="0.25">
      <c r="A122" s="161">
        <v>7</v>
      </c>
      <c r="B122" s="162"/>
      <c r="C122" s="162"/>
      <c r="D122" s="162"/>
      <c r="E122" s="163">
        <v>25</v>
      </c>
      <c r="F122" s="163">
        <v>63.6</v>
      </c>
      <c r="G122" s="163">
        <v>96.9</v>
      </c>
    </row>
    <row r="123" spans="1:7" x14ac:dyDescent="0.25">
      <c r="A123" s="161">
        <v>8</v>
      </c>
      <c r="B123" s="162"/>
      <c r="C123" s="162"/>
      <c r="D123" s="162"/>
      <c r="E123" s="163">
        <v>35.4</v>
      </c>
      <c r="F123" s="163">
        <v>63.7</v>
      </c>
      <c r="G123" s="163">
        <v>114.7</v>
      </c>
    </row>
    <row r="124" spans="1:7" ht="14.5" thickBot="1" x14ac:dyDescent="0.3">
      <c r="A124" s="166">
        <v>9</v>
      </c>
      <c r="B124" s="168"/>
      <c r="C124" s="168"/>
      <c r="D124" s="168"/>
      <c r="E124" s="168">
        <v>32.1</v>
      </c>
      <c r="F124" s="168">
        <v>86.8</v>
      </c>
      <c r="G124" s="168">
        <v>115.9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62.883333333333347</v>
      </c>
      <c r="C129" s="170">
        <f>AVERAGE(E5:G7)</f>
        <v>73.766666666666666</v>
      </c>
      <c r="D129" s="161">
        <f>'2021.1'!D129</f>
        <v>2166</v>
      </c>
      <c r="E129" s="161">
        <v>4351</v>
      </c>
      <c r="F129" s="161">
        <f>D129*B129</f>
        <v>136205.30000000002</v>
      </c>
      <c r="G129" s="161">
        <f>E129*C129</f>
        <v>320958.76666666666</v>
      </c>
    </row>
    <row r="130" spans="1:7" x14ac:dyDescent="0.25">
      <c r="A130" s="162" t="str">
        <f>A8</f>
        <v>Dongyuan Huangtian swine Farm</v>
      </c>
      <c r="B130" s="169">
        <f>AVERAGE((B11:D15))</f>
        <v>58.906666666666673</v>
      </c>
      <c r="C130" s="169">
        <f>AVERAGE(E11:G11)</f>
        <v>73.133333333333326</v>
      </c>
      <c r="D130" s="161">
        <f>'2021.1'!D130</f>
        <v>6431</v>
      </c>
      <c r="E130" s="161">
        <v>1453</v>
      </c>
      <c r="F130" s="161">
        <f t="shared" ref="F130:G137" si="0">D130*B130</f>
        <v>378828.77333333337</v>
      </c>
      <c r="G130" s="161">
        <f t="shared" si="0"/>
        <v>106262.73333333332</v>
      </c>
    </row>
    <row r="131" spans="1:7" x14ac:dyDescent="0.25">
      <c r="A131" s="162" t="str">
        <f>A16</f>
        <v>Enping Shahu swine  Farm</v>
      </c>
      <c r="B131" s="169">
        <f>AVERAGE(B19:D33)</f>
        <v>60.011111111111099</v>
      </c>
      <c r="C131" s="169">
        <f>AVERAGE(E19:G28)</f>
        <v>73.813333333333333</v>
      </c>
      <c r="D131" s="161">
        <f>'2021.1'!D131</f>
        <v>23413</v>
      </c>
      <c r="E131" s="161">
        <v>15627</v>
      </c>
      <c r="F131" s="161">
        <f t="shared" si="0"/>
        <v>1405040.1444444442</v>
      </c>
      <c r="G131" s="161">
        <f t="shared" si="0"/>
        <v>1153480.96</v>
      </c>
    </row>
    <row r="132" spans="1:7" x14ac:dyDescent="0.25">
      <c r="A132" s="162" t="str">
        <f>A34</f>
        <v>Langtian Yuehui swine Farm</v>
      </c>
      <c r="B132" s="169">
        <f>AVERAGE(B37:D55)</f>
        <v>60.65087719298247</v>
      </c>
      <c r="C132" s="169">
        <f>AVERAGE(E37:G43)</f>
        <v>73.904761904761898</v>
      </c>
      <c r="D132" s="161">
        <f>'2021.1'!D132</f>
        <v>29497</v>
      </c>
      <c r="E132" s="161">
        <v>10130</v>
      </c>
      <c r="F132" s="161">
        <f t="shared" si="0"/>
        <v>1789018.9245614039</v>
      </c>
      <c r="G132" s="161">
        <f t="shared" si="0"/>
        <v>748655.23809523799</v>
      </c>
    </row>
    <row r="133" spans="1:7" x14ac:dyDescent="0.25">
      <c r="A133" s="162" t="str">
        <f>A56</f>
        <v>Qujiang Fengwan swine Farm</v>
      </c>
      <c r="B133" s="169">
        <f>AVERAGE(B59:D65)</f>
        <v>61.976190476190474</v>
      </c>
      <c r="C133" s="169">
        <f>AVERAGE(E59:G65)</f>
        <v>71.733333333333334</v>
      </c>
      <c r="D133" s="161">
        <f>'2021.1'!D133</f>
        <v>9686</v>
      </c>
      <c r="E133" s="161">
        <v>11317</v>
      </c>
      <c r="F133" s="161">
        <f t="shared" si="0"/>
        <v>600301.38095238095</v>
      </c>
      <c r="G133" s="161">
        <f t="shared" si="0"/>
        <v>811806.1333333333</v>
      </c>
    </row>
    <row r="134" spans="1:7" x14ac:dyDescent="0.25">
      <c r="A134" s="162" t="str">
        <f>A66</f>
        <v>Pingyuan Zhongshi swine Farm</v>
      </c>
      <c r="B134" s="169">
        <f>AVERAGE(B69:D85)</f>
        <v>61.021568627450982</v>
      </c>
      <c r="C134" s="169">
        <f>AVERAGE(E69:G83)</f>
        <v>77.182222222222236</v>
      </c>
      <c r="D134" s="161">
        <f>'2021.1'!D134</f>
        <v>26358</v>
      </c>
      <c r="E134" s="161">
        <v>23574</v>
      </c>
      <c r="F134" s="161">
        <f t="shared" si="0"/>
        <v>1608406.5058823531</v>
      </c>
      <c r="G134" s="161">
        <f t="shared" si="0"/>
        <v>1819493.706666667</v>
      </c>
    </row>
    <row r="135" spans="1:7" x14ac:dyDescent="0.25">
      <c r="A135" s="162" t="str">
        <f>A86</f>
        <v>Yangchun Tanshui swine Farm</v>
      </c>
      <c r="B135" s="169">
        <f>AVERAGE(B89:D106)</f>
        <v>61.992307692307705</v>
      </c>
      <c r="C135" s="169">
        <f>AVERAGE(E89:G95)</f>
        <v>75.423809523809524</v>
      </c>
      <c r="D135" s="161">
        <f>'2021.1'!D135</f>
        <v>26581</v>
      </c>
      <c r="E135" s="161">
        <v>11621</v>
      </c>
      <c r="F135" s="161">
        <f t="shared" si="0"/>
        <v>1647817.530769231</v>
      </c>
      <c r="G135" s="161">
        <f t="shared" si="0"/>
        <v>876500.09047619044</v>
      </c>
    </row>
    <row r="136" spans="1:7" x14ac:dyDescent="0.25">
      <c r="A136" s="162" t="str">
        <f>A107</f>
        <v>Xinfeng Shatian swine Farm</v>
      </c>
      <c r="B136" s="169">
        <f>AVERAGE(B110:D112)</f>
        <v>58.333333333333336</v>
      </c>
      <c r="C136" s="169">
        <f>AVERAGE(E110:G112)</f>
        <v>69.755555555555546</v>
      </c>
      <c r="D136" s="161">
        <f>'2021.1'!D136</f>
        <v>2074</v>
      </c>
      <c r="E136" s="161">
        <v>3773</v>
      </c>
      <c r="F136" s="161">
        <f t="shared" si="0"/>
        <v>120983.33333333334</v>
      </c>
      <c r="G136" s="161">
        <f t="shared" si="0"/>
        <v>263187.7111111111</v>
      </c>
    </row>
    <row r="137" spans="1:7" x14ac:dyDescent="0.25">
      <c r="A137" s="162" t="str">
        <f>A113</f>
        <v>Kaiping Cangcheng swine Farm</v>
      </c>
      <c r="B137" s="169">
        <f>AVERAGE(B116:D119)</f>
        <v>62.033333333333324</v>
      </c>
      <c r="C137" s="169">
        <f>AVERAGE(E116:G124)</f>
        <v>73.425925925925924</v>
      </c>
      <c r="D137" s="161">
        <f>'2021.1'!D137</f>
        <v>5872</v>
      </c>
      <c r="E137" s="161">
        <v>13993</v>
      </c>
      <c r="F137" s="161">
        <f t="shared" si="0"/>
        <v>364259.73333333328</v>
      </c>
      <c r="G137" s="161">
        <f t="shared" si="0"/>
        <v>1027448.9814814815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95839</v>
      </c>
      <c r="F138" s="161">
        <f t="shared" ref="F138:G138" si="1">SUM(F129:F137)</f>
        <v>8050861.6266098116</v>
      </c>
      <c r="G138" s="161">
        <f t="shared" si="1"/>
        <v>7127794.3211640213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60.9</v>
      </c>
      <c r="D142" s="171">
        <f>ROUNDDOWN(G138/E138,1)</f>
        <v>74.3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C5773-55C0-459C-AE5D-E85335F0E5F3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44.9</v>
      </c>
      <c r="C5" s="163">
        <v>62.5</v>
      </c>
      <c r="D5" s="163">
        <v>86.8</v>
      </c>
      <c r="E5" s="163">
        <v>25.1</v>
      </c>
      <c r="F5" s="163">
        <v>73.3</v>
      </c>
      <c r="G5" s="163">
        <v>91.8</v>
      </c>
    </row>
    <row r="6" spans="1:7" x14ac:dyDescent="0.25">
      <c r="A6" s="161">
        <v>2</v>
      </c>
      <c r="B6" s="163">
        <v>17</v>
      </c>
      <c r="C6" s="163">
        <v>52.5</v>
      </c>
      <c r="D6" s="163">
        <v>81.099999999999994</v>
      </c>
      <c r="E6" s="163">
        <v>26.3</v>
      </c>
      <c r="F6" s="163">
        <v>86.4</v>
      </c>
      <c r="G6" s="163">
        <v>104.4</v>
      </c>
    </row>
    <row r="7" spans="1:7" ht="14.5" thickBot="1" x14ac:dyDescent="0.3">
      <c r="A7" s="164">
        <v>3</v>
      </c>
      <c r="B7" s="165"/>
      <c r="C7" s="165"/>
      <c r="D7" s="165"/>
      <c r="E7" s="165">
        <v>38.700000000000003</v>
      </c>
      <c r="F7" s="165">
        <v>73.099999999999994</v>
      </c>
      <c r="G7" s="165">
        <v>91.6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46.2</v>
      </c>
      <c r="C11" s="163">
        <v>50</v>
      </c>
      <c r="D11" s="163">
        <v>90.5</v>
      </c>
      <c r="E11" s="163">
        <v>37.6</v>
      </c>
      <c r="F11" s="163">
        <v>61.1</v>
      </c>
      <c r="G11" s="163">
        <v>105.9</v>
      </c>
    </row>
    <row r="12" spans="1:7" x14ac:dyDescent="0.25">
      <c r="A12" s="161">
        <v>2</v>
      </c>
      <c r="B12" s="163">
        <v>36</v>
      </c>
      <c r="C12" s="163">
        <v>61.4</v>
      </c>
      <c r="D12" s="163">
        <v>93.7</v>
      </c>
      <c r="E12" s="163"/>
      <c r="F12" s="163"/>
      <c r="G12" s="163"/>
    </row>
    <row r="13" spans="1:7" x14ac:dyDescent="0.25">
      <c r="A13" s="161">
        <v>3</v>
      </c>
      <c r="B13" s="163">
        <v>24</v>
      </c>
      <c r="C13" s="163">
        <v>59.4</v>
      </c>
      <c r="D13" s="163">
        <v>93.9</v>
      </c>
      <c r="E13" s="162"/>
      <c r="F13" s="162"/>
      <c r="G13" s="162"/>
    </row>
    <row r="14" spans="1:7" x14ac:dyDescent="0.25">
      <c r="A14" s="161">
        <v>4</v>
      </c>
      <c r="B14" s="163">
        <v>42.9</v>
      </c>
      <c r="C14" s="163">
        <v>68</v>
      </c>
      <c r="D14" s="163">
        <v>105.2</v>
      </c>
      <c r="E14" s="162"/>
      <c r="F14" s="162"/>
      <c r="G14" s="162"/>
    </row>
    <row r="15" spans="1:7" ht="14.5" thickBot="1" x14ac:dyDescent="0.3">
      <c r="A15" s="164">
        <v>5</v>
      </c>
      <c r="B15" s="165">
        <v>31.3</v>
      </c>
      <c r="C15" s="165">
        <v>65.400000000000006</v>
      </c>
      <c r="D15" s="165">
        <v>88.4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40</v>
      </c>
      <c r="C19" s="163">
        <v>62.4</v>
      </c>
      <c r="D19" s="163">
        <v>75.3</v>
      </c>
      <c r="E19" s="163">
        <v>58.3</v>
      </c>
      <c r="F19" s="163">
        <v>84.8</v>
      </c>
      <c r="G19" s="163">
        <v>112.5</v>
      </c>
    </row>
    <row r="20" spans="1:7" x14ac:dyDescent="0.25">
      <c r="A20" s="161">
        <v>2</v>
      </c>
      <c r="B20" s="163">
        <v>28.8</v>
      </c>
      <c r="C20" s="163">
        <v>52.7</v>
      </c>
      <c r="D20" s="163">
        <v>96.5</v>
      </c>
      <c r="E20" s="163">
        <v>53.5</v>
      </c>
      <c r="F20" s="163">
        <v>72.5</v>
      </c>
      <c r="G20" s="163">
        <v>104.8</v>
      </c>
    </row>
    <row r="21" spans="1:7" x14ac:dyDescent="0.25">
      <c r="A21" s="161">
        <v>3</v>
      </c>
      <c r="B21" s="163">
        <v>34.1</v>
      </c>
      <c r="C21" s="163">
        <v>55</v>
      </c>
      <c r="D21" s="163">
        <v>86.2</v>
      </c>
      <c r="E21" s="163">
        <v>56.4</v>
      </c>
      <c r="F21" s="163">
        <v>63.8</v>
      </c>
      <c r="G21" s="163">
        <v>116</v>
      </c>
    </row>
    <row r="22" spans="1:7" x14ac:dyDescent="0.25">
      <c r="A22" s="161">
        <v>4</v>
      </c>
      <c r="B22" s="163">
        <v>23.3</v>
      </c>
      <c r="C22" s="163">
        <v>60.2</v>
      </c>
      <c r="D22" s="163">
        <v>89.1</v>
      </c>
      <c r="E22" s="163">
        <v>30.9</v>
      </c>
      <c r="F22" s="163">
        <v>79.7</v>
      </c>
      <c r="G22" s="163">
        <v>98.7</v>
      </c>
    </row>
    <row r="23" spans="1:7" x14ac:dyDescent="0.25">
      <c r="A23" s="161">
        <v>5</v>
      </c>
      <c r="B23" s="163">
        <v>27.3</v>
      </c>
      <c r="C23" s="163">
        <v>66.5</v>
      </c>
      <c r="D23" s="163">
        <v>108.5</v>
      </c>
      <c r="E23" s="163">
        <v>54.4</v>
      </c>
      <c r="F23" s="163">
        <v>80.599999999999994</v>
      </c>
      <c r="G23" s="163">
        <v>94.1</v>
      </c>
    </row>
    <row r="24" spans="1:7" x14ac:dyDescent="0.25">
      <c r="A24" s="161">
        <v>6</v>
      </c>
      <c r="B24" s="163">
        <v>38</v>
      </c>
      <c r="C24" s="163">
        <v>58.9</v>
      </c>
      <c r="D24" s="163">
        <v>85.2</v>
      </c>
      <c r="E24" s="163">
        <v>39.700000000000003</v>
      </c>
      <c r="F24" s="163">
        <v>78</v>
      </c>
      <c r="G24" s="163">
        <v>93.2</v>
      </c>
    </row>
    <row r="25" spans="1:7" x14ac:dyDescent="0.25">
      <c r="A25" s="161">
        <v>7</v>
      </c>
      <c r="B25" s="163">
        <v>26.3</v>
      </c>
      <c r="C25" s="163">
        <v>61.7</v>
      </c>
      <c r="D25" s="163">
        <v>89.4</v>
      </c>
      <c r="E25" s="163">
        <v>46</v>
      </c>
      <c r="F25" s="163">
        <v>66.599999999999994</v>
      </c>
      <c r="G25" s="163">
        <v>107.2</v>
      </c>
    </row>
    <row r="26" spans="1:7" x14ac:dyDescent="0.25">
      <c r="A26" s="161">
        <v>8</v>
      </c>
      <c r="B26" s="163">
        <v>25.9</v>
      </c>
      <c r="C26" s="163">
        <v>68.5</v>
      </c>
      <c r="D26" s="163">
        <v>92.3</v>
      </c>
      <c r="E26" s="163">
        <v>44.5</v>
      </c>
      <c r="F26" s="163">
        <v>72.8</v>
      </c>
      <c r="G26" s="163">
        <v>98.8</v>
      </c>
    </row>
    <row r="27" spans="1:7" x14ac:dyDescent="0.25">
      <c r="A27" s="161">
        <v>9</v>
      </c>
      <c r="B27" s="163">
        <v>34.4</v>
      </c>
      <c r="C27" s="163">
        <v>69.599999999999994</v>
      </c>
      <c r="D27" s="163">
        <v>87.7</v>
      </c>
      <c r="E27" s="163">
        <v>58.1</v>
      </c>
      <c r="F27" s="163">
        <v>65.3</v>
      </c>
      <c r="G27" s="163">
        <v>106.3</v>
      </c>
    </row>
    <row r="28" spans="1:7" x14ac:dyDescent="0.25">
      <c r="A28" s="161">
        <v>10</v>
      </c>
      <c r="B28" s="163">
        <v>48.2</v>
      </c>
      <c r="C28" s="163">
        <v>55.9</v>
      </c>
      <c r="D28" s="163">
        <v>81.8</v>
      </c>
      <c r="E28" s="163">
        <v>41.7</v>
      </c>
      <c r="F28" s="163">
        <v>65.400000000000006</v>
      </c>
      <c r="G28" s="163">
        <v>102.2</v>
      </c>
    </row>
    <row r="29" spans="1:7" x14ac:dyDescent="0.25">
      <c r="A29" s="161">
        <v>11</v>
      </c>
      <c r="B29" s="163">
        <v>49.6</v>
      </c>
      <c r="C29" s="163">
        <v>50.2</v>
      </c>
      <c r="D29" s="163">
        <v>90.5</v>
      </c>
      <c r="E29" s="163"/>
      <c r="F29" s="163"/>
      <c r="G29" s="163"/>
    </row>
    <row r="30" spans="1:7" x14ac:dyDescent="0.25">
      <c r="A30" s="161">
        <v>12</v>
      </c>
      <c r="B30" s="163">
        <v>38</v>
      </c>
      <c r="C30" s="163">
        <v>59.9</v>
      </c>
      <c r="D30" s="163">
        <v>89</v>
      </c>
      <c r="E30" s="163"/>
      <c r="F30" s="163"/>
      <c r="G30" s="163"/>
    </row>
    <row r="31" spans="1:7" x14ac:dyDescent="0.25">
      <c r="A31" s="161">
        <v>13</v>
      </c>
      <c r="B31" s="163">
        <v>32.799999999999997</v>
      </c>
      <c r="C31" s="163">
        <v>68.900000000000006</v>
      </c>
      <c r="D31" s="163">
        <v>97.1</v>
      </c>
      <c r="E31" s="163"/>
      <c r="F31" s="163"/>
      <c r="G31" s="163"/>
    </row>
    <row r="32" spans="1:7" x14ac:dyDescent="0.25">
      <c r="A32" s="161">
        <v>14</v>
      </c>
      <c r="B32" s="163">
        <v>19.8</v>
      </c>
      <c r="C32" s="163">
        <v>65.400000000000006</v>
      </c>
      <c r="D32" s="163">
        <v>80.8</v>
      </c>
      <c r="E32" s="163"/>
      <c r="F32" s="163"/>
      <c r="G32" s="163"/>
    </row>
    <row r="33" spans="1:7" ht="14.5" thickBot="1" x14ac:dyDescent="0.3">
      <c r="A33" s="166">
        <v>15</v>
      </c>
      <c r="B33" s="165">
        <v>21.9</v>
      </c>
      <c r="C33" s="165">
        <v>58.6</v>
      </c>
      <c r="D33" s="165">
        <v>77.900000000000006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33.9</v>
      </c>
      <c r="C37" s="163">
        <v>68.3</v>
      </c>
      <c r="D37" s="163">
        <v>79.8</v>
      </c>
      <c r="E37" s="163">
        <v>29.8</v>
      </c>
      <c r="F37" s="163">
        <v>84.9</v>
      </c>
      <c r="G37" s="163">
        <v>105.7</v>
      </c>
    </row>
    <row r="38" spans="1:7" x14ac:dyDescent="0.25">
      <c r="A38" s="161">
        <v>2</v>
      </c>
      <c r="B38" s="163">
        <v>49.7</v>
      </c>
      <c r="C38" s="163">
        <v>64.7</v>
      </c>
      <c r="D38" s="163">
        <v>95.1</v>
      </c>
      <c r="E38" s="163">
        <v>36.799999999999997</v>
      </c>
      <c r="F38" s="163">
        <v>60.6</v>
      </c>
      <c r="G38" s="163">
        <v>119.4</v>
      </c>
    </row>
    <row r="39" spans="1:7" x14ac:dyDescent="0.25">
      <c r="A39" s="161">
        <v>3</v>
      </c>
      <c r="B39" s="163">
        <v>24.9</v>
      </c>
      <c r="C39" s="163">
        <v>54.1</v>
      </c>
      <c r="D39" s="163">
        <v>75.5</v>
      </c>
      <c r="E39" s="163">
        <v>34.4</v>
      </c>
      <c r="F39" s="163">
        <v>64.3</v>
      </c>
      <c r="G39" s="163">
        <v>93.6</v>
      </c>
    </row>
    <row r="40" spans="1:7" x14ac:dyDescent="0.25">
      <c r="A40" s="161">
        <v>4</v>
      </c>
      <c r="B40" s="163">
        <v>38</v>
      </c>
      <c r="C40" s="163">
        <v>68.900000000000006</v>
      </c>
      <c r="D40" s="163">
        <v>106.3</v>
      </c>
      <c r="E40" s="163">
        <v>55</v>
      </c>
      <c r="F40" s="163">
        <v>60.1</v>
      </c>
      <c r="G40" s="163">
        <v>113.8</v>
      </c>
    </row>
    <row r="41" spans="1:7" x14ac:dyDescent="0.25">
      <c r="A41" s="161">
        <v>5</v>
      </c>
      <c r="B41" s="163">
        <v>44.7</v>
      </c>
      <c r="C41" s="163">
        <v>56.6</v>
      </c>
      <c r="D41" s="163">
        <v>72.5</v>
      </c>
      <c r="E41" s="163">
        <v>59.6</v>
      </c>
      <c r="F41" s="163">
        <v>85.4</v>
      </c>
      <c r="G41" s="163">
        <v>108.7</v>
      </c>
    </row>
    <row r="42" spans="1:7" x14ac:dyDescent="0.25">
      <c r="A42" s="161">
        <v>6</v>
      </c>
      <c r="B42" s="163">
        <v>25.7</v>
      </c>
      <c r="C42" s="163">
        <v>55.3</v>
      </c>
      <c r="D42" s="163">
        <v>77.2</v>
      </c>
      <c r="E42" s="163">
        <v>41.2</v>
      </c>
      <c r="F42" s="163">
        <v>76.900000000000006</v>
      </c>
      <c r="G42" s="163">
        <v>112.5</v>
      </c>
    </row>
    <row r="43" spans="1:7" x14ac:dyDescent="0.25">
      <c r="A43" s="161">
        <v>7</v>
      </c>
      <c r="B43" s="163">
        <v>26.9</v>
      </c>
      <c r="C43" s="163">
        <v>62.3</v>
      </c>
      <c r="D43" s="163">
        <v>86.6</v>
      </c>
      <c r="E43" s="163">
        <v>59.9</v>
      </c>
      <c r="F43" s="163">
        <v>64.8</v>
      </c>
      <c r="G43" s="163">
        <v>109.7</v>
      </c>
    </row>
    <row r="44" spans="1:7" x14ac:dyDescent="0.25">
      <c r="A44" s="161">
        <v>8</v>
      </c>
      <c r="B44" s="163">
        <v>16.600000000000001</v>
      </c>
      <c r="C44" s="163">
        <v>66.3</v>
      </c>
      <c r="D44" s="163">
        <v>74.400000000000006</v>
      </c>
      <c r="E44" s="162"/>
      <c r="F44" s="162"/>
      <c r="G44" s="162"/>
    </row>
    <row r="45" spans="1:7" x14ac:dyDescent="0.25">
      <c r="A45" s="161">
        <v>9</v>
      </c>
      <c r="B45" s="163">
        <v>19</v>
      </c>
      <c r="C45" s="163">
        <v>63.7</v>
      </c>
      <c r="D45" s="163">
        <v>87.2</v>
      </c>
      <c r="E45" s="162"/>
      <c r="F45" s="162"/>
      <c r="G45" s="162"/>
    </row>
    <row r="46" spans="1:7" x14ac:dyDescent="0.25">
      <c r="A46" s="161">
        <v>10</v>
      </c>
      <c r="B46" s="163">
        <v>48</v>
      </c>
      <c r="C46" s="163">
        <v>61.8</v>
      </c>
      <c r="D46" s="163">
        <v>100.3</v>
      </c>
      <c r="E46" s="162"/>
      <c r="F46" s="162"/>
      <c r="G46" s="162"/>
    </row>
    <row r="47" spans="1:7" x14ac:dyDescent="0.25">
      <c r="A47" s="161">
        <v>11</v>
      </c>
      <c r="B47" s="163">
        <v>25.3</v>
      </c>
      <c r="C47" s="163">
        <v>50</v>
      </c>
      <c r="D47" s="163">
        <v>75.400000000000006</v>
      </c>
      <c r="E47" s="162"/>
      <c r="F47" s="162"/>
      <c r="G47" s="162"/>
    </row>
    <row r="48" spans="1:7" x14ac:dyDescent="0.25">
      <c r="A48" s="161">
        <v>12</v>
      </c>
      <c r="B48" s="163">
        <v>49.6</v>
      </c>
      <c r="C48" s="163">
        <v>64.400000000000006</v>
      </c>
      <c r="D48" s="163">
        <v>72.8</v>
      </c>
      <c r="E48" s="162"/>
      <c r="F48" s="162"/>
      <c r="G48" s="162"/>
    </row>
    <row r="49" spans="1:7" x14ac:dyDescent="0.25">
      <c r="A49" s="161">
        <v>13</v>
      </c>
      <c r="B49" s="163">
        <v>22.9</v>
      </c>
      <c r="C49" s="163">
        <v>53.4</v>
      </c>
      <c r="D49" s="163">
        <v>104.3</v>
      </c>
      <c r="E49" s="162"/>
      <c r="F49" s="162"/>
      <c r="G49" s="162"/>
    </row>
    <row r="50" spans="1:7" x14ac:dyDescent="0.25">
      <c r="A50" s="161">
        <v>14</v>
      </c>
      <c r="B50" s="163">
        <v>48.9</v>
      </c>
      <c r="C50" s="163">
        <v>62.2</v>
      </c>
      <c r="D50" s="163">
        <v>88.7</v>
      </c>
      <c r="E50" s="162"/>
      <c r="F50" s="162"/>
      <c r="G50" s="162"/>
    </row>
    <row r="51" spans="1:7" x14ac:dyDescent="0.25">
      <c r="A51" s="161">
        <v>15</v>
      </c>
      <c r="B51" s="163">
        <v>27.1</v>
      </c>
      <c r="C51" s="163">
        <v>54.2</v>
      </c>
      <c r="D51" s="163">
        <v>102.5</v>
      </c>
      <c r="E51" s="162"/>
      <c r="F51" s="162"/>
      <c r="G51" s="162"/>
    </row>
    <row r="52" spans="1:7" x14ac:dyDescent="0.25">
      <c r="A52" s="161">
        <v>16</v>
      </c>
      <c r="B52" s="163">
        <v>49.5</v>
      </c>
      <c r="C52" s="163">
        <v>51.4</v>
      </c>
      <c r="D52" s="163">
        <v>83.3</v>
      </c>
      <c r="E52" s="162"/>
      <c r="F52" s="162"/>
      <c r="G52" s="162"/>
    </row>
    <row r="53" spans="1:7" x14ac:dyDescent="0.25">
      <c r="A53" s="161">
        <v>17</v>
      </c>
      <c r="B53" s="163">
        <v>43.1</v>
      </c>
      <c r="C53" s="163">
        <v>60</v>
      </c>
      <c r="D53" s="163">
        <v>100.4</v>
      </c>
      <c r="E53" s="162"/>
      <c r="F53" s="162"/>
      <c r="G53" s="162"/>
    </row>
    <row r="54" spans="1:7" x14ac:dyDescent="0.25">
      <c r="A54" s="161">
        <v>18</v>
      </c>
      <c r="B54" s="163">
        <v>49.7</v>
      </c>
      <c r="C54" s="163">
        <v>51.6</v>
      </c>
      <c r="D54" s="163">
        <v>81.599999999999994</v>
      </c>
      <c r="E54" s="162"/>
      <c r="F54" s="162"/>
      <c r="G54" s="162"/>
    </row>
    <row r="55" spans="1:7" ht="14.5" thickBot="1" x14ac:dyDescent="0.3">
      <c r="A55" s="164">
        <v>19</v>
      </c>
      <c r="B55" s="165">
        <v>30.8</v>
      </c>
      <c r="C55" s="165">
        <v>65.3</v>
      </c>
      <c r="D55" s="165">
        <v>84.2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38.5</v>
      </c>
      <c r="C59" s="163">
        <v>66.599999999999994</v>
      </c>
      <c r="D59" s="163">
        <v>85.8</v>
      </c>
      <c r="E59" s="163">
        <v>29</v>
      </c>
      <c r="F59" s="163">
        <v>79.099999999999994</v>
      </c>
      <c r="G59" s="163">
        <v>96.2</v>
      </c>
    </row>
    <row r="60" spans="1:7" x14ac:dyDescent="0.25">
      <c r="A60" s="161">
        <v>2</v>
      </c>
      <c r="B60" s="163">
        <v>21.5</v>
      </c>
      <c r="C60" s="163">
        <v>56.7</v>
      </c>
      <c r="D60" s="163">
        <v>95.8</v>
      </c>
      <c r="E60" s="163">
        <v>48.4</v>
      </c>
      <c r="F60" s="163">
        <v>67.400000000000006</v>
      </c>
      <c r="G60" s="163">
        <v>96.6</v>
      </c>
    </row>
    <row r="61" spans="1:7" x14ac:dyDescent="0.25">
      <c r="A61" s="161">
        <v>3</v>
      </c>
      <c r="B61" s="163">
        <v>36.6</v>
      </c>
      <c r="C61" s="163">
        <v>55.6</v>
      </c>
      <c r="D61" s="163">
        <v>74.599999999999994</v>
      </c>
      <c r="E61" s="163">
        <v>32.5</v>
      </c>
      <c r="F61" s="163">
        <v>81.099999999999994</v>
      </c>
      <c r="G61" s="163">
        <v>113.7</v>
      </c>
    </row>
    <row r="62" spans="1:7" x14ac:dyDescent="0.25">
      <c r="A62" s="161">
        <v>4</v>
      </c>
      <c r="B62" s="163">
        <v>28.2</v>
      </c>
      <c r="C62" s="163">
        <v>59.1</v>
      </c>
      <c r="D62" s="163">
        <v>71.400000000000006</v>
      </c>
      <c r="E62" s="163">
        <v>45.9</v>
      </c>
      <c r="F62" s="163">
        <v>88.1</v>
      </c>
      <c r="G62" s="163">
        <v>110.2</v>
      </c>
    </row>
    <row r="63" spans="1:7" x14ac:dyDescent="0.25">
      <c r="A63" s="161">
        <v>5</v>
      </c>
      <c r="B63" s="163">
        <v>36.700000000000003</v>
      </c>
      <c r="C63" s="163">
        <v>67.099999999999994</v>
      </c>
      <c r="D63" s="163">
        <v>70.900000000000006</v>
      </c>
      <c r="E63" s="163">
        <v>48.5</v>
      </c>
      <c r="F63" s="163">
        <v>60.2</v>
      </c>
      <c r="G63" s="163">
        <v>104.3</v>
      </c>
    </row>
    <row r="64" spans="1:7" x14ac:dyDescent="0.25">
      <c r="A64" s="167">
        <v>6</v>
      </c>
      <c r="B64" s="163">
        <v>33.299999999999997</v>
      </c>
      <c r="C64" s="163">
        <v>54</v>
      </c>
      <c r="D64" s="163">
        <v>94.7</v>
      </c>
      <c r="E64" s="163">
        <v>49</v>
      </c>
      <c r="F64" s="163">
        <v>61.7</v>
      </c>
      <c r="G64" s="163">
        <v>117.9</v>
      </c>
    </row>
    <row r="65" spans="1:7" ht="14.5" thickBot="1" x14ac:dyDescent="0.3">
      <c r="A65" s="164">
        <v>7</v>
      </c>
      <c r="B65" s="165">
        <v>38.6</v>
      </c>
      <c r="C65" s="165">
        <v>59.9</v>
      </c>
      <c r="D65" s="165">
        <v>97.6</v>
      </c>
      <c r="E65" s="165">
        <v>42.6</v>
      </c>
      <c r="F65" s="165">
        <v>69</v>
      </c>
      <c r="G65" s="165">
        <v>91.3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21</v>
      </c>
      <c r="C69" s="163">
        <v>64.5</v>
      </c>
      <c r="D69" s="163">
        <v>104.6</v>
      </c>
      <c r="E69" s="163">
        <v>58.7</v>
      </c>
      <c r="F69" s="163">
        <v>69.8</v>
      </c>
      <c r="G69" s="163">
        <v>96.7</v>
      </c>
    </row>
    <row r="70" spans="1:7" x14ac:dyDescent="0.25">
      <c r="A70" s="161">
        <v>2</v>
      </c>
      <c r="B70" s="163">
        <v>45.3</v>
      </c>
      <c r="C70" s="163">
        <v>65.099999999999994</v>
      </c>
      <c r="D70" s="163">
        <v>76.900000000000006</v>
      </c>
      <c r="E70" s="163">
        <v>47.2</v>
      </c>
      <c r="F70" s="163">
        <v>67.900000000000006</v>
      </c>
      <c r="G70" s="163">
        <v>113.2</v>
      </c>
    </row>
    <row r="71" spans="1:7" x14ac:dyDescent="0.25">
      <c r="A71" s="161">
        <v>3</v>
      </c>
      <c r="B71" s="163">
        <v>29.7</v>
      </c>
      <c r="C71" s="163">
        <v>58.9</v>
      </c>
      <c r="D71" s="163">
        <v>75.5</v>
      </c>
      <c r="E71" s="163">
        <v>28.6</v>
      </c>
      <c r="F71" s="163">
        <v>64.8</v>
      </c>
      <c r="G71" s="163">
        <v>98.7</v>
      </c>
    </row>
    <row r="72" spans="1:7" x14ac:dyDescent="0.25">
      <c r="A72" s="161">
        <v>4</v>
      </c>
      <c r="B72" s="163">
        <v>24.2</v>
      </c>
      <c r="C72" s="163">
        <v>58.2</v>
      </c>
      <c r="D72" s="163">
        <v>85</v>
      </c>
      <c r="E72" s="163">
        <v>53.6</v>
      </c>
      <c r="F72" s="163">
        <v>88.5</v>
      </c>
      <c r="G72" s="163">
        <v>119.8</v>
      </c>
    </row>
    <row r="73" spans="1:7" x14ac:dyDescent="0.25">
      <c r="A73" s="161">
        <v>5</v>
      </c>
      <c r="B73" s="163">
        <v>44.6</v>
      </c>
      <c r="C73" s="163">
        <v>50.9</v>
      </c>
      <c r="D73" s="163">
        <v>88.7</v>
      </c>
      <c r="E73" s="163">
        <v>46.1</v>
      </c>
      <c r="F73" s="163">
        <v>66.2</v>
      </c>
      <c r="G73" s="163">
        <v>114.2</v>
      </c>
    </row>
    <row r="74" spans="1:7" x14ac:dyDescent="0.25">
      <c r="A74" s="161">
        <v>6</v>
      </c>
      <c r="B74" s="163">
        <v>36.6</v>
      </c>
      <c r="C74" s="163">
        <v>53.3</v>
      </c>
      <c r="D74" s="163">
        <v>73.099999999999994</v>
      </c>
      <c r="E74" s="163">
        <v>47.1</v>
      </c>
      <c r="F74" s="163">
        <v>62.7</v>
      </c>
      <c r="G74" s="163">
        <v>106.6</v>
      </c>
    </row>
    <row r="75" spans="1:7" x14ac:dyDescent="0.25">
      <c r="A75" s="161">
        <v>7</v>
      </c>
      <c r="B75" s="163">
        <v>38.5</v>
      </c>
      <c r="C75" s="163">
        <v>52.2</v>
      </c>
      <c r="D75" s="163">
        <v>75.400000000000006</v>
      </c>
      <c r="E75" s="163">
        <v>35.4</v>
      </c>
      <c r="F75" s="163">
        <v>85.6</v>
      </c>
      <c r="G75" s="163">
        <v>107.6</v>
      </c>
    </row>
    <row r="76" spans="1:7" x14ac:dyDescent="0.25">
      <c r="A76" s="161">
        <v>8</v>
      </c>
      <c r="B76" s="163">
        <v>22.4</v>
      </c>
      <c r="C76" s="163">
        <v>50.5</v>
      </c>
      <c r="D76" s="163">
        <v>107.8</v>
      </c>
      <c r="E76" s="163">
        <v>32.799999999999997</v>
      </c>
      <c r="F76" s="163">
        <v>81.099999999999994</v>
      </c>
      <c r="G76" s="163">
        <v>112</v>
      </c>
    </row>
    <row r="77" spans="1:7" x14ac:dyDescent="0.25">
      <c r="A77" s="161">
        <v>9</v>
      </c>
      <c r="B77" s="163">
        <v>17.7</v>
      </c>
      <c r="C77" s="163">
        <v>61.4</v>
      </c>
      <c r="D77" s="163">
        <v>96.2</v>
      </c>
      <c r="E77" s="163">
        <v>57.8</v>
      </c>
      <c r="F77" s="163">
        <v>69.599999999999994</v>
      </c>
      <c r="G77" s="163">
        <v>107.1</v>
      </c>
    </row>
    <row r="78" spans="1:7" x14ac:dyDescent="0.25">
      <c r="A78" s="161">
        <v>10</v>
      </c>
      <c r="B78" s="163">
        <v>17.3</v>
      </c>
      <c r="C78" s="163">
        <v>50.9</v>
      </c>
      <c r="D78" s="163">
        <v>84.5</v>
      </c>
      <c r="E78" s="163">
        <v>31.7</v>
      </c>
      <c r="F78" s="163">
        <v>62</v>
      </c>
      <c r="G78" s="163">
        <v>106.1</v>
      </c>
    </row>
    <row r="79" spans="1:7" x14ac:dyDescent="0.25">
      <c r="A79" s="161">
        <v>11</v>
      </c>
      <c r="B79" s="163">
        <v>22.2</v>
      </c>
      <c r="C79" s="163">
        <v>64.7</v>
      </c>
      <c r="D79" s="163">
        <v>73.5</v>
      </c>
      <c r="E79" s="163">
        <v>58.7</v>
      </c>
      <c r="F79" s="163">
        <v>66</v>
      </c>
      <c r="G79" s="163">
        <v>107.3</v>
      </c>
    </row>
    <row r="80" spans="1:7" x14ac:dyDescent="0.25">
      <c r="A80" s="161">
        <v>12</v>
      </c>
      <c r="B80" s="163">
        <v>33.700000000000003</v>
      </c>
      <c r="C80" s="163">
        <v>64.599999999999994</v>
      </c>
      <c r="D80" s="163">
        <v>105</v>
      </c>
      <c r="E80" s="163">
        <v>38.9</v>
      </c>
      <c r="F80" s="163">
        <v>88.4</v>
      </c>
      <c r="G80" s="163">
        <v>116.8</v>
      </c>
    </row>
    <row r="81" spans="1:7" x14ac:dyDescent="0.25">
      <c r="A81" s="161">
        <v>13</v>
      </c>
      <c r="B81" s="163">
        <v>26.6</v>
      </c>
      <c r="C81" s="163">
        <v>65.400000000000006</v>
      </c>
      <c r="D81" s="163">
        <v>88.8</v>
      </c>
      <c r="E81" s="163">
        <v>50.2</v>
      </c>
      <c r="F81" s="163">
        <v>64.5</v>
      </c>
      <c r="G81" s="163">
        <v>93.4</v>
      </c>
    </row>
    <row r="82" spans="1:7" x14ac:dyDescent="0.25">
      <c r="A82" s="161">
        <v>14</v>
      </c>
      <c r="B82" s="163">
        <v>49.9</v>
      </c>
      <c r="C82" s="163">
        <v>54.5</v>
      </c>
      <c r="D82" s="163">
        <v>102.1</v>
      </c>
      <c r="E82" s="163">
        <v>35.6</v>
      </c>
      <c r="F82" s="163">
        <v>63.9</v>
      </c>
      <c r="G82" s="163">
        <v>95</v>
      </c>
    </row>
    <row r="83" spans="1:7" x14ac:dyDescent="0.25">
      <c r="A83" s="161">
        <v>15</v>
      </c>
      <c r="B83" s="163">
        <v>48.9</v>
      </c>
      <c r="C83" s="163">
        <v>62.2</v>
      </c>
      <c r="D83" s="163">
        <v>77.8</v>
      </c>
      <c r="E83" s="163">
        <v>58.4</v>
      </c>
      <c r="F83" s="163">
        <v>66</v>
      </c>
      <c r="G83" s="163">
        <v>106</v>
      </c>
    </row>
    <row r="84" spans="1:7" x14ac:dyDescent="0.25">
      <c r="A84" s="161">
        <v>16</v>
      </c>
      <c r="B84" s="163">
        <v>18.600000000000001</v>
      </c>
      <c r="C84" s="163">
        <v>55.4</v>
      </c>
      <c r="D84" s="163">
        <v>107.5</v>
      </c>
      <c r="E84" s="163"/>
      <c r="F84" s="163"/>
      <c r="G84" s="163"/>
    </row>
    <row r="85" spans="1:7" ht="14.5" thickBot="1" x14ac:dyDescent="0.3">
      <c r="A85" s="166">
        <v>17</v>
      </c>
      <c r="B85" s="168">
        <v>46.8</v>
      </c>
      <c r="C85" s="168">
        <v>58</v>
      </c>
      <c r="D85" s="168">
        <v>71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43.6</v>
      </c>
      <c r="C89" s="163">
        <v>59.9</v>
      </c>
      <c r="D89" s="163">
        <v>107.5</v>
      </c>
      <c r="E89" s="163">
        <v>38.799999999999997</v>
      </c>
      <c r="F89" s="163">
        <v>74.400000000000006</v>
      </c>
      <c r="G89" s="163">
        <v>90.2</v>
      </c>
    </row>
    <row r="90" spans="1:7" x14ac:dyDescent="0.25">
      <c r="A90" s="161">
        <v>2</v>
      </c>
      <c r="B90" s="163">
        <v>39.799999999999997</v>
      </c>
      <c r="C90" s="163">
        <v>53</v>
      </c>
      <c r="D90" s="163">
        <v>102.3</v>
      </c>
      <c r="E90" s="163">
        <v>33.6</v>
      </c>
      <c r="F90" s="163">
        <v>69.8</v>
      </c>
      <c r="G90" s="163">
        <v>119</v>
      </c>
    </row>
    <row r="91" spans="1:7" x14ac:dyDescent="0.25">
      <c r="A91" s="161">
        <v>3</v>
      </c>
      <c r="B91" s="163">
        <v>21.6</v>
      </c>
      <c r="C91" s="163">
        <v>50.2</v>
      </c>
      <c r="D91" s="163">
        <v>72.400000000000006</v>
      </c>
      <c r="E91" s="163">
        <v>50.7</v>
      </c>
      <c r="F91" s="163">
        <v>65.599999999999994</v>
      </c>
      <c r="G91" s="163">
        <v>111</v>
      </c>
    </row>
    <row r="92" spans="1:7" x14ac:dyDescent="0.25">
      <c r="A92" s="161">
        <v>4</v>
      </c>
      <c r="B92" s="163">
        <v>26.1</v>
      </c>
      <c r="C92" s="163">
        <v>51.4</v>
      </c>
      <c r="D92" s="163">
        <v>76.3</v>
      </c>
      <c r="E92" s="163">
        <v>35.6</v>
      </c>
      <c r="F92" s="163">
        <v>65.2</v>
      </c>
      <c r="G92" s="163">
        <v>107.8</v>
      </c>
    </row>
    <row r="93" spans="1:7" x14ac:dyDescent="0.25">
      <c r="A93" s="161">
        <v>5</v>
      </c>
      <c r="B93" s="163">
        <v>31.6</v>
      </c>
      <c r="C93" s="163">
        <v>54.1</v>
      </c>
      <c r="D93" s="163">
        <v>94.7</v>
      </c>
      <c r="E93" s="163">
        <v>27</v>
      </c>
      <c r="F93" s="163">
        <v>70.3</v>
      </c>
      <c r="G93" s="163">
        <v>104.4</v>
      </c>
    </row>
    <row r="94" spans="1:7" x14ac:dyDescent="0.25">
      <c r="A94" s="161">
        <v>6</v>
      </c>
      <c r="B94" s="163">
        <v>41</v>
      </c>
      <c r="C94" s="163">
        <v>52.4</v>
      </c>
      <c r="D94" s="163">
        <v>93</v>
      </c>
      <c r="E94" s="163">
        <v>29.6</v>
      </c>
      <c r="F94" s="163">
        <v>81.5</v>
      </c>
      <c r="G94" s="163">
        <v>95.5</v>
      </c>
    </row>
    <row r="95" spans="1:7" x14ac:dyDescent="0.25">
      <c r="A95" s="161">
        <v>7</v>
      </c>
      <c r="B95" s="163">
        <v>44</v>
      </c>
      <c r="C95" s="163">
        <v>52.1</v>
      </c>
      <c r="D95" s="163">
        <v>82.7</v>
      </c>
      <c r="E95" s="163">
        <v>45.8</v>
      </c>
      <c r="F95" s="163">
        <v>76.599999999999994</v>
      </c>
      <c r="G95" s="163">
        <v>115.4</v>
      </c>
    </row>
    <row r="96" spans="1:7" x14ac:dyDescent="0.25">
      <c r="A96" s="161">
        <v>8</v>
      </c>
      <c r="B96" s="163">
        <v>21.4</v>
      </c>
      <c r="C96" s="163">
        <v>50.3</v>
      </c>
      <c r="D96" s="163">
        <v>108.3</v>
      </c>
      <c r="E96" s="162"/>
      <c r="F96" s="162"/>
      <c r="G96" s="162"/>
    </row>
    <row r="97" spans="1:7" x14ac:dyDescent="0.25">
      <c r="A97" s="161">
        <v>9</v>
      </c>
      <c r="B97" s="163">
        <v>15.7</v>
      </c>
      <c r="C97" s="163">
        <v>57.7</v>
      </c>
      <c r="D97" s="163">
        <v>76.2</v>
      </c>
      <c r="E97" s="162"/>
      <c r="F97" s="162"/>
      <c r="G97" s="162"/>
    </row>
    <row r="98" spans="1:7" x14ac:dyDescent="0.25">
      <c r="A98" s="161">
        <v>10</v>
      </c>
      <c r="B98" s="163">
        <v>17.8</v>
      </c>
      <c r="C98" s="163">
        <v>54.9</v>
      </c>
      <c r="D98" s="163">
        <v>84.9</v>
      </c>
      <c r="E98" s="162"/>
      <c r="F98" s="162"/>
      <c r="G98" s="162"/>
    </row>
    <row r="99" spans="1:7" x14ac:dyDescent="0.25">
      <c r="A99" s="161">
        <v>11</v>
      </c>
      <c r="B99" s="163">
        <v>28.4</v>
      </c>
      <c r="C99" s="163">
        <v>50.3</v>
      </c>
      <c r="D99" s="163">
        <v>72</v>
      </c>
      <c r="E99" s="162"/>
      <c r="F99" s="162"/>
      <c r="G99" s="162"/>
    </row>
    <row r="100" spans="1:7" x14ac:dyDescent="0.25">
      <c r="A100" s="161">
        <v>12</v>
      </c>
      <c r="B100" s="163">
        <v>15.8</v>
      </c>
      <c r="C100" s="163">
        <v>58.4</v>
      </c>
      <c r="D100" s="163">
        <v>101.1</v>
      </c>
      <c r="E100" s="162"/>
      <c r="F100" s="162"/>
      <c r="G100" s="162"/>
    </row>
    <row r="101" spans="1:7" x14ac:dyDescent="0.25">
      <c r="A101" s="161">
        <v>13</v>
      </c>
      <c r="B101" s="163">
        <v>33.9</v>
      </c>
      <c r="C101" s="163">
        <v>55.4</v>
      </c>
      <c r="D101" s="163">
        <v>102.7</v>
      </c>
      <c r="E101" s="162"/>
      <c r="F101" s="162"/>
      <c r="G101" s="162"/>
    </row>
    <row r="102" spans="1:7" x14ac:dyDescent="0.25">
      <c r="A102" s="161">
        <v>14</v>
      </c>
      <c r="B102" s="163">
        <v>15</v>
      </c>
      <c r="C102" s="163">
        <v>63.2</v>
      </c>
      <c r="D102" s="163">
        <v>79.5</v>
      </c>
      <c r="E102" s="162"/>
      <c r="F102" s="162"/>
      <c r="G102" s="162"/>
    </row>
    <row r="103" spans="1:7" x14ac:dyDescent="0.25">
      <c r="A103" s="161">
        <v>15</v>
      </c>
      <c r="B103" s="163">
        <v>32.9</v>
      </c>
      <c r="C103" s="163">
        <v>51.7</v>
      </c>
      <c r="D103" s="163">
        <v>104</v>
      </c>
      <c r="E103" s="162"/>
      <c r="F103" s="162"/>
      <c r="G103" s="162"/>
    </row>
    <row r="104" spans="1:7" x14ac:dyDescent="0.25">
      <c r="A104" s="161">
        <v>16</v>
      </c>
      <c r="B104" s="163">
        <v>41.8</v>
      </c>
      <c r="C104" s="163">
        <v>63.6</v>
      </c>
      <c r="D104" s="163">
        <v>97</v>
      </c>
      <c r="E104" s="162"/>
      <c r="F104" s="162"/>
      <c r="G104" s="162"/>
    </row>
    <row r="105" spans="1:7" x14ac:dyDescent="0.25">
      <c r="A105" s="161">
        <v>17</v>
      </c>
      <c r="B105" s="163">
        <v>30.8</v>
      </c>
      <c r="C105" s="163">
        <v>52.6</v>
      </c>
      <c r="D105" s="163">
        <v>109.6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75.5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34.9</v>
      </c>
      <c r="C110" s="163">
        <v>65.7</v>
      </c>
      <c r="D110" s="163">
        <v>80</v>
      </c>
      <c r="E110" s="163">
        <v>27.2</v>
      </c>
      <c r="F110" s="163">
        <v>67.3</v>
      </c>
      <c r="G110" s="163">
        <v>111.9</v>
      </c>
    </row>
    <row r="111" spans="1:7" x14ac:dyDescent="0.25">
      <c r="A111" s="161">
        <v>2</v>
      </c>
      <c r="B111" s="163">
        <v>22.4</v>
      </c>
      <c r="C111" s="163">
        <v>59.6</v>
      </c>
      <c r="D111" s="163">
        <v>73.400000000000006</v>
      </c>
      <c r="E111" s="163">
        <v>25.7</v>
      </c>
      <c r="F111" s="163">
        <v>66.599999999999994</v>
      </c>
      <c r="G111" s="163">
        <v>98.4</v>
      </c>
    </row>
    <row r="112" spans="1:7" ht="14.5" thickBot="1" x14ac:dyDescent="0.3">
      <c r="A112" s="166">
        <v>3</v>
      </c>
      <c r="B112" s="168"/>
      <c r="C112" s="168"/>
      <c r="D112" s="168"/>
      <c r="E112" s="168">
        <v>29.8</v>
      </c>
      <c r="F112" s="168">
        <v>75.7</v>
      </c>
      <c r="G112" s="168">
        <v>114.4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20.399999999999999</v>
      </c>
      <c r="C116" s="163">
        <v>54.8</v>
      </c>
      <c r="D116" s="163">
        <v>92.4</v>
      </c>
      <c r="E116" s="163">
        <v>56.5</v>
      </c>
      <c r="F116" s="163">
        <v>65.099999999999994</v>
      </c>
      <c r="G116" s="163">
        <v>112.1</v>
      </c>
    </row>
    <row r="117" spans="1:7" x14ac:dyDescent="0.25">
      <c r="A117" s="161">
        <v>2</v>
      </c>
      <c r="B117" s="163">
        <v>26.2</v>
      </c>
      <c r="C117" s="163">
        <v>57</v>
      </c>
      <c r="D117" s="163">
        <v>78.400000000000006</v>
      </c>
      <c r="E117" s="163">
        <v>32.1</v>
      </c>
      <c r="F117" s="163">
        <v>82</v>
      </c>
      <c r="G117" s="163">
        <v>93.3</v>
      </c>
    </row>
    <row r="118" spans="1:7" x14ac:dyDescent="0.25">
      <c r="A118" s="161">
        <v>3</v>
      </c>
      <c r="B118" s="163">
        <v>15.5</v>
      </c>
      <c r="C118" s="163">
        <v>51.8</v>
      </c>
      <c r="D118" s="163">
        <v>83</v>
      </c>
      <c r="E118" s="163">
        <v>40.6</v>
      </c>
      <c r="F118" s="163">
        <v>87.7</v>
      </c>
      <c r="G118" s="163">
        <v>102.7</v>
      </c>
    </row>
    <row r="119" spans="1:7" x14ac:dyDescent="0.25">
      <c r="A119" s="161">
        <v>4</v>
      </c>
      <c r="B119" s="163">
        <v>20.9</v>
      </c>
      <c r="C119" s="163">
        <v>65.5</v>
      </c>
      <c r="D119" s="163">
        <v>103</v>
      </c>
      <c r="E119" s="163">
        <v>57.1</v>
      </c>
      <c r="F119" s="163">
        <v>87.3</v>
      </c>
      <c r="G119" s="163">
        <v>93.1</v>
      </c>
    </row>
    <row r="120" spans="1:7" x14ac:dyDescent="0.25">
      <c r="A120" s="161">
        <v>5</v>
      </c>
      <c r="B120" s="162"/>
      <c r="C120" s="162"/>
      <c r="D120" s="162"/>
      <c r="E120" s="163">
        <v>60</v>
      </c>
      <c r="F120" s="163">
        <v>61.2</v>
      </c>
      <c r="G120" s="163">
        <v>91.4</v>
      </c>
    </row>
    <row r="121" spans="1:7" x14ac:dyDescent="0.25">
      <c r="A121" s="161">
        <v>6</v>
      </c>
      <c r="B121" s="162"/>
      <c r="C121" s="162"/>
      <c r="D121" s="162"/>
      <c r="E121" s="163">
        <v>47.4</v>
      </c>
      <c r="F121" s="163">
        <v>86.4</v>
      </c>
      <c r="G121" s="163">
        <v>101.4</v>
      </c>
    </row>
    <row r="122" spans="1:7" x14ac:dyDescent="0.25">
      <c r="A122" s="161">
        <v>7</v>
      </c>
      <c r="B122" s="162"/>
      <c r="C122" s="162"/>
      <c r="D122" s="162"/>
      <c r="E122" s="163">
        <v>30.6</v>
      </c>
      <c r="F122" s="163">
        <v>89.7</v>
      </c>
      <c r="G122" s="163">
        <v>111.2</v>
      </c>
    </row>
    <row r="123" spans="1:7" x14ac:dyDescent="0.25">
      <c r="A123" s="161">
        <v>8</v>
      </c>
      <c r="B123" s="162"/>
      <c r="C123" s="162"/>
      <c r="D123" s="162"/>
      <c r="E123" s="163">
        <v>56</v>
      </c>
      <c r="F123" s="163">
        <v>74.3</v>
      </c>
      <c r="G123" s="163">
        <v>97.6</v>
      </c>
    </row>
    <row r="124" spans="1:7" ht="14.5" thickBot="1" x14ac:dyDescent="0.3">
      <c r="A124" s="166">
        <v>9</v>
      </c>
      <c r="B124" s="168"/>
      <c r="C124" s="168"/>
      <c r="D124" s="168"/>
      <c r="E124" s="168">
        <v>54.6</v>
      </c>
      <c r="F124" s="168">
        <v>63.5</v>
      </c>
      <c r="G124" s="168">
        <v>102.4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57.466666666666661</v>
      </c>
      <c r="C129" s="170">
        <f>AVERAGE(E5:G7)</f>
        <v>67.855555555555554</v>
      </c>
      <c r="D129" s="161">
        <f>'2021.1'!D129</f>
        <v>2166</v>
      </c>
      <c r="E129" s="161">
        <v>4334</v>
      </c>
      <c r="F129" s="161">
        <f>D129*B129</f>
        <v>124472.79999999999</v>
      </c>
      <c r="G129" s="161">
        <f>E129*C129</f>
        <v>294085.97777777776</v>
      </c>
    </row>
    <row r="130" spans="1:7" x14ac:dyDescent="0.25">
      <c r="A130" s="162" t="str">
        <f>A8</f>
        <v>Dongyuan Huangtian swine Farm</v>
      </c>
      <c r="B130" s="169">
        <f>AVERAGE((B11:D15))</f>
        <v>63.753333333333323</v>
      </c>
      <c r="C130" s="169">
        <f>AVERAGE(E11:G11)</f>
        <v>68.2</v>
      </c>
      <c r="D130" s="161">
        <f>'2021.1'!D130</f>
        <v>6431</v>
      </c>
      <c r="E130" s="161">
        <v>1454</v>
      </c>
      <c r="F130" s="161">
        <f t="shared" ref="F130:G137" si="0">D130*B130</f>
        <v>409997.68666666659</v>
      </c>
      <c r="G130" s="161">
        <f t="shared" si="0"/>
        <v>99162.8</v>
      </c>
    </row>
    <row r="131" spans="1:7" x14ac:dyDescent="0.25">
      <c r="A131" s="162" t="str">
        <f>A16</f>
        <v>Enping Shahu swine  Farm</v>
      </c>
      <c r="B131" s="169">
        <f>AVERAGE(B19:D33)</f>
        <v>60.668888888888908</v>
      </c>
      <c r="C131" s="169">
        <f>AVERAGE(E19:G28)</f>
        <v>74.893333333333331</v>
      </c>
      <c r="D131" s="161">
        <f>'2021.1'!D131</f>
        <v>23413</v>
      </c>
      <c r="E131" s="161">
        <v>15579</v>
      </c>
      <c r="F131" s="161">
        <f t="shared" si="0"/>
        <v>1420440.6955555561</v>
      </c>
      <c r="G131" s="161">
        <f t="shared" si="0"/>
        <v>1166763.24</v>
      </c>
    </row>
    <row r="132" spans="1:7" x14ac:dyDescent="0.25">
      <c r="A132" s="162" t="str">
        <f>A34</f>
        <v>Langtian Yuehui swine Farm</v>
      </c>
      <c r="B132" s="169">
        <f>AVERAGE(B37:D55)</f>
        <v>60.647368421052633</v>
      </c>
      <c r="C132" s="169">
        <f>AVERAGE(E37:G43)</f>
        <v>75.100000000000009</v>
      </c>
      <c r="D132" s="161">
        <f>'2021.1'!D132</f>
        <v>29497</v>
      </c>
      <c r="E132" s="161">
        <v>10166</v>
      </c>
      <c r="F132" s="161">
        <f t="shared" si="0"/>
        <v>1788915.4263157896</v>
      </c>
      <c r="G132" s="161">
        <f t="shared" si="0"/>
        <v>763466.60000000009</v>
      </c>
    </row>
    <row r="133" spans="1:7" x14ac:dyDescent="0.25">
      <c r="A133" s="162" t="str">
        <f>A56</f>
        <v>Qujiang Fengwan swine Farm</v>
      </c>
      <c r="B133" s="169">
        <f>AVERAGE(B59:D65)</f>
        <v>59.2</v>
      </c>
      <c r="C133" s="169">
        <f>AVERAGE(E59:G65)</f>
        <v>72.985714285714295</v>
      </c>
      <c r="D133" s="161">
        <f>'2021.1'!D133</f>
        <v>9686</v>
      </c>
      <c r="E133" s="161">
        <v>11366</v>
      </c>
      <c r="F133" s="161">
        <f t="shared" si="0"/>
        <v>573411.20000000007</v>
      </c>
      <c r="G133" s="161">
        <f t="shared" si="0"/>
        <v>829555.62857142871</v>
      </c>
    </row>
    <row r="134" spans="1:7" x14ac:dyDescent="0.25">
      <c r="A134" s="162" t="str">
        <f>A66</f>
        <v>Pingyuan Zhongshi swine Farm</v>
      </c>
      <c r="B134" s="169">
        <f>AVERAGE(B69:D85)</f>
        <v>59.374509803921583</v>
      </c>
      <c r="C134" s="169">
        <f>AVERAGE(E69:G83)</f>
        <v>74.406666666666666</v>
      </c>
      <c r="D134" s="161">
        <f>'2021.1'!D134</f>
        <v>26358</v>
      </c>
      <c r="E134" s="161">
        <v>23616</v>
      </c>
      <c r="F134" s="161">
        <f t="shared" si="0"/>
        <v>1564993.3294117651</v>
      </c>
      <c r="G134" s="161">
        <f t="shared" si="0"/>
        <v>1757187.84</v>
      </c>
    </row>
    <row r="135" spans="1:7" x14ac:dyDescent="0.25">
      <c r="A135" s="162" t="str">
        <f>A86</f>
        <v>Yangchun Tanshui swine Farm</v>
      </c>
      <c r="B135" s="169">
        <f>AVERAGE(B89:D106)</f>
        <v>59.078846153846158</v>
      </c>
      <c r="C135" s="169">
        <f>AVERAGE(E89:G95)</f>
        <v>71.8</v>
      </c>
      <c r="D135" s="161">
        <f>'2021.1'!D135</f>
        <v>26581</v>
      </c>
      <c r="E135" s="161">
        <v>11627</v>
      </c>
      <c r="F135" s="161">
        <f t="shared" si="0"/>
        <v>1570374.8096153848</v>
      </c>
      <c r="G135" s="161">
        <f t="shared" si="0"/>
        <v>834818.6</v>
      </c>
    </row>
    <row r="136" spans="1:7" x14ac:dyDescent="0.25">
      <c r="A136" s="162" t="str">
        <f>A107</f>
        <v>Xinfeng Shatian swine Farm</v>
      </c>
      <c r="B136" s="169">
        <f>AVERAGE(B110:D112)</f>
        <v>56</v>
      </c>
      <c r="C136" s="169">
        <f>AVERAGE(E110:G112)</f>
        <v>68.555555555555557</v>
      </c>
      <c r="D136" s="161">
        <f>'2021.1'!D136</f>
        <v>2074</v>
      </c>
      <c r="E136" s="161">
        <v>3781</v>
      </c>
      <c r="F136" s="161">
        <f t="shared" si="0"/>
        <v>116144</v>
      </c>
      <c r="G136" s="161">
        <f t="shared" si="0"/>
        <v>259208.55555555556</v>
      </c>
    </row>
    <row r="137" spans="1:7" x14ac:dyDescent="0.25">
      <c r="A137" s="162" t="str">
        <f>A113</f>
        <v>Kaiping Cangcheng swine Farm</v>
      </c>
      <c r="B137" s="169">
        <f>AVERAGE(B116:D119)</f>
        <v>55.741666666666667</v>
      </c>
      <c r="C137" s="169">
        <f>AVERAGE(E116:G124)</f>
        <v>75.455555555555577</v>
      </c>
      <c r="D137" s="161">
        <f>'2021.1'!D137</f>
        <v>5872</v>
      </c>
      <c r="E137" s="161">
        <v>13997</v>
      </c>
      <c r="F137" s="161">
        <f t="shared" si="0"/>
        <v>327315.06666666665</v>
      </c>
      <c r="G137" s="161">
        <f t="shared" si="0"/>
        <v>1056151.4111111115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95920</v>
      </c>
      <c r="F138" s="161">
        <f t="shared" ref="F138:G138" si="1">SUM(F129:F137)</f>
        <v>7896065.014231829</v>
      </c>
      <c r="G138" s="161">
        <f t="shared" si="1"/>
        <v>7060400.6530158743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59.7</v>
      </c>
      <c r="D142" s="171">
        <f>ROUNDDOWN(G138/E138,1)</f>
        <v>73.599999999999994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F56C-5DAC-445C-BEA6-BC2FC49CEC8E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17.8</v>
      </c>
      <c r="C5" s="163">
        <v>63.2</v>
      </c>
      <c r="D5" s="163">
        <v>102.2</v>
      </c>
      <c r="E5" s="163">
        <v>41.6</v>
      </c>
      <c r="F5" s="163">
        <v>79.900000000000006</v>
      </c>
      <c r="G5" s="163">
        <v>98.1</v>
      </c>
    </row>
    <row r="6" spans="1:7" x14ac:dyDescent="0.25">
      <c r="A6" s="161">
        <v>2</v>
      </c>
      <c r="B6" s="163">
        <v>25.3</v>
      </c>
      <c r="C6" s="163">
        <v>63.9</v>
      </c>
      <c r="D6" s="163">
        <v>81.400000000000006</v>
      </c>
      <c r="E6" s="163">
        <v>47.2</v>
      </c>
      <c r="F6" s="163">
        <v>85.1</v>
      </c>
      <c r="G6" s="163">
        <v>99.8</v>
      </c>
    </row>
    <row r="7" spans="1:7" ht="14.5" thickBot="1" x14ac:dyDescent="0.3">
      <c r="A7" s="164">
        <v>3</v>
      </c>
      <c r="B7" s="165"/>
      <c r="C7" s="165"/>
      <c r="D7" s="165"/>
      <c r="E7" s="165">
        <v>43.5</v>
      </c>
      <c r="F7" s="165">
        <v>71.8</v>
      </c>
      <c r="G7" s="165">
        <v>93.6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19.7</v>
      </c>
      <c r="C11" s="163">
        <v>51.3</v>
      </c>
      <c r="D11" s="163">
        <v>76.900000000000006</v>
      </c>
      <c r="E11" s="163">
        <v>46</v>
      </c>
      <c r="F11" s="163">
        <v>89.6</v>
      </c>
      <c r="G11" s="163">
        <v>107.1</v>
      </c>
    </row>
    <row r="12" spans="1:7" x14ac:dyDescent="0.25">
      <c r="A12" s="161">
        <v>2</v>
      </c>
      <c r="B12" s="163">
        <v>32.9</v>
      </c>
      <c r="C12" s="163">
        <v>55.9</v>
      </c>
      <c r="D12" s="163">
        <v>105.2</v>
      </c>
      <c r="E12" s="163"/>
      <c r="F12" s="163"/>
      <c r="G12" s="163"/>
    </row>
    <row r="13" spans="1:7" x14ac:dyDescent="0.25">
      <c r="A13" s="161">
        <v>3</v>
      </c>
      <c r="B13" s="163">
        <v>46.1</v>
      </c>
      <c r="C13" s="163">
        <v>53</v>
      </c>
      <c r="D13" s="163">
        <v>79</v>
      </c>
      <c r="E13" s="162"/>
      <c r="F13" s="162"/>
      <c r="G13" s="162"/>
    </row>
    <row r="14" spans="1:7" x14ac:dyDescent="0.25">
      <c r="A14" s="161">
        <v>4</v>
      </c>
      <c r="B14" s="163">
        <v>24</v>
      </c>
      <c r="C14" s="163">
        <v>62</v>
      </c>
      <c r="D14" s="163">
        <v>101</v>
      </c>
      <c r="E14" s="162"/>
      <c r="F14" s="162"/>
      <c r="G14" s="162"/>
    </row>
    <row r="15" spans="1:7" ht="14.5" thickBot="1" x14ac:dyDescent="0.3">
      <c r="A15" s="164">
        <v>5</v>
      </c>
      <c r="B15" s="165">
        <v>25.7</v>
      </c>
      <c r="C15" s="165">
        <v>66.8</v>
      </c>
      <c r="D15" s="165">
        <v>79.900000000000006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32.1</v>
      </c>
      <c r="C19" s="163">
        <v>64.400000000000006</v>
      </c>
      <c r="D19" s="163">
        <v>109.3</v>
      </c>
      <c r="E19" s="163">
        <v>26</v>
      </c>
      <c r="F19" s="163">
        <v>75.7</v>
      </c>
      <c r="G19" s="163">
        <v>106.4</v>
      </c>
    </row>
    <row r="20" spans="1:7" x14ac:dyDescent="0.25">
      <c r="A20" s="161">
        <v>2</v>
      </c>
      <c r="B20" s="163">
        <v>21.3</v>
      </c>
      <c r="C20" s="163">
        <v>66</v>
      </c>
      <c r="D20" s="163">
        <v>102</v>
      </c>
      <c r="E20" s="163">
        <v>45.7</v>
      </c>
      <c r="F20" s="163">
        <v>77.400000000000006</v>
      </c>
      <c r="G20" s="163">
        <v>105.1</v>
      </c>
    </row>
    <row r="21" spans="1:7" x14ac:dyDescent="0.25">
      <c r="A21" s="161">
        <v>3</v>
      </c>
      <c r="B21" s="163">
        <v>16</v>
      </c>
      <c r="C21" s="163">
        <v>62.9</v>
      </c>
      <c r="D21" s="163">
        <v>85.1</v>
      </c>
      <c r="E21" s="163">
        <v>50.6</v>
      </c>
      <c r="F21" s="163">
        <v>81.900000000000006</v>
      </c>
      <c r="G21" s="163">
        <v>97.6</v>
      </c>
    </row>
    <row r="22" spans="1:7" x14ac:dyDescent="0.25">
      <c r="A22" s="161">
        <v>4</v>
      </c>
      <c r="B22" s="163">
        <v>48.1</v>
      </c>
      <c r="C22" s="163">
        <v>55</v>
      </c>
      <c r="D22" s="163">
        <v>88.8</v>
      </c>
      <c r="E22" s="163">
        <v>59.5</v>
      </c>
      <c r="F22" s="163">
        <v>83.9</v>
      </c>
      <c r="G22" s="163">
        <v>107.2</v>
      </c>
    </row>
    <row r="23" spans="1:7" x14ac:dyDescent="0.25">
      <c r="A23" s="161">
        <v>5</v>
      </c>
      <c r="B23" s="163">
        <v>15.1</v>
      </c>
      <c r="C23" s="163">
        <v>63.8</v>
      </c>
      <c r="D23" s="163">
        <v>74.3</v>
      </c>
      <c r="E23" s="163">
        <v>59.4</v>
      </c>
      <c r="F23" s="163">
        <v>86.3</v>
      </c>
      <c r="G23" s="163">
        <v>116.1</v>
      </c>
    </row>
    <row r="24" spans="1:7" x14ac:dyDescent="0.25">
      <c r="A24" s="161">
        <v>6</v>
      </c>
      <c r="B24" s="163">
        <v>38.299999999999997</v>
      </c>
      <c r="C24" s="163">
        <v>52.6</v>
      </c>
      <c r="D24" s="163">
        <v>107.6</v>
      </c>
      <c r="E24" s="163">
        <v>38.6</v>
      </c>
      <c r="F24" s="163">
        <v>87.2</v>
      </c>
      <c r="G24" s="163">
        <v>104.3</v>
      </c>
    </row>
    <row r="25" spans="1:7" x14ac:dyDescent="0.25">
      <c r="A25" s="161">
        <v>7</v>
      </c>
      <c r="B25" s="163">
        <v>29.9</v>
      </c>
      <c r="C25" s="163">
        <v>56</v>
      </c>
      <c r="D25" s="163">
        <v>99.8</v>
      </c>
      <c r="E25" s="163">
        <v>28.2</v>
      </c>
      <c r="F25" s="163">
        <v>88</v>
      </c>
      <c r="G25" s="163">
        <v>103.4</v>
      </c>
    </row>
    <row r="26" spans="1:7" x14ac:dyDescent="0.25">
      <c r="A26" s="161">
        <v>8</v>
      </c>
      <c r="B26" s="163">
        <v>27.1</v>
      </c>
      <c r="C26" s="163">
        <v>60.9</v>
      </c>
      <c r="D26" s="163">
        <v>94.6</v>
      </c>
      <c r="E26" s="163">
        <v>56.8</v>
      </c>
      <c r="F26" s="163">
        <v>60.9</v>
      </c>
      <c r="G26" s="163">
        <v>102.6</v>
      </c>
    </row>
    <row r="27" spans="1:7" x14ac:dyDescent="0.25">
      <c r="A27" s="161">
        <v>9</v>
      </c>
      <c r="B27" s="163">
        <v>26.7</v>
      </c>
      <c r="C27" s="163">
        <v>50.3</v>
      </c>
      <c r="D27" s="163">
        <v>72.5</v>
      </c>
      <c r="E27" s="163">
        <v>47.6</v>
      </c>
      <c r="F27" s="163">
        <v>85.2</v>
      </c>
      <c r="G27" s="163">
        <v>96.5</v>
      </c>
    </row>
    <row r="28" spans="1:7" x14ac:dyDescent="0.25">
      <c r="A28" s="161">
        <v>10</v>
      </c>
      <c r="B28" s="163">
        <v>32.5</v>
      </c>
      <c r="C28" s="163">
        <v>51</v>
      </c>
      <c r="D28" s="163">
        <v>105.7</v>
      </c>
      <c r="E28" s="163">
        <v>27.9</v>
      </c>
      <c r="F28" s="163">
        <v>77.599999999999994</v>
      </c>
      <c r="G28" s="163">
        <v>98.9</v>
      </c>
    </row>
    <row r="29" spans="1:7" x14ac:dyDescent="0.25">
      <c r="A29" s="161">
        <v>11</v>
      </c>
      <c r="B29" s="163">
        <v>42.3</v>
      </c>
      <c r="C29" s="163">
        <v>58.3</v>
      </c>
      <c r="D29" s="163">
        <v>88.5</v>
      </c>
      <c r="E29" s="163"/>
      <c r="F29" s="163"/>
      <c r="G29" s="163"/>
    </row>
    <row r="30" spans="1:7" x14ac:dyDescent="0.25">
      <c r="A30" s="161">
        <v>12</v>
      </c>
      <c r="B30" s="163">
        <v>31.9</v>
      </c>
      <c r="C30" s="163">
        <v>54.8</v>
      </c>
      <c r="D30" s="163">
        <v>71</v>
      </c>
      <c r="E30" s="163"/>
      <c r="F30" s="163"/>
      <c r="G30" s="163"/>
    </row>
    <row r="31" spans="1:7" x14ac:dyDescent="0.25">
      <c r="A31" s="161">
        <v>13</v>
      </c>
      <c r="B31" s="163">
        <v>36.299999999999997</v>
      </c>
      <c r="C31" s="163">
        <v>51</v>
      </c>
      <c r="D31" s="163">
        <v>71.2</v>
      </c>
      <c r="E31" s="163"/>
      <c r="F31" s="163"/>
      <c r="G31" s="163"/>
    </row>
    <row r="32" spans="1:7" x14ac:dyDescent="0.25">
      <c r="A32" s="161">
        <v>14</v>
      </c>
      <c r="B32" s="163">
        <v>35.4</v>
      </c>
      <c r="C32" s="163">
        <v>65.599999999999994</v>
      </c>
      <c r="D32" s="163">
        <v>92.2</v>
      </c>
      <c r="E32" s="163"/>
      <c r="F32" s="163"/>
      <c r="G32" s="163"/>
    </row>
    <row r="33" spans="1:7" ht="14.5" thickBot="1" x14ac:dyDescent="0.3">
      <c r="A33" s="166">
        <v>15</v>
      </c>
      <c r="B33" s="165">
        <v>24.1</v>
      </c>
      <c r="C33" s="165">
        <v>68.7</v>
      </c>
      <c r="D33" s="165">
        <v>71.3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38.4</v>
      </c>
      <c r="C37" s="163">
        <v>59.5</v>
      </c>
      <c r="D37" s="163">
        <v>101</v>
      </c>
      <c r="E37" s="163">
        <v>44.5</v>
      </c>
      <c r="F37" s="163">
        <v>73.599999999999994</v>
      </c>
      <c r="G37" s="163">
        <v>93.5</v>
      </c>
    </row>
    <row r="38" spans="1:7" x14ac:dyDescent="0.25">
      <c r="A38" s="161">
        <v>2</v>
      </c>
      <c r="B38" s="163">
        <v>29.8</v>
      </c>
      <c r="C38" s="163">
        <v>52.6</v>
      </c>
      <c r="D38" s="163">
        <v>74.2</v>
      </c>
      <c r="E38" s="163">
        <v>26.2</v>
      </c>
      <c r="F38" s="163">
        <v>84.2</v>
      </c>
      <c r="G38" s="163">
        <v>98.9</v>
      </c>
    </row>
    <row r="39" spans="1:7" x14ac:dyDescent="0.25">
      <c r="A39" s="161">
        <v>3</v>
      </c>
      <c r="B39" s="163">
        <v>49.3</v>
      </c>
      <c r="C39" s="163">
        <v>57.2</v>
      </c>
      <c r="D39" s="163">
        <v>94.2</v>
      </c>
      <c r="E39" s="163">
        <v>42.4</v>
      </c>
      <c r="F39" s="163">
        <v>82.1</v>
      </c>
      <c r="G39" s="163">
        <v>91.5</v>
      </c>
    </row>
    <row r="40" spans="1:7" x14ac:dyDescent="0.25">
      <c r="A40" s="161">
        <v>4</v>
      </c>
      <c r="B40" s="163">
        <v>21.5</v>
      </c>
      <c r="C40" s="163">
        <v>66</v>
      </c>
      <c r="D40" s="163">
        <v>79.900000000000006</v>
      </c>
      <c r="E40" s="163">
        <v>26.2</v>
      </c>
      <c r="F40" s="163">
        <v>67.599999999999994</v>
      </c>
      <c r="G40" s="163">
        <v>91.6</v>
      </c>
    </row>
    <row r="41" spans="1:7" x14ac:dyDescent="0.25">
      <c r="A41" s="161">
        <v>5</v>
      </c>
      <c r="B41" s="163">
        <v>19.399999999999999</v>
      </c>
      <c r="C41" s="163">
        <v>66.2</v>
      </c>
      <c r="D41" s="163">
        <v>83.4</v>
      </c>
      <c r="E41" s="163">
        <v>30.4</v>
      </c>
      <c r="F41" s="163">
        <v>73.8</v>
      </c>
      <c r="G41" s="163">
        <v>118.6</v>
      </c>
    </row>
    <row r="42" spans="1:7" x14ac:dyDescent="0.25">
      <c r="A42" s="161">
        <v>6</v>
      </c>
      <c r="B42" s="163">
        <v>26.1</v>
      </c>
      <c r="C42" s="163">
        <v>61.9</v>
      </c>
      <c r="D42" s="163">
        <v>93.1</v>
      </c>
      <c r="E42" s="163">
        <v>30.3</v>
      </c>
      <c r="F42" s="163">
        <v>82.1</v>
      </c>
      <c r="G42" s="163">
        <v>104.4</v>
      </c>
    </row>
    <row r="43" spans="1:7" x14ac:dyDescent="0.25">
      <c r="A43" s="161">
        <v>7</v>
      </c>
      <c r="B43" s="163">
        <v>35.9</v>
      </c>
      <c r="C43" s="163">
        <v>60.7</v>
      </c>
      <c r="D43" s="163">
        <v>96.1</v>
      </c>
      <c r="E43" s="163">
        <v>26</v>
      </c>
      <c r="F43" s="163">
        <v>74.099999999999994</v>
      </c>
      <c r="G43" s="163">
        <v>117.5</v>
      </c>
    </row>
    <row r="44" spans="1:7" x14ac:dyDescent="0.25">
      <c r="A44" s="161">
        <v>8</v>
      </c>
      <c r="B44" s="163">
        <v>36.799999999999997</v>
      </c>
      <c r="C44" s="163">
        <v>63.5</v>
      </c>
      <c r="D44" s="163">
        <v>107.9</v>
      </c>
      <c r="E44" s="162"/>
      <c r="F44" s="162"/>
      <c r="G44" s="162"/>
    </row>
    <row r="45" spans="1:7" x14ac:dyDescent="0.25">
      <c r="A45" s="161">
        <v>9</v>
      </c>
      <c r="B45" s="163">
        <v>36.700000000000003</v>
      </c>
      <c r="C45" s="163">
        <v>57.4</v>
      </c>
      <c r="D45" s="163">
        <v>74.3</v>
      </c>
      <c r="E45" s="162"/>
      <c r="F45" s="162"/>
      <c r="G45" s="162"/>
    </row>
    <row r="46" spans="1:7" x14ac:dyDescent="0.25">
      <c r="A46" s="161">
        <v>10</v>
      </c>
      <c r="B46" s="163">
        <v>36.9</v>
      </c>
      <c r="C46" s="163">
        <v>55.3</v>
      </c>
      <c r="D46" s="163">
        <v>105.9</v>
      </c>
      <c r="E46" s="162"/>
      <c r="F46" s="162"/>
      <c r="G46" s="162"/>
    </row>
    <row r="47" spans="1:7" x14ac:dyDescent="0.25">
      <c r="A47" s="161">
        <v>11</v>
      </c>
      <c r="B47" s="163">
        <v>36.799999999999997</v>
      </c>
      <c r="C47" s="163">
        <v>55.9</v>
      </c>
      <c r="D47" s="163">
        <v>96.6</v>
      </c>
      <c r="E47" s="162"/>
      <c r="F47" s="162"/>
      <c r="G47" s="162"/>
    </row>
    <row r="48" spans="1:7" x14ac:dyDescent="0.25">
      <c r="A48" s="161">
        <v>12</v>
      </c>
      <c r="B48" s="163">
        <v>27.2</v>
      </c>
      <c r="C48" s="163">
        <v>53</v>
      </c>
      <c r="D48" s="163">
        <v>89.4</v>
      </c>
      <c r="E48" s="162"/>
      <c r="F48" s="162"/>
      <c r="G48" s="162"/>
    </row>
    <row r="49" spans="1:7" x14ac:dyDescent="0.25">
      <c r="A49" s="161">
        <v>13</v>
      </c>
      <c r="B49" s="163">
        <v>43.6</v>
      </c>
      <c r="C49" s="163">
        <v>65.3</v>
      </c>
      <c r="D49" s="163">
        <v>72.900000000000006</v>
      </c>
      <c r="E49" s="162"/>
      <c r="F49" s="162"/>
      <c r="G49" s="162"/>
    </row>
    <row r="50" spans="1:7" x14ac:dyDescent="0.25">
      <c r="A50" s="161">
        <v>14</v>
      </c>
      <c r="B50" s="163">
        <v>27.7</v>
      </c>
      <c r="C50" s="163">
        <v>58</v>
      </c>
      <c r="D50" s="163">
        <v>94.5</v>
      </c>
      <c r="E50" s="162"/>
      <c r="F50" s="162"/>
      <c r="G50" s="162"/>
    </row>
    <row r="51" spans="1:7" x14ac:dyDescent="0.25">
      <c r="A51" s="161">
        <v>15</v>
      </c>
      <c r="B51" s="163">
        <v>20.100000000000001</v>
      </c>
      <c r="C51" s="163">
        <v>54.9</v>
      </c>
      <c r="D51" s="163">
        <v>97.4</v>
      </c>
      <c r="E51" s="162"/>
      <c r="F51" s="162"/>
      <c r="G51" s="162"/>
    </row>
    <row r="52" spans="1:7" x14ac:dyDescent="0.25">
      <c r="A52" s="161">
        <v>16</v>
      </c>
      <c r="B52" s="163">
        <v>30.6</v>
      </c>
      <c r="C52" s="163">
        <v>58.6</v>
      </c>
      <c r="D52" s="163">
        <v>82.3</v>
      </c>
      <c r="E52" s="162"/>
      <c r="F52" s="162"/>
      <c r="G52" s="162"/>
    </row>
    <row r="53" spans="1:7" x14ac:dyDescent="0.25">
      <c r="A53" s="161">
        <v>17</v>
      </c>
      <c r="B53" s="163">
        <v>42.9</v>
      </c>
      <c r="C53" s="163">
        <v>63.5</v>
      </c>
      <c r="D53" s="163">
        <v>92</v>
      </c>
      <c r="E53" s="162"/>
      <c r="F53" s="162"/>
      <c r="G53" s="162"/>
    </row>
    <row r="54" spans="1:7" x14ac:dyDescent="0.25">
      <c r="A54" s="161">
        <v>18</v>
      </c>
      <c r="B54" s="163">
        <v>23</v>
      </c>
      <c r="C54" s="163">
        <v>54.9</v>
      </c>
      <c r="D54" s="163">
        <v>93.8</v>
      </c>
      <c r="E54" s="162"/>
      <c r="F54" s="162"/>
      <c r="G54" s="162"/>
    </row>
    <row r="55" spans="1:7" ht="14.5" thickBot="1" x14ac:dyDescent="0.3">
      <c r="A55" s="164">
        <v>19</v>
      </c>
      <c r="B55" s="165">
        <v>46.4</v>
      </c>
      <c r="C55" s="165">
        <v>62.3</v>
      </c>
      <c r="D55" s="165">
        <v>102.6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18.3</v>
      </c>
      <c r="C59" s="163">
        <v>61</v>
      </c>
      <c r="D59" s="163">
        <v>75</v>
      </c>
      <c r="E59" s="163">
        <v>25.6</v>
      </c>
      <c r="F59" s="163">
        <v>63.5</v>
      </c>
      <c r="G59" s="163">
        <v>101.3</v>
      </c>
    </row>
    <row r="60" spans="1:7" x14ac:dyDescent="0.25">
      <c r="A60" s="161">
        <v>2</v>
      </c>
      <c r="B60" s="163">
        <v>31.6</v>
      </c>
      <c r="C60" s="163">
        <v>64.8</v>
      </c>
      <c r="D60" s="163">
        <v>101.1</v>
      </c>
      <c r="E60" s="163">
        <v>30</v>
      </c>
      <c r="F60" s="163">
        <v>71.2</v>
      </c>
      <c r="G60" s="163">
        <v>99.4</v>
      </c>
    </row>
    <row r="61" spans="1:7" x14ac:dyDescent="0.25">
      <c r="A61" s="161">
        <v>3</v>
      </c>
      <c r="B61" s="163">
        <v>33</v>
      </c>
      <c r="C61" s="163">
        <v>64.5</v>
      </c>
      <c r="D61" s="163">
        <v>82.8</v>
      </c>
      <c r="E61" s="163">
        <v>59.7</v>
      </c>
      <c r="F61" s="163">
        <v>60.8</v>
      </c>
      <c r="G61" s="163">
        <v>116.5</v>
      </c>
    </row>
    <row r="62" spans="1:7" x14ac:dyDescent="0.25">
      <c r="A62" s="161">
        <v>4</v>
      </c>
      <c r="B62" s="163">
        <v>34.299999999999997</v>
      </c>
      <c r="C62" s="163">
        <v>68</v>
      </c>
      <c r="D62" s="163">
        <v>104.3</v>
      </c>
      <c r="E62" s="163">
        <v>28.3</v>
      </c>
      <c r="F62" s="163">
        <v>88</v>
      </c>
      <c r="G62" s="163">
        <v>90.2</v>
      </c>
    </row>
    <row r="63" spans="1:7" x14ac:dyDescent="0.25">
      <c r="A63" s="161">
        <v>5</v>
      </c>
      <c r="B63" s="163">
        <v>37.799999999999997</v>
      </c>
      <c r="C63" s="163">
        <v>55.4</v>
      </c>
      <c r="D63" s="163">
        <v>103.7</v>
      </c>
      <c r="E63" s="163">
        <v>58.1</v>
      </c>
      <c r="F63" s="163">
        <v>75.400000000000006</v>
      </c>
      <c r="G63" s="163">
        <v>103.8</v>
      </c>
    </row>
    <row r="64" spans="1:7" x14ac:dyDescent="0.25">
      <c r="A64" s="167">
        <v>6</v>
      </c>
      <c r="B64" s="163">
        <v>46</v>
      </c>
      <c r="C64" s="163">
        <v>52</v>
      </c>
      <c r="D64" s="163">
        <v>84.8</v>
      </c>
      <c r="E64" s="163">
        <v>26.7</v>
      </c>
      <c r="F64" s="163">
        <v>66.3</v>
      </c>
      <c r="G64" s="163">
        <v>105.7</v>
      </c>
    </row>
    <row r="65" spans="1:7" ht="14.5" thickBot="1" x14ac:dyDescent="0.3">
      <c r="A65" s="164">
        <v>7</v>
      </c>
      <c r="B65" s="165">
        <v>23.5</v>
      </c>
      <c r="C65" s="165">
        <v>59.9</v>
      </c>
      <c r="D65" s="165">
        <v>109.1</v>
      </c>
      <c r="E65" s="165">
        <v>44</v>
      </c>
      <c r="F65" s="165">
        <v>74.8</v>
      </c>
      <c r="G65" s="165">
        <v>111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36.799999999999997</v>
      </c>
      <c r="C69" s="163">
        <v>58</v>
      </c>
      <c r="D69" s="163">
        <v>109.2</v>
      </c>
      <c r="E69" s="163">
        <v>25.8</v>
      </c>
      <c r="F69" s="163">
        <v>83.6</v>
      </c>
      <c r="G69" s="163">
        <v>93.9</v>
      </c>
    </row>
    <row r="70" spans="1:7" x14ac:dyDescent="0.25">
      <c r="A70" s="161">
        <v>2</v>
      </c>
      <c r="B70" s="163">
        <v>28.8</v>
      </c>
      <c r="C70" s="163">
        <v>68.2</v>
      </c>
      <c r="D70" s="163">
        <v>71.7</v>
      </c>
      <c r="E70" s="163">
        <v>42.3</v>
      </c>
      <c r="F70" s="163">
        <v>75.8</v>
      </c>
      <c r="G70" s="163">
        <v>104.4</v>
      </c>
    </row>
    <row r="71" spans="1:7" x14ac:dyDescent="0.25">
      <c r="A71" s="161">
        <v>3</v>
      </c>
      <c r="B71" s="163">
        <v>41.9</v>
      </c>
      <c r="C71" s="163">
        <v>68.900000000000006</v>
      </c>
      <c r="D71" s="163">
        <v>105</v>
      </c>
      <c r="E71" s="163">
        <v>52.5</v>
      </c>
      <c r="F71" s="163">
        <v>69.099999999999994</v>
      </c>
      <c r="G71" s="163">
        <v>114.4</v>
      </c>
    </row>
    <row r="72" spans="1:7" x14ac:dyDescent="0.25">
      <c r="A72" s="161">
        <v>4</v>
      </c>
      <c r="B72" s="163">
        <v>24.1</v>
      </c>
      <c r="C72" s="163">
        <v>67.8</v>
      </c>
      <c r="D72" s="163">
        <v>77.400000000000006</v>
      </c>
      <c r="E72" s="163">
        <v>40</v>
      </c>
      <c r="F72" s="163">
        <v>79</v>
      </c>
      <c r="G72" s="163">
        <v>98.2</v>
      </c>
    </row>
    <row r="73" spans="1:7" x14ac:dyDescent="0.25">
      <c r="A73" s="161">
        <v>5</v>
      </c>
      <c r="B73" s="163">
        <v>35</v>
      </c>
      <c r="C73" s="163">
        <v>55.5</v>
      </c>
      <c r="D73" s="163">
        <v>77.5</v>
      </c>
      <c r="E73" s="163">
        <v>56.5</v>
      </c>
      <c r="F73" s="163">
        <v>87.6</v>
      </c>
      <c r="G73" s="163">
        <v>109.4</v>
      </c>
    </row>
    <row r="74" spans="1:7" x14ac:dyDescent="0.25">
      <c r="A74" s="161">
        <v>6</v>
      </c>
      <c r="B74" s="163">
        <v>20.8</v>
      </c>
      <c r="C74" s="163">
        <v>62.9</v>
      </c>
      <c r="D74" s="163">
        <v>109.3</v>
      </c>
      <c r="E74" s="163">
        <v>54.8</v>
      </c>
      <c r="F74" s="163">
        <v>80.400000000000006</v>
      </c>
      <c r="G74" s="163">
        <v>119.3</v>
      </c>
    </row>
    <row r="75" spans="1:7" x14ac:dyDescent="0.25">
      <c r="A75" s="161">
        <v>7</v>
      </c>
      <c r="B75" s="163">
        <v>41.3</v>
      </c>
      <c r="C75" s="163">
        <v>68.3</v>
      </c>
      <c r="D75" s="163">
        <v>92.2</v>
      </c>
      <c r="E75" s="163">
        <v>49.5</v>
      </c>
      <c r="F75" s="163">
        <v>72.599999999999994</v>
      </c>
      <c r="G75" s="163">
        <v>105.3</v>
      </c>
    </row>
    <row r="76" spans="1:7" x14ac:dyDescent="0.25">
      <c r="A76" s="161">
        <v>8</v>
      </c>
      <c r="B76" s="163">
        <v>31.8</v>
      </c>
      <c r="C76" s="163">
        <v>68.8</v>
      </c>
      <c r="D76" s="163">
        <v>75.400000000000006</v>
      </c>
      <c r="E76" s="163">
        <v>56.1</v>
      </c>
      <c r="F76" s="163">
        <v>64.400000000000006</v>
      </c>
      <c r="G76" s="163">
        <v>101.5</v>
      </c>
    </row>
    <row r="77" spans="1:7" x14ac:dyDescent="0.25">
      <c r="A77" s="161">
        <v>9</v>
      </c>
      <c r="B77" s="163">
        <v>47.8</v>
      </c>
      <c r="C77" s="163">
        <v>69.3</v>
      </c>
      <c r="D77" s="163">
        <v>78.900000000000006</v>
      </c>
      <c r="E77" s="163">
        <v>33.4</v>
      </c>
      <c r="F77" s="163">
        <v>61.3</v>
      </c>
      <c r="G77" s="163">
        <v>113.8</v>
      </c>
    </row>
    <row r="78" spans="1:7" x14ac:dyDescent="0.25">
      <c r="A78" s="161">
        <v>10</v>
      </c>
      <c r="B78" s="163">
        <v>25.8</v>
      </c>
      <c r="C78" s="163">
        <v>54</v>
      </c>
      <c r="D78" s="163">
        <v>89.6</v>
      </c>
      <c r="E78" s="163">
        <v>50.5</v>
      </c>
      <c r="F78" s="163">
        <v>61.6</v>
      </c>
      <c r="G78" s="163">
        <v>101.1</v>
      </c>
    </row>
    <row r="79" spans="1:7" x14ac:dyDescent="0.25">
      <c r="A79" s="161">
        <v>11</v>
      </c>
      <c r="B79" s="163">
        <v>26.9</v>
      </c>
      <c r="C79" s="163">
        <v>61.1</v>
      </c>
      <c r="D79" s="163">
        <v>81.5</v>
      </c>
      <c r="E79" s="163">
        <v>33.799999999999997</v>
      </c>
      <c r="F79" s="163">
        <v>86.5</v>
      </c>
      <c r="G79" s="163">
        <v>108.9</v>
      </c>
    </row>
    <row r="80" spans="1:7" x14ac:dyDescent="0.25">
      <c r="A80" s="161">
        <v>12</v>
      </c>
      <c r="B80" s="163">
        <v>37.9</v>
      </c>
      <c r="C80" s="163">
        <v>63.5</v>
      </c>
      <c r="D80" s="163">
        <v>70.400000000000006</v>
      </c>
      <c r="E80" s="163">
        <v>33.6</v>
      </c>
      <c r="F80" s="163">
        <v>88.3</v>
      </c>
      <c r="G80" s="163">
        <v>116.4</v>
      </c>
    </row>
    <row r="81" spans="1:7" x14ac:dyDescent="0.25">
      <c r="A81" s="161">
        <v>13</v>
      </c>
      <c r="B81" s="163">
        <v>49.7</v>
      </c>
      <c r="C81" s="163">
        <v>64.2</v>
      </c>
      <c r="D81" s="163">
        <v>74.400000000000006</v>
      </c>
      <c r="E81" s="163">
        <v>58.9</v>
      </c>
      <c r="F81" s="163">
        <v>83.2</v>
      </c>
      <c r="G81" s="163">
        <v>115.8</v>
      </c>
    </row>
    <row r="82" spans="1:7" x14ac:dyDescent="0.25">
      <c r="A82" s="161">
        <v>14</v>
      </c>
      <c r="B82" s="163">
        <v>45.9</v>
      </c>
      <c r="C82" s="163">
        <v>65</v>
      </c>
      <c r="D82" s="163">
        <v>102</v>
      </c>
      <c r="E82" s="163">
        <v>25.3</v>
      </c>
      <c r="F82" s="163">
        <v>83.2</v>
      </c>
      <c r="G82" s="163">
        <v>94.2</v>
      </c>
    </row>
    <row r="83" spans="1:7" x14ac:dyDescent="0.25">
      <c r="A83" s="161">
        <v>15</v>
      </c>
      <c r="B83" s="163">
        <v>20.2</v>
      </c>
      <c r="C83" s="163">
        <v>66.900000000000006</v>
      </c>
      <c r="D83" s="163">
        <v>100.7</v>
      </c>
      <c r="E83" s="163">
        <v>25.8</v>
      </c>
      <c r="F83" s="163">
        <v>62.7</v>
      </c>
      <c r="G83" s="163">
        <v>116.2</v>
      </c>
    </row>
    <row r="84" spans="1:7" x14ac:dyDescent="0.25">
      <c r="A84" s="161">
        <v>16</v>
      </c>
      <c r="B84" s="163">
        <v>42</v>
      </c>
      <c r="C84" s="163">
        <v>65.599999999999994</v>
      </c>
      <c r="D84" s="163">
        <v>102.7</v>
      </c>
      <c r="E84" s="163"/>
      <c r="F84" s="163"/>
      <c r="G84" s="163"/>
    </row>
    <row r="85" spans="1:7" ht="14.5" thickBot="1" x14ac:dyDescent="0.3">
      <c r="A85" s="166">
        <v>17</v>
      </c>
      <c r="B85" s="168">
        <v>32.6</v>
      </c>
      <c r="C85" s="168">
        <v>69.099999999999994</v>
      </c>
      <c r="D85" s="168">
        <v>84.3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36.6</v>
      </c>
      <c r="C89" s="163">
        <v>56.9</v>
      </c>
      <c r="D89" s="163">
        <v>74.599999999999994</v>
      </c>
      <c r="E89" s="163">
        <v>34</v>
      </c>
      <c r="F89" s="163">
        <v>82.1</v>
      </c>
      <c r="G89" s="163">
        <v>118.9</v>
      </c>
    </row>
    <row r="90" spans="1:7" x14ac:dyDescent="0.25">
      <c r="A90" s="161">
        <v>2</v>
      </c>
      <c r="B90" s="163">
        <v>40.1</v>
      </c>
      <c r="C90" s="163">
        <v>65.900000000000006</v>
      </c>
      <c r="D90" s="163">
        <v>89.9</v>
      </c>
      <c r="E90" s="163">
        <v>55.8</v>
      </c>
      <c r="F90" s="163">
        <v>81.900000000000006</v>
      </c>
      <c r="G90" s="163">
        <v>100.8</v>
      </c>
    </row>
    <row r="91" spans="1:7" x14ac:dyDescent="0.25">
      <c r="A91" s="161">
        <v>3</v>
      </c>
      <c r="B91" s="163">
        <v>29.1</v>
      </c>
      <c r="C91" s="163">
        <v>60.3</v>
      </c>
      <c r="D91" s="163">
        <v>80</v>
      </c>
      <c r="E91" s="163">
        <v>48.2</v>
      </c>
      <c r="F91" s="163">
        <v>69.5</v>
      </c>
      <c r="G91" s="163">
        <v>90.5</v>
      </c>
    </row>
    <row r="92" spans="1:7" x14ac:dyDescent="0.25">
      <c r="A92" s="161">
        <v>4</v>
      </c>
      <c r="B92" s="163">
        <v>16.600000000000001</v>
      </c>
      <c r="C92" s="163">
        <v>61.3</v>
      </c>
      <c r="D92" s="163">
        <v>73.599999999999994</v>
      </c>
      <c r="E92" s="163">
        <v>42.5</v>
      </c>
      <c r="F92" s="163">
        <v>75.400000000000006</v>
      </c>
      <c r="G92" s="163">
        <v>101.1</v>
      </c>
    </row>
    <row r="93" spans="1:7" x14ac:dyDescent="0.25">
      <c r="A93" s="161">
        <v>5</v>
      </c>
      <c r="B93" s="163">
        <v>27.7</v>
      </c>
      <c r="C93" s="163">
        <v>56.9</v>
      </c>
      <c r="D93" s="163">
        <v>99.8</v>
      </c>
      <c r="E93" s="163">
        <v>44.4</v>
      </c>
      <c r="F93" s="163">
        <v>88.3</v>
      </c>
      <c r="G93" s="163">
        <v>101.1</v>
      </c>
    </row>
    <row r="94" spans="1:7" x14ac:dyDescent="0.25">
      <c r="A94" s="161">
        <v>6</v>
      </c>
      <c r="B94" s="163">
        <v>19.899999999999999</v>
      </c>
      <c r="C94" s="163">
        <v>52.3</v>
      </c>
      <c r="D94" s="163">
        <v>95.7</v>
      </c>
      <c r="E94" s="163">
        <v>37.5</v>
      </c>
      <c r="F94" s="163">
        <v>70</v>
      </c>
      <c r="G94" s="163">
        <v>100.7</v>
      </c>
    </row>
    <row r="95" spans="1:7" x14ac:dyDescent="0.25">
      <c r="A95" s="161">
        <v>7</v>
      </c>
      <c r="B95" s="163">
        <v>45.4</v>
      </c>
      <c r="C95" s="163">
        <v>64.2</v>
      </c>
      <c r="D95" s="163">
        <v>89.9</v>
      </c>
      <c r="E95" s="163">
        <v>31.7</v>
      </c>
      <c r="F95" s="163">
        <v>88.6</v>
      </c>
      <c r="G95" s="163">
        <v>95.2</v>
      </c>
    </row>
    <row r="96" spans="1:7" x14ac:dyDescent="0.25">
      <c r="A96" s="161">
        <v>8</v>
      </c>
      <c r="B96" s="163">
        <v>34.200000000000003</v>
      </c>
      <c r="C96" s="163">
        <v>62.4</v>
      </c>
      <c r="D96" s="163">
        <v>73.400000000000006</v>
      </c>
      <c r="E96" s="162"/>
      <c r="F96" s="162"/>
      <c r="G96" s="162"/>
    </row>
    <row r="97" spans="1:7" x14ac:dyDescent="0.25">
      <c r="A97" s="161">
        <v>9</v>
      </c>
      <c r="B97" s="163">
        <v>44.1</v>
      </c>
      <c r="C97" s="163">
        <v>64.3</v>
      </c>
      <c r="D97" s="163">
        <v>97.9</v>
      </c>
      <c r="E97" s="162"/>
      <c r="F97" s="162"/>
      <c r="G97" s="162"/>
    </row>
    <row r="98" spans="1:7" x14ac:dyDescent="0.25">
      <c r="A98" s="161">
        <v>10</v>
      </c>
      <c r="B98" s="163">
        <v>46.2</v>
      </c>
      <c r="C98" s="163">
        <v>61.7</v>
      </c>
      <c r="D98" s="163">
        <v>81.400000000000006</v>
      </c>
      <c r="E98" s="162"/>
      <c r="F98" s="162"/>
      <c r="G98" s="162"/>
    </row>
    <row r="99" spans="1:7" x14ac:dyDescent="0.25">
      <c r="A99" s="161">
        <v>11</v>
      </c>
      <c r="B99" s="163">
        <v>39</v>
      </c>
      <c r="C99" s="163">
        <v>56.5</v>
      </c>
      <c r="D99" s="163">
        <v>104.9</v>
      </c>
      <c r="E99" s="162"/>
      <c r="F99" s="162"/>
      <c r="G99" s="162"/>
    </row>
    <row r="100" spans="1:7" x14ac:dyDescent="0.25">
      <c r="A100" s="161">
        <v>12</v>
      </c>
      <c r="B100" s="163">
        <v>45.2</v>
      </c>
      <c r="C100" s="163">
        <v>64.8</v>
      </c>
      <c r="D100" s="163">
        <v>102.5</v>
      </c>
      <c r="E100" s="162"/>
      <c r="F100" s="162"/>
      <c r="G100" s="162"/>
    </row>
    <row r="101" spans="1:7" x14ac:dyDescent="0.25">
      <c r="A101" s="161">
        <v>13</v>
      </c>
      <c r="B101" s="163">
        <v>41.4</v>
      </c>
      <c r="C101" s="163">
        <v>54.5</v>
      </c>
      <c r="D101" s="163">
        <v>94.4</v>
      </c>
      <c r="E101" s="162"/>
      <c r="F101" s="162"/>
      <c r="G101" s="162"/>
    </row>
    <row r="102" spans="1:7" x14ac:dyDescent="0.25">
      <c r="A102" s="161">
        <v>14</v>
      </c>
      <c r="B102" s="163">
        <v>48.3</v>
      </c>
      <c r="C102" s="163">
        <v>58.5</v>
      </c>
      <c r="D102" s="163">
        <v>102.9</v>
      </c>
      <c r="E102" s="162"/>
      <c r="F102" s="162"/>
      <c r="G102" s="162"/>
    </row>
    <row r="103" spans="1:7" x14ac:dyDescent="0.25">
      <c r="A103" s="161">
        <v>15</v>
      </c>
      <c r="B103" s="163">
        <v>22.7</v>
      </c>
      <c r="C103" s="163">
        <v>56.9</v>
      </c>
      <c r="D103" s="163">
        <v>86.3</v>
      </c>
      <c r="E103" s="162"/>
      <c r="F103" s="162"/>
      <c r="G103" s="162"/>
    </row>
    <row r="104" spans="1:7" x14ac:dyDescent="0.25">
      <c r="A104" s="161">
        <v>16</v>
      </c>
      <c r="B104" s="163">
        <v>39</v>
      </c>
      <c r="C104" s="163">
        <v>58.4</v>
      </c>
      <c r="D104" s="163">
        <v>84.9</v>
      </c>
      <c r="E104" s="162"/>
      <c r="F104" s="162"/>
      <c r="G104" s="162"/>
    </row>
    <row r="105" spans="1:7" x14ac:dyDescent="0.25">
      <c r="A105" s="161">
        <v>17</v>
      </c>
      <c r="B105" s="163">
        <v>25.6</v>
      </c>
      <c r="C105" s="163">
        <v>56.2</v>
      </c>
      <c r="D105" s="163">
        <v>75.400000000000006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101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45.9</v>
      </c>
      <c r="C110" s="163">
        <v>62.2</v>
      </c>
      <c r="D110" s="163">
        <v>84.6</v>
      </c>
      <c r="E110" s="163">
        <v>48.6</v>
      </c>
      <c r="F110" s="163">
        <v>67.2</v>
      </c>
      <c r="G110" s="163">
        <v>93.4</v>
      </c>
    </row>
    <row r="111" spans="1:7" x14ac:dyDescent="0.25">
      <c r="A111" s="161">
        <v>2</v>
      </c>
      <c r="B111" s="163">
        <v>45.9</v>
      </c>
      <c r="C111" s="163">
        <v>59.5</v>
      </c>
      <c r="D111" s="163">
        <v>104.9</v>
      </c>
      <c r="E111" s="163">
        <v>28.8</v>
      </c>
      <c r="F111" s="163">
        <v>60.6</v>
      </c>
      <c r="G111" s="163">
        <v>100.8</v>
      </c>
    </row>
    <row r="112" spans="1:7" ht="14.5" thickBot="1" x14ac:dyDescent="0.3">
      <c r="A112" s="166">
        <v>3</v>
      </c>
      <c r="B112" s="168"/>
      <c r="C112" s="168"/>
      <c r="D112" s="168"/>
      <c r="E112" s="168">
        <v>40.9</v>
      </c>
      <c r="F112" s="168">
        <v>81.900000000000006</v>
      </c>
      <c r="G112" s="168">
        <v>96.1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31.9</v>
      </c>
      <c r="C116" s="163">
        <v>69.099999999999994</v>
      </c>
      <c r="D116" s="163">
        <v>87.8</v>
      </c>
      <c r="E116" s="163">
        <v>48.6</v>
      </c>
      <c r="F116" s="163">
        <v>78.900000000000006</v>
      </c>
      <c r="G116" s="163">
        <v>95</v>
      </c>
    </row>
    <row r="117" spans="1:7" x14ac:dyDescent="0.25">
      <c r="A117" s="161">
        <v>2</v>
      </c>
      <c r="B117" s="163">
        <v>30.9</v>
      </c>
      <c r="C117" s="163">
        <v>62</v>
      </c>
      <c r="D117" s="163">
        <v>106.6</v>
      </c>
      <c r="E117" s="163">
        <v>53.7</v>
      </c>
      <c r="F117" s="163">
        <v>77.2</v>
      </c>
      <c r="G117" s="163">
        <v>101.2</v>
      </c>
    </row>
    <row r="118" spans="1:7" x14ac:dyDescent="0.25">
      <c r="A118" s="161">
        <v>3</v>
      </c>
      <c r="B118" s="163">
        <v>30.5</v>
      </c>
      <c r="C118" s="163">
        <v>60.4</v>
      </c>
      <c r="D118" s="163">
        <v>81.7</v>
      </c>
      <c r="E118" s="163">
        <v>35.6</v>
      </c>
      <c r="F118" s="163">
        <v>68.2</v>
      </c>
      <c r="G118" s="163">
        <v>116.6</v>
      </c>
    </row>
    <row r="119" spans="1:7" x14ac:dyDescent="0.25">
      <c r="A119" s="161">
        <v>4</v>
      </c>
      <c r="B119" s="163">
        <v>16</v>
      </c>
      <c r="C119" s="163">
        <v>65.099999999999994</v>
      </c>
      <c r="D119" s="163">
        <v>89.6</v>
      </c>
      <c r="E119" s="163">
        <v>39.9</v>
      </c>
      <c r="F119" s="163">
        <v>81.8</v>
      </c>
      <c r="G119" s="163">
        <v>112.7</v>
      </c>
    </row>
    <row r="120" spans="1:7" x14ac:dyDescent="0.25">
      <c r="A120" s="161">
        <v>5</v>
      </c>
      <c r="B120" s="162"/>
      <c r="C120" s="162"/>
      <c r="D120" s="162"/>
      <c r="E120" s="163">
        <v>33</v>
      </c>
      <c r="F120" s="163">
        <v>77.099999999999994</v>
      </c>
      <c r="G120" s="163">
        <v>95.8</v>
      </c>
    </row>
    <row r="121" spans="1:7" x14ac:dyDescent="0.25">
      <c r="A121" s="161">
        <v>6</v>
      </c>
      <c r="B121" s="162"/>
      <c r="C121" s="162"/>
      <c r="D121" s="162"/>
      <c r="E121" s="163">
        <v>37.700000000000003</v>
      </c>
      <c r="F121" s="163">
        <v>84.3</v>
      </c>
      <c r="G121" s="163">
        <v>90</v>
      </c>
    </row>
    <row r="122" spans="1:7" x14ac:dyDescent="0.25">
      <c r="A122" s="161">
        <v>7</v>
      </c>
      <c r="B122" s="162"/>
      <c r="C122" s="162"/>
      <c r="D122" s="162"/>
      <c r="E122" s="163">
        <v>42.3</v>
      </c>
      <c r="F122" s="163">
        <v>89.1</v>
      </c>
      <c r="G122" s="163">
        <v>93.1</v>
      </c>
    </row>
    <row r="123" spans="1:7" x14ac:dyDescent="0.25">
      <c r="A123" s="161">
        <v>8</v>
      </c>
      <c r="B123" s="162"/>
      <c r="C123" s="162"/>
      <c r="D123" s="162"/>
      <c r="E123" s="163">
        <v>54.3</v>
      </c>
      <c r="F123" s="163">
        <v>87.6</v>
      </c>
      <c r="G123" s="163">
        <v>107.1</v>
      </c>
    </row>
    <row r="124" spans="1:7" ht="14.5" thickBot="1" x14ac:dyDescent="0.3">
      <c r="A124" s="166">
        <v>9</v>
      </c>
      <c r="B124" s="168"/>
      <c r="C124" s="168"/>
      <c r="D124" s="168"/>
      <c r="E124" s="168">
        <v>35.4</v>
      </c>
      <c r="F124" s="168">
        <v>62.3</v>
      </c>
      <c r="G124" s="168">
        <v>94.5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58.966666666666661</v>
      </c>
      <c r="C129" s="170">
        <f>AVERAGE(E5:G7)</f>
        <v>73.400000000000006</v>
      </c>
      <c r="D129" s="161">
        <f>'2021.1'!D129</f>
        <v>2166</v>
      </c>
      <c r="E129" s="161">
        <v>4358</v>
      </c>
      <c r="F129" s="161">
        <f>D129*B129</f>
        <v>127721.79999999999</v>
      </c>
      <c r="G129" s="161">
        <f>E129*C129</f>
        <v>319877.2</v>
      </c>
    </row>
    <row r="130" spans="1:7" x14ac:dyDescent="0.25">
      <c r="A130" s="162" t="str">
        <f>A8</f>
        <v>Dongyuan Huangtian swine Farm</v>
      </c>
      <c r="B130" s="169">
        <f>AVERAGE((B11:D15))</f>
        <v>58.626666666666665</v>
      </c>
      <c r="C130" s="169">
        <f>AVERAGE(E11:G11)</f>
        <v>80.899999999999991</v>
      </c>
      <c r="D130" s="161">
        <f>'2021.1'!D130</f>
        <v>6431</v>
      </c>
      <c r="E130" s="161">
        <v>1452</v>
      </c>
      <c r="F130" s="161">
        <f t="shared" ref="F130:G137" si="0">D130*B130</f>
        <v>377028.09333333332</v>
      </c>
      <c r="G130" s="161">
        <f t="shared" si="0"/>
        <v>117466.79999999999</v>
      </c>
    </row>
    <row r="131" spans="1:7" x14ac:dyDescent="0.25">
      <c r="A131" s="162" t="str">
        <f>A16</f>
        <v>Enping Shahu swine  Farm</v>
      </c>
      <c r="B131" s="169">
        <f>AVERAGE(B19:D33)</f>
        <v>59.384444444444441</v>
      </c>
      <c r="C131" s="169">
        <f>AVERAGE(E19:G28)</f>
        <v>76.083333333333329</v>
      </c>
      <c r="D131" s="161">
        <f>'2021.1'!D131</f>
        <v>23413</v>
      </c>
      <c r="E131" s="161">
        <v>15611</v>
      </c>
      <c r="F131" s="161">
        <f t="shared" si="0"/>
        <v>1390367.9977777777</v>
      </c>
      <c r="G131" s="161">
        <f t="shared" si="0"/>
        <v>1187736.9166666665</v>
      </c>
    </row>
    <row r="132" spans="1:7" x14ac:dyDescent="0.25">
      <c r="A132" s="162" t="str">
        <f>A34</f>
        <v>Langtian Yuehui swine Farm</v>
      </c>
      <c r="B132" s="169">
        <f>AVERAGE(B37:D55)</f>
        <v>61.180701754385986</v>
      </c>
      <c r="C132" s="169">
        <f>AVERAGE(E37:G43)</f>
        <v>70.452380952380935</v>
      </c>
      <c r="D132" s="161">
        <f>'2021.1'!D132</f>
        <v>29497</v>
      </c>
      <c r="E132" s="161">
        <v>10139</v>
      </c>
      <c r="F132" s="161">
        <f t="shared" si="0"/>
        <v>1804647.1596491234</v>
      </c>
      <c r="G132" s="161">
        <f t="shared" si="0"/>
        <v>714316.6904761903</v>
      </c>
    </row>
    <row r="133" spans="1:7" x14ac:dyDescent="0.25">
      <c r="A133" s="162" t="str">
        <f>A56</f>
        <v>Qujiang Fengwan swine Farm</v>
      </c>
      <c r="B133" s="169">
        <f>AVERAGE(B59:D65)</f>
        <v>62.423809523809517</v>
      </c>
      <c r="C133" s="169">
        <f>AVERAGE(E59:G65)</f>
        <v>71.442857142857136</v>
      </c>
      <c r="D133" s="161">
        <f>'2021.1'!D133</f>
        <v>9686</v>
      </c>
      <c r="E133" s="161">
        <v>11358</v>
      </c>
      <c r="F133" s="161">
        <f t="shared" si="0"/>
        <v>604637.01904761896</v>
      </c>
      <c r="G133" s="161">
        <f t="shared" si="0"/>
        <v>811447.97142857139</v>
      </c>
    </row>
    <row r="134" spans="1:7" x14ac:dyDescent="0.25">
      <c r="A134" s="162" t="str">
        <f>A66</f>
        <v>Pingyuan Zhongshi swine Farm</v>
      </c>
      <c r="B134" s="169">
        <f>AVERAGE(B69:D85)</f>
        <v>62.521568627450961</v>
      </c>
      <c r="C134" s="169">
        <f>AVERAGE(E69:G83)</f>
        <v>75.353333333333339</v>
      </c>
      <c r="D134" s="161">
        <f>'2021.1'!D134</f>
        <v>26358</v>
      </c>
      <c r="E134" s="161">
        <v>23604</v>
      </c>
      <c r="F134" s="161">
        <f t="shared" si="0"/>
        <v>1647943.5058823524</v>
      </c>
      <c r="G134" s="161">
        <f t="shared" si="0"/>
        <v>1778640.08</v>
      </c>
    </row>
    <row r="135" spans="1:7" x14ac:dyDescent="0.25">
      <c r="A135" s="162" t="str">
        <f>A86</f>
        <v>Yangchun Tanshui swine Farm</v>
      </c>
      <c r="B135" s="169">
        <f>AVERAGE(B89:D106)</f>
        <v>61.953846153846179</v>
      </c>
      <c r="C135" s="169">
        <f>AVERAGE(E89:G95)</f>
        <v>74.2</v>
      </c>
      <c r="D135" s="161">
        <f>'2021.1'!D135</f>
        <v>26581</v>
      </c>
      <c r="E135" s="161">
        <v>11648</v>
      </c>
      <c r="F135" s="161">
        <f t="shared" si="0"/>
        <v>1646795.1846153853</v>
      </c>
      <c r="G135" s="161">
        <f t="shared" si="0"/>
        <v>864281.59999999998</v>
      </c>
    </row>
    <row r="136" spans="1:7" x14ac:dyDescent="0.25">
      <c r="A136" s="162" t="str">
        <f>A107</f>
        <v>Xinfeng Shatian swine Farm</v>
      </c>
      <c r="B136" s="169">
        <f>AVERAGE(B110:D112)</f>
        <v>67.166666666666671</v>
      </c>
      <c r="C136" s="169">
        <f>AVERAGE(E110:G112)</f>
        <v>68.7</v>
      </c>
      <c r="D136" s="161">
        <f>'2021.1'!D136</f>
        <v>2074</v>
      </c>
      <c r="E136" s="161">
        <v>3779</v>
      </c>
      <c r="F136" s="161">
        <f t="shared" si="0"/>
        <v>139303.66666666669</v>
      </c>
      <c r="G136" s="161">
        <f t="shared" si="0"/>
        <v>259617.30000000002</v>
      </c>
    </row>
    <row r="137" spans="1:7" x14ac:dyDescent="0.25">
      <c r="A137" s="162" t="str">
        <f>A113</f>
        <v>Kaiping Cangcheng swine Farm</v>
      </c>
      <c r="B137" s="169">
        <f>AVERAGE(B116:D119)</f>
        <v>60.966666666666676</v>
      </c>
      <c r="C137" s="169">
        <f>AVERAGE(E116:G124)</f>
        <v>73.814814814814795</v>
      </c>
      <c r="D137" s="161">
        <f>'2021.1'!D137</f>
        <v>5872</v>
      </c>
      <c r="E137" s="161">
        <v>13984</v>
      </c>
      <c r="F137" s="161">
        <f t="shared" si="0"/>
        <v>357996.26666666672</v>
      </c>
      <c r="G137" s="161">
        <f t="shared" si="0"/>
        <v>1032226.3703703701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95933</v>
      </c>
      <c r="F138" s="161">
        <f t="shared" ref="F138:G138" si="1">SUM(F129:F137)</f>
        <v>8096440.6936389245</v>
      </c>
      <c r="G138" s="161">
        <f t="shared" si="1"/>
        <v>7085610.9289417975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61.3</v>
      </c>
      <c r="D142" s="171">
        <f>ROUNDDOWN(G138/E138,1)</f>
        <v>73.8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C3EBD-861C-4157-98C7-1C769729E2D0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25.4</v>
      </c>
      <c r="C5" s="163">
        <v>61</v>
      </c>
      <c r="D5" s="163">
        <v>109.8</v>
      </c>
      <c r="E5" s="163">
        <v>57.5</v>
      </c>
      <c r="F5" s="163">
        <v>89.2</v>
      </c>
      <c r="G5" s="163">
        <v>91.2</v>
      </c>
    </row>
    <row r="6" spans="1:7" x14ac:dyDescent="0.25">
      <c r="A6" s="161">
        <v>2</v>
      </c>
      <c r="B6" s="163">
        <v>33.799999999999997</v>
      </c>
      <c r="C6" s="163">
        <v>51.8</v>
      </c>
      <c r="D6" s="163">
        <v>92.5</v>
      </c>
      <c r="E6" s="163">
        <v>26.9</v>
      </c>
      <c r="F6" s="163">
        <v>61.5</v>
      </c>
      <c r="G6" s="163">
        <v>99.9</v>
      </c>
    </row>
    <row r="7" spans="1:7" ht="14.5" thickBot="1" x14ac:dyDescent="0.3">
      <c r="A7" s="164">
        <v>3</v>
      </c>
      <c r="B7" s="165"/>
      <c r="C7" s="165"/>
      <c r="D7" s="165"/>
      <c r="E7" s="165">
        <v>26.3</v>
      </c>
      <c r="F7" s="165">
        <v>73.599999999999994</v>
      </c>
      <c r="G7" s="165">
        <v>103.1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33.700000000000003</v>
      </c>
      <c r="C11" s="163">
        <v>55.2</v>
      </c>
      <c r="D11" s="163">
        <v>84.4</v>
      </c>
      <c r="E11" s="163">
        <v>59.9</v>
      </c>
      <c r="F11" s="163">
        <v>70.400000000000006</v>
      </c>
      <c r="G11" s="163">
        <v>101.6</v>
      </c>
    </row>
    <row r="12" spans="1:7" x14ac:dyDescent="0.25">
      <c r="A12" s="161">
        <v>2</v>
      </c>
      <c r="B12" s="163">
        <v>32.299999999999997</v>
      </c>
      <c r="C12" s="163">
        <v>65</v>
      </c>
      <c r="D12" s="163">
        <v>70.900000000000006</v>
      </c>
      <c r="E12" s="163"/>
      <c r="F12" s="163"/>
      <c r="G12" s="163"/>
    </row>
    <row r="13" spans="1:7" x14ac:dyDescent="0.25">
      <c r="A13" s="161">
        <v>3</v>
      </c>
      <c r="B13" s="163">
        <v>39</v>
      </c>
      <c r="C13" s="163">
        <v>63.6</v>
      </c>
      <c r="D13" s="163">
        <v>108.3</v>
      </c>
      <c r="E13" s="162"/>
      <c r="F13" s="162"/>
      <c r="G13" s="162"/>
    </row>
    <row r="14" spans="1:7" x14ac:dyDescent="0.25">
      <c r="A14" s="161">
        <v>4</v>
      </c>
      <c r="B14" s="163">
        <v>25.5</v>
      </c>
      <c r="C14" s="163">
        <v>57.5</v>
      </c>
      <c r="D14" s="163">
        <v>76.599999999999994</v>
      </c>
      <c r="E14" s="162"/>
      <c r="F14" s="162"/>
      <c r="G14" s="162"/>
    </row>
    <row r="15" spans="1:7" ht="14.5" thickBot="1" x14ac:dyDescent="0.3">
      <c r="A15" s="164">
        <v>5</v>
      </c>
      <c r="B15" s="165">
        <v>16.7</v>
      </c>
      <c r="C15" s="165">
        <v>58.6</v>
      </c>
      <c r="D15" s="165">
        <v>88.2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19.7</v>
      </c>
      <c r="C19" s="163">
        <v>54</v>
      </c>
      <c r="D19" s="163">
        <v>71.3</v>
      </c>
      <c r="E19" s="163">
        <v>52</v>
      </c>
      <c r="F19" s="163">
        <v>69.7</v>
      </c>
      <c r="G19" s="163">
        <v>116.6</v>
      </c>
    </row>
    <row r="20" spans="1:7" x14ac:dyDescent="0.25">
      <c r="A20" s="161">
        <v>2</v>
      </c>
      <c r="B20" s="163">
        <v>17.600000000000001</v>
      </c>
      <c r="C20" s="163">
        <v>68.400000000000006</v>
      </c>
      <c r="D20" s="163">
        <v>97.2</v>
      </c>
      <c r="E20" s="163">
        <v>57.1</v>
      </c>
      <c r="F20" s="163">
        <v>72.7</v>
      </c>
      <c r="G20" s="163">
        <v>109.5</v>
      </c>
    </row>
    <row r="21" spans="1:7" x14ac:dyDescent="0.25">
      <c r="A21" s="161">
        <v>3</v>
      </c>
      <c r="B21" s="163">
        <v>36.1</v>
      </c>
      <c r="C21" s="163">
        <v>60.6</v>
      </c>
      <c r="D21" s="163">
        <v>71.3</v>
      </c>
      <c r="E21" s="163">
        <v>47.3</v>
      </c>
      <c r="F21" s="163">
        <v>72.5</v>
      </c>
      <c r="G21" s="163">
        <v>106.7</v>
      </c>
    </row>
    <row r="22" spans="1:7" x14ac:dyDescent="0.25">
      <c r="A22" s="161">
        <v>4</v>
      </c>
      <c r="B22" s="163">
        <v>45.5</v>
      </c>
      <c r="C22" s="163">
        <v>65.400000000000006</v>
      </c>
      <c r="D22" s="163">
        <v>79.7</v>
      </c>
      <c r="E22" s="163">
        <v>52.5</v>
      </c>
      <c r="F22" s="163">
        <v>84.2</v>
      </c>
      <c r="G22" s="163">
        <v>110.7</v>
      </c>
    </row>
    <row r="23" spans="1:7" x14ac:dyDescent="0.25">
      <c r="A23" s="161">
        <v>5</v>
      </c>
      <c r="B23" s="163">
        <v>35.6</v>
      </c>
      <c r="C23" s="163">
        <v>66.900000000000006</v>
      </c>
      <c r="D23" s="163">
        <v>89.5</v>
      </c>
      <c r="E23" s="163">
        <v>27.8</v>
      </c>
      <c r="F23" s="163">
        <v>75.2</v>
      </c>
      <c r="G23" s="163">
        <v>113.5</v>
      </c>
    </row>
    <row r="24" spans="1:7" x14ac:dyDescent="0.25">
      <c r="A24" s="161">
        <v>6</v>
      </c>
      <c r="B24" s="163">
        <v>22.9</v>
      </c>
      <c r="C24" s="163">
        <v>61.5</v>
      </c>
      <c r="D24" s="163">
        <v>96</v>
      </c>
      <c r="E24" s="163">
        <v>25.5</v>
      </c>
      <c r="F24" s="163">
        <v>61</v>
      </c>
      <c r="G24" s="163">
        <v>95.5</v>
      </c>
    </row>
    <row r="25" spans="1:7" x14ac:dyDescent="0.25">
      <c r="A25" s="161">
        <v>7</v>
      </c>
      <c r="B25" s="163">
        <v>19.600000000000001</v>
      </c>
      <c r="C25" s="163">
        <v>62.1</v>
      </c>
      <c r="D25" s="163">
        <v>88.7</v>
      </c>
      <c r="E25" s="163">
        <v>57.8</v>
      </c>
      <c r="F25" s="163">
        <v>69.8</v>
      </c>
      <c r="G25" s="163">
        <v>115.6</v>
      </c>
    </row>
    <row r="26" spans="1:7" x14ac:dyDescent="0.25">
      <c r="A26" s="161">
        <v>8</v>
      </c>
      <c r="B26" s="163">
        <v>40.799999999999997</v>
      </c>
      <c r="C26" s="163">
        <v>58.6</v>
      </c>
      <c r="D26" s="163">
        <v>109.5</v>
      </c>
      <c r="E26" s="163">
        <v>26.1</v>
      </c>
      <c r="F26" s="163">
        <v>69</v>
      </c>
      <c r="G26" s="163">
        <v>90.3</v>
      </c>
    </row>
    <row r="27" spans="1:7" x14ac:dyDescent="0.25">
      <c r="A27" s="161">
        <v>9</v>
      </c>
      <c r="B27" s="163">
        <v>28.2</v>
      </c>
      <c r="C27" s="163">
        <v>64.599999999999994</v>
      </c>
      <c r="D27" s="163">
        <v>106.4</v>
      </c>
      <c r="E27" s="163">
        <v>41</v>
      </c>
      <c r="F27" s="163">
        <v>89.5</v>
      </c>
      <c r="G27" s="163">
        <v>96.8</v>
      </c>
    </row>
    <row r="28" spans="1:7" x14ac:dyDescent="0.25">
      <c r="A28" s="161">
        <v>10</v>
      </c>
      <c r="B28" s="163">
        <v>43.9</v>
      </c>
      <c r="C28" s="163">
        <v>66.599999999999994</v>
      </c>
      <c r="D28" s="163">
        <v>93.3</v>
      </c>
      <c r="E28" s="163">
        <v>57.4</v>
      </c>
      <c r="F28" s="163">
        <v>85.8</v>
      </c>
      <c r="G28" s="163">
        <v>100</v>
      </c>
    </row>
    <row r="29" spans="1:7" x14ac:dyDescent="0.25">
      <c r="A29" s="161">
        <v>11</v>
      </c>
      <c r="B29" s="163">
        <v>31.1</v>
      </c>
      <c r="C29" s="163">
        <v>61</v>
      </c>
      <c r="D29" s="163">
        <v>80.2</v>
      </c>
      <c r="E29" s="163"/>
      <c r="F29" s="163"/>
      <c r="G29" s="163"/>
    </row>
    <row r="30" spans="1:7" x14ac:dyDescent="0.25">
      <c r="A30" s="161">
        <v>12</v>
      </c>
      <c r="B30" s="163">
        <v>39.299999999999997</v>
      </c>
      <c r="C30" s="163">
        <v>66.599999999999994</v>
      </c>
      <c r="D30" s="163">
        <v>73.5</v>
      </c>
      <c r="E30" s="163"/>
      <c r="F30" s="163"/>
      <c r="G30" s="163"/>
    </row>
    <row r="31" spans="1:7" x14ac:dyDescent="0.25">
      <c r="A31" s="161">
        <v>13</v>
      </c>
      <c r="B31" s="163">
        <v>30.6</v>
      </c>
      <c r="C31" s="163">
        <v>66.3</v>
      </c>
      <c r="D31" s="163">
        <v>95</v>
      </c>
      <c r="E31" s="163"/>
      <c r="F31" s="163"/>
      <c r="G31" s="163"/>
    </row>
    <row r="32" spans="1:7" x14ac:dyDescent="0.25">
      <c r="A32" s="161">
        <v>14</v>
      </c>
      <c r="B32" s="163">
        <v>40.700000000000003</v>
      </c>
      <c r="C32" s="163">
        <v>62.9</v>
      </c>
      <c r="D32" s="163">
        <v>107.5</v>
      </c>
      <c r="E32" s="163"/>
      <c r="F32" s="163"/>
      <c r="G32" s="163"/>
    </row>
    <row r="33" spans="1:7" ht="14.5" thickBot="1" x14ac:dyDescent="0.3">
      <c r="A33" s="166">
        <v>15</v>
      </c>
      <c r="B33" s="165">
        <v>37.200000000000003</v>
      </c>
      <c r="C33" s="165">
        <v>53.1</v>
      </c>
      <c r="D33" s="165">
        <v>80.599999999999994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41.6</v>
      </c>
      <c r="C37" s="163">
        <v>57.4</v>
      </c>
      <c r="D37" s="163">
        <v>79.8</v>
      </c>
      <c r="E37" s="163">
        <v>53.9</v>
      </c>
      <c r="F37" s="163">
        <v>69.7</v>
      </c>
      <c r="G37" s="163">
        <v>96.7</v>
      </c>
    </row>
    <row r="38" spans="1:7" x14ac:dyDescent="0.25">
      <c r="A38" s="161">
        <v>2</v>
      </c>
      <c r="B38" s="163">
        <v>47.7</v>
      </c>
      <c r="C38" s="163">
        <v>60.8</v>
      </c>
      <c r="D38" s="163">
        <v>78.3</v>
      </c>
      <c r="E38" s="163">
        <v>51.5</v>
      </c>
      <c r="F38" s="163">
        <v>68.2</v>
      </c>
      <c r="G38" s="163">
        <v>103.8</v>
      </c>
    </row>
    <row r="39" spans="1:7" x14ac:dyDescent="0.25">
      <c r="A39" s="161">
        <v>3</v>
      </c>
      <c r="B39" s="163">
        <v>35.1</v>
      </c>
      <c r="C39" s="163">
        <v>66.8</v>
      </c>
      <c r="D39" s="163">
        <v>95.1</v>
      </c>
      <c r="E39" s="163">
        <v>28</v>
      </c>
      <c r="F39" s="163">
        <v>82.7</v>
      </c>
      <c r="G39" s="163">
        <v>111.1</v>
      </c>
    </row>
    <row r="40" spans="1:7" x14ac:dyDescent="0.25">
      <c r="A40" s="161">
        <v>4</v>
      </c>
      <c r="B40" s="163">
        <v>44.5</v>
      </c>
      <c r="C40" s="163">
        <v>62.9</v>
      </c>
      <c r="D40" s="163">
        <v>70.3</v>
      </c>
      <c r="E40" s="163">
        <v>58.5</v>
      </c>
      <c r="F40" s="163">
        <v>76.099999999999994</v>
      </c>
      <c r="G40" s="163">
        <v>100.1</v>
      </c>
    </row>
    <row r="41" spans="1:7" x14ac:dyDescent="0.25">
      <c r="A41" s="161">
        <v>5</v>
      </c>
      <c r="B41" s="163">
        <v>47.7</v>
      </c>
      <c r="C41" s="163">
        <v>62.2</v>
      </c>
      <c r="D41" s="163">
        <v>89.5</v>
      </c>
      <c r="E41" s="163">
        <v>25.2</v>
      </c>
      <c r="F41" s="163">
        <v>61.4</v>
      </c>
      <c r="G41" s="163">
        <v>108</v>
      </c>
    </row>
    <row r="42" spans="1:7" x14ac:dyDescent="0.25">
      <c r="A42" s="161">
        <v>6</v>
      </c>
      <c r="B42" s="163">
        <v>42.4</v>
      </c>
      <c r="C42" s="163">
        <v>65.8</v>
      </c>
      <c r="D42" s="163">
        <v>98.9</v>
      </c>
      <c r="E42" s="163">
        <v>29.4</v>
      </c>
      <c r="F42" s="163">
        <v>74.5</v>
      </c>
      <c r="G42" s="163">
        <v>104</v>
      </c>
    </row>
    <row r="43" spans="1:7" x14ac:dyDescent="0.25">
      <c r="A43" s="161">
        <v>7</v>
      </c>
      <c r="B43" s="163">
        <v>49</v>
      </c>
      <c r="C43" s="163">
        <v>68.7</v>
      </c>
      <c r="D43" s="163">
        <v>70.2</v>
      </c>
      <c r="E43" s="163">
        <v>29.7</v>
      </c>
      <c r="F43" s="163">
        <v>82.3</v>
      </c>
      <c r="G43" s="163">
        <v>105</v>
      </c>
    </row>
    <row r="44" spans="1:7" x14ac:dyDescent="0.25">
      <c r="A44" s="161">
        <v>8</v>
      </c>
      <c r="B44" s="163">
        <v>34.4</v>
      </c>
      <c r="C44" s="163">
        <v>52</v>
      </c>
      <c r="D44" s="163">
        <v>107.2</v>
      </c>
      <c r="E44" s="162"/>
      <c r="F44" s="162"/>
      <c r="G44" s="162"/>
    </row>
    <row r="45" spans="1:7" x14ac:dyDescent="0.25">
      <c r="A45" s="161">
        <v>9</v>
      </c>
      <c r="B45" s="163">
        <v>34.1</v>
      </c>
      <c r="C45" s="163">
        <v>50.1</v>
      </c>
      <c r="D45" s="163">
        <v>77.5</v>
      </c>
      <c r="E45" s="162"/>
      <c r="F45" s="162"/>
      <c r="G45" s="162"/>
    </row>
    <row r="46" spans="1:7" x14ac:dyDescent="0.25">
      <c r="A46" s="161">
        <v>10</v>
      </c>
      <c r="B46" s="163">
        <v>33.9</v>
      </c>
      <c r="C46" s="163">
        <v>64.400000000000006</v>
      </c>
      <c r="D46" s="163">
        <v>105.5</v>
      </c>
      <c r="E46" s="162"/>
      <c r="F46" s="162"/>
      <c r="G46" s="162"/>
    </row>
    <row r="47" spans="1:7" x14ac:dyDescent="0.25">
      <c r="A47" s="161">
        <v>11</v>
      </c>
      <c r="B47" s="163">
        <v>32.9</v>
      </c>
      <c r="C47" s="163">
        <v>67.8</v>
      </c>
      <c r="D47" s="163">
        <v>103.9</v>
      </c>
      <c r="E47" s="162"/>
      <c r="F47" s="162"/>
      <c r="G47" s="162"/>
    </row>
    <row r="48" spans="1:7" x14ac:dyDescent="0.25">
      <c r="A48" s="161">
        <v>12</v>
      </c>
      <c r="B48" s="163">
        <v>47.5</v>
      </c>
      <c r="C48" s="163">
        <v>61</v>
      </c>
      <c r="D48" s="163">
        <v>107.1</v>
      </c>
      <c r="E48" s="162"/>
      <c r="F48" s="162"/>
      <c r="G48" s="162"/>
    </row>
    <row r="49" spans="1:7" x14ac:dyDescent="0.25">
      <c r="A49" s="161">
        <v>13</v>
      </c>
      <c r="B49" s="163">
        <v>32.4</v>
      </c>
      <c r="C49" s="163">
        <v>54.3</v>
      </c>
      <c r="D49" s="163">
        <v>76.2</v>
      </c>
      <c r="E49" s="162"/>
      <c r="F49" s="162"/>
      <c r="G49" s="162"/>
    </row>
    <row r="50" spans="1:7" x14ac:dyDescent="0.25">
      <c r="A50" s="161">
        <v>14</v>
      </c>
      <c r="B50" s="163">
        <v>27.9</v>
      </c>
      <c r="C50" s="163">
        <v>50.2</v>
      </c>
      <c r="D50" s="163">
        <v>101.3</v>
      </c>
      <c r="E50" s="162"/>
      <c r="F50" s="162"/>
      <c r="G50" s="162"/>
    </row>
    <row r="51" spans="1:7" x14ac:dyDescent="0.25">
      <c r="A51" s="161">
        <v>15</v>
      </c>
      <c r="B51" s="163">
        <v>17.5</v>
      </c>
      <c r="C51" s="163">
        <v>66.599999999999994</v>
      </c>
      <c r="D51" s="163">
        <v>107.5</v>
      </c>
      <c r="E51" s="162"/>
      <c r="F51" s="162"/>
      <c r="G51" s="162"/>
    </row>
    <row r="52" spans="1:7" x14ac:dyDescent="0.25">
      <c r="A52" s="161">
        <v>16</v>
      </c>
      <c r="B52" s="163">
        <v>32.299999999999997</v>
      </c>
      <c r="C52" s="163">
        <v>58.8</v>
      </c>
      <c r="D52" s="163">
        <v>84.6</v>
      </c>
      <c r="E52" s="162"/>
      <c r="F52" s="162"/>
      <c r="G52" s="162"/>
    </row>
    <row r="53" spans="1:7" x14ac:dyDescent="0.25">
      <c r="A53" s="161">
        <v>17</v>
      </c>
      <c r="B53" s="163">
        <v>18.3</v>
      </c>
      <c r="C53" s="163">
        <v>59.7</v>
      </c>
      <c r="D53" s="163">
        <v>91.2</v>
      </c>
      <c r="E53" s="162"/>
      <c r="F53" s="162"/>
      <c r="G53" s="162"/>
    </row>
    <row r="54" spans="1:7" x14ac:dyDescent="0.25">
      <c r="A54" s="161">
        <v>18</v>
      </c>
      <c r="B54" s="163">
        <v>16</v>
      </c>
      <c r="C54" s="163">
        <v>64.2</v>
      </c>
      <c r="D54" s="163">
        <v>106.6</v>
      </c>
      <c r="E54" s="162"/>
      <c r="F54" s="162"/>
      <c r="G54" s="162"/>
    </row>
    <row r="55" spans="1:7" ht="14.5" thickBot="1" x14ac:dyDescent="0.3">
      <c r="A55" s="164">
        <v>19</v>
      </c>
      <c r="B55" s="165">
        <v>18.600000000000001</v>
      </c>
      <c r="C55" s="165">
        <v>56.1</v>
      </c>
      <c r="D55" s="165">
        <v>89.6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29.9</v>
      </c>
      <c r="C59" s="163">
        <v>60.5</v>
      </c>
      <c r="D59" s="163">
        <v>76.8</v>
      </c>
      <c r="E59" s="163">
        <v>45.7</v>
      </c>
      <c r="F59" s="163">
        <v>75.7</v>
      </c>
      <c r="G59" s="163">
        <v>91.6</v>
      </c>
    </row>
    <row r="60" spans="1:7" x14ac:dyDescent="0.25">
      <c r="A60" s="161">
        <v>2</v>
      </c>
      <c r="B60" s="163">
        <v>22.5</v>
      </c>
      <c r="C60" s="163">
        <v>64.7</v>
      </c>
      <c r="D60" s="163">
        <v>93.6</v>
      </c>
      <c r="E60" s="163">
        <v>40.299999999999997</v>
      </c>
      <c r="F60" s="163">
        <v>75.599999999999994</v>
      </c>
      <c r="G60" s="163">
        <v>93.2</v>
      </c>
    </row>
    <row r="61" spans="1:7" x14ac:dyDescent="0.25">
      <c r="A61" s="161">
        <v>3</v>
      </c>
      <c r="B61" s="163">
        <v>24.3</v>
      </c>
      <c r="C61" s="163">
        <v>53.3</v>
      </c>
      <c r="D61" s="163">
        <v>80.8</v>
      </c>
      <c r="E61" s="163">
        <v>58</v>
      </c>
      <c r="F61" s="163">
        <v>60.2</v>
      </c>
      <c r="G61" s="163">
        <v>113.6</v>
      </c>
    </row>
    <row r="62" spans="1:7" x14ac:dyDescent="0.25">
      <c r="A62" s="161">
        <v>4</v>
      </c>
      <c r="B62" s="163">
        <v>44.2</v>
      </c>
      <c r="C62" s="163">
        <v>61.3</v>
      </c>
      <c r="D62" s="163">
        <v>78.900000000000006</v>
      </c>
      <c r="E62" s="163">
        <v>58</v>
      </c>
      <c r="F62" s="163">
        <v>63</v>
      </c>
      <c r="G62" s="163">
        <v>113.3</v>
      </c>
    </row>
    <row r="63" spans="1:7" x14ac:dyDescent="0.25">
      <c r="A63" s="161">
        <v>5</v>
      </c>
      <c r="B63" s="163">
        <v>44.3</v>
      </c>
      <c r="C63" s="163">
        <v>61.1</v>
      </c>
      <c r="D63" s="163">
        <v>74.900000000000006</v>
      </c>
      <c r="E63" s="163">
        <v>28.1</v>
      </c>
      <c r="F63" s="163">
        <v>65</v>
      </c>
      <c r="G63" s="163">
        <v>101.4</v>
      </c>
    </row>
    <row r="64" spans="1:7" x14ac:dyDescent="0.25">
      <c r="A64" s="167">
        <v>6</v>
      </c>
      <c r="B64" s="163">
        <v>30</v>
      </c>
      <c r="C64" s="163">
        <v>50.7</v>
      </c>
      <c r="D64" s="163">
        <v>108.3</v>
      </c>
      <c r="E64" s="163">
        <v>34.200000000000003</v>
      </c>
      <c r="F64" s="163">
        <v>60.4</v>
      </c>
      <c r="G64" s="163">
        <v>118.2</v>
      </c>
    </row>
    <row r="65" spans="1:7" ht="14.5" thickBot="1" x14ac:dyDescent="0.3">
      <c r="A65" s="164">
        <v>7</v>
      </c>
      <c r="B65" s="165">
        <v>42.2</v>
      </c>
      <c r="C65" s="165">
        <v>66.5</v>
      </c>
      <c r="D65" s="165">
        <v>92</v>
      </c>
      <c r="E65" s="165">
        <v>33.6</v>
      </c>
      <c r="F65" s="165">
        <v>87.8</v>
      </c>
      <c r="G65" s="165">
        <v>104.6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47.7</v>
      </c>
      <c r="C69" s="163">
        <v>61.6</v>
      </c>
      <c r="D69" s="163">
        <v>73</v>
      </c>
      <c r="E69" s="163">
        <v>35.5</v>
      </c>
      <c r="F69" s="163">
        <v>78</v>
      </c>
      <c r="G69" s="163">
        <v>101.7</v>
      </c>
    </row>
    <row r="70" spans="1:7" x14ac:dyDescent="0.25">
      <c r="A70" s="161">
        <v>2</v>
      </c>
      <c r="B70" s="163">
        <v>43.6</v>
      </c>
      <c r="C70" s="163">
        <v>52.1</v>
      </c>
      <c r="D70" s="163">
        <v>93.2</v>
      </c>
      <c r="E70" s="163">
        <v>38.1</v>
      </c>
      <c r="F70" s="163">
        <v>71.099999999999994</v>
      </c>
      <c r="G70" s="163">
        <v>90.6</v>
      </c>
    </row>
    <row r="71" spans="1:7" x14ac:dyDescent="0.25">
      <c r="A71" s="161">
        <v>3</v>
      </c>
      <c r="B71" s="163">
        <v>44.5</v>
      </c>
      <c r="C71" s="163">
        <v>61.6</v>
      </c>
      <c r="D71" s="163">
        <v>89.8</v>
      </c>
      <c r="E71" s="163">
        <v>31.5</v>
      </c>
      <c r="F71" s="163">
        <v>81.5</v>
      </c>
      <c r="G71" s="163">
        <v>98</v>
      </c>
    </row>
    <row r="72" spans="1:7" x14ac:dyDescent="0.25">
      <c r="A72" s="161">
        <v>4</v>
      </c>
      <c r="B72" s="163">
        <v>41.3</v>
      </c>
      <c r="C72" s="163">
        <v>66.599999999999994</v>
      </c>
      <c r="D72" s="163">
        <v>79.900000000000006</v>
      </c>
      <c r="E72" s="163">
        <v>43.7</v>
      </c>
      <c r="F72" s="163">
        <v>67.099999999999994</v>
      </c>
      <c r="G72" s="163">
        <v>91.1</v>
      </c>
    </row>
    <row r="73" spans="1:7" x14ac:dyDescent="0.25">
      <c r="A73" s="161">
        <v>5</v>
      </c>
      <c r="B73" s="163">
        <v>16.600000000000001</v>
      </c>
      <c r="C73" s="163">
        <v>69.7</v>
      </c>
      <c r="D73" s="163">
        <v>106.6</v>
      </c>
      <c r="E73" s="163">
        <v>30.4</v>
      </c>
      <c r="F73" s="163">
        <v>88.9</v>
      </c>
      <c r="G73" s="163">
        <v>105.8</v>
      </c>
    </row>
    <row r="74" spans="1:7" x14ac:dyDescent="0.25">
      <c r="A74" s="161">
        <v>6</v>
      </c>
      <c r="B74" s="163">
        <v>37</v>
      </c>
      <c r="C74" s="163">
        <v>51.4</v>
      </c>
      <c r="D74" s="163">
        <v>103.9</v>
      </c>
      <c r="E74" s="163">
        <v>40</v>
      </c>
      <c r="F74" s="163">
        <v>72.8</v>
      </c>
      <c r="G74" s="163">
        <v>106.2</v>
      </c>
    </row>
    <row r="75" spans="1:7" x14ac:dyDescent="0.25">
      <c r="A75" s="161">
        <v>7</v>
      </c>
      <c r="B75" s="163">
        <v>29.9</v>
      </c>
      <c r="C75" s="163">
        <v>57</v>
      </c>
      <c r="D75" s="163">
        <v>97.5</v>
      </c>
      <c r="E75" s="163">
        <v>49.4</v>
      </c>
      <c r="F75" s="163">
        <v>89.5</v>
      </c>
      <c r="G75" s="163">
        <v>98.6</v>
      </c>
    </row>
    <row r="76" spans="1:7" x14ac:dyDescent="0.25">
      <c r="A76" s="161">
        <v>8</v>
      </c>
      <c r="B76" s="163">
        <v>29.1</v>
      </c>
      <c r="C76" s="163">
        <v>60.6</v>
      </c>
      <c r="D76" s="163">
        <v>84.2</v>
      </c>
      <c r="E76" s="163">
        <v>53.4</v>
      </c>
      <c r="F76" s="163">
        <v>75.5</v>
      </c>
      <c r="G76" s="163">
        <v>97.4</v>
      </c>
    </row>
    <row r="77" spans="1:7" x14ac:dyDescent="0.25">
      <c r="A77" s="161">
        <v>9</v>
      </c>
      <c r="B77" s="163">
        <v>34.1</v>
      </c>
      <c r="C77" s="163">
        <v>52.2</v>
      </c>
      <c r="D77" s="163">
        <v>108.3</v>
      </c>
      <c r="E77" s="163">
        <v>53</v>
      </c>
      <c r="F77" s="163">
        <v>78.3</v>
      </c>
      <c r="G77" s="163">
        <v>93.1</v>
      </c>
    </row>
    <row r="78" spans="1:7" x14ac:dyDescent="0.25">
      <c r="A78" s="161">
        <v>10</v>
      </c>
      <c r="B78" s="163">
        <v>38.299999999999997</v>
      </c>
      <c r="C78" s="163">
        <v>69.099999999999994</v>
      </c>
      <c r="D78" s="163">
        <v>72.5</v>
      </c>
      <c r="E78" s="163">
        <v>35.6</v>
      </c>
      <c r="F78" s="163">
        <v>75</v>
      </c>
      <c r="G78" s="163">
        <v>116.3</v>
      </c>
    </row>
    <row r="79" spans="1:7" x14ac:dyDescent="0.25">
      <c r="A79" s="161">
        <v>11</v>
      </c>
      <c r="B79" s="163">
        <v>37.799999999999997</v>
      </c>
      <c r="C79" s="163">
        <v>52.1</v>
      </c>
      <c r="D79" s="163">
        <v>72.099999999999994</v>
      </c>
      <c r="E79" s="163">
        <v>34.200000000000003</v>
      </c>
      <c r="F79" s="163">
        <v>89.8</v>
      </c>
      <c r="G79" s="163">
        <v>114</v>
      </c>
    </row>
    <row r="80" spans="1:7" x14ac:dyDescent="0.25">
      <c r="A80" s="161">
        <v>12</v>
      </c>
      <c r="B80" s="163">
        <v>20.7</v>
      </c>
      <c r="C80" s="163">
        <v>68</v>
      </c>
      <c r="D80" s="163">
        <v>74.2</v>
      </c>
      <c r="E80" s="163">
        <v>31.5</v>
      </c>
      <c r="F80" s="163">
        <v>80.900000000000006</v>
      </c>
      <c r="G80" s="163">
        <v>110.7</v>
      </c>
    </row>
    <row r="81" spans="1:7" x14ac:dyDescent="0.25">
      <c r="A81" s="161">
        <v>13</v>
      </c>
      <c r="B81" s="163">
        <v>40.6</v>
      </c>
      <c r="C81" s="163">
        <v>64.900000000000006</v>
      </c>
      <c r="D81" s="163">
        <v>103.5</v>
      </c>
      <c r="E81" s="163">
        <v>42.1</v>
      </c>
      <c r="F81" s="163">
        <v>85.4</v>
      </c>
      <c r="G81" s="163">
        <v>110.1</v>
      </c>
    </row>
    <row r="82" spans="1:7" x14ac:dyDescent="0.25">
      <c r="A82" s="161">
        <v>14</v>
      </c>
      <c r="B82" s="163">
        <v>16.5</v>
      </c>
      <c r="C82" s="163">
        <v>66.099999999999994</v>
      </c>
      <c r="D82" s="163">
        <v>101.8</v>
      </c>
      <c r="E82" s="163">
        <v>28.8</v>
      </c>
      <c r="F82" s="163">
        <v>83.8</v>
      </c>
      <c r="G82" s="163">
        <v>100.2</v>
      </c>
    </row>
    <row r="83" spans="1:7" x14ac:dyDescent="0.25">
      <c r="A83" s="161">
        <v>15</v>
      </c>
      <c r="B83" s="163">
        <v>42.9</v>
      </c>
      <c r="C83" s="163">
        <v>68.900000000000006</v>
      </c>
      <c r="D83" s="163">
        <v>99.1</v>
      </c>
      <c r="E83" s="163">
        <v>44.1</v>
      </c>
      <c r="F83" s="163">
        <v>71.2</v>
      </c>
      <c r="G83" s="163">
        <v>90.4</v>
      </c>
    </row>
    <row r="84" spans="1:7" x14ac:dyDescent="0.25">
      <c r="A84" s="161">
        <v>16</v>
      </c>
      <c r="B84" s="163">
        <v>39.6</v>
      </c>
      <c r="C84" s="163">
        <v>60.2</v>
      </c>
      <c r="D84" s="163">
        <v>86</v>
      </c>
      <c r="E84" s="163"/>
      <c r="F84" s="163"/>
      <c r="G84" s="163"/>
    </row>
    <row r="85" spans="1:7" ht="14.5" thickBot="1" x14ac:dyDescent="0.3">
      <c r="A85" s="166">
        <v>17</v>
      </c>
      <c r="B85" s="168">
        <v>19</v>
      </c>
      <c r="C85" s="168">
        <v>63.7</v>
      </c>
      <c r="D85" s="168">
        <v>92.8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18.899999999999999</v>
      </c>
      <c r="C89" s="163">
        <v>54.1</v>
      </c>
      <c r="D89" s="163">
        <v>98.8</v>
      </c>
      <c r="E89" s="163">
        <v>53.5</v>
      </c>
      <c r="F89" s="163">
        <v>75.900000000000006</v>
      </c>
      <c r="G89" s="163">
        <v>101.9</v>
      </c>
    </row>
    <row r="90" spans="1:7" x14ac:dyDescent="0.25">
      <c r="A90" s="161">
        <v>2</v>
      </c>
      <c r="B90" s="163">
        <v>30.9</v>
      </c>
      <c r="C90" s="163">
        <v>50.9</v>
      </c>
      <c r="D90" s="163">
        <v>107</v>
      </c>
      <c r="E90" s="163">
        <v>54.4</v>
      </c>
      <c r="F90" s="163">
        <v>82.3</v>
      </c>
      <c r="G90" s="163">
        <v>103.6</v>
      </c>
    </row>
    <row r="91" spans="1:7" x14ac:dyDescent="0.25">
      <c r="A91" s="161">
        <v>3</v>
      </c>
      <c r="B91" s="163">
        <v>29.1</v>
      </c>
      <c r="C91" s="163">
        <v>58.6</v>
      </c>
      <c r="D91" s="163">
        <v>95.5</v>
      </c>
      <c r="E91" s="163">
        <v>49.4</v>
      </c>
      <c r="F91" s="163">
        <v>83.2</v>
      </c>
      <c r="G91" s="163">
        <v>98.6</v>
      </c>
    </row>
    <row r="92" spans="1:7" x14ac:dyDescent="0.25">
      <c r="A92" s="161">
        <v>4</v>
      </c>
      <c r="B92" s="163">
        <v>26.7</v>
      </c>
      <c r="C92" s="163">
        <v>66.400000000000006</v>
      </c>
      <c r="D92" s="163">
        <v>101</v>
      </c>
      <c r="E92" s="163">
        <v>48.2</v>
      </c>
      <c r="F92" s="163">
        <v>75</v>
      </c>
      <c r="G92" s="163">
        <v>103.4</v>
      </c>
    </row>
    <row r="93" spans="1:7" x14ac:dyDescent="0.25">
      <c r="A93" s="161">
        <v>5</v>
      </c>
      <c r="B93" s="163">
        <v>35.6</v>
      </c>
      <c r="C93" s="163">
        <v>61</v>
      </c>
      <c r="D93" s="163">
        <v>77.2</v>
      </c>
      <c r="E93" s="163">
        <v>38.799999999999997</v>
      </c>
      <c r="F93" s="163">
        <v>88.8</v>
      </c>
      <c r="G93" s="163">
        <v>105.4</v>
      </c>
    </row>
    <row r="94" spans="1:7" x14ac:dyDescent="0.25">
      <c r="A94" s="161">
        <v>6</v>
      </c>
      <c r="B94" s="163">
        <v>42.2</v>
      </c>
      <c r="C94" s="163">
        <v>70</v>
      </c>
      <c r="D94" s="163">
        <v>79.3</v>
      </c>
      <c r="E94" s="163">
        <v>28</v>
      </c>
      <c r="F94" s="163">
        <v>63.1</v>
      </c>
      <c r="G94" s="163">
        <v>99.1</v>
      </c>
    </row>
    <row r="95" spans="1:7" x14ac:dyDescent="0.25">
      <c r="A95" s="161">
        <v>7</v>
      </c>
      <c r="B95" s="163">
        <v>41.5</v>
      </c>
      <c r="C95" s="163">
        <v>57.4</v>
      </c>
      <c r="D95" s="163">
        <v>100</v>
      </c>
      <c r="E95" s="163">
        <v>51.5</v>
      </c>
      <c r="F95" s="163">
        <v>90</v>
      </c>
      <c r="G95" s="163">
        <v>91.4</v>
      </c>
    </row>
    <row r="96" spans="1:7" x14ac:dyDescent="0.25">
      <c r="A96" s="161">
        <v>8</v>
      </c>
      <c r="B96" s="163">
        <v>34.4</v>
      </c>
      <c r="C96" s="163">
        <v>60.1</v>
      </c>
      <c r="D96" s="163">
        <v>93.5</v>
      </c>
      <c r="E96" s="162"/>
      <c r="F96" s="162"/>
      <c r="G96" s="162"/>
    </row>
    <row r="97" spans="1:7" x14ac:dyDescent="0.25">
      <c r="A97" s="161">
        <v>9</v>
      </c>
      <c r="B97" s="163">
        <v>27.3</v>
      </c>
      <c r="C97" s="163">
        <v>65.2</v>
      </c>
      <c r="D97" s="163">
        <v>72</v>
      </c>
      <c r="E97" s="162"/>
      <c r="F97" s="162"/>
      <c r="G97" s="162"/>
    </row>
    <row r="98" spans="1:7" x14ac:dyDescent="0.25">
      <c r="A98" s="161">
        <v>10</v>
      </c>
      <c r="B98" s="163">
        <v>29.6</v>
      </c>
      <c r="C98" s="163">
        <v>55.5</v>
      </c>
      <c r="D98" s="163">
        <v>99.2</v>
      </c>
      <c r="E98" s="162"/>
      <c r="F98" s="162"/>
      <c r="G98" s="162"/>
    </row>
    <row r="99" spans="1:7" x14ac:dyDescent="0.25">
      <c r="A99" s="161">
        <v>11</v>
      </c>
      <c r="B99" s="163">
        <v>25</v>
      </c>
      <c r="C99" s="163">
        <v>51.9</v>
      </c>
      <c r="D99" s="163">
        <v>103.6</v>
      </c>
      <c r="E99" s="162"/>
      <c r="F99" s="162"/>
      <c r="G99" s="162"/>
    </row>
    <row r="100" spans="1:7" x14ac:dyDescent="0.25">
      <c r="A100" s="161">
        <v>12</v>
      </c>
      <c r="B100" s="163">
        <v>31.9</v>
      </c>
      <c r="C100" s="163">
        <v>65.8</v>
      </c>
      <c r="D100" s="163">
        <v>109.3</v>
      </c>
      <c r="E100" s="162"/>
      <c r="F100" s="162"/>
      <c r="G100" s="162"/>
    </row>
    <row r="101" spans="1:7" x14ac:dyDescent="0.25">
      <c r="A101" s="161">
        <v>13</v>
      </c>
      <c r="B101" s="163">
        <v>36.6</v>
      </c>
      <c r="C101" s="163">
        <v>60.2</v>
      </c>
      <c r="D101" s="163">
        <v>71.599999999999994</v>
      </c>
      <c r="E101" s="162"/>
      <c r="F101" s="162"/>
      <c r="G101" s="162"/>
    </row>
    <row r="102" spans="1:7" x14ac:dyDescent="0.25">
      <c r="A102" s="161">
        <v>14</v>
      </c>
      <c r="B102" s="163">
        <v>33.1</v>
      </c>
      <c r="C102" s="163">
        <v>66.8</v>
      </c>
      <c r="D102" s="163">
        <v>106.2</v>
      </c>
      <c r="E102" s="162"/>
      <c r="F102" s="162"/>
      <c r="G102" s="162"/>
    </row>
    <row r="103" spans="1:7" x14ac:dyDescent="0.25">
      <c r="A103" s="161">
        <v>15</v>
      </c>
      <c r="B103" s="163">
        <v>49.9</v>
      </c>
      <c r="C103" s="163">
        <v>64.900000000000006</v>
      </c>
      <c r="D103" s="163">
        <v>78.099999999999994</v>
      </c>
      <c r="E103" s="162"/>
      <c r="F103" s="162"/>
      <c r="G103" s="162"/>
    </row>
    <row r="104" spans="1:7" x14ac:dyDescent="0.25">
      <c r="A104" s="161">
        <v>16</v>
      </c>
      <c r="B104" s="163">
        <v>31.9</v>
      </c>
      <c r="C104" s="163">
        <v>55</v>
      </c>
      <c r="D104" s="163">
        <v>85.4</v>
      </c>
      <c r="E104" s="162"/>
      <c r="F104" s="162"/>
      <c r="G104" s="162"/>
    </row>
    <row r="105" spans="1:7" x14ac:dyDescent="0.25">
      <c r="A105" s="161">
        <v>17</v>
      </c>
      <c r="B105" s="163">
        <v>30.1</v>
      </c>
      <c r="C105" s="163">
        <v>68.3</v>
      </c>
      <c r="D105" s="163">
        <v>83.2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91.7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47.3</v>
      </c>
      <c r="C110" s="163">
        <v>60.2</v>
      </c>
      <c r="D110" s="163">
        <v>78.599999999999994</v>
      </c>
      <c r="E110" s="163">
        <v>47</v>
      </c>
      <c r="F110" s="163">
        <v>65.900000000000006</v>
      </c>
      <c r="G110" s="163">
        <v>115.4</v>
      </c>
    </row>
    <row r="111" spans="1:7" x14ac:dyDescent="0.25">
      <c r="A111" s="161">
        <v>2</v>
      </c>
      <c r="B111" s="163">
        <v>19.899999999999999</v>
      </c>
      <c r="C111" s="163">
        <v>68.400000000000006</v>
      </c>
      <c r="D111" s="163">
        <v>71.900000000000006</v>
      </c>
      <c r="E111" s="163">
        <v>46.9</v>
      </c>
      <c r="F111" s="163">
        <v>78.599999999999994</v>
      </c>
      <c r="G111" s="163">
        <v>104.7</v>
      </c>
    </row>
    <row r="112" spans="1:7" ht="14.5" thickBot="1" x14ac:dyDescent="0.3">
      <c r="A112" s="166">
        <v>3</v>
      </c>
      <c r="B112" s="168"/>
      <c r="C112" s="168"/>
      <c r="D112" s="168"/>
      <c r="E112" s="168">
        <v>31.6</v>
      </c>
      <c r="F112" s="168">
        <v>74</v>
      </c>
      <c r="G112" s="168">
        <v>95.8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29.9</v>
      </c>
      <c r="C116" s="163">
        <v>56.4</v>
      </c>
      <c r="D116" s="163">
        <v>106.5</v>
      </c>
      <c r="E116" s="163">
        <v>50.9</v>
      </c>
      <c r="F116" s="163">
        <v>65.599999999999994</v>
      </c>
      <c r="G116" s="163">
        <v>103.3</v>
      </c>
    </row>
    <row r="117" spans="1:7" x14ac:dyDescent="0.25">
      <c r="A117" s="161">
        <v>2</v>
      </c>
      <c r="B117" s="163">
        <v>46</v>
      </c>
      <c r="C117" s="163">
        <v>57.6</v>
      </c>
      <c r="D117" s="163">
        <v>93.7</v>
      </c>
      <c r="E117" s="163">
        <v>49.5</v>
      </c>
      <c r="F117" s="163">
        <v>65.7</v>
      </c>
      <c r="G117" s="163">
        <v>90.6</v>
      </c>
    </row>
    <row r="118" spans="1:7" x14ac:dyDescent="0.25">
      <c r="A118" s="161">
        <v>3</v>
      </c>
      <c r="B118" s="163">
        <v>27.8</v>
      </c>
      <c r="C118" s="163">
        <v>67.900000000000006</v>
      </c>
      <c r="D118" s="163">
        <v>72.5</v>
      </c>
      <c r="E118" s="163">
        <v>29.3</v>
      </c>
      <c r="F118" s="163">
        <v>79.3</v>
      </c>
      <c r="G118" s="163">
        <v>109.3</v>
      </c>
    </row>
    <row r="119" spans="1:7" x14ac:dyDescent="0.25">
      <c r="A119" s="161">
        <v>4</v>
      </c>
      <c r="B119" s="163">
        <v>24.9</v>
      </c>
      <c r="C119" s="163">
        <v>67.2</v>
      </c>
      <c r="D119" s="163">
        <v>87</v>
      </c>
      <c r="E119" s="163">
        <v>49</v>
      </c>
      <c r="F119" s="163">
        <v>84</v>
      </c>
      <c r="G119" s="163">
        <v>111.3</v>
      </c>
    </row>
    <row r="120" spans="1:7" x14ac:dyDescent="0.25">
      <c r="A120" s="161">
        <v>5</v>
      </c>
      <c r="B120" s="162"/>
      <c r="C120" s="162"/>
      <c r="D120" s="162"/>
      <c r="E120" s="163">
        <v>31.1</v>
      </c>
      <c r="F120" s="163">
        <v>83.9</v>
      </c>
      <c r="G120" s="163">
        <v>90.4</v>
      </c>
    </row>
    <row r="121" spans="1:7" x14ac:dyDescent="0.25">
      <c r="A121" s="161">
        <v>6</v>
      </c>
      <c r="B121" s="162"/>
      <c r="C121" s="162"/>
      <c r="D121" s="162"/>
      <c r="E121" s="163">
        <v>32.9</v>
      </c>
      <c r="F121" s="163">
        <v>62</v>
      </c>
      <c r="G121" s="163">
        <v>110.6</v>
      </c>
    </row>
    <row r="122" spans="1:7" x14ac:dyDescent="0.25">
      <c r="A122" s="161">
        <v>7</v>
      </c>
      <c r="B122" s="162"/>
      <c r="C122" s="162"/>
      <c r="D122" s="162"/>
      <c r="E122" s="163">
        <v>38.1</v>
      </c>
      <c r="F122" s="163">
        <v>74</v>
      </c>
      <c r="G122" s="163">
        <v>112.3</v>
      </c>
    </row>
    <row r="123" spans="1:7" x14ac:dyDescent="0.25">
      <c r="A123" s="161">
        <v>8</v>
      </c>
      <c r="B123" s="162"/>
      <c r="C123" s="162"/>
      <c r="D123" s="162"/>
      <c r="E123" s="163">
        <v>44.2</v>
      </c>
      <c r="F123" s="163">
        <v>72.900000000000006</v>
      </c>
      <c r="G123" s="163">
        <v>112</v>
      </c>
    </row>
    <row r="124" spans="1:7" ht="14.5" thickBot="1" x14ac:dyDescent="0.3">
      <c r="A124" s="166">
        <v>9</v>
      </c>
      <c r="B124" s="168"/>
      <c r="C124" s="168"/>
      <c r="D124" s="168"/>
      <c r="E124" s="168">
        <v>31.1</v>
      </c>
      <c r="F124" s="168">
        <v>65.5</v>
      </c>
      <c r="G124" s="168">
        <v>111.3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62.383333333333333</v>
      </c>
      <c r="C129" s="170">
        <f>AVERAGE(E5:G7)</f>
        <v>69.911111111111097</v>
      </c>
      <c r="D129" s="161">
        <f>'2021.1'!D129</f>
        <v>2166</v>
      </c>
      <c r="E129" s="161">
        <v>4329</v>
      </c>
      <c r="F129" s="161">
        <f>D129*B129</f>
        <v>135122.29999999999</v>
      </c>
      <c r="G129" s="161">
        <f>E129*C129</f>
        <v>302645.19999999995</v>
      </c>
    </row>
    <row r="130" spans="1:7" x14ac:dyDescent="0.25">
      <c r="A130" s="162" t="str">
        <f>A8</f>
        <v>Dongyuan Huangtian swine Farm</v>
      </c>
      <c r="B130" s="169">
        <f>AVERAGE((B11:D15))</f>
        <v>58.366666666666674</v>
      </c>
      <c r="C130" s="169">
        <f>AVERAGE(E11:G11)</f>
        <v>77.3</v>
      </c>
      <c r="D130" s="161">
        <f>'2021.1'!D130</f>
        <v>6431</v>
      </c>
      <c r="E130" s="161">
        <v>1450</v>
      </c>
      <c r="F130" s="161">
        <f t="shared" ref="F130:G137" si="0">D130*B130</f>
        <v>375356.03333333338</v>
      </c>
      <c r="G130" s="161">
        <f t="shared" si="0"/>
        <v>112085</v>
      </c>
    </row>
    <row r="131" spans="1:7" x14ac:dyDescent="0.25">
      <c r="A131" s="162" t="str">
        <f>A16</f>
        <v>Enping Shahu swine  Farm</v>
      </c>
      <c r="B131" s="169">
        <f>AVERAGE(B19:D33)</f>
        <v>61.491111111111096</v>
      </c>
      <c r="C131" s="169">
        <f>AVERAGE(E19:G28)</f>
        <v>74.97</v>
      </c>
      <c r="D131" s="161">
        <f>'2021.1'!D131</f>
        <v>23413</v>
      </c>
      <c r="E131" s="161">
        <v>15597</v>
      </c>
      <c r="F131" s="161">
        <f t="shared" si="0"/>
        <v>1439691.384444444</v>
      </c>
      <c r="G131" s="161">
        <f t="shared" si="0"/>
        <v>1169307.0900000001</v>
      </c>
    </row>
    <row r="132" spans="1:7" x14ac:dyDescent="0.25">
      <c r="A132" s="162" t="str">
        <f>A34</f>
        <v>Langtian Yuehui swine Farm</v>
      </c>
      <c r="B132" s="169">
        <f>AVERAGE(B37:D55)</f>
        <v>62.173684210526318</v>
      </c>
      <c r="C132" s="169">
        <f>AVERAGE(E37:G43)</f>
        <v>72.371428571428581</v>
      </c>
      <c r="D132" s="161">
        <f>'2021.1'!D132</f>
        <v>29497</v>
      </c>
      <c r="E132" s="161">
        <v>10138</v>
      </c>
      <c r="F132" s="161">
        <f t="shared" si="0"/>
        <v>1833937.1631578947</v>
      </c>
      <c r="G132" s="161">
        <f t="shared" si="0"/>
        <v>733701.54285714298</v>
      </c>
    </row>
    <row r="133" spans="1:7" x14ac:dyDescent="0.25">
      <c r="A133" s="162" t="str">
        <f>A56</f>
        <v>Qujiang Fengwan swine Farm</v>
      </c>
      <c r="B133" s="169">
        <f>AVERAGE(B59:D65)</f>
        <v>60.038095238095238</v>
      </c>
      <c r="C133" s="169">
        <f>AVERAGE(E59:G65)</f>
        <v>72.452380952380949</v>
      </c>
      <c r="D133" s="161">
        <f>'2021.1'!D133</f>
        <v>9686</v>
      </c>
      <c r="E133" s="161">
        <v>11373</v>
      </c>
      <c r="F133" s="161">
        <f t="shared" si="0"/>
        <v>581528.99047619046</v>
      </c>
      <c r="G133" s="161">
        <f t="shared" si="0"/>
        <v>824000.92857142852</v>
      </c>
    </row>
    <row r="134" spans="1:7" x14ac:dyDescent="0.25">
      <c r="A134" s="162" t="str">
        <f>A66</f>
        <v>Pingyuan Zhongshi swine Farm</v>
      </c>
      <c r="B134" s="169">
        <f>AVERAGE(B69:D85)</f>
        <v>62.027450980392139</v>
      </c>
      <c r="C134" s="169">
        <f>AVERAGE(E69:G83)</f>
        <v>73.428888888888892</v>
      </c>
      <c r="D134" s="161">
        <f>'2021.1'!D134</f>
        <v>26358</v>
      </c>
      <c r="E134" s="161">
        <v>23589</v>
      </c>
      <c r="F134" s="161">
        <f t="shared" si="0"/>
        <v>1634919.5529411761</v>
      </c>
      <c r="G134" s="161">
        <f t="shared" si="0"/>
        <v>1732114.06</v>
      </c>
    </row>
    <row r="135" spans="1:7" x14ac:dyDescent="0.25">
      <c r="A135" s="162" t="str">
        <f>A86</f>
        <v>Yangchun Tanshui swine Farm</v>
      </c>
      <c r="B135" s="169">
        <f>AVERAGE(B89:D106)</f>
        <v>62.29615384615385</v>
      </c>
      <c r="C135" s="169">
        <f>AVERAGE(E89:G95)</f>
        <v>75.5</v>
      </c>
      <c r="D135" s="161">
        <f>'2021.1'!D135</f>
        <v>26581</v>
      </c>
      <c r="E135" s="161">
        <v>11689</v>
      </c>
      <c r="F135" s="161">
        <f t="shared" si="0"/>
        <v>1655894.0653846154</v>
      </c>
      <c r="G135" s="161">
        <f t="shared" si="0"/>
        <v>882519.5</v>
      </c>
    </row>
    <row r="136" spans="1:7" x14ac:dyDescent="0.25">
      <c r="A136" s="162" t="str">
        <f>A107</f>
        <v>Xinfeng Shatian swine Farm</v>
      </c>
      <c r="B136" s="169">
        <f>AVERAGE(B110:D112)</f>
        <v>57.716666666666661</v>
      </c>
      <c r="C136" s="169">
        <f>AVERAGE(E110:G112)</f>
        <v>73.322222222222209</v>
      </c>
      <c r="D136" s="161">
        <f>'2021.1'!D136</f>
        <v>2074</v>
      </c>
      <c r="E136" s="161">
        <v>3800</v>
      </c>
      <c r="F136" s="161">
        <f t="shared" si="0"/>
        <v>119704.36666666665</v>
      </c>
      <c r="G136" s="161">
        <f t="shared" si="0"/>
        <v>278624.44444444438</v>
      </c>
    </row>
    <row r="137" spans="1:7" x14ac:dyDescent="0.25">
      <c r="A137" s="162" t="str">
        <f>A113</f>
        <v>Kaiping Cangcheng swine Farm</v>
      </c>
      <c r="B137" s="169">
        <f>AVERAGE(B116:D119)</f>
        <v>61.45000000000001</v>
      </c>
      <c r="C137" s="169">
        <f>AVERAGE(E116:G124)</f>
        <v>72.596296296296288</v>
      </c>
      <c r="D137" s="161">
        <f>'2021.1'!D137</f>
        <v>5872</v>
      </c>
      <c r="E137" s="161">
        <v>13994</v>
      </c>
      <c r="F137" s="161">
        <f t="shared" si="0"/>
        <v>360834.40000000008</v>
      </c>
      <c r="G137" s="161">
        <f t="shared" si="0"/>
        <v>1015912.5703703703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95959</v>
      </c>
      <c r="F138" s="161">
        <f t="shared" ref="F138:G138" si="1">SUM(F129:F137)</f>
        <v>8136988.2564043207</v>
      </c>
      <c r="G138" s="161">
        <f t="shared" si="1"/>
        <v>7050910.3362433864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61.6</v>
      </c>
      <c r="D142" s="171">
        <f>ROUNDDOWN(G138/E138,1)</f>
        <v>73.400000000000006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D3D0C-9B40-4399-87F7-0397128F190C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22.9</v>
      </c>
      <c r="C5" s="163">
        <v>50.1</v>
      </c>
      <c r="D5" s="163">
        <v>108.6</v>
      </c>
      <c r="E5" s="163">
        <v>57.1</v>
      </c>
      <c r="F5" s="163">
        <v>86.7</v>
      </c>
      <c r="G5" s="163">
        <v>110</v>
      </c>
    </row>
    <row r="6" spans="1:7" x14ac:dyDescent="0.25">
      <c r="A6" s="161">
        <v>2</v>
      </c>
      <c r="B6" s="163">
        <v>23.5</v>
      </c>
      <c r="C6" s="163">
        <v>60.5</v>
      </c>
      <c r="D6" s="163">
        <v>91.4</v>
      </c>
      <c r="E6" s="163">
        <v>41.3</v>
      </c>
      <c r="F6" s="163">
        <v>88.1</v>
      </c>
      <c r="G6" s="163">
        <v>99.8</v>
      </c>
    </row>
    <row r="7" spans="1:7" ht="14.5" thickBot="1" x14ac:dyDescent="0.3">
      <c r="A7" s="164">
        <v>3</v>
      </c>
      <c r="B7" s="165"/>
      <c r="C7" s="165"/>
      <c r="D7" s="165"/>
      <c r="E7" s="165">
        <v>33.6</v>
      </c>
      <c r="F7" s="165">
        <v>62.6</v>
      </c>
      <c r="G7" s="165">
        <v>93.6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31.6</v>
      </c>
      <c r="C11" s="163">
        <v>51.2</v>
      </c>
      <c r="D11" s="163">
        <v>109.3</v>
      </c>
      <c r="E11" s="163">
        <v>58.2</v>
      </c>
      <c r="F11" s="163">
        <v>77.8</v>
      </c>
      <c r="G11" s="163">
        <v>117.7</v>
      </c>
    </row>
    <row r="12" spans="1:7" x14ac:dyDescent="0.25">
      <c r="A12" s="161">
        <v>2</v>
      </c>
      <c r="B12" s="163">
        <v>20.9</v>
      </c>
      <c r="C12" s="163">
        <v>55.7</v>
      </c>
      <c r="D12" s="163">
        <v>95</v>
      </c>
      <c r="E12" s="163"/>
      <c r="F12" s="163"/>
      <c r="G12" s="163"/>
    </row>
    <row r="13" spans="1:7" x14ac:dyDescent="0.25">
      <c r="A13" s="161">
        <v>3</v>
      </c>
      <c r="B13" s="163">
        <v>32.1</v>
      </c>
      <c r="C13" s="163">
        <v>54.4</v>
      </c>
      <c r="D13" s="163">
        <v>90.7</v>
      </c>
      <c r="E13" s="162"/>
      <c r="F13" s="162"/>
      <c r="G13" s="162"/>
    </row>
    <row r="14" spans="1:7" x14ac:dyDescent="0.25">
      <c r="A14" s="161">
        <v>4</v>
      </c>
      <c r="B14" s="163">
        <v>35.799999999999997</v>
      </c>
      <c r="C14" s="163">
        <v>61.6</v>
      </c>
      <c r="D14" s="163">
        <v>78.8</v>
      </c>
      <c r="E14" s="162"/>
      <c r="F14" s="162"/>
      <c r="G14" s="162"/>
    </row>
    <row r="15" spans="1:7" ht="14.5" thickBot="1" x14ac:dyDescent="0.3">
      <c r="A15" s="164">
        <v>5</v>
      </c>
      <c r="B15" s="165">
        <v>17.8</v>
      </c>
      <c r="C15" s="165">
        <v>50.2</v>
      </c>
      <c r="D15" s="165">
        <v>85.8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41</v>
      </c>
      <c r="C19" s="163">
        <v>50.6</v>
      </c>
      <c r="D19" s="163">
        <v>86.6</v>
      </c>
      <c r="E19" s="163">
        <v>40</v>
      </c>
      <c r="F19" s="163">
        <v>67</v>
      </c>
      <c r="G19" s="163">
        <v>118.9</v>
      </c>
    </row>
    <row r="20" spans="1:7" x14ac:dyDescent="0.25">
      <c r="A20" s="161">
        <v>2</v>
      </c>
      <c r="B20" s="163">
        <v>35.6</v>
      </c>
      <c r="C20" s="163">
        <v>63.1</v>
      </c>
      <c r="D20" s="163">
        <v>71.3</v>
      </c>
      <c r="E20" s="163">
        <v>30.6</v>
      </c>
      <c r="F20" s="163">
        <v>70.900000000000006</v>
      </c>
      <c r="G20" s="163">
        <v>99.1</v>
      </c>
    </row>
    <row r="21" spans="1:7" x14ac:dyDescent="0.25">
      <c r="A21" s="161">
        <v>3</v>
      </c>
      <c r="B21" s="163">
        <v>19.100000000000001</v>
      </c>
      <c r="C21" s="163">
        <v>58.5</v>
      </c>
      <c r="D21" s="163">
        <v>85.5</v>
      </c>
      <c r="E21" s="163">
        <v>33.1</v>
      </c>
      <c r="F21" s="163">
        <v>89</v>
      </c>
      <c r="G21" s="163">
        <v>106.2</v>
      </c>
    </row>
    <row r="22" spans="1:7" x14ac:dyDescent="0.25">
      <c r="A22" s="161">
        <v>4</v>
      </c>
      <c r="B22" s="163">
        <v>47</v>
      </c>
      <c r="C22" s="163">
        <v>54.9</v>
      </c>
      <c r="D22" s="163">
        <v>91.4</v>
      </c>
      <c r="E22" s="163">
        <v>43.6</v>
      </c>
      <c r="F22" s="163">
        <v>72.900000000000006</v>
      </c>
      <c r="G22" s="163">
        <v>116.3</v>
      </c>
    </row>
    <row r="23" spans="1:7" x14ac:dyDescent="0.25">
      <c r="A23" s="161">
        <v>5</v>
      </c>
      <c r="B23" s="163">
        <v>27.9</v>
      </c>
      <c r="C23" s="163">
        <v>58.9</v>
      </c>
      <c r="D23" s="163">
        <v>70.7</v>
      </c>
      <c r="E23" s="163">
        <v>25.5</v>
      </c>
      <c r="F23" s="163">
        <v>64.599999999999994</v>
      </c>
      <c r="G23" s="163">
        <v>90.6</v>
      </c>
    </row>
    <row r="24" spans="1:7" x14ac:dyDescent="0.25">
      <c r="A24" s="161">
        <v>6</v>
      </c>
      <c r="B24" s="163">
        <v>23.3</v>
      </c>
      <c r="C24" s="163">
        <v>65.7</v>
      </c>
      <c r="D24" s="163">
        <v>86.1</v>
      </c>
      <c r="E24" s="163">
        <v>58.4</v>
      </c>
      <c r="F24" s="163">
        <v>64.599999999999994</v>
      </c>
      <c r="G24" s="163">
        <v>99.3</v>
      </c>
    </row>
    <row r="25" spans="1:7" x14ac:dyDescent="0.25">
      <c r="A25" s="161">
        <v>7</v>
      </c>
      <c r="B25" s="163">
        <v>25.5</v>
      </c>
      <c r="C25" s="163">
        <v>66.3</v>
      </c>
      <c r="D25" s="163">
        <v>92.4</v>
      </c>
      <c r="E25" s="163">
        <v>42.5</v>
      </c>
      <c r="F25" s="163">
        <v>87.2</v>
      </c>
      <c r="G25" s="163">
        <v>93.4</v>
      </c>
    </row>
    <row r="26" spans="1:7" x14ac:dyDescent="0.25">
      <c r="A26" s="161">
        <v>8</v>
      </c>
      <c r="B26" s="163">
        <v>42.7</v>
      </c>
      <c r="C26" s="163">
        <v>67.900000000000006</v>
      </c>
      <c r="D26" s="163">
        <v>106.3</v>
      </c>
      <c r="E26" s="163">
        <v>41.6</v>
      </c>
      <c r="F26" s="163">
        <v>66</v>
      </c>
      <c r="G26" s="163">
        <v>100.1</v>
      </c>
    </row>
    <row r="27" spans="1:7" x14ac:dyDescent="0.25">
      <c r="A27" s="161">
        <v>9</v>
      </c>
      <c r="B27" s="163">
        <v>17.8</v>
      </c>
      <c r="C27" s="163">
        <v>53.6</v>
      </c>
      <c r="D27" s="163">
        <v>90</v>
      </c>
      <c r="E27" s="163">
        <v>27.8</v>
      </c>
      <c r="F27" s="163">
        <v>64.900000000000006</v>
      </c>
      <c r="G27" s="163">
        <v>99.5</v>
      </c>
    </row>
    <row r="28" spans="1:7" x14ac:dyDescent="0.25">
      <c r="A28" s="161">
        <v>10</v>
      </c>
      <c r="B28" s="163">
        <v>15</v>
      </c>
      <c r="C28" s="163">
        <v>66</v>
      </c>
      <c r="D28" s="163">
        <v>80.2</v>
      </c>
      <c r="E28" s="163">
        <v>38.4</v>
      </c>
      <c r="F28" s="163">
        <v>86.7</v>
      </c>
      <c r="G28" s="163">
        <v>95.4</v>
      </c>
    </row>
    <row r="29" spans="1:7" x14ac:dyDescent="0.25">
      <c r="A29" s="161">
        <v>11</v>
      </c>
      <c r="B29" s="163">
        <v>39.200000000000003</v>
      </c>
      <c r="C29" s="163">
        <v>62.4</v>
      </c>
      <c r="D29" s="163">
        <v>97.4</v>
      </c>
      <c r="E29" s="163"/>
      <c r="F29" s="163"/>
      <c r="G29" s="163"/>
    </row>
    <row r="30" spans="1:7" x14ac:dyDescent="0.25">
      <c r="A30" s="161">
        <v>12</v>
      </c>
      <c r="B30" s="163">
        <v>18.600000000000001</v>
      </c>
      <c r="C30" s="163">
        <v>54.6</v>
      </c>
      <c r="D30" s="163">
        <v>93.2</v>
      </c>
      <c r="E30" s="163"/>
      <c r="F30" s="163"/>
      <c r="G30" s="163"/>
    </row>
    <row r="31" spans="1:7" x14ac:dyDescent="0.25">
      <c r="A31" s="161">
        <v>13</v>
      </c>
      <c r="B31" s="163">
        <v>19.899999999999999</v>
      </c>
      <c r="C31" s="163">
        <v>60.6</v>
      </c>
      <c r="D31" s="163">
        <v>73.2</v>
      </c>
      <c r="E31" s="163"/>
      <c r="F31" s="163"/>
      <c r="G31" s="163"/>
    </row>
    <row r="32" spans="1:7" x14ac:dyDescent="0.25">
      <c r="A32" s="161">
        <v>14</v>
      </c>
      <c r="B32" s="163">
        <v>44.8</v>
      </c>
      <c r="C32" s="163">
        <v>55.7</v>
      </c>
      <c r="D32" s="163">
        <v>70.7</v>
      </c>
      <c r="E32" s="163"/>
      <c r="F32" s="163"/>
      <c r="G32" s="163"/>
    </row>
    <row r="33" spans="1:7" ht="14.5" thickBot="1" x14ac:dyDescent="0.3">
      <c r="A33" s="166">
        <v>15</v>
      </c>
      <c r="B33" s="165">
        <v>26.5</v>
      </c>
      <c r="C33" s="165">
        <v>51.2</v>
      </c>
      <c r="D33" s="165">
        <v>86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47</v>
      </c>
      <c r="C37" s="163">
        <v>53.6</v>
      </c>
      <c r="D37" s="163">
        <v>77.599999999999994</v>
      </c>
      <c r="E37" s="163">
        <v>41.6</v>
      </c>
      <c r="F37" s="163">
        <v>71.3</v>
      </c>
      <c r="G37" s="163">
        <v>94.8</v>
      </c>
    </row>
    <row r="38" spans="1:7" x14ac:dyDescent="0.25">
      <c r="A38" s="161">
        <v>2</v>
      </c>
      <c r="B38" s="163">
        <v>26.4</v>
      </c>
      <c r="C38" s="163">
        <v>68.2</v>
      </c>
      <c r="D38" s="163">
        <v>71.2</v>
      </c>
      <c r="E38" s="163">
        <v>29</v>
      </c>
      <c r="F38" s="163">
        <v>72.900000000000006</v>
      </c>
      <c r="G38" s="163">
        <v>95.6</v>
      </c>
    </row>
    <row r="39" spans="1:7" x14ac:dyDescent="0.25">
      <c r="A39" s="161">
        <v>3</v>
      </c>
      <c r="B39" s="163">
        <v>39.1</v>
      </c>
      <c r="C39" s="163">
        <v>50.3</v>
      </c>
      <c r="D39" s="163">
        <v>78</v>
      </c>
      <c r="E39" s="163">
        <v>56.3</v>
      </c>
      <c r="F39" s="163">
        <v>87</v>
      </c>
      <c r="G39" s="163">
        <v>101.6</v>
      </c>
    </row>
    <row r="40" spans="1:7" x14ac:dyDescent="0.25">
      <c r="A40" s="161">
        <v>4</v>
      </c>
      <c r="B40" s="163">
        <v>28.3</v>
      </c>
      <c r="C40" s="163">
        <v>69.900000000000006</v>
      </c>
      <c r="D40" s="163">
        <v>105.9</v>
      </c>
      <c r="E40" s="163">
        <v>45.5</v>
      </c>
      <c r="F40" s="163">
        <v>78.5</v>
      </c>
      <c r="G40" s="163">
        <v>116.4</v>
      </c>
    </row>
    <row r="41" spans="1:7" x14ac:dyDescent="0.25">
      <c r="A41" s="161">
        <v>5</v>
      </c>
      <c r="B41" s="163">
        <v>43.8</v>
      </c>
      <c r="C41" s="163">
        <v>59.1</v>
      </c>
      <c r="D41" s="163">
        <v>94.9</v>
      </c>
      <c r="E41" s="163">
        <v>25.9</v>
      </c>
      <c r="F41" s="163">
        <v>69.099999999999994</v>
      </c>
      <c r="G41" s="163">
        <v>102.5</v>
      </c>
    </row>
    <row r="42" spans="1:7" x14ac:dyDescent="0.25">
      <c r="A42" s="161">
        <v>6</v>
      </c>
      <c r="B42" s="163">
        <v>29.3</v>
      </c>
      <c r="C42" s="163">
        <v>54.4</v>
      </c>
      <c r="D42" s="163">
        <v>88.3</v>
      </c>
      <c r="E42" s="163">
        <v>51.8</v>
      </c>
      <c r="F42" s="163">
        <v>80.900000000000006</v>
      </c>
      <c r="G42" s="163">
        <v>112.4</v>
      </c>
    </row>
    <row r="43" spans="1:7" x14ac:dyDescent="0.25">
      <c r="A43" s="161">
        <v>7</v>
      </c>
      <c r="B43" s="163">
        <v>22.3</v>
      </c>
      <c r="C43" s="163">
        <v>64.400000000000006</v>
      </c>
      <c r="D43" s="163">
        <v>88.3</v>
      </c>
      <c r="E43" s="163">
        <v>32.4</v>
      </c>
      <c r="F43" s="163">
        <v>76.3</v>
      </c>
      <c r="G43" s="163">
        <v>100.3</v>
      </c>
    </row>
    <row r="44" spans="1:7" x14ac:dyDescent="0.25">
      <c r="A44" s="161">
        <v>8</v>
      </c>
      <c r="B44" s="163">
        <v>47</v>
      </c>
      <c r="C44" s="163">
        <v>50.7</v>
      </c>
      <c r="D44" s="163">
        <v>102.8</v>
      </c>
      <c r="E44" s="162"/>
      <c r="F44" s="162"/>
      <c r="G44" s="162"/>
    </row>
    <row r="45" spans="1:7" x14ac:dyDescent="0.25">
      <c r="A45" s="161">
        <v>9</v>
      </c>
      <c r="B45" s="163">
        <v>25.6</v>
      </c>
      <c r="C45" s="163">
        <v>61.3</v>
      </c>
      <c r="D45" s="163">
        <v>78.3</v>
      </c>
      <c r="E45" s="162"/>
      <c r="F45" s="162"/>
      <c r="G45" s="162"/>
    </row>
    <row r="46" spans="1:7" x14ac:dyDescent="0.25">
      <c r="A46" s="161">
        <v>10</v>
      </c>
      <c r="B46" s="163">
        <v>26.8</v>
      </c>
      <c r="C46" s="163">
        <v>60.8</v>
      </c>
      <c r="D46" s="163">
        <v>108</v>
      </c>
      <c r="E46" s="162"/>
      <c r="F46" s="162"/>
      <c r="G46" s="162"/>
    </row>
    <row r="47" spans="1:7" x14ac:dyDescent="0.25">
      <c r="A47" s="161">
        <v>11</v>
      </c>
      <c r="B47" s="163">
        <v>32.1</v>
      </c>
      <c r="C47" s="163">
        <v>51.4</v>
      </c>
      <c r="D47" s="163">
        <v>108.6</v>
      </c>
      <c r="E47" s="162"/>
      <c r="F47" s="162"/>
      <c r="G47" s="162"/>
    </row>
    <row r="48" spans="1:7" x14ac:dyDescent="0.25">
      <c r="A48" s="161">
        <v>12</v>
      </c>
      <c r="B48" s="163">
        <v>19.2</v>
      </c>
      <c r="C48" s="163">
        <v>58.4</v>
      </c>
      <c r="D48" s="163">
        <v>82.4</v>
      </c>
      <c r="E48" s="162"/>
      <c r="F48" s="162"/>
      <c r="G48" s="162"/>
    </row>
    <row r="49" spans="1:7" x14ac:dyDescent="0.25">
      <c r="A49" s="161">
        <v>13</v>
      </c>
      <c r="B49" s="163">
        <v>16.5</v>
      </c>
      <c r="C49" s="163">
        <v>52.2</v>
      </c>
      <c r="D49" s="163">
        <v>101.7</v>
      </c>
      <c r="E49" s="162"/>
      <c r="F49" s="162"/>
      <c r="G49" s="162"/>
    </row>
    <row r="50" spans="1:7" x14ac:dyDescent="0.25">
      <c r="A50" s="161">
        <v>14</v>
      </c>
      <c r="B50" s="163">
        <v>48.4</v>
      </c>
      <c r="C50" s="163">
        <v>63.4</v>
      </c>
      <c r="D50" s="163">
        <v>89</v>
      </c>
      <c r="E50" s="162"/>
      <c r="F50" s="162"/>
      <c r="G50" s="162"/>
    </row>
    <row r="51" spans="1:7" x14ac:dyDescent="0.25">
      <c r="A51" s="161">
        <v>15</v>
      </c>
      <c r="B51" s="163">
        <v>24.9</v>
      </c>
      <c r="C51" s="163">
        <v>65.099999999999994</v>
      </c>
      <c r="D51" s="163">
        <v>104.5</v>
      </c>
      <c r="E51" s="162"/>
      <c r="F51" s="162"/>
      <c r="G51" s="162"/>
    </row>
    <row r="52" spans="1:7" x14ac:dyDescent="0.25">
      <c r="A52" s="161">
        <v>16</v>
      </c>
      <c r="B52" s="163">
        <v>23.6</v>
      </c>
      <c r="C52" s="163">
        <v>68.7</v>
      </c>
      <c r="D52" s="163">
        <v>83.8</v>
      </c>
      <c r="E52" s="162"/>
      <c r="F52" s="162"/>
      <c r="G52" s="162"/>
    </row>
    <row r="53" spans="1:7" x14ac:dyDescent="0.25">
      <c r="A53" s="161">
        <v>17</v>
      </c>
      <c r="B53" s="163">
        <v>17</v>
      </c>
      <c r="C53" s="163">
        <v>56.9</v>
      </c>
      <c r="D53" s="163">
        <v>80.599999999999994</v>
      </c>
      <c r="E53" s="162"/>
      <c r="F53" s="162"/>
      <c r="G53" s="162"/>
    </row>
    <row r="54" spans="1:7" x14ac:dyDescent="0.25">
      <c r="A54" s="161">
        <v>18</v>
      </c>
      <c r="B54" s="163">
        <v>21.9</v>
      </c>
      <c r="C54" s="163">
        <v>54.2</v>
      </c>
      <c r="D54" s="163">
        <v>95.9</v>
      </c>
      <c r="E54" s="162"/>
      <c r="F54" s="162"/>
      <c r="G54" s="162"/>
    </row>
    <row r="55" spans="1:7" ht="14.5" thickBot="1" x14ac:dyDescent="0.3">
      <c r="A55" s="164">
        <v>19</v>
      </c>
      <c r="B55" s="165">
        <v>45.1</v>
      </c>
      <c r="C55" s="165">
        <v>60.8</v>
      </c>
      <c r="D55" s="165">
        <v>96.8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40.9</v>
      </c>
      <c r="C59" s="163">
        <v>68.8</v>
      </c>
      <c r="D59" s="163">
        <v>91.1</v>
      </c>
      <c r="E59" s="163">
        <v>40.5</v>
      </c>
      <c r="F59" s="163">
        <v>66.599999999999994</v>
      </c>
      <c r="G59" s="163">
        <v>106.1</v>
      </c>
    </row>
    <row r="60" spans="1:7" x14ac:dyDescent="0.25">
      <c r="A60" s="161">
        <v>2</v>
      </c>
      <c r="B60" s="163">
        <v>22.8</v>
      </c>
      <c r="C60" s="163">
        <v>55.6</v>
      </c>
      <c r="D60" s="163">
        <v>87</v>
      </c>
      <c r="E60" s="163">
        <v>35.200000000000003</v>
      </c>
      <c r="F60" s="163">
        <v>77.7</v>
      </c>
      <c r="G60" s="163">
        <v>94.7</v>
      </c>
    </row>
    <row r="61" spans="1:7" x14ac:dyDescent="0.25">
      <c r="A61" s="161">
        <v>3</v>
      </c>
      <c r="B61" s="163">
        <v>16.3</v>
      </c>
      <c r="C61" s="163">
        <v>60</v>
      </c>
      <c r="D61" s="163">
        <v>104.6</v>
      </c>
      <c r="E61" s="163">
        <v>28.8</v>
      </c>
      <c r="F61" s="163">
        <v>71.8</v>
      </c>
      <c r="G61" s="163">
        <v>113.5</v>
      </c>
    </row>
    <row r="62" spans="1:7" x14ac:dyDescent="0.25">
      <c r="A62" s="161">
        <v>4</v>
      </c>
      <c r="B62" s="163">
        <v>43.2</v>
      </c>
      <c r="C62" s="163">
        <v>64.900000000000006</v>
      </c>
      <c r="D62" s="163">
        <v>91.7</v>
      </c>
      <c r="E62" s="163">
        <v>56.6</v>
      </c>
      <c r="F62" s="163">
        <v>61.2</v>
      </c>
      <c r="G62" s="163">
        <v>116.7</v>
      </c>
    </row>
    <row r="63" spans="1:7" x14ac:dyDescent="0.25">
      <c r="A63" s="161">
        <v>5</v>
      </c>
      <c r="B63" s="163">
        <v>47.8</v>
      </c>
      <c r="C63" s="163">
        <v>58.8</v>
      </c>
      <c r="D63" s="163">
        <v>80.8</v>
      </c>
      <c r="E63" s="163">
        <v>25.8</v>
      </c>
      <c r="F63" s="163">
        <v>87.8</v>
      </c>
      <c r="G63" s="163">
        <v>92.7</v>
      </c>
    </row>
    <row r="64" spans="1:7" x14ac:dyDescent="0.25">
      <c r="A64" s="167">
        <v>6</v>
      </c>
      <c r="B64" s="163">
        <v>30.9</v>
      </c>
      <c r="C64" s="163">
        <v>63.5</v>
      </c>
      <c r="D64" s="163">
        <v>76.099999999999994</v>
      </c>
      <c r="E64" s="163">
        <v>43.4</v>
      </c>
      <c r="F64" s="163">
        <v>65.5</v>
      </c>
      <c r="G64" s="163">
        <v>101</v>
      </c>
    </row>
    <row r="65" spans="1:7" ht="14.5" thickBot="1" x14ac:dyDescent="0.3">
      <c r="A65" s="164">
        <v>7</v>
      </c>
      <c r="B65" s="165">
        <v>47.4</v>
      </c>
      <c r="C65" s="165">
        <v>68.5</v>
      </c>
      <c r="D65" s="165">
        <v>92</v>
      </c>
      <c r="E65" s="165">
        <v>47.3</v>
      </c>
      <c r="F65" s="165">
        <v>86.8</v>
      </c>
      <c r="G65" s="165">
        <v>106.5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25.6</v>
      </c>
      <c r="C69" s="163">
        <v>62.8</v>
      </c>
      <c r="D69" s="163">
        <v>76.8</v>
      </c>
      <c r="E69" s="163">
        <v>52.4</v>
      </c>
      <c r="F69" s="163">
        <v>82.2</v>
      </c>
      <c r="G69" s="163">
        <v>90.3</v>
      </c>
    </row>
    <row r="70" spans="1:7" x14ac:dyDescent="0.25">
      <c r="A70" s="161">
        <v>2</v>
      </c>
      <c r="B70" s="163">
        <v>19.100000000000001</v>
      </c>
      <c r="C70" s="163">
        <v>69.5</v>
      </c>
      <c r="D70" s="163">
        <v>85.6</v>
      </c>
      <c r="E70" s="163">
        <v>45.5</v>
      </c>
      <c r="F70" s="163">
        <v>60.6</v>
      </c>
      <c r="G70" s="163">
        <v>103</v>
      </c>
    </row>
    <row r="71" spans="1:7" x14ac:dyDescent="0.25">
      <c r="A71" s="161">
        <v>3</v>
      </c>
      <c r="B71" s="163">
        <v>37.700000000000003</v>
      </c>
      <c r="C71" s="163">
        <v>64.599999999999994</v>
      </c>
      <c r="D71" s="163">
        <v>77.2</v>
      </c>
      <c r="E71" s="163">
        <v>36.799999999999997</v>
      </c>
      <c r="F71" s="163">
        <v>65.400000000000006</v>
      </c>
      <c r="G71" s="163">
        <v>107.1</v>
      </c>
    </row>
    <row r="72" spans="1:7" x14ac:dyDescent="0.25">
      <c r="A72" s="161">
        <v>4</v>
      </c>
      <c r="B72" s="163">
        <v>20.9</v>
      </c>
      <c r="C72" s="163">
        <v>58.8</v>
      </c>
      <c r="D72" s="163">
        <v>78</v>
      </c>
      <c r="E72" s="163">
        <v>27.5</v>
      </c>
      <c r="F72" s="163">
        <v>66.400000000000006</v>
      </c>
      <c r="G72" s="163">
        <v>90.2</v>
      </c>
    </row>
    <row r="73" spans="1:7" x14ac:dyDescent="0.25">
      <c r="A73" s="161">
        <v>5</v>
      </c>
      <c r="B73" s="163">
        <v>32.200000000000003</v>
      </c>
      <c r="C73" s="163">
        <v>60.3</v>
      </c>
      <c r="D73" s="163">
        <v>101.3</v>
      </c>
      <c r="E73" s="163">
        <v>47.3</v>
      </c>
      <c r="F73" s="163">
        <v>67.900000000000006</v>
      </c>
      <c r="G73" s="163">
        <v>107.8</v>
      </c>
    </row>
    <row r="74" spans="1:7" x14ac:dyDescent="0.25">
      <c r="A74" s="161">
        <v>6</v>
      </c>
      <c r="B74" s="163">
        <v>25.6</v>
      </c>
      <c r="C74" s="163">
        <v>59.4</v>
      </c>
      <c r="D74" s="163">
        <v>78.400000000000006</v>
      </c>
      <c r="E74" s="163">
        <v>56.6</v>
      </c>
      <c r="F74" s="163">
        <v>63.1</v>
      </c>
      <c r="G74" s="163">
        <v>115.2</v>
      </c>
    </row>
    <row r="75" spans="1:7" x14ac:dyDescent="0.25">
      <c r="A75" s="161">
        <v>7</v>
      </c>
      <c r="B75" s="163">
        <v>43</v>
      </c>
      <c r="C75" s="163">
        <v>62.6</v>
      </c>
      <c r="D75" s="163">
        <v>103.9</v>
      </c>
      <c r="E75" s="163">
        <v>30.6</v>
      </c>
      <c r="F75" s="163">
        <v>69.2</v>
      </c>
      <c r="G75" s="163">
        <v>109.8</v>
      </c>
    </row>
    <row r="76" spans="1:7" x14ac:dyDescent="0.25">
      <c r="A76" s="161">
        <v>8</v>
      </c>
      <c r="B76" s="163">
        <v>42.4</v>
      </c>
      <c r="C76" s="163">
        <v>64</v>
      </c>
      <c r="D76" s="163">
        <v>97.3</v>
      </c>
      <c r="E76" s="163">
        <v>49.6</v>
      </c>
      <c r="F76" s="163">
        <v>60.3</v>
      </c>
      <c r="G76" s="163">
        <v>100.6</v>
      </c>
    </row>
    <row r="77" spans="1:7" x14ac:dyDescent="0.25">
      <c r="A77" s="161">
        <v>9</v>
      </c>
      <c r="B77" s="163">
        <v>19.399999999999999</v>
      </c>
      <c r="C77" s="163">
        <v>67.099999999999994</v>
      </c>
      <c r="D77" s="163">
        <v>70.599999999999994</v>
      </c>
      <c r="E77" s="163">
        <v>52.3</v>
      </c>
      <c r="F77" s="163">
        <v>77.8</v>
      </c>
      <c r="G77" s="163">
        <v>91.5</v>
      </c>
    </row>
    <row r="78" spans="1:7" x14ac:dyDescent="0.25">
      <c r="A78" s="161">
        <v>10</v>
      </c>
      <c r="B78" s="163">
        <v>48.5</v>
      </c>
      <c r="C78" s="163">
        <v>52.3</v>
      </c>
      <c r="D78" s="163">
        <v>105</v>
      </c>
      <c r="E78" s="163">
        <v>38.6</v>
      </c>
      <c r="F78" s="163">
        <v>87</v>
      </c>
      <c r="G78" s="163">
        <v>108.8</v>
      </c>
    </row>
    <row r="79" spans="1:7" x14ac:dyDescent="0.25">
      <c r="A79" s="161">
        <v>11</v>
      </c>
      <c r="B79" s="163">
        <v>23.3</v>
      </c>
      <c r="C79" s="163">
        <v>54.4</v>
      </c>
      <c r="D79" s="163">
        <v>94.6</v>
      </c>
      <c r="E79" s="163">
        <v>49.5</v>
      </c>
      <c r="F79" s="163">
        <v>65.400000000000006</v>
      </c>
      <c r="G79" s="163">
        <v>107.7</v>
      </c>
    </row>
    <row r="80" spans="1:7" x14ac:dyDescent="0.25">
      <c r="A80" s="161">
        <v>12</v>
      </c>
      <c r="B80" s="163">
        <v>18.5</v>
      </c>
      <c r="C80" s="163">
        <v>57.1</v>
      </c>
      <c r="D80" s="163">
        <v>75</v>
      </c>
      <c r="E80" s="163">
        <v>40.200000000000003</v>
      </c>
      <c r="F80" s="163">
        <v>67.900000000000006</v>
      </c>
      <c r="G80" s="163">
        <v>103.3</v>
      </c>
    </row>
    <row r="81" spans="1:7" x14ac:dyDescent="0.25">
      <c r="A81" s="161">
        <v>13</v>
      </c>
      <c r="B81" s="163">
        <v>15.3</v>
      </c>
      <c r="C81" s="163">
        <v>65.900000000000006</v>
      </c>
      <c r="D81" s="163">
        <v>106.3</v>
      </c>
      <c r="E81" s="163">
        <v>54.4</v>
      </c>
      <c r="F81" s="163">
        <v>69.900000000000006</v>
      </c>
      <c r="G81" s="163">
        <v>116.5</v>
      </c>
    </row>
    <row r="82" spans="1:7" x14ac:dyDescent="0.25">
      <c r="A82" s="161">
        <v>14</v>
      </c>
      <c r="B82" s="163">
        <v>28.7</v>
      </c>
      <c r="C82" s="163">
        <v>50.6</v>
      </c>
      <c r="D82" s="163">
        <v>89.4</v>
      </c>
      <c r="E82" s="163">
        <v>40.5</v>
      </c>
      <c r="F82" s="163">
        <v>74.5</v>
      </c>
      <c r="G82" s="163">
        <v>96.7</v>
      </c>
    </row>
    <row r="83" spans="1:7" x14ac:dyDescent="0.25">
      <c r="A83" s="161">
        <v>15</v>
      </c>
      <c r="B83" s="163">
        <v>34.4</v>
      </c>
      <c r="C83" s="163">
        <v>63.6</v>
      </c>
      <c r="D83" s="163">
        <v>91.3</v>
      </c>
      <c r="E83" s="163">
        <v>56.2</v>
      </c>
      <c r="F83" s="163">
        <v>76.900000000000006</v>
      </c>
      <c r="G83" s="163">
        <v>118.8</v>
      </c>
    </row>
    <row r="84" spans="1:7" x14ac:dyDescent="0.25">
      <c r="A84" s="161">
        <v>16</v>
      </c>
      <c r="B84" s="163">
        <v>48</v>
      </c>
      <c r="C84" s="163">
        <v>50.3</v>
      </c>
      <c r="D84" s="163">
        <v>75</v>
      </c>
      <c r="E84" s="163"/>
      <c r="F84" s="163"/>
      <c r="G84" s="163"/>
    </row>
    <row r="85" spans="1:7" ht="14.5" thickBot="1" x14ac:dyDescent="0.3">
      <c r="A85" s="166">
        <v>17</v>
      </c>
      <c r="B85" s="168">
        <v>18.100000000000001</v>
      </c>
      <c r="C85" s="168">
        <v>59.9</v>
      </c>
      <c r="D85" s="168">
        <v>75.599999999999994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29.5</v>
      </c>
      <c r="C89" s="163">
        <v>53.8</v>
      </c>
      <c r="D89" s="163">
        <v>91.8</v>
      </c>
      <c r="E89" s="163">
        <v>51.9</v>
      </c>
      <c r="F89" s="163">
        <v>67.3</v>
      </c>
      <c r="G89" s="163">
        <v>111.5</v>
      </c>
    </row>
    <row r="90" spans="1:7" x14ac:dyDescent="0.25">
      <c r="A90" s="161">
        <v>2</v>
      </c>
      <c r="B90" s="163">
        <v>36</v>
      </c>
      <c r="C90" s="163">
        <v>58.3</v>
      </c>
      <c r="D90" s="163">
        <v>98.6</v>
      </c>
      <c r="E90" s="163">
        <v>55.4</v>
      </c>
      <c r="F90" s="163">
        <v>81.599999999999994</v>
      </c>
      <c r="G90" s="163">
        <v>91.1</v>
      </c>
    </row>
    <row r="91" spans="1:7" x14ac:dyDescent="0.25">
      <c r="A91" s="161">
        <v>3</v>
      </c>
      <c r="B91" s="163">
        <v>15.2</v>
      </c>
      <c r="C91" s="163">
        <v>52.8</v>
      </c>
      <c r="D91" s="163">
        <v>103</v>
      </c>
      <c r="E91" s="163">
        <v>50</v>
      </c>
      <c r="F91" s="163">
        <v>70.099999999999994</v>
      </c>
      <c r="G91" s="163">
        <v>104.8</v>
      </c>
    </row>
    <row r="92" spans="1:7" x14ac:dyDescent="0.25">
      <c r="A92" s="161">
        <v>4</v>
      </c>
      <c r="B92" s="163">
        <v>28.7</v>
      </c>
      <c r="C92" s="163">
        <v>63.7</v>
      </c>
      <c r="D92" s="163">
        <v>93.3</v>
      </c>
      <c r="E92" s="163">
        <v>25.7</v>
      </c>
      <c r="F92" s="163">
        <v>86.2</v>
      </c>
      <c r="G92" s="163">
        <v>119.3</v>
      </c>
    </row>
    <row r="93" spans="1:7" x14ac:dyDescent="0.25">
      <c r="A93" s="161">
        <v>5</v>
      </c>
      <c r="B93" s="163">
        <v>25.9</v>
      </c>
      <c r="C93" s="163">
        <v>58</v>
      </c>
      <c r="D93" s="163">
        <v>90.7</v>
      </c>
      <c r="E93" s="163">
        <v>31.7</v>
      </c>
      <c r="F93" s="163">
        <v>89.3</v>
      </c>
      <c r="G93" s="163">
        <v>91.8</v>
      </c>
    </row>
    <row r="94" spans="1:7" x14ac:dyDescent="0.25">
      <c r="A94" s="161">
        <v>6</v>
      </c>
      <c r="B94" s="163">
        <v>38.4</v>
      </c>
      <c r="C94" s="163">
        <v>61.7</v>
      </c>
      <c r="D94" s="163">
        <v>95</v>
      </c>
      <c r="E94" s="163">
        <v>58.3</v>
      </c>
      <c r="F94" s="163">
        <v>69.900000000000006</v>
      </c>
      <c r="G94" s="163">
        <v>103.3</v>
      </c>
    </row>
    <row r="95" spans="1:7" x14ac:dyDescent="0.25">
      <c r="A95" s="161">
        <v>7</v>
      </c>
      <c r="B95" s="163">
        <v>21.4</v>
      </c>
      <c r="C95" s="163">
        <v>58.9</v>
      </c>
      <c r="D95" s="163">
        <v>87.6</v>
      </c>
      <c r="E95" s="163">
        <v>45.3</v>
      </c>
      <c r="F95" s="163">
        <v>78.099999999999994</v>
      </c>
      <c r="G95" s="163">
        <v>100.1</v>
      </c>
    </row>
    <row r="96" spans="1:7" x14ac:dyDescent="0.25">
      <c r="A96" s="161">
        <v>8</v>
      </c>
      <c r="B96" s="163">
        <v>22.3</v>
      </c>
      <c r="C96" s="163">
        <v>69.5</v>
      </c>
      <c r="D96" s="163">
        <v>82.1</v>
      </c>
      <c r="E96" s="162"/>
      <c r="F96" s="162"/>
      <c r="G96" s="162"/>
    </row>
    <row r="97" spans="1:7" x14ac:dyDescent="0.25">
      <c r="A97" s="161">
        <v>9</v>
      </c>
      <c r="B97" s="163">
        <v>34.4</v>
      </c>
      <c r="C97" s="163">
        <v>58.7</v>
      </c>
      <c r="D97" s="163">
        <v>80.900000000000006</v>
      </c>
      <c r="E97" s="162"/>
      <c r="F97" s="162"/>
      <c r="G97" s="162"/>
    </row>
    <row r="98" spans="1:7" x14ac:dyDescent="0.25">
      <c r="A98" s="161">
        <v>10</v>
      </c>
      <c r="B98" s="163">
        <v>44.1</v>
      </c>
      <c r="C98" s="163">
        <v>51.4</v>
      </c>
      <c r="D98" s="163">
        <v>86.9</v>
      </c>
      <c r="E98" s="162"/>
      <c r="F98" s="162"/>
      <c r="G98" s="162"/>
    </row>
    <row r="99" spans="1:7" x14ac:dyDescent="0.25">
      <c r="A99" s="161">
        <v>11</v>
      </c>
      <c r="B99" s="163">
        <v>28.2</v>
      </c>
      <c r="C99" s="163">
        <v>59.4</v>
      </c>
      <c r="D99" s="163">
        <v>101</v>
      </c>
      <c r="E99" s="162"/>
      <c r="F99" s="162"/>
      <c r="G99" s="162"/>
    </row>
    <row r="100" spans="1:7" x14ac:dyDescent="0.25">
      <c r="A100" s="161">
        <v>12</v>
      </c>
      <c r="B100" s="163">
        <v>19.7</v>
      </c>
      <c r="C100" s="163">
        <v>63.7</v>
      </c>
      <c r="D100" s="163">
        <v>88.4</v>
      </c>
      <c r="E100" s="162"/>
      <c r="F100" s="162"/>
      <c r="G100" s="162"/>
    </row>
    <row r="101" spans="1:7" x14ac:dyDescent="0.25">
      <c r="A101" s="161">
        <v>13</v>
      </c>
      <c r="B101" s="163">
        <v>30.5</v>
      </c>
      <c r="C101" s="163">
        <v>61.7</v>
      </c>
      <c r="D101" s="163">
        <v>78.2</v>
      </c>
      <c r="E101" s="162"/>
      <c r="F101" s="162"/>
      <c r="G101" s="162"/>
    </row>
    <row r="102" spans="1:7" x14ac:dyDescent="0.25">
      <c r="A102" s="161">
        <v>14</v>
      </c>
      <c r="B102" s="163">
        <v>33.799999999999997</v>
      </c>
      <c r="C102" s="163">
        <v>67.3</v>
      </c>
      <c r="D102" s="163">
        <v>78.7</v>
      </c>
      <c r="E102" s="162"/>
      <c r="F102" s="162"/>
      <c r="G102" s="162"/>
    </row>
    <row r="103" spans="1:7" x14ac:dyDescent="0.25">
      <c r="A103" s="161">
        <v>15</v>
      </c>
      <c r="B103" s="163">
        <v>21</v>
      </c>
      <c r="C103" s="163">
        <v>65.2</v>
      </c>
      <c r="D103" s="163">
        <v>96.7</v>
      </c>
      <c r="E103" s="162"/>
      <c r="F103" s="162"/>
      <c r="G103" s="162"/>
    </row>
    <row r="104" spans="1:7" x14ac:dyDescent="0.25">
      <c r="A104" s="161">
        <v>16</v>
      </c>
      <c r="B104" s="163">
        <v>31.7</v>
      </c>
      <c r="C104" s="163">
        <v>61.1</v>
      </c>
      <c r="D104" s="163">
        <v>101.8</v>
      </c>
      <c r="E104" s="162"/>
      <c r="F104" s="162"/>
      <c r="G104" s="162"/>
    </row>
    <row r="105" spans="1:7" x14ac:dyDescent="0.25">
      <c r="A105" s="161">
        <v>17</v>
      </c>
      <c r="B105" s="163">
        <v>45.1</v>
      </c>
      <c r="C105" s="163">
        <v>63</v>
      </c>
      <c r="D105" s="163">
        <v>85.4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85.2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17.2</v>
      </c>
      <c r="C110" s="163">
        <v>69.8</v>
      </c>
      <c r="D110" s="163">
        <v>72.2</v>
      </c>
      <c r="E110" s="163">
        <v>39.700000000000003</v>
      </c>
      <c r="F110" s="163">
        <v>85.2</v>
      </c>
      <c r="G110" s="163">
        <v>105.1</v>
      </c>
    </row>
    <row r="111" spans="1:7" x14ac:dyDescent="0.25">
      <c r="A111" s="161">
        <v>2</v>
      </c>
      <c r="B111" s="163">
        <v>19.3</v>
      </c>
      <c r="C111" s="163">
        <v>64.7</v>
      </c>
      <c r="D111" s="163">
        <v>101.5</v>
      </c>
      <c r="E111" s="163">
        <v>57.6</v>
      </c>
      <c r="F111" s="163">
        <v>86.3</v>
      </c>
      <c r="G111" s="163">
        <v>106.7</v>
      </c>
    </row>
    <row r="112" spans="1:7" ht="14.5" thickBot="1" x14ac:dyDescent="0.3">
      <c r="A112" s="166">
        <v>3</v>
      </c>
      <c r="B112" s="168"/>
      <c r="C112" s="168"/>
      <c r="D112" s="168"/>
      <c r="E112" s="168">
        <v>36.799999999999997</v>
      </c>
      <c r="F112" s="168">
        <v>72.2</v>
      </c>
      <c r="G112" s="168">
        <v>109.6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18.600000000000001</v>
      </c>
      <c r="C116" s="163">
        <v>69.8</v>
      </c>
      <c r="D116" s="163">
        <v>99</v>
      </c>
      <c r="E116" s="163">
        <v>27.1</v>
      </c>
      <c r="F116" s="163">
        <v>69.2</v>
      </c>
      <c r="G116" s="163">
        <v>93.8</v>
      </c>
    </row>
    <row r="117" spans="1:7" x14ac:dyDescent="0.25">
      <c r="A117" s="161">
        <v>2</v>
      </c>
      <c r="B117" s="163">
        <v>19</v>
      </c>
      <c r="C117" s="163">
        <v>60</v>
      </c>
      <c r="D117" s="163">
        <v>74.2</v>
      </c>
      <c r="E117" s="163">
        <v>40.200000000000003</v>
      </c>
      <c r="F117" s="163">
        <v>89.8</v>
      </c>
      <c r="G117" s="163">
        <v>113.2</v>
      </c>
    </row>
    <row r="118" spans="1:7" x14ac:dyDescent="0.25">
      <c r="A118" s="161">
        <v>3</v>
      </c>
      <c r="B118" s="163">
        <v>28.7</v>
      </c>
      <c r="C118" s="163">
        <v>51.2</v>
      </c>
      <c r="D118" s="163">
        <v>92.8</v>
      </c>
      <c r="E118" s="163">
        <v>50.5</v>
      </c>
      <c r="F118" s="163">
        <v>76.3</v>
      </c>
      <c r="G118" s="163">
        <v>114.7</v>
      </c>
    </row>
    <row r="119" spans="1:7" x14ac:dyDescent="0.25">
      <c r="A119" s="161">
        <v>4</v>
      </c>
      <c r="B119" s="163">
        <v>25.1</v>
      </c>
      <c r="C119" s="163">
        <v>58.9</v>
      </c>
      <c r="D119" s="163">
        <v>89</v>
      </c>
      <c r="E119" s="163">
        <v>51.4</v>
      </c>
      <c r="F119" s="163">
        <v>77.8</v>
      </c>
      <c r="G119" s="163">
        <v>110.1</v>
      </c>
    </row>
    <row r="120" spans="1:7" x14ac:dyDescent="0.25">
      <c r="A120" s="161">
        <v>5</v>
      </c>
      <c r="B120" s="162"/>
      <c r="C120" s="162"/>
      <c r="D120" s="162"/>
      <c r="E120" s="163">
        <v>43</v>
      </c>
      <c r="F120" s="163">
        <v>70.5</v>
      </c>
      <c r="G120" s="163">
        <v>101.7</v>
      </c>
    </row>
    <row r="121" spans="1:7" x14ac:dyDescent="0.25">
      <c r="A121" s="161">
        <v>6</v>
      </c>
      <c r="B121" s="162"/>
      <c r="C121" s="162"/>
      <c r="D121" s="162"/>
      <c r="E121" s="163">
        <v>40.1</v>
      </c>
      <c r="F121" s="163">
        <v>86</v>
      </c>
      <c r="G121" s="163">
        <v>112.2</v>
      </c>
    </row>
    <row r="122" spans="1:7" x14ac:dyDescent="0.25">
      <c r="A122" s="161">
        <v>7</v>
      </c>
      <c r="B122" s="162"/>
      <c r="C122" s="162"/>
      <c r="D122" s="162"/>
      <c r="E122" s="163">
        <v>32.6</v>
      </c>
      <c r="F122" s="163">
        <v>64.099999999999994</v>
      </c>
      <c r="G122" s="163">
        <v>112.9</v>
      </c>
    </row>
    <row r="123" spans="1:7" x14ac:dyDescent="0.25">
      <c r="A123" s="161">
        <v>8</v>
      </c>
      <c r="B123" s="162"/>
      <c r="C123" s="162"/>
      <c r="D123" s="162"/>
      <c r="E123" s="163">
        <v>48.7</v>
      </c>
      <c r="F123" s="163">
        <v>81.900000000000006</v>
      </c>
      <c r="G123" s="163">
        <v>93.4</v>
      </c>
    </row>
    <row r="124" spans="1:7" ht="14.5" thickBot="1" x14ac:dyDescent="0.3">
      <c r="A124" s="166">
        <v>9</v>
      </c>
      <c r="B124" s="168"/>
      <c r="C124" s="168"/>
      <c r="D124" s="168"/>
      <c r="E124" s="168">
        <v>33.6</v>
      </c>
      <c r="F124" s="168">
        <v>65.599999999999994</v>
      </c>
      <c r="G124" s="168">
        <v>105.3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59.5</v>
      </c>
      <c r="C129" s="170">
        <f>AVERAGE(E5:G7)</f>
        <v>74.75555555555556</v>
      </c>
      <c r="D129" s="161">
        <f>'2021.1'!D129</f>
        <v>2166</v>
      </c>
      <c r="E129" s="161">
        <v>4328</v>
      </c>
      <c r="F129" s="161">
        <f>D129*B129</f>
        <v>128877</v>
      </c>
      <c r="G129" s="161">
        <f>E129*C129</f>
        <v>323542.04444444447</v>
      </c>
    </row>
    <row r="130" spans="1:7" x14ac:dyDescent="0.25">
      <c r="A130" s="162" t="str">
        <f>A8</f>
        <v>Dongyuan Huangtian swine Farm</v>
      </c>
      <c r="B130" s="169">
        <f>AVERAGE((B11:D15))</f>
        <v>58.059999999999995</v>
      </c>
      <c r="C130" s="169">
        <f>AVERAGE(E11:G11)</f>
        <v>84.566666666666663</v>
      </c>
      <c r="D130" s="161">
        <f>'2021.1'!D130</f>
        <v>6431</v>
      </c>
      <c r="E130" s="161">
        <v>1445</v>
      </c>
      <c r="F130" s="161">
        <f t="shared" ref="F130:G137" si="0">D130*B130</f>
        <v>373383.86</v>
      </c>
      <c r="G130" s="161">
        <f t="shared" si="0"/>
        <v>122198.83333333333</v>
      </c>
    </row>
    <row r="131" spans="1:7" x14ac:dyDescent="0.25">
      <c r="A131" s="162" t="str">
        <f>A16</f>
        <v>Enping Shahu swine  Farm</v>
      </c>
      <c r="B131" s="169">
        <f>AVERAGE(B19:D33)</f>
        <v>58.10888888888887</v>
      </c>
      <c r="C131" s="169">
        <f>AVERAGE(E19:G28)</f>
        <v>71.13666666666667</v>
      </c>
      <c r="D131" s="161">
        <f>'2021.1'!D131</f>
        <v>23413</v>
      </c>
      <c r="E131" s="161">
        <v>15584</v>
      </c>
      <c r="F131" s="161">
        <f t="shared" si="0"/>
        <v>1360503.4155555551</v>
      </c>
      <c r="G131" s="161">
        <f t="shared" si="0"/>
        <v>1108593.8133333335</v>
      </c>
    </row>
    <row r="132" spans="1:7" x14ac:dyDescent="0.25">
      <c r="A132" s="162" t="str">
        <f>A34</f>
        <v>Langtian Yuehui swine Farm</v>
      </c>
      <c r="B132" s="169">
        <f>AVERAGE(B37:D55)</f>
        <v>60.43333333333333</v>
      </c>
      <c r="C132" s="169">
        <f>AVERAGE(E37:G43)</f>
        <v>73.433333333333337</v>
      </c>
      <c r="D132" s="161">
        <f>'2021.1'!D132</f>
        <v>29497</v>
      </c>
      <c r="E132" s="161">
        <v>10135</v>
      </c>
      <c r="F132" s="161">
        <f t="shared" si="0"/>
        <v>1782602.0333333332</v>
      </c>
      <c r="G132" s="161">
        <f t="shared" si="0"/>
        <v>744246.83333333337</v>
      </c>
    </row>
    <row r="133" spans="1:7" x14ac:dyDescent="0.25">
      <c r="A133" s="162" t="str">
        <f>A56</f>
        <v>Qujiang Fengwan swine Farm</v>
      </c>
      <c r="B133" s="169">
        <f>AVERAGE(B59:D65)</f>
        <v>62.509523809523799</v>
      </c>
      <c r="C133" s="169">
        <f>AVERAGE(E59:G65)</f>
        <v>72.676190476190484</v>
      </c>
      <c r="D133" s="161">
        <f>'2021.1'!D133</f>
        <v>9686</v>
      </c>
      <c r="E133" s="161">
        <v>11375</v>
      </c>
      <c r="F133" s="161">
        <f t="shared" si="0"/>
        <v>605467.24761904753</v>
      </c>
      <c r="G133" s="161">
        <f t="shared" si="0"/>
        <v>826691.66666666674</v>
      </c>
    </row>
    <row r="134" spans="1:7" x14ac:dyDescent="0.25">
      <c r="A134" s="162" t="str">
        <f>A66</f>
        <v>Pingyuan Zhongshi swine Farm</v>
      </c>
      <c r="B134" s="169">
        <f>AVERAGE(B69:D85)</f>
        <v>58.925490196078435</v>
      </c>
      <c r="C134" s="169">
        <f>AVERAGE(E69:G83)</f>
        <v>73.328888888888883</v>
      </c>
      <c r="D134" s="161">
        <f>'2021.1'!D134</f>
        <v>26358</v>
      </c>
      <c r="E134" s="161">
        <v>23615</v>
      </c>
      <c r="F134" s="161">
        <f t="shared" si="0"/>
        <v>1553158.0705882355</v>
      </c>
      <c r="G134" s="161">
        <f t="shared" si="0"/>
        <v>1731661.7111111109</v>
      </c>
    </row>
    <row r="135" spans="1:7" x14ac:dyDescent="0.25">
      <c r="A135" s="162" t="str">
        <f>A86</f>
        <v>Yangchun Tanshui swine Farm</v>
      </c>
      <c r="B135" s="169">
        <f>AVERAGE(B89:D106)</f>
        <v>60.757692307692302</v>
      </c>
      <c r="C135" s="169">
        <f>AVERAGE(E89:G95)</f>
        <v>75.36666666666666</v>
      </c>
      <c r="D135" s="161">
        <f>'2021.1'!D135</f>
        <v>26581</v>
      </c>
      <c r="E135" s="161">
        <v>11609</v>
      </c>
      <c r="F135" s="161">
        <f t="shared" si="0"/>
        <v>1615000.2192307692</v>
      </c>
      <c r="G135" s="161">
        <f t="shared" si="0"/>
        <v>874931.6333333333</v>
      </c>
    </row>
    <row r="136" spans="1:7" x14ac:dyDescent="0.25">
      <c r="A136" s="162" t="str">
        <f>A107</f>
        <v>Xinfeng Shatian swine Farm</v>
      </c>
      <c r="B136" s="169">
        <f>AVERAGE(B110:D112)</f>
        <v>57.449999999999996</v>
      </c>
      <c r="C136" s="169">
        <f>AVERAGE(E110:G112)</f>
        <v>77.688888888888897</v>
      </c>
      <c r="D136" s="161">
        <f>'2021.1'!D136</f>
        <v>2074</v>
      </c>
      <c r="E136" s="161">
        <v>3785</v>
      </c>
      <c r="F136" s="161">
        <f t="shared" si="0"/>
        <v>119151.29999999999</v>
      </c>
      <c r="G136" s="161">
        <f t="shared" si="0"/>
        <v>294052.4444444445</v>
      </c>
    </row>
    <row r="137" spans="1:7" x14ac:dyDescent="0.25">
      <c r="A137" s="162" t="str">
        <f>A113</f>
        <v>Kaiping Cangcheng swine Farm</v>
      </c>
      <c r="B137" s="169">
        <f>AVERAGE(B116:D119)</f>
        <v>57.191666666666663</v>
      </c>
      <c r="C137" s="169">
        <f>AVERAGE(E116:G124)</f>
        <v>74.285185185185185</v>
      </c>
      <c r="D137" s="161">
        <f>'2021.1'!D137</f>
        <v>5872</v>
      </c>
      <c r="E137" s="161">
        <v>13985</v>
      </c>
      <c r="F137" s="161">
        <f t="shared" si="0"/>
        <v>335829.46666666662</v>
      </c>
      <c r="G137" s="161">
        <f t="shared" si="0"/>
        <v>1038878.3148148148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95861</v>
      </c>
      <c r="F138" s="161">
        <f t="shared" ref="F138:G138" si="1">SUM(F129:F137)</f>
        <v>7873972.6129936073</v>
      </c>
      <c r="G138" s="161">
        <f t="shared" si="1"/>
        <v>7064797.2948148139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59.6</v>
      </c>
      <c r="D142" s="171">
        <f>ROUNDDOWN(G138/E138,1)</f>
        <v>73.599999999999994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E384-DC4F-49F2-AD8F-6234B4E78CD3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40</v>
      </c>
      <c r="C5" s="163">
        <v>69.2</v>
      </c>
      <c r="D5" s="163">
        <v>104.3</v>
      </c>
      <c r="E5" s="163">
        <v>41</v>
      </c>
      <c r="F5" s="163">
        <v>80.5</v>
      </c>
      <c r="G5" s="163">
        <v>96.6</v>
      </c>
    </row>
    <row r="6" spans="1:7" x14ac:dyDescent="0.25">
      <c r="A6" s="161">
        <v>2</v>
      </c>
      <c r="B6" s="163">
        <v>17.8</v>
      </c>
      <c r="C6" s="163">
        <v>59</v>
      </c>
      <c r="D6" s="163">
        <v>79.900000000000006</v>
      </c>
      <c r="E6" s="163">
        <v>27.5</v>
      </c>
      <c r="F6" s="163">
        <v>81.400000000000006</v>
      </c>
      <c r="G6" s="163">
        <v>108.7</v>
      </c>
    </row>
    <row r="7" spans="1:7" ht="14.5" thickBot="1" x14ac:dyDescent="0.3">
      <c r="A7" s="164">
        <v>3</v>
      </c>
      <c r="B7" s="165"/>
      <c r="C7" s="165"/>
      <c r="D7" s="165"/>
      <c r="E7" s="165">
        <v>42.5</v>
      </c>
      <c r="F7" s="165">
        <v>69.7</v>
      </c>
      <c r="G7" s="165">
        <v>109.3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46.7</v>
      </c>
      <c r="C11" s="163">
        <v>56</v>
      </c>
      <c r="D11" s="163">
        <v>79.400000000000006</v>
      </c>
      <c r="E11" s="163">
        <v>28.1</v>
      </c>
      <c r="F11" s="163">
        <v>78.599999999999994</v>
      </c>
      <c r="G11" s="163">
        <v>98.7</v>
      </c>
    </row>
    <row r="12" spans="1:7" x14ac:dyDescent="0.25">
      <c r="A12" s="161">
        <v>2</v>
      </c>
      <c r="B12" s="163">
        <v>47.4</v>
      </c>
      <c r="C12" s="163">
        <v>59</v>
      </c>
      <c r="D12" s="163">
        <v>87.8</v>
      </c>
      <c r="E12" s="163"/>
      <c r="F12" s="163"/>
      <c r="G12" s="163"/>
    </row>
    <row r="13" spans="1:7" x14ac:dyDescent="0.25">
      <c r="A13" s="161">
        <v>3</v>
      </c>
      <c r="B13" s="163">
        <v>26.9</v>
      </c>
      <c r="C13" s="163">
        <v>59.9</v>
      </c>
      <c r="D13" s="163">
        <v>93.4</v>
      </c>
      <c r="E13" s="162"/>
      <c r="F13" s="162"/>
      <c r="G13" s="162"/>
    </row>
    <row r="14" spans="1:7" x14ac:dyDescent="0.25">
      <c r="A14" s="161">
        <v>4</v>
      </c>
      <c r="B14" s="163">
        <v>22.3</v>
      </c>
      <c r="C14" s="163">
        <v>63.9</v>
      </c>
      <c r="D14" s="163">
        <v>85.3</v>
      </c>
      <c r="E14" s="162"/>
      <c r="F14" s="162"/>
      <c r="G14" s="162"/>
    </row>
    <row r="15" spans="1:7" ht="14.5" thickBot="1" x14ac:dyDescent="0.3">
      <c r="A15" s="164">
        <v>5</v>
      </c>
      <c r="B15" s="165">
        <v>15.2</v>
      </c>
      <c r="C15" s="165">
        <v>66.400000000000006</v>
      </c>
      <c r="D15" s="165">
        <v>92.6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33.9</v>
      </c>
      <c r="C19" s="163">
        <v>50.1</v>
      </c>
      <c r="D19" s="163">
        <v>82.8</v>
      </c>
      <c r="E19" s="163">
        <v>42.6</v>
      </c>
      <c r="F19" s="163">
        <v>65.3</v>
      </c>
      <c r="G19" s="163">
        <v>94.3</v>
      </c>
    </row>
    <row r="20" spans="1:7" x14ac:dyDescent="0.25">
      <c r="A20" s="161">
        <v>2</v>
      </c>
      <c r="B20" s="163">
        <v>43.1</v>
      </c>
      <c r="C20" s="163">
        <v>58.5</v>
      </c>
      <c r="D20" s="163">
        <v>73.900000000000006</v>
      </c>
      <c r="E20" s="163">
        <v>32.6</v>
      </c>
      <c r="F20" s="163">
        <v>83.3</v>
      </c>
      <c r="G20" s="163">
        <v>91.5</v>
      </c>
    </row>
    <row r="21" spans="1:7" x14ac:dyDescent="0.25">
      <c r="A21" s="161">
        <v>3</v>
      </c>
      <c r="B21" s="163">
        <v>26.2</v>
      </c>
      <c r="C21" s="163">
        <v>59.6</v>
      </c>
      <c r="D21" s="163">
        <v>82.5</v>
      </c>
      <c r="E21" s="163">
        <v>28.3</v>
      </c>
      <c r="F21" s="163">
        <v>84.3</v>
      </c>
      <c r="G21" s="163">
        <v>102.7</v>
      </c>
    </row>
    <row r="22" spans="1:7" x14ac:dyDescent="0.25">
      <c r="A22" s="161">
        <v>4</v>
      </c>
      <c r="B22" s="163">
        <v>34.700000000000003</v>
      </c>
      <c r="C22" s="163">
        <v>55.9</v>
      </c>
      <c r="D22" s="163">
        <v>107</v>
      </c>
      <c r="E22" s="163">
        <v>28</v>
      </c>
      <c r="F22" s="163">
        <v>87.4</v>
      </c>
      <c r="G22" s="163">
        <v>109.7</v>
      </c>
    </row>
    <row r="23" spans="1:7" x14ac:dyDescent="0.25">
      <c r="A23" s="161">
        <v>5</v>
      </c>
      <c r="B23" s="163">
        <v>38</v>
      </c>
      <c r="C23" s="163">
        <v>54.1</v>
      </c>
      <c r="D23" s="163">
        <v>97.9</v>
      </c>
      <c r="E23" s="163">
        <v>40.700000000000003</v>
      </c>
      <c r="F23" s="163">
        <v>71.2</v>
      </c>
      <c r="G23" s="163">
        <v>104.3</v>
      </c>
    </row>
    <row r="24" spans="1:7" x14ac:dyDescent="0.25">
      <c r="A24" s="161">
        <v>6</v>
      </c>
      <c r="B24" s="163">
        <v>36</v>
      </c>
      <c r="C24" s="163">
        <v>60.9</v>
      </c>
      <c r="D24" s="163">
        <v>98.4</v>
      </c>
      <c r="E24" s="163">
        <v>42.2</v>
      </c>
      <c r="F24" s="163">
        <v>85.2</v>
      </c>
      <c r="G24" s="163">
        <v>117.6</v>
      </c>
    </row>
    <row r="25" spans="1:7" x14ac:dyDescent="0.25">
      <c r="A25" s="161">
        <v>7</v>
      </c>
      <c r="B25" s="163">
        <v>18.2</v>
      </c>
      <c r="C25" s="163">
        <v>55.6</v>
      </c>
      <c r="D25" s="163">
        <v>88.8</v>
      </c>
      <c r="E25" s="163">
        <v>27.3</v>
      </c>
      <c r="F25" s="163">
        <v>66.7</v>
      </c>
      <c r="G25" s="163">
        <v>99.7</v>
      </c>
    </row>
    <row r="26" spans="1:7" x14ac:dyDescent="0.25">
      <c r="A26" s="161">
        <v>8</v>
      </c>
      <c r="B26" s="163">
        <v>22.2</v>
      </c>
      <c r="C26" s="163">
        <v>56.9</v>
      </c>
      <c r="D26" s="163">
        <v>82</v>
      </c>
      <c r="E26" s="163">
        <v>26.6</v>
      </c>
      <c r="F26" s="163">
        <v>78.099999999999994</v>
      </c>
      <c r="G26" s="163">
        <v>107.9</v>
      </c>
    </row>
    <row r="27" spans="1:7" x14ac:dyDescent="0.25">
      <c r="A27" s="161">
        <v>9</v>
      </c>
      <c r="B27" s="163">
        <v>42.3</v>
      </c>
      <c r="C27" s="163">
        <v>57.9</v>
      </c>
      <c r="D27" s="163">
        <v>76.5</v>
      </c>
      <c r="E27" s="163">
        <v>30.3</v>
      </c>
      <c r="F27" s="163">
        <v>89.7</v>
      </c>
      <c r="G27" s="163">
        <v>93.5</v>
      </c>
    </row>
    <row r="28" spans="1:7" x14ac:dyDescent="0.25">
      <c r="A28" s="161">
        <v>10</v>
      </c>
      <c r="B28" s="163">
        <v>41.3</v>
      </c>
      <c r="C28" s="163">
        <v>63.4</v>
      </c>
      <c r="D28" s="163">
        <v>108.8</v>
      </c>
      <c r="E28" s="163">
        <v>52.6</v>
      </c>
      <c r="F28" s="163">
        <v>63.6</v>
      </c>
      <c r="G28" s="163">
        <v>115</v>
      </c>
    </row>
    <row r="29" spans="1:7" x14ac:dyDescent="0.25">
      <c r="A29" s="161">
        <v>11</v>
      </c>
      <c r="B29" s="163">
        <v>19.2</v>
      </c>
      <c r="C29" s="163">
        <v>56.1</v>
      </c>
      <c r="D29" s="163">
        <v>92.1</v>
      </c>
      <c r="E29" s="163"/>
      <c r="F29" s="163"/>
      <c r="G29" s="163"/>
    </row>
    <row r="30" spans="1:7" x14ac:dyDescent="0.25">
      <c r="A30" s="161">
        <v>12</v>
      </c>
      <c r="B30" s="163">
        <v>37.799999999999997</v>
      </c>
      <c r="C30" s="163">
        <v>61.4</v>
      </c>
      <c r="D30" s="163">
        <v>106.6</v>
      </c>
      <c r="E30" s="163"/>
      <c r="F30" s="163"/>
      <c r="G30" s="163"/>
    </row>
    <row r="31" spans="1:7" x14ac:dyDescent="0.25">
      <c r="A31" s="161">
        <v>13</v>
      </c>
      <c r="B31" s="163">
        <v>45.3</v>
      </c>
      <c r="C31" s="163">
        <v>62.3</v>
      </c>
      <c r="D31" s="163">
        <v>92.4</v>
      </c>
      <c r="E31" s="163"/>
      <c r="F31" s="163"/>
      <c r="G31" s="163"/>
    </row>
    <row r="32" spans="1:7" x14ac:dyDescent="0.25">
      <c r="A32" s="161">
        <v>14</v>
      </c>
      <c r="B32" s="163">
        <v>41.4</v>
      </c>
      <c r="C32" s="163">
        <v>68.599999999999994</v>
      </c>
      <c r="D32" s="163">
        <v>100.2</v>
      </c>
      <c r="E32" s="163"/>
      <c r="F32" s="163"/>
      <c r="G32" s="163"/>
    </row>
    <row r="33" spans="1:7" ht="14.5" thickBot="1" x14ac:dyDescent="0.3">
      <c r="A33" s="166">
        <v>15</v>
      </c>
      <c r="B33" s="165">
        <v>23</v>
      </c>
      <c r="C33" s="165">
        <v>52.1</v>
      </c>
      <c r="D33" s="165">
        <v>80.5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44.8</v>
      </c>
      <c r="C37" s="163">
        <v>64.2</v>
      </c>
      <c r="D37" s="163">
        <v>92.4</v>
      </c>
      <c r="E37" s="163">
        <v>27.1</v>
      </c>
      <c r="F37" s="163">
        <v>69.400000000000006</v>
      </c>
      <c r="G37" s="163">
        <v>114.6</v>
      </c>
    </row>
    <row r="38" spans="1:7" x14ac:dyDescent="0.25">
      <c r="A38" s="161">
        <v>2</v>
      </c>
      <c r="B38" s="163">
        <v>30.4</v>
      </c>
      <c r="C38" s="163">
        <v>64.7</v>
      </c>
      <c r="D38" s="163">
        <v>90.8</v>
      </c>
      <c r="E38" s="163">
        <v>39.1</v>
      </c>
      <c r="F38" s="163">
        <v>84.3</v>
      </c>
      <c r="G38" s="163">
        <v>104.1</v>
      </c>
    </row>
    <row r="39" spans="1:7" x14ac:dyDescent="0.25">
      <c r="A39" s="161">
        <v>3</v>
      </c>
      <c r="B39" s="163">
        <v>25.2</v>
      </c>
      <c r="C39" s="163">
        <v>63.4</v>
      </c>
      <c r="D39" s="163">
        <v>108.5</v>
      </c>
      <c r="E39" s="163">
        <v>37.200000000000003</v>
      </c>
      <c r="F39" s="163">
        <v>68.400000000000006</v>
      </c>
      <c r="G39" s="163">
        <v>107.6</v>
      </c>
    </row>
    <row r="40" spans="1:7" x14ac:dyDescent="0.25">
      <c r="A40" s="161">
        <v>4</v>
      </c>
      <c r="B40" s="163">
        <v>43.1</v>
      </c>
      <c r="C40" s="163">
        <v>56.4</v>
      </c>
      <c r="D40" s="163">
        <v>89.6</v>
      </c>
      <c r="E40" s="163">
        <v>57.5</v>
      </c>
      <c r="F40" s="163">
        <v>66.3</v>
      </c>
      <c r="G40" s="163">
        <v>96.8</v>
      </c>
    </row>
    <row r="41" spans="1:7" x14ac:dyDescent="0.25">
      <c r="A41" s="161">
        <v>5</v>
      </c>
      <c r="B41" s="163">
        <v>44.2</v>
      </c>
      <c r="C41" s="163">
        <v>66.8</v>
      </c>
      <c r="D41" s="163">
        <v>73.8</v>
      </c>
      <c r="E41" s="163">
        <v>57</v>
      </c>
      <c r="F41" s="163">
        <v>86.9</v>
      </c>
      <c r="G41" s="163">
        <v>103.3</v>
      </c>
    </row>
    <row r="42" spans="1:7" x14ac:dyDescent="0.25">
      <c r="A42" s="161">
        <v>6</v>
      </c>
      <c r="B42" s="163">
        <v>29.1</v>
      </c>
      <c r="C42" s="163">
        <v>59.5</v>
      </c>
      <c r="D42" s="163">
        <v>93.7</v>
      </c>
      <c r="E42" s="163">
        <v>52.4</v>
      </c>
      <c r="F42" s="163">
        <v>87.3</v>
      </c>
      <c r="G42" s="163">
        <v>93.8</v>
      </c>
    </row>
    <row r="43" spans="1:7" x14ac:dyDescent="0.25">
      <c r="A43" s="161">
        <v>7</v>
      </c>
      <c r="B43" s="163">
        <v>20.6</v>
      </c>
      <c r="C43" s="163">
        <v>52.9</v>
      </c>
      <c r="D43" s="163">
        <v>93.3</v>
      </c>
      <c r="E43" s="163">
        <v>56</v>
      </c>
      <c r="F43" s="163">
        <v>87.4</v>
      </c>
      <c r="G43" s="163">
        <v>116.2</v>
      </c>
    </row>
    <row r="44" spans="1:7" x14ac:dyDescent="0.25">
      <c r="A44" s="161">
        <v>8</v>
      </c>
      <c r="B44" s="163">
        <v>19</v>
      </c>
      <c r="C44" s="163">
        <v>51.6</v>
      </c>
      <c r="D44" s="163">
        <v>97.6</v>
      </c>
      <c r="E44" s="162"/>
      <c r="F44" s="162"/>
      <c r="G44" s="162"/>
    </row>
    <row r="45" spans="1:7" x14ac:dyDescent="0.25">
      <c r="A45" s="161">
        <v>9</v>
      </c>
      <c r="B45" s="163">
        <v>37.200000000000003</v>
      </c>
      <c r="C45" s="163">
        <v>69</v>
      </c>
      <c r="D45" s="163">
        <v>103.5</v>
      </c>
      <c r="E45" s="162"/>
      <c r="F45" s="162"/>
      <c r="G45" s="162"/>
    </row>
    <row r="46" spans="1:7" x14ac:dyDescent="0.25">
      <c r="A46" s="161">
        <v>10</v>
      </c>
      <c r="B46" s="163">
        <v>21.2</v>
      </c>
      <c r="C46" s="163">
        <v>68.099999999999994</v>
      </c>
      <c r="D46" s="163">
        <v>101</v>
      </c>
      <c r="E46" s="162"/>
      <c r="F46" s="162"/>
      <c r="G46" s="162"/>
    </row>
    <row r="47" spans="1:7" x14ac:dyDescent="0.25">
      <c r="A47" s="161">
        <v>11</v>
      </c>
      <c r="B47" s="163">
        <v>21.4</v>
      </c>
      <c r="C47" s="163">
        <v>59.1</v>
      </c>
      <c r="D47" s="163">
        <v>109.2</v>
      </c>
      <c r="E47" s="162"/>
      <c r="F47" s="162"/>
      <c r="G47" s="162"/>
    </row>
    <row r="48" spans="1:7" x14ac:dyDescent="0.25">
      <c r="A48" s="161">
        <v>12</v>
      </c>
      <c r="B48" s="163">
        <v>44.7</v>
      </c>
      <c r="C48" s="163">
        <v>54.2</v>
      </c>
      <c r="D48" s="163">
        <v>108.1</v>
      </c>
      <c r="E48" s="162"/>
      <c r="F48" s="162"/>
      <c r="G48" s="162"/>
    </row>
    <row r="49" spans="1:7" x14ac:dyDescent="0.25">
      <c r="A49" s="161">
        <v>13</v>
      </c>
      <c r="B49" s="163">
        <v>37.200000000000003</v>
      </c>
      <c r="C49" s="163">
        <v>56.9</v>
      </c>
      <c r="D49" s="163">
        <v>72.900000000000006</v>
      </c>
      <c r="E49" s="162"/>
      <c r="F49" s="162"/>
      <c r="G49" s="162"/>
    </row>
    <row r="50" spans="1:7" x14ac:dyDescent="0.25">
      <c r="A50" s="161">
        <v>14</v>
      </c>
      <c r="B50" s="163">
        <v>19.600000000000001</v>
      </c>
      <c r="C50" s="163">
        <v>64.900000000000006</v>
      </c>
      <c r="D50" s="163">
        <v>81.5</v>
      </c>
      <c r="E50" s="162"/>
      <c r="F50" s="162"/>
      <c r="G50" s="162"/>
    </row>
    <row r="51" spans="1:7" x14ac:dyDescent="0.25">
      <c r="A51" s="161">
        <v>15</v>
      </c>
      <c r="B51" s="163">
        <v>34.9</v>
      </c>
      <c r="C51" s="163">
        <v>64.400000000000006</v>
      </c>
      <c r="D51" s="163">
        <v>87.1</v>
      </c>
      <c r="E51" s="162"/>
      <c r="F51" s="162"/>
      <c r="G51" s="162"/>
    </row>
    <row r="52" spans="1:7" x14ac:dyDescent="0.25">
      <c r="A52" s="161">
        <v>16</v>
      </c>
      <c r="B52" s="163">
        <v>39.6</v>
      </c>
      <c r="C52" s="163">
        <v>62.3</v>
      </c>
      <c r="D52" s="163">
        <v>103.5</v>
      </c>
      <c r="E52" s="162"/>
      <c r="F52" s="162"/>
      <c r="G52" s="162"/>
    </row>
    <row r="53" spans="1:7" x14ac:dyDescent="0.25">
      <c r="A53" s="161">
        <v>17</v>
      </c>
      <c r="B53" s="163">
        <v>19.600000000000001</v>
      </c>
      <c r="C53" s="163">
        <v>55</v>
      </c>
      <c r="D53" s="163">
        <v>74.5</v>
      </c>
      <c r="E53" s="162"/>
      <c r="F53" s="162"/>
      <c r="G53" s="162"/>
    </row>
    <row r="54" spans="1:7" x14ac:dyDescent="0.25">
      <c r="A54" s="161">
        <v>18</v>
      </c>
      <c r="B54" s="163">
        <v>15.5</v>
      </c>
      <c r="C54" s="163">
        <v>55.2</v>
      </c>
      <c r="D54" s="163">
        <v>106.9</v>
      </c>
      <c r="E54" s="162"/>
      <c r="F54" s="162"/>
      <c r="G54" s="162"/>
    </row>
    <row r="55" spans="1:7" ht="14.5" thickBot="1" x14ac:dyDescent="0.3">
      <c r="A55" s="164">
        <v>19</v>
      </c>
      <c r="B55" s="165">
        <v>37.4</v>
      </c>
      <c r="C55" s="165">
        <v>60.7</v>
      </c>
      <c r="D55" s="165">
        <v>73.5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19.100000000000001</v>
      </c>
      <c r="C59" s="163">
        <v>66.3</v>
      </c>
      <c r="D59" s="163">
        <v>88.2</v>
      </c>
      <c r="E59" s="163">
        <v>38.9</v>
      </c>
      <c r="F59" s="163">
        <v>74.5</v>
      </c>
      <c r="G59" s="163">
        <v>93.6</v>
      </c>
    </row>
    <row r="60" spans="1:7" x14ac:dyDescent="0.25">
      <c r="A60" s="161">
        <v>2</v>
      </c>
      <c r="B60" s="163">
        <v>35.700000000000003</v>
      </c>
      <c r="C60" s="163">
        <v>50</v>
      </c>
      <c r="D60" s="163">
        <v>80.2</v>
      </c>
      <c r="E60" s="163">
        <v>30.5</v>
      </c>
      <c r="F60" s="163">
        <v>86</v>
      </c>
      <c r="G60" s="163">
        <v>95.1</v>
      </c>
    </row>
    <row r="61" spans="1:7" x14ac:dyDescent="0.25">
      <c r="A61" s="161">
        <v>3</v>
      </c>
      <c r="B61" s="163">
        <v>23.4</v>
      </c>
      <c r="C61" s="163">
        <v>64.900000000000006</v>
      </c>
      <c r="D61" s="163">
        <v>100.9</v>
      </c>
      <c r="E61" s="163">
        <v>57.9</v>
      </c>
      <c r="F61" s="163">
        <v>81.900000000000006</v>
      </c>
      <c r="G61" s="163">
        <v>105.5</v>
      </c>
    </row>
    <row r="62" spans="1:7" x14ac:dyDescent="0.25">
      <c r="A62" s="161">
        <v>4</v>
      </c>
      <c r="B62" s="163">
        <v>37.299999999999997</v>
      </c>
      <c r="C62" s="163">
        <v>69.2</v>
      </c>
      <c r="D62" s="163">
        <v>95.1</v>
      </c>
      <c r="E62" s="163">
        <v>44.8</v>
      </c>
      <c r="F62" s="163">
        <v>71.8</v>
      </c>
      <c r="G62" s="163">
        <v>119.1</v>
      </c>
    </row>
    <row r="63" spans="1:7" x14ac:dyDescent="0.25">
      <c r="A63" s="161">
        <v>5</v>
      </c>
      <c r="B63" s="163">
        <v>49.1</v>
      </c>
      <c r="C63" s="163">
        <v>52.9</v>
      </c>
      <c r="D63" s="163">
        <v>79.3</v>
      </c>
      <c r="E63" s="163">
        <v>60</v>
      </c>
      <c r="F63" s="163">
        <v>78.900000000000006</v>
      </c>
      <c r="G63" s="163">
        <v>102.9</v>
      </c>
    </row>
    <row r="64" spans="1:7" x14ac:dyDescent="0.25">
      <c r="A64" s="167">
        <v>6</v>
      </c>
      <c r="B64" s="163">
        <v>31.4</v>
      </c>
      <c r="C64" s="163">
        <v>68.3</v>
      </c>
      <c r="D64" s="163">
        <v>87.4</v>
      </c>
      <c r="E64" s="163">
        <v>42.5</v>
      </c>
      <c r="F64" s="163">
        <v>78.400000000000006</v>
      </c>
      <c r="G64" s="163">
        <v>110.7</v>
      </c>
    </row>
    <row r="65" spans="1:7" ht="14.5" thickBot="1" x14ac:dyDescent="0.3">
      <c r="A65" s="164">
        <v>7</v>
      </c>
      <c r="B65" s="165">
        <v>15.3</v>
      </c>
      <c r="C65" s="165">
        <v>68.2</v>
      </c>
      <c r="D65" s="165">
        <v>103.8</v>
      </c>
      <c r="E65" s="165">
        <v>25.8</v>
      </c>
      <c r="F65" s="165">
        <v>68.599999999999994</v>
      </c>
      <c r="G65" s="165">
        <v>95.5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43.8</v>
      </c>
      <c r="C69" s="163">
        <v>68.099999999999994</v>
      </c>
      <c r="D69" s="163">
        <v>82</v>
      </c>
      <c r="E69" s="163">
        <v>43.9</v>
      </c>
      <c r="F69" s="163">
        <v>61.2</v>
      </c>
      <c r="G69" s="163">
        <v>110.6</v>
      </c>
    </row>
    <row r="70" spans="1:7" x14ac:dyDescent="0.25">
      <c r="A70" s="161">
        <v>2</v>
      </c>
      <c r="B70" s="163">
        <v>44.3</v>
      </c>
      <c r="C70" s="163">
        <v>60.6</v>
      </c>
      <c r="D70" s="163">
        <v>94.7</v>
      </c>
      <c r="E70" s="163">
        <v>58.8</v>
      </c>
      <c r="F70" s="163">
        <v>67.900000000000006</v>
      </c>
      <c r="G70" s="163">
        <v>101.4</v>
      </c>
    </row>
    <row r="71" spans="1:7" x14ac:dyDescent="0.25">
      <c r="A71" s="161">
        <v>3</v>
      </c>
      <c r="B71" s="163">
        <v>15.5</v>
      </c>
      <c r="C71" s="163">
        <v>50.7</v>
      </c>
      <c r="D71" s="163">
        <v>107</v>
      </c>
      <c r="E71" s="163">
        <v>57.7</v>
      </c>
      <c r="F71" s="163">
        <v>70</v>
      </c>
      <c r="G71" s="163">
        <v>115</v>
      </c>
    </row>
    <row r="72" spans="1:7" x14ac:dyDescent="0.25">
      <c r="A72" s="161">
        <v>4</v>
      </c>
      <c r="B72" s="163">
        <v>36.6</v>
      </c>
      <c r="C72" s="163">
        <v>50.2</v>
      </c>
      <c r="D72" s="163">
        <v>103.8</v>
      </c>
      <c r="E72" s="163">
        <v>55.3</v>
      </c>
      <c r="F72" s="163">
        <v>78.8</v>
      </c>
      <c r="G72" s="163">
        <v>115.3</v>
      </c>
    </row>
    <row r="73" spans="1:7" x14ac:dyDescent="0.25">
      <c r="A73" s="161">
        <v>5</v>
      </c>
      <c r="B73" s="163">
        <v>37.799999999999997</v>
      </c>
      <c r="C73" s="163">
        <v>70</v>
      </c>
      <c r="D73" s="163">
        <v>90.6</v>
      </c>
      <c r="E73" s="163">
        <v>33.1</v>
      </c>
      <c r="F73" s="163">
        <v>74.5</v>
      </c>
      <c r="G73" s="163">
        <v>102.7</v>
      </c>
    </row>
    <row r="74" spans="1:7" x14ac:dyDescent="0.25">
      <c r="A74" s="161">
        <v>6</v>
      </c>
      <c r="B74" s="163">
        <v>30.3</v>
      </c>
      <c r="C74" s="163">
        <v>51.4</v>
      </c>
      <c r="D74" s="163">
        <v>84.1</v>
      </c>
      <c r="E74" s="163">
        <v>41.3</v>
      </c>
      <c r="F74" s="163">
        <v>67.5</v>
      </c>
      <c r="G74" s="163">
        <v>93.4</v>
      </c>
    </row>
    <row r="75" spans="1:7" x14ac:dyDescent="0.25">
      <c r="A75" s="161">
        <v>7</v>
      </c>
      <c r="B75" s="163">
        <v>38.200000000000003</v>
      </c>
      <c r="C75" s="163">
        <v>61</v>
      </c>
      <c r="D75" s="163">
        <v>90.9</v>
      </c>
      <c r="E75" s="163">
        <v>27.5</v>
      </c>
      <c r="F75" s="163">
        <v>74.099999999999994</v>
      </c>
      <c r="G75" s="163">
        <v>90.1</v>
      </c>
    </row>
    <row r="76" spans="1:7" x14ac:dyDescent="0.25">
      <c r="A76" s="161">
        <v>8</v>
      </c>
      <c r="B76" s="163">
        <v>39.799999999999997</v>
      </c>
      <c r="C76" s="163">
        <v>53.3</v>
      </c>
      <c r="D76" s="163">
        <v>100.6</v>
      </c>
      <c r="E76" s="163">
        <v>47.1</v>
      </c>
      <c r="F76" s="163">
        <v>89.4</v>
      </c>
      <c r="G76" s="163">
        <v>90.9</v>
      </c>
    </row>
    <row r="77" spans="1:7" x14ac:dyDescent="0.25">
      <c r="A77" s="161">
        <v>9</v>
      </c>
      <c r="B77" s="163">
        <v>47.4</v>
      </c>
      <c r="C77" s="163">
        <v>59.2</v>
      </c>
      <c r="D77" s="163">
        <v>106.7</v>
      </c>
      <c r="E77" s="163">
        <v>53.3</v>
      </c>
      <c r="F77" s="163">
        <v>66.5</v>
      </c>
      <c r="G77" s="163">
        <v>108</v>
      </c>
    </row>
    <row r="78" spans="1:7" x14ac:dyDescent="0.25">
      <c r="A78" s="161">
        <v>10</v>
      </c>
      <c r="B78" s="163">
        <v>29.1</v>
      </c>
      <c r="C78" s="163">
        <v>56.6</v>
      </c>
      <c r="D78" s="163">
        <v>79.099999999999994</v>
      </c>
      <c r="E78" s="163">
        <v>34</v>
      </c>
      <c r="F78" s="163">
        <v>71.900000000000006</v>
      </c>
      <c r="G78" s="163">
        <v>100.2</v>
      </c>
    </row>
    <row r="79" spans="1:7" x14ac:dyDescent="0.25">
      <c r="A79" s="161">
        <v>11</v>
      </c>
      <c r="B79" s="163">
        <v>46.7</v>
      </c>
      <c r="C79" s="163">
        <v>62.8</v>
      </c>
      <c r="D79" s="163">
        <v>74.400000000000006</v>
      </c>
      <c r="E79" s="163">
        <v>44.2</v>
      </c>
      <c r="F79" s="163">
        <v>88.8</v>
      </c>
      <c r="G79" s="163">
        <v>115.8</v>
      </c>
    </row>
    <row r="80" spans="1:7" x14ac:dyDescent="0.25">
      <c r="A80" s="161">
        <v>12</v>
      </c>
      <c r="B80" s="163">
        <v>37.1</v>
      </c>
      <c r="C80" s="163">
        <v>67.7</v>
      </c>
      <c r="D80" s="163">
        <v>93.8</v>
      </c>
      <c r="E80" s="163">
        <v>58.7</v>
      </c>
      <c r="F80" s="163">
        <v>76.5</v>
      </c>
      <c r="G80" s="163">
        <v>105.2</v>
      </c>
    </row>
    <row r="81" spans="1:7" x14ac:dyDescent="0.25">
      <c r="A81" s="161">
        <v>13</v>
      </c>
      <c r="B81" s="163">
        <v>48.8</v>
      </c>
      <c r="C81" s="163">
        <v>64.099999999999994</v>
      </c>
      <c r="D81" s="163">
        <v>92.9</v>
      </c>
      <c r="E81" s="163">
        <v>58.7</v>
      </c>
      <c r="F81" s="163">
        <v>70.900000000000006</v>
      </c>
      <c r="G81" s="163">
        <v>112.7</v>
      </c>
    </row>
    <row r="82" spans="1:7" x14ac:dyDescent="0.25">
      <c r="A82" s="161">
        <v>14</v>
      </c>
      <c r="B82" s="163">
        <v>19.5</v>
      </c>
      <c r="C82" s="163">
        <v>61.8</v>
      </c>
      <c r="D82" s="163">
        <v>76.7</v>
      </c>
      <c r="E82" s="163">
        <v>39.6</v>
      </c>
      <c r="F82" s="163">
        <v>76.099999999999994</v>
      </c>
      <c r="G82" s="163">
        <v>115.8</v>
      </c>
    </row>
    <row r="83" spans="1:7" x14ac:dyDescent="0.25">
      <c r="A83" s="161">
        <v>15</v>
      </c>
      <c r="B83" s="163">
        <v>24.6</v>
      </c>
      <c r="C83" s="163">
        <v>57.2</v>
      </c>
      <c r="D83" s="163">
        <v>84.5</v>
      </c>
      <c r="E83" s="163">
        <v>60</v>
      </c>
      <c r="F83" s="163">
        <v>65.099999999999994</v>
      </c>
      <c r="G83" s="163">
        <v>100.9</v>
      </c>
    </row>
    <row r="84" spans="1:7" x14ac:dyDescent="0.25">
      <c r="A84" s="161">
        <v>16</v>
      </c>
      <c r="B84" s="163">
        <v>29.9</v>
      </c>
      <c r="C84" s="163">
        <v>67.7</v>
      </c>
      <c r="D84" s="163">
        <v>81.099999999999994</v>
      </c>
      <c r="E84" s="163"/>
      <c r="F84" s="163"/>
      <c r="G84" s="163"/>
    </row>
    <row r="85" spans="1:7" ht="14.5" thickBot="1" x14ac:dyDescent="0.3">
      <c r="A85" s="166">
        <v>17</v>
      </c>
      <c r="B85" s="168">
        <v>47.6</v>
      </c>
      <c r="C85" s="168">
        <v>66.3</v>
      </c>
      <c r="D85" s="168">
        <v>75.099999999999994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23</v>
      </c>
      <c r="C89" s="163">
        <v>60.2</v>
      </c>
      <c r="D89" s="163">
        <v>81.2</v>
      </c>
      <c r="E89" s="163">
        <v>28.8</v>
      </c>
      <c r="F89" s="163">
        <v>89</v>
      </c>
      <c r="G89" s="163">
        <v>115.8</v>
      </c>
    </row>
    <row r="90" spans="1:7" x14ac:dyDescent="0.25">
      <c r="A90" s="161">
        <v>2</v>
      </c>
      <c r="B90" s="163">
        <v>49.7</v>
      </c>
      <c r="C90" s="163">
        <v>53.2</v>
      </c>
      <c r="D90" s="163">
        <v>101.1</v>
      </c>
      <c r="E90" s="163">
        <v>34.9</v>
      </c>
      <c r="F90" s="163">
        <v>77.900000000000006</v>
      </c>
      <c r="G90" s="163">
        <v>118.5</v>
      </c>
    </row>
    <row r="91" spans="1:7" x14ac:dyDescent="0.25">
      <c r="A91" s="161">
        <v>3</v>
      </c>
      <c r="B91" s="163">
        <v>22.5</v>
      </c>
      <c r="C91" s="163">
        <v>65.8</v>
      </c>
      <c r="D91" s="163">
        <v>100.4</v>
      </c>
      <c r="E91" s="163">
        <v>52.4</v>
      </c>
      <c r="F91" s="163">
        <v>76.599999999999994</v>
      </c>
      <c r="G91" s="163">
        <v>95.9</v>
      </c>
    </row>
    <row r="92" spans="1:7" x14ac:dyDescent="0.25">
      <c r="A92" s="161">
        <v>4</v>
      </c>
      <c r="B92" s="163">
        <v>36.5</v>
      </c>
      <c r="C92" s="163">
        <v>56.8</v>
      </c>
      <c r="D92" s="163">
        <v>90.1</v>
      </c>
      <c r="E92" s="163">
        <v>37.4</v>
      </c>
      <c r="F92" s="163">
        <v>77.099999999999994</v>
      </c>
      <c r="G92" s="163">
        <v>102.7</v>
      </c>
    </row>
    <row r="93" spans="1:7" x14ac:dyDescent="0.25">
      <c r="A93" s="161">
        <v>5</v>
      </c>
      <c r="B93" s="163">
        <v>37.4</v>
      </c>
      <c r="C93" s="163">
        <v>63.4</v>
      </c>
      <c r="D93" s="163">
        <v>101.6</v>
      </c>
      <c r="E93" s="163">
        <v>55.8</v>
      </c>
      <c r="F93" s="163">
        <v>89.1</v>
      </c>
      <c r="G93" s="163">
        <v>115.4</v>
      </c>
    </row>
    <row r="94" spans="1:7" x14ac:dyDescent="0.25">
      <c r="A94" s="161">
        <v>6</v>
      </c>
      <c r="B94" s="163">
        <v>39.200000000000003</v>
      </c>
      <c r="C94" s="163">
        <v>62.2</v>
      </c>
      <c r="D94" s="163">
        <v>105</v>
      </c>
      <c r="E94" s="163">
        <v>40.1</v>
      </c>
      <c r="F94" s="163">
        <v>79</v>
      </c>
      <c r="G94" s="163">
        <v>98.3</v>
      </c>
    </row>
    <row r="95" spans="1:7" x14ac:dyDescent="0.25">
      <c r="A95" s="161">
        <v>7</v>
      </c>
      <c r="B95" s="163">
        <v>27.6</v>
      </c>
      <c r="C95" s="163">
        <v>59.4</v>
      </c>
      <c r="D95" s="163">
        <v>100.3</v>
      </c>
      <c r="E95" s="163">
        <v>46.1</v>
      </c>
      <c r="F95" s="163">
        <v>61.7</v>
      </c>
      <c r="G95" s="163">
        <v>94.2</v>
      </c>
    </row>
    <row r="96" spans="1:7" x14ac:dyDescent="0.25">
      <c r="A96" s="161">
        <v>8</v>
      </c>
      <c r="B96" s="163">
        <v>16.2</v>
      </c>
      <c r="C96" s="163">
        <v>64.3</v>
      </c>
      <c r="D96" s="163">
        <v>90.6</v>
      </c>
      <c r="E96" s="162"/>
      <c r="F96" s="162"/>
      <c r="G96" s="162"/>
    </row>
    <row r="97" spans="1:7" x14ac:dyDescent="0.25">
      <c r="A97" s="161">
        <v>9</v>
      </c>
      <c r="B97" s="163">
        <v>22.2</v>
      </c>
      <c r="C97" s="163">
        <v>56.9</v>
      </c>
      <c r="D97" s="163">
        <v>97.6</v>
      </c>
      <c r="E97" s="162"/>
      <c r="F97" s="162"/>
      <c r="G97" s="162"/>
    </row>
    <row r="98" spans="1:7" x14ac:dyDescent="0.25">
      <c r="A98" s="161">
        <v>10</v>
      </c>
      <c r="B98" s="163">
        <v>25.7</v>
      </c>
      <c r="C98" s="163">
        <v>61.8</v>
      </c>
      <c r="D98" s="163">
        <v>87.1</v>
      </c>
      <c r="E98" s="162"/>
      <c r="F98" s="162"/>
      <c r="G98" s="162"/>
    </row>
    <row r="99" spans="1:7" x14ac:dyDescent="0.25">
      <c r="A99" s="161">
        <v>11</v>
      </c>
      <c r="B99" s="163">
        <v>21.2</v>
      </c>
      <c r="C99" s="163">
        <v>65.3</v>
      </c>
      <c r="D99" s="163">
        <v>104.1</v>
      </c>
      <c r="E99" s="162"/>
      <c r="F99" s="162"/>
      <c r="G99" s="162"/>
    </row>
    <row r="100" spans="1:7" x14ac:dyDescent="0.25">
      <c r="A100" s="161">
        <v>12</v>
      </c>
      <c r="B100" s="163">
        <v>48.1</v>
      </c>
      <c r="C100" s="163">
        <v>64.900000000000006</v>
      </c>
      <c r="D100" s="163">
        <v>75</v>
      </c>
      <c r="E100" s="162"/>
      <c r="F100" s="162"/>
      <c r="G100" s="162"/>
    </row>
    <row r="101" spans="1:7" x14ac:dyDescent="0.25">
      <c r="A101" s="161">
        <v>13</v>
      </c>
      <c r="B101" s="163">
        <v>34.1</v>
      </c>
      <c r="C101" s="163">
        <v>65.400000000000006</v>
      </c>
      <c r="D101" s="163">
        <v>109.6</v>
      </c>
      <c r="E101" s="162"/>
      <c r="F101" s="162"/>
      <c r="G101" s="162"/>
    </row>
    <row r="102" spans="1:7" x14ac:dyDescent="0.25">
      <c r="A102" s="161">
        <v>14</v>
      </c>
      <c r="B102" s="163">
        <v>32.5</v>
      </c>
      <c r="C102" s="163">
        <v>60.5</v>
      </c>
      <c r="D102" s="163">
        <v>107.5</v>
      </c>
      <c r="E102" s="162"/>
      <c r="F102" s="162"/>
      <c r="G102" s="162"/>
    </row>
    <row r="103" spans="1:7" x14ac:dyDescent="0.25">
      <c r="A103" s="161">
        <v>15</v>
      </c>
      <c r="B103" s="163">
        <v>42.2</v>
      </c>
      <c r="C103" s="163">
        <v>62.4</v>
      </c>
      <c r="D103" s="163">
        <v>102.9</v>
      </c>
      <c r="E103" s="162"/>
      <c r="F103" s="162"/>
      <c r="G103" s="162"/>
    </row>
    <row r="104" spans="1:7" x14ac:dyDescent="0.25">
      <c r="A104" s="161">
        <v>16</v>
      </c>
      <c r="B104" s="163">
        <v>19.2</v>
      </c>
      <c r="C104" s="163">
        <v>62.8</v>
      </c>
      <c r="D104" s="163">
        <v>94</v>
      </c>
      <c r="E104" s="162"/>
      <c r="F104" s="162"/>
      <c r="G104" s="162"/>
    </row>
    <row r="105" spans="1:7" x14ac:dyDescent="0.25">
      <c r="A105" s="161">
        <v>17</v>
      </c>
      <c r="B105" s="163">
        <v>34.4</v>
      </c>
      <c r="C105" s="163">
        <v>54.2</v>
      </c>
      <c r="D105" s="163">
        <v>75.7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80.5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39.5</v>
      </c>
      <c r="C110" s="163">
        <v>66.2</v>
      </c>
      <c r="D110" s="163">
        <v>90.9</v>
      </c>
      <c r="E110" s="163">
        <v>38.700000000000003</v>
      </c>
      <c r="F110" s="163">
        <v>73</v>
      </c>
      <c r="G110" s="163">
        <v>116.7</v>
      </c>
    </row>
    <row r="111" spans="1:7" x14ac:dyDescent="0.25">
      <c r="A111" s="161">
        <v>2</v>
      </c>
      <c r="B111" s="163">
        <v>44.7</v>
      </c>
      <c r="C111" s="163">
        <v>61.7</v>
      </c>
      <c r="D111" s="163">
        <v>100.5</v>
      </c>
      <c r="E111" s="163">
        <v>29.3</v>
      </c>
      <c r="F111" s="163">
        <v>75.900000000000006</v>
      </c>
      <c r="G111" s="163">
        <v>116.7</v>
      </c>
    </row>
    <row r="112" spans="1:7" ht="14.5" thickBot="1" x14ac:dyDescent="0.3">
      <c r="A112" s="166">
        <v>3</v>
      </c>
      <c r="B112" s="168"/>
      <c r="C112" s="168"/>
      <c r="D112" s="168"/>
      <c r="E112" s="168">
        <v>49.9</v>
      </c>
      <c r="F112" s="168">
        <v>77</v>
      </c>
      <c r="G112" s="168">
        <v>112.7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48.7</v>
      </c>
      <c r="C116" s="163">
        <v>66.400000000000006</v>
      </c>
      <c r="D116" s="163">
        <v>77.3</v>
      </c>
      <c r="E116" s="163">
        <v>32.5</v>
      </c>
      <c r="F116" s="163">
        <v>63.3</v>
      </c>
      <c r="G116" s="163">
        <v>102</v>
      </c>
    </row>
    <row r="117" spans="1:7" x14ac:dyDescent="0.25">
      <c r="A117" s="161">
        <v>2</v>
      </c>
      <c r="B117" s="163">
        <v>43.1</v>
      </c>
      <c r="C117" s="163">
        <v>57.5</v>
      </c>
      <c r="D117" s="163">
        <v>101.9</v>
      </c>
      <c r="E117" s="163">
        <v>55</v>
      </c>
      <c r="F117" s="163">
        <v>67.7</v>
      </c>
      <c r="G117" s="163">
        <v>91.1</v>
      </c>
    </row>
    <row r="118" spans="1:7" x14ac:dyDescent="0.25">
      <c r="A118" s="161">
        <v>3</v>
      </c>
      <c r="B118" s="163">
        <v>40</v>
      </c>
      <c r="C118" s="163">
        <v>63.1</v>
      </c>
      <c r="D118" s="163">
        <v>75.900000000000006</v>
      </c>
      <c r="E118" s="163">
        <v>40.1</v>
      </c>
      <c r="F118" s="163">
        <v>80.400000000000006</v>
      </c>
      <c r="G118" s="163">
        <v>94.1</v>
      </c>
    </row>
    <row r="119" spans="1:7" x14ac:dyDescent="0.25">
      <c r="A119" s="161">
        <v>4</v>
      </c>
      <c r="B119" s="163">
        <v>43.4</v>
      </c>
      <c r="C119" s="163">
        <v>56.9</v>
      </c>
      <c r="D119" s="163">
        <v>89.6</v>
      </c>
      <c r="E119" s="163">
        <v>26</v>
      </c>
      <c r="F119" s="163">
        <v>84.4</v>
      </c>
      <c r="G119" s="163">
        <v>119.9</v>
      </c>
    </row>
    <row r="120" spans="1:7" x14ac:dyDescent="0.25">
      <c r="A120" s="161">
        <v>5</v>
      </c>
      <c r="B120" s="162"/>
      <c r="C120" s="162"/>
      <c r="D120" s="162"/>
      <c r="E120" s="163">
        <v>40.1</v>
      </c>
      <c r="F120" s="163">
        <v>67.900000000000006</v>
      </c>
      <c r="G120" s="163">
        <v>95.1</v>
      </c>
    </row>
    <row r="121" spans="1:7" x14ac:dyDescent="0.25">
      <c r="A121" s="161">
        <v>6</v>
      </c>
      <c r="B121" s="162"/>
      <c r="C121" s="162"/>
      <c r="D121" s="162"/>
      <c r="E121" s="163">
        <v>57.7</v>
      </c>
      <c r="F121" s="163">
        <v>82.4</v>
      </c>
      <c r="G121" s="163">
        <v>101.7</v>
      </c>
    </row>
    <row r="122" spans="1:7" x14ac:dyDescent="0.25">
      <c r="A122" s="161">
        <v>7</v>
      </c>
      <c r="B122" s="162"/>
      <c r="C122" s="162"/>
      <c r="D122" s="162"/>
      <c r="E122" s="163">
        <v>47</v>
      </c>
      <c r="F122" s="163">
        <v>74.099999999999994</v>
      </c>
      <c r="G122" s="163">
        <v>111.3</v>
      </c>
    </row>
    <row r="123" spans="1:7" x14ac:dyDescent="0.25">
      <c r="A123" s="161">
        <v>8</v>
      </c>
      <c r="B123" s="162"/>
      <c r="C123" s="162"/>
      <c r="D123" s="162"/>
      <c r="E123" s="163">
        <v>44.1</v>
      </c>
      <c r="F123" s="163">
        <v>72.099999999999994</v>
      </c>
      <c r="G123" s="163">
        <v>101.3</v>
      </c>
    </row>
    <row r="124" spans="1:7" ht="14.5" thickBot="1" x14ac:dyDescent="0.3">
      <c r="A124" s="166">
        <v>9</v>
      </c>
      <c r="B124" s="168"/>
      <c r="C124" s="168"/>
      <c r="D124" s="168"/>
      <c r="E124" s="168">
        <v>34.6</v>
      </c>
      <c r="F124" s="168">
        <v>69.099999999999994</v>
      </c>
      <c r="G124" s="168">
        <v>96.1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61.70000000000001</v>
      </c>
      <c r="C129" s="170">
        <f>AVERAGE(E5:G7)</f>
        <v>73.022222222222211</v>
      </c>
      <c r="D129" s="161">
        <f>'2021.1'!D129</f>
        <v>2166</v>
      </c>
      <c r="E129" s="161">
        <v>4336</v>
      </c>
      <c r="F129" s="161">
        <f>D129*B129</f>
        <v>133642.20000000001</v>
      </c>
      <c r="G129" s="161">
        <f>E129*C129</f>
        <v>316624.35555555549</v>
      </c>
    </row>
    <row r="130" spans="1:7" x14ac:dyDescent="0.25">
      <c r="A130" s="162" t="str">
        <f>A8</f>
        <v>Dongyuan Huangtian swine Farm</v>
      </c>
      <c r="B130" s="169">
        <f>AVERAGE((B11:D15))</f>
        <v>60.146666666666661</v>
      </c>
      <c r="C130" s="169">
        <f>AVERAGE(E11:G11)</f>
        <v>68.466666666666654</v>
      </c>
      <c r="D130" s="161">
        <f>'2021.1'!D130</f>
        <v>6431</v>
      </c>
      <c r="E130" s="161">
        <v>1448</v>
      </c>
      <c r="F130" s="161">
        <f t="shared" ref="F130:G137" si="0">D130*B130</f>
        <v>386803.21333333332</v>
      </c>
      <c r="G130" s="161">
        <f t="shared" si="0"/>
        <v>99139.733333333323</v>
      </c>
    </row>
    <row r="131" spans="1:7" x14ac:dyDescent="0.25">
      <c r="A131" s="162" t="str">
        <f>A16</f>
        <v>Enping Shahu swine  Farm</v>
      </c>
      <c r="B131" s="169">
        <f>AVERAGE(B19:D33)</f>
        <v>61.031111111111116</v>
      </c>
      <c r="C131" s="169">
        <f>AVERAGE(E19:G28)</f>
        <v>72.073333333333323</v>
      </c>
      <c r="D131" s="161">
        <f>'2021.1'!D131</f>
        <v>23413</v>
      </c>
      <c r="E131" s="161">
        <v>15575</v>
      </c>
      <c r="F131" s="161">
        <f t="shared" si="0"/>
        <v>1428921.4044444445</v>
      </c>
      <c r="G131" s="161">
        <f t="shared" si="0"/>
        <v>1122542.1666666665</v>
      </c>
    </row>
    <row r="132" spans="1:7" x14ac:dyDescent="0.25">
      <c r="A132" s="162" t="str">
        <f>A34</f>
        <v>Langtian Yuehui swine Farm</v>
      </c>
      <c r="B132" s="169">
        <f>AVERAGE(B37:D55)</f>
        <v>61.322807017543845</v>
      </c>
      <c r="C132" s="169">
        <f>AVERAGE(E37:G43)</f>
        <v>76.795238095238091</v>
      </c>
      <c r="D132" s="161">
        <f>'2021.1'!D132</f>
        <v>29497</v>
      </c>
      <c r="E132" s="161">
        <v>10145</v>
      </c>
      <c r="F132" s="161">
        <f t="shared" si="0"/>
        <v>1808838.8385964907</v>
      </c>
      <c r="G132" s="161">
        <f t="shared" si="0"/>
        <v>779087.69047619042</v>
      </c>
    </row>
    <row r="133" spans="1:7" x14ac:dyDescent="0.25">
      <c r="A133" s="162" t="str">
        <f>A56</f>
        <v>Qujiang Fengwan swine Farm</v>
      </c>
      <c r="B133" s="169">
        <f>AVERAGE(B59:D65)</f>
        <v>61.238095238095227</v>
      </c>
      <c r="C133" s="169">
        <f>AVERAGE(E59:G65)</f>
        <v>74.423809523809524</v>
      </c>
      <c r="D133" s="161">
        <f>'2021.1'!D133</f>
        <v>9686</v>
      </c>
      <c r="E133" s="161">
        <v>11336</v>
      </c>
      <c r="F133" s="161">
        <f t="shared" si="0"/>
        <v>593152.19047619042</v>
      </c>
      <c r="G133" s="161">
        <f t="shared" si="0"/>
        <v>843668.30476190476</v>
      </c>
    </row>
    <row r="134" spans="1:7" x14ac:dyDescent="0.25">
      <c r="A134" s="162" t="str">
        <f>A66</f>
        <v>Pingyuan Zhongshi swine Farm</v>
      </c>
      <c r="B134" s="169">
        <f>AVERAGE(B69:D85)</f>
        <v>62.033333333333324</v>
      </c>
      <c r="C134" s="169">
        <f>AVERAGE(E69:G83)</f>
        <v>75.342222222222205</v>
      </c>
      <c r="D134" s="161">
        <f>'2021.1'!D134</f>
        <v>26358</v>
      </c>
      <c r="E134" s="161">
        <v>23592</v>
      </c>
      <c r="F134" s="161">
        <f t="shared" si="0"/>
        <v>1635074.5999999999</v>
      </c>
      <c r="G134" s="161">
        <f t="shared" si="0"/>
        <v>1777473.7066666663</v>
      </c>
    </row>
    <row r="135" spans="1:7" x14ac:dyDescent="0.25">
      <c r="A135" s="162" t="str">
        <f>A86</f>
        <v>Yangchun Tanshui swine Farm</v>
      </c>
      <c r="B135" s="169">
        <f>AVERAGE(B89:D106)</f>
        <v>62.990384615384606</v>
      </c>
      <c r="C135" s="169">
        <f>AVERAGE(E89:G95)</f>
        <v>75.55714285714285</v>
      </c>
      <c r="D135" s="161">
        <f>'2021.1'!D135</f>
        <v>26581</v>
      </c>
      <c r="E135" s="161">
        <v>11623</v>
      </c>
      <c r="F135" s="161">
        <f t="shared" si="0"/>
        <v>1674347.4134615383</v>
      </c>
      <c r="G135" s="161">
        <f t="shared" si="0"/>
        <v>878200.67142857134</v>
      </c>
    </row>
    <row r="136" spans="1:7" x14ac:dyDescent="0.25">
      <c r="A136" s="162" t="str">
        <f>A107</f>
        <v>Xinfeng Shatian swine Farm</v>
      </c>
      <c r="B136" s="169">
        <f>AVERAGE(B110:D112)</f>
        <v>67.25</v>
      </c>
      <c r="C136" s="169">
        <f>AVERAGE(E110:G112)</f>
        <v>76.655555555555566</v>
      </c>
      <c r="D136" s="161">
        <f>'2021.1'!D136</f>
        <v>2074</v>
      </c>
      <c r="E136" s="161">
        <v>3788</v>
      </c>
      <c r="F136" s="161">
        <f t="shared" si="0"/>
        <v>139476.5</v>
      </c>
      <c r="G136" s="161">
        <f t="shared" si="0"/>
        <v>290371.24444444448</v>
      </c>
    </row>
    <row r="137" spans="1:7" x14ac:dyDescent="0.25">
      <c r="A137" s="162" t="str">
        <f>A113</f>
        <v>Kaiping Cangcheng swine Farm</v>
      </c>
      <c r="B137" s="169">
        <f>AVERAGE(B116:D119)</f>
        <v>63.65</v>
      </c>
      <c r="C137" s="169">
        <f>AVERAGE(E116:G124)</f>
        <v>72.262962962962945</v>
      </c>
      <c r="D137" s="161">
        <f>'2021.1'!D137</f>
        <v>5872</v>
      </c>
      <c r="E137" s="161">
        <v>13992</v>
      </c>
      <c r="F137" s="161">
        <f t="shared" si="0"/>
        <v>373752.8</v>
      </c>
      <c r="G137" s="161">
        <f t="shared" si="0"/>
        <v>1011103.3777777775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95835</v>
      </c>
      <c r="F138" s="161">
        <f t="shared" ref="F138:G138" si="1">SUM(F129:F137)</f>
        <v>8174009.160311996</v>
      </c>
      <c r="G138" s="161">
        <f t="shared" si="1"/>
        <v>7118211.2511111107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61.8</v>
      </c>
      <c r="D142" s="171">
        <f>ROUNDDOWN(G138/E138,1)</f>
        <v>74.2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2"/>
  <sheetViews>
    <sheetView zoomScale="80" zoomScaleNormal="80" workbookViewId="0">
      <selection activeCell="D4" sqref="D4"/>
    </sheetView>
  </sheetViews>
  <sheetFormatPr defaultColWidth="8.7265625" defaultRowHeight="13.5" x14ac:dyDescent="0.25"/>
  <cols>
    <col min="1" max="2" width="8.7265625" style="18"/>
    <col min="3" max="3" width="28.36328125" style="18" customWidth="1"/>
    <col min="4" max="4" width="69.08984375" style="18" bestFit="1" customWidth="1"/>
    <col min="5" max="5" width="23.90625" style="18" customWidth="1"/>
    <col min="6" max="6" width="18.7265625" style="18" customWidth="1"/>
    <col min="7" max="7" width="14.81640625" style="18" customWidth="1"/>
    <col min="8" max="8" width="8.7265625" style="18"/>
    <col min="9" max="9" width="10.6328125" style="18" bestFit="1" customWidth="1"/>
    <col min="10" max="16384" width="8.7265625" style="18"/>
  </cols>
  <sheetData>
    <row r="3" spans="2:6" x14ac:dyDescent="0.25">
      <c r="B3" s="423" t="s">
        <v>135</v>
      </c>
      <c r="C3" s="19" t="s">
        <v>116</v>
      </c>
      <c r="D3" s="19" t="s">
        <v>367</v>
      </c>
    </row>
    <row r="4" spans="2:6" x14ac:dyDescent="0.25">
      <c r="B4" s="424"/>
      <c r="C4" s="20" t="s">
        <v>190</v>
      </c>
      <c r="D4" s="20">
        <f>'monitoring results'!C47</f>
        <v>674296.55</v>
      </c>
      <c r="F4" s="21"/>
    </row>
    <row r="5" spans="2:6" x14ac:dyDescent="0.25">
      <c r="B5" s="424"/>
      <c r="C5" s="20" t="s">
        <v>156</v>
      </c>
      <c r="D5" s="20">
        <f>SUM('monitoring results'!C48:C59)</f>
        <v>20498228</v>
      </c>
      <c r="F5" s="21"/>
    </row>
    <row r="6" spans="2:6" x14ac:dyDescent="0.25">
      <c r="B6" s="424"/>
      <c r="C6" s="20" t="s">
        <v>133</v>
      </c>
      <c r="D6" s="20">
        <f>SUM('monitoring results'!C60:C62)</f>
        <v>5054922.8199999975</v>
      </c>
      <c r="F6" s="21"/>
    </row>
    <row r="7" spans="2:6" x14ac:dyDescent="0.25">
      <c r="B7" s="425"/>
      <c r="C7" s="20" t="s">
        <v>134</v>
      </c>
      <c r="D7" s="20">
        <f>SUM(D4:D6)</f>
        <v>26227447.369999997</v>
      </c>
    </row>
    <row r="10" spans="2:6" x14ac:dyDescent="0.25">
      <c r="B10" s="423" t="s">
        <v>117</v>
      </c>
      <c r="C10" s="19" t="s">
        <v>116</v>
      </c>
      <c r="D10" s="19" t="s">
        <v>136</v>
      </c>
    </row>
    <row r="11" spans="2:6" ht="14" x14ac:dyDescent="0.25">
      <c r="B11" s="424"/>
      <c r="C11" s="20" t="str">
        <f>C4</f>
        <v>20/12/2020-31/12/2020</v>
      </c>
      <c r="D11" s="22" t="s">
        <v>205</v>
      </c>
    </row>
    <row r="12" spans="2:6" x14ac:dyDescent="0.25">
      <c r="B12" s="424"/>
      <c r="C12" s="20" t="str">
        <f t="shared" ref="C12:C14" si="0">C5</f>
        <v>01/01/2021-31/12/2021</v>
      </c>
      <c r="D12" s="22" t="str">
        <f>D11</f>
        <v>18 full time jobs created，including 9 females and 9 males</v>
      </c>
    </row>
    <row r="13" spans="2:6" x14ac:dyDescent="0.25">
      <c r="B13" s="424"/>
      <c r="C13" s="20" t="str">
        <f t="shared" si="0"/>
        <v>01/01/2022-31/03/2022</v>
      </c>
      <c r="D13" s="22" t="str">
        <f>D12</f>
        <v>18 full time jobs created，including 9 females and 9 males</v>
      </c>
    </row>
    <row r="14" spans="2:6" x14ac:dyDescent="0.25">
      <c r="B14" s="425"/>
      <c r="C14" s="20" t="str">
        <f t="shared" si="0"/>
        <v>01/12/2020-31/03/2022</v>
      </c>
      <c r="D14" s="22" t="str">
        <f>D12</f>
        <v>18 full time jobs created，including 9 females and 9 males</v>
      </c>
    </row>
    <row r="18" spans="2:9" ht="38.5" customHeight="1" x14ac:dyDescent="0.25">
      <c r="B18" s="423" t="s">
        <v>118</v>
      </c>
      <c r="C18" s="19" t="s">
        <v>116</v>
      </c>
      <c r="D18" s="28" t="s">
        <v>137</v>
      </c>
    </row>
    <row r="19" spans="2:9" x14ac:dyDescent="0.25">
      <c r="B19" s="424"/>
      <c r="C19" s="20" t="str">
        <f>C11</f>
        <v>20/12/2020-31/12/2020</v>
      </c>
      <c r="D19" s="23">
        <f>'Emission Reduction'!F5</f>
        <v>6035</v>
      </c>
    </row>
    <row r="20" spans="2:9" x14ac:dyDescent="0.25">
      <c r="B20" s="424"/>
      <c r="C20" s="20" t="str">
        <f t="shared" ref="C20:C22" si="1">C12</f>
        <v>01/01/2021-31/12/2021</v>
      </c>
      <c r="D20" s="23">
        <f>'Emission Reduction'!F6</f>
        <v>207349</v>
      </c>
    </row>
    <row r="21" spans="2:9" x14ac:dyDescent="0.25">
      <c r="B21" s="424"/>
      <c r="C21" s="20" t="str">
        <f t="shared" si="1"/>
        <v>01/01/2022-31/03/2022</v>
      </c>
      <c r="D21" s="23">
        <f>'Emission Reduction'!F7</f>
        <v>51474</v>
      </c>
    </row>
    <row r="22" spans="2:9" x14ac:dyDescent="0.25">
      <c r="B22" s="425"/>
      <c r="C22" s="20" t="str">
        <f t="shared" si="1"/>
        <v>01/12/2020-31/03/2022</v>
      </c>
      <c r="D22" s="23">
        <f>'Emission Reduction'!F8</f>
        <v>264858</v>
      </c>
    </row>
    <row r="24" spans="2:9" x14ac:dyDescent="0.25">
      <c r="I24" s="24"/>
    </row>
    <row r="27" spans="2:9" x14ac:dyDescent="0.25">
      <c r="I27" s="25"/>
    </row>
    <row r="28" spans="2:9" x14ac:dyDescent="0.25">
      <c r="I28" s="26"/>
    </row>
    <row r="31" spans="2:9" x14ac:dyDescent="0.25">
      <c r="F31" s="25"/>
    </row>
    <row r="32" spans="2:9" x14ac:dyDescent="0.25">
      <c r="G32" s="27"/>
    </row>
  </sheetData>
  <mergeCells count="3">
    <mergeCell ref="B3:B7"/>
    <mergeCell ref="B10:B14"/>
    <mergeCell ref="B18:B22"/>
  </mergeCells>
  <phoneticPr fontId="11" type="noConversion"/>
  <pageMargins left="0.7" right="0.7" top="0.75" bottom="0.75" header="0.3" footer="0.3"/>
  <pageSetup paperSize="9" orientation="portrait" r:id="rId1"/>
  <ignoredErrors>
    <ignoredError sqref="D5:D6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D7EE-433E-4436-A345-ABD1888CBDAD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46.2</v>
      </c>
      <c r="C5" s="163">
        <v>62</v>
      </c>
      <c r="D5" s="163">
        <v>105.6</v>
      </c>
      <c r="E5" s="163">
        <v>33.9</v>
      </c>
      <c r="F5" s="163">
        <v>73.8</v>
      </c>
      <c r="G5" s="163">
        <v>102.3</v>
      </c>
    </row>
    <row r="6" spans="1:7" x14ac:dyDescent="0.25">
      <c r="A6" s="161">
        <v>2</v>
      </c>
      <c r="B6" s="163">
        <v>36.6</v>
      </c>
      <c r="C6" s="163">
        <v>51.5</v>
      </c>
      <c r="D6" s="163">
        <v>77.8</v>
      </c>
      <c r="E6" s="163">
        <v>30.1</v>
      </c>
      <c r="F6" s="163">
        <v>87.5</v>
      </c>
      <c r="G6" s="163">
        <v>95.7</v>
      </c>
    </row>
    <row r="7" spans="1:7" ht="14.5" thickBot="1" x14ac:dyDescent="0.3">
      <c r="A7" s="164">
        <v>3</v>
      </c>
      <c r="B7" s="165"/>
      <c r="C7" s="165"/>
      <c r="D7" s="165"/>
      <c r="E7" s="165">
        <v>31.8</v>
      </c>
      <c r="F7" s="165">
        <v>80.400000000000006</v>
      </c>
      <c r="G7" s="165">
        <v>108.3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28.6</v>
      </c>
      <c r="C11" s="163">
        <v>69.900000000000006</v>
      </c>
      <c r="D11" s="163">
        <v>75.3</v>
      </c>
      <c r="E11" s="163">
        <v>48.2</v>
      </c>
      <c r="F11" s="163">
        <v>61.1</v>
      </c>
      <c r="G11" s="163">
        <v>103</v>
      </c>
    </row>
    <row r="12" spans="1:7" x14ac:dyDescent="0.25">
      <c r="A12" s="161">
        <v>2</v>
      </c>
      <c r="B12" s="163">
        <v>33.4</v>
      </c>
      <c r="C12" s="163">
        <v>58</v>
      </c>
      <c r="D12" s="163">
        <v>76.900000000000006</v>
      </c>
      <c r="E12" s="163"/>
      <c r="F12" s="163"/>
      <c r="G12" s="163"/>
    </row>
    <row r="13" spans="1:7" x14ac:dyDescent="0.25">
      <c r="A13" s="161">
        <v>3</v>
      </c>
      <c r="B13" s="163">
        <v>25.7</v>
      </c>
      <c r="C13" s="163">
        <v>52.6</v>
      </c>
      <c r="D13" s="163">
        <v>98.5</v>
      </c>
      <c r="E13" s="162"/>
      <c r="F13" s="162"/>
      <c r="G13" s="162"/>
    </row>
    <row r="14" spans="1:7" x14ac:dyDescent="0.25">
      <c r="A14" s="161">
        <v>4</v>
      </c>
      <c r="B14" s="163">
        <v>16.899999999999999</v>
      </c>
      <c r="C14" s="163">
        <v>67.2</v>
      </c>
      <c r="D14" s="163">
        <v>97.3</v>
      </c>
      <c r="E14" s="162"/>
      <c r="F14" s="162"/>
      <c r="G14" s="162"/>
    </row>
    <row r="15" spans="1:7" ht="14.5" thickBot="1" x14ac:dyDescent="0.3">
      <c r="A15" s="164">
        <v>5</v>
      </c>
      <c r="B15" s="165">
        <v>26.5</v>
      </c>
      <c r="C15" s="165">
        <v>54</v>
      </c>
      <c r="D15" s="165">
        <v>100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30.3</v>
      </c>
      <c r="C19" s="163">
        <v>69.599999999999994</v>
      </c>
      <c r="D19" s="163">
        <v>86.8</v>
      </c>
      <c r="E19" s="163">
        <v>50.2</v>
      </c>
      <c r="F19" s="163">
        <v>83.4</v>
      </c>
      <c r="G19" s="163">
        <v>91</v>
      </c>
    </row>
    <row r="20" spans="1:7" x14ac:dyDescent="0.25">
      <c r="A20" s="161">
        <v>2</v>
      </c>
      <c r="B20" s="163">
        <v>41.7</v>
      </c>
      <c r="C20" s="163">
        <v>52.5</v>
      </c>
      <c r="D20" s="163">
        <v>96.6</v>
      </c>
      <c r="E20" s="163">
        <v>53.5</v>
      </c>
      <c r="F20" s="163">
        <v>66.599999999999994</v>
      </c>
      <c r="G20" s="163">
        <v>117.2</v>
      </c>
    </row>
    <row r="21" spans="1:7" x14ac:dyDescent="0.25">
      <c r="A21" s="161">
        <v>3</v>
      </c>
      <c r="B21" s="163">
        <v>29.4</v>
      </c>
      <c r="C21" s="163">
        <v>68.2</v>
      </c>
      <c r="D21" s="163">
        <v>84.9</v>
      </c>
      <c r="E21" s="163">
        <v>56.7</v>
      </c>
      <c r="F21" s="163">
        <v>80.5</v>
      </c>
      <c r="G21" s="163">
        <v>94.9</v>
      </c>
    </row>
    <row r="22" spans="1:7" x14ac:dyDescent="0.25">
      <c r="A22" s="161">
        <v>4</v>
      </c>
      <c r="B22" s="163">
        <v>28.5</v>
      </c>
      <c r="C22" s="163">
        <v>53</v>
      </c>
      <c r="D22" s="163">
        <v>109.2</v>
      </c>
      <c r="E22" s="163">
        <v>37.5</v>
      </c>
      <c r="F22" s="163">
        <v>72.400000000000006</v>
      </c>
      <c r="G22" s="163">
        <v>109.2</v>
      </c>
    </row>
    <row r="23" spans="1:7" x14ac:dyDescent="0.25">
      <c r="A23" s="161">
        <v>5</v>
      </c>
      <c r="B23" s="163">
        <v>46.4</v>
      </c>
      <c r="C23" s="163">
        <v>69.5</v>
      </c>
      <c r="D23" s="163">
        <v>110</v>
      </c>
      <c r="E23" s="163">
        <v>51.9</v>
      </c>
      <c r="F23" s="163">
        <v>72.7</v>
      </c>
      <c r="G23" s="163">
        <v>105.6</v>
      </c>
    </row>
    <row r="24" spans="1:7" x14ac:dyDescent="0.25">
      <c r="A24" s="161">
        <v>6</v>
      </c>
      <c r="B24" s="163">
        <v>40.5</v>
      </c>
      <c r="C24" s="163">
        <v>60.9</v>
      </c>
      <c r="D24" s="163">
        <v>79.099999999999994</v>
      </c>
      <c r="E24" s="163">
        <v>40.9</v>
      </c>
      <c r="F24" s="163">
        <v>62.3</v>
      </c>
      <c r="G24" s="163">
        <v>100.5</v>
      </c>
    </row>
    <row r="25" spans="1:7" x14ac:dyDescent="0.25">
      <c r="A25" s="161">
        <v>7</v>
      </c>
      <c r="B25" s="163">
        <v>42.1</v>
      </c>
      <c r="C25" s="163">
        <v>67.8</v>
      </c>
      <c r="D25" s="163">
        <v>99.3</v>
      </c>
      <c r="E25" s="163">
        <v>45</v>
      </c>
      <c r="F25" s="163">
        <v>89.3</v>
      </c>
      <c r="G25" s="163">
        <v>107.4</v>
      </c>
    </row>
    <row r="26" spans="1:7" x14ac:dyDescent="0.25">
      <c r="A26" s="161">
        <v>8</v>
      </c>
      <c r="B26" s="163">
        <v>21.9</v>
      </c>
      <c r="C26" s="163">
        <v>55.7</v>
      </c>
      <c r="D26" s="163">
        <v>109.3</v>
      </c>
      <c r="E26" s="163">
        <v>27.6</v>
      </c>
      <c r="F26" s="163">
        <v>69.900000000000006</v>
      </c>
      <c r="G26" s="163">
        <v>102.3</v>
      </c>
    </row>
    <row r="27" spans="1:7" x14ac:dyDescent="0.25">
      <c r="A27" s="161">
        <v>9</v>
      </c>
      <c r="B27" s="163">
        <v>33.1</v>
      </c>
      <c r="C27" s="163">
        <v>60.4</v>
      </c>
      <c r="D27" s="163">
        <v>83.5</v>
      </c>
      <c r="E27" s="163">
        <v>56.6</v>
      </c>
      <c r="F27" s="163">
        <v>85.3</v>
      </c>
      <c r="G27" s="163">
        <v>97.9</v>
      </c>
    </row>
    <row r="28" spans="1:7" x14ac:dyDescent="0.25">
      <c r="A28" s="161">
        <v>10</v>
      </c>
      <c r="B28" s="163">
        <v>17.3</v>
      </c>
      <c r="C28" s="163">
        <v>52.6</v>
      </c>
      <c r="D28" s="163">
        <v>100.6</v>
      </c>
      <c r="E28" s="163">
        <v>54.8</v>
      </c>
      <c r="F28" s="163">
        <v>88.6</v>
      </c>
      <c r="G28" s="163">
        <v>102.2</v>
      </c>
    </row>
    <row r="29" spans="1:7" x14ac:dyDescent="0.25">
      <c r="A29" s="161">
        <v>11</v>
      </c>
      <c r="B29" s="163">
        <v>18</v>
      </c>
      <c r="C29" s="163">
        <v>51</v>
      </c>
      <c r="D29" s="163">
        <v>89.3</v>
      </c>
      <c r="E29" s="163"/>
      <c r="F29" s="163"/>
      <c r="G29" s="163"/>
    </row>
    <row r="30" spans="1:7" x14ac:dyDescent="0.25">
      <c r="A30" s="161">
        <v>12</v>
      </c>
      <c r="B30" s="163">
        <v>27.5</v>
      </c>
      <c r="C30" s="163">
        <v>57</v>
      </c>
      <c r="D30" s="163">
        <v>80.099999999999994</v>
      </c>
      <c r="E30" s="163"/>
      <c r="F30" s="163"/>
      <c r="G30" s="163"/>
    </row>
    <row r="31" spans="1:7" x14ac:dyDescent="0.25">
      <c r="A31" s="161">
        <v>13</v>
      </c>
      <c r="B31" s="163">
        <v>17.3</v>
      </c>
      <c r="C31" s="163">
        <v>69.3</v>
      </c>
      <c r="D31" s="163">
        <v>77.599999999999994</v>
      </c>
      <c r="E31" s="163"/>
      <c r="F31" s="163"/>
      <c r="G31" s="163"/>
    </row>
    <row r="32" spans="1:7" x14ac:dyDescent="0.25">
      <c r="A32" s="161">
        <v>14</v>
      </c>
      <c r="B32" s="163">
        <v>42.5</v>
      </c>
      <c r="C32" s="163">
        <v>55.4</v>
      </c>
      <c r="D32" s="163">
        <v>102.1</v>
      </c>
      <c r="E32" s="163"/>
      <c r="F32" s="163"/>
      <c r="G32" s="163"/>
    </row>
    <row r="33" spans="1:7" ht="14.5" thickBot="1" x14ac:dyDescent="0.3">
      <c r="A33" s="166">
        <v>15</v>
      </c>
      <c r="B33" s="165">
        <v>44.9</v>
      </c>
      <c r="C33" s="165">
        <v>54.6</v>
      </c>
      <c r="D33" s="165">
        <v>87.4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32.1</v>
      </c>
      <c r="C37" s="163">
        <v>58.2</v>
      </c>
      <c r="D37" s="163">
        <v>99.6</v>
      </c>
      <c r="E37" s="163">
        <v>25</v>
      </c>
      <c r="F37" s="163">
        <v>67.099999999999994</v>
      </c>
      <c r="G37" s="163">
        <v>108.4</v>
      </c>
    </row>
    <row r="38" spans="1:7" x14ac:dyDescent="0.25">
      <c r="A38" s="161">
        <v>2</v>
      </c>
      <c r="B38" s="163">
        <v>43.5</v>
      </c>
      <c r="C38" s="163">
        <v>65.599999999999994</v>
      </c>
      <c r="D38" s="163">
        <v>86.3</v>
      </c>
      <c r="E38" s="163">
        <v>33.700000000000003</v>
      </c>
      <c r="F38" s="163">
        <v>77.8</v>
      </c>
      <c r="G38" s="163">
        <v>113.6</v>
      </c>
    </row>
    <row r="39" spans="1:7" x14ac:dyDescent="0.25">
      <c r="A39" s="161">
        <v>3</v>
      </c>
      <c r="B39" s="163">
        <v>41.2</v>
      </c>
      <c r="C39" s="163">
        <v>64</v>
      </c>
      <c r="D39" s="163">
        <v>102</v>
      </c>
      <c r="E39" s="163">
        <v>39.6</v>
      </c>
      <c r="F39" s="163">
        <v>66.3</v>
      </c>
      <c r="G39" s="163">
        <v>97</v>
      </c>
    </row>
    <row r="40" spans="1:7" x14ac:dyDescent="0.25">
      <c r="A40" s="161">
        <v>4</v>
      </c>
      <c r="B40" s="163">
        <v>29.1</v>
      </c>
      <c r="C40" s="163">
        <v>60.7</v>
      </c>
      <c r="D40" s="163">
        <v>87.2</v>
      </c>
      <c r="E40" s="163">
        <v>35.6</v>
      </c>
      <c r="F40" s="163">
        <v>70</v>
      </c>
      <c r="G40" s="163">
        <v>96.5</v>
      </c>
    </row>
    <row r="41" spans="1:7" x14ac:dyDescent="0.25">
      <c r="A41" s="161">
        <v>5</v>
      </c>
      <c r="B41" s="163">
        <v>20.100000000000001</v>
      </c>
      <c r="C41" s="163">
        <v>50.4</v>
      </c>
      <c r="D41" s="163">
        <v>98.4</v>
      </c>
      <c r="E41" s="163">
        <v>33.700000000000003</v>
      </c>
      <c r="F41" s="163">
        <v>86.8</v>
      </c>
      <c r="G41" s="163">
        <v>109.6</v>
      </c>
    </row>
    <row r="42" spans="1:7" x14ac:dyDescent="0.25">
      <c r="A42" s="161">
        <v>6</v>
      </c>
      <c r="B42" s="163">
        <v>22.1</v>
      </c>
      <c r="C42" s="163">
        <v>60.5</v>
      </c>
      <c r="D42" s="163">
        <v>78.099999999999994</v>
      </c>
      <c r="E42" s="163">
        <v>36.4</v>
      </c>
      <c r="F42" s="163">
        <v>85.2</v>
      </c>
      <c r="G42" s="163">
        <v>101.9</v>
      </c>
    </row>
    <row r="43" spans="1:7" x14ac:dyDescent="0.25">
      <c r="A43" s="161">
        <v>7</v>
      </c>
      <c r="B43" s="163">
        <v>19.2</v>
      </c>
      <c r="C43" s="163">
        <v>63.4</v>
      </c>
      <c r="D43" s="163">
        <v>70.400000000000006</v>
      </c>
      <c r="E43" s="163">
        <v>59.8</v>
      </c>
      <c r="F43" s="163">
        <v>86.5</v>
      </c>
      <c r="G43" s="163">
        <v>114.8</v>
      </c>
    </row>
    <row r="44" spans="1:7" x14ac:dyDescent="0.25">
      <c r="A44" s="161">
        <v>8</v>
      </c>
      <c r="B44" s="163">
        <v>23.7</v>
      </c>
      <c r="C44" s="163">
        <v>64.8</v>
      </c>
      <c r="D44" s="163">
        <v>73.900000000000006</v>
      </c>
      <c r="E44" s="162"/>
      <c r="F44" s="162"/>
      <c r="G44" s="162"/>
    </row>
    <row r="45" spans="1:7" x14ac:dyDescent="0.25">
      <c r="A45" s="161">
        <v>9</v>
      </c>
      <c r="B45" s="163">
        <v>47.3</v>
      </c>
      <c r="C45" s="163">
        <v>55.5</v>
      </c>
      <c r="D45" s="163">
        <v>109.7</v>
      </c>
      <c r="E45" s="162"/>
      <c r="F45" s="162"/>
      <c r="G45" s="162"/>
    </row>
    <row r="46" spans="1:7" x14ac:dyDescent="0.25">
      <c r="A46" s="161">
        <v>10</v>
      </c>
      <c r="B46" s="163">
        <v>48.4</v>
      </c>
      <c r="C46" s="163">
        <v>62</v>
      </c>
      <c r="D46" s="163">
        <v>82.7</v>
      </c>
      <c r="E46" s="162"/>
      <c r="F46" s="162"/>
      <c r="G46" s="162"/>
    </row>
    <row r="47" spans="1:7" x14ac:dyDescent="0.25">
      <c r="A47" s="161">
        <v>11</v>
      </c>
      <c r="B47" s="163">
        <v>20.8</v>
      </c>
      <c r="C47" s="163">
        <v>54.8</v>
      </c>
      <c r="D47" s="163">
        <v>101.3</v>
      </c>
      <c r="E47" s="162"/>
      <c r="F47" s="162"/>
      <c r="G47" s="162"/>
    </row>
    <row r="48" spans="1:7" x14ac:dyDescent="0.25">
      <c r="A48" s="161">
        <v>12</v>
      </c>
      <c r="B48" s="163">
        <v>34.1</v>
      </c>
      <c r="C48" s="163">
        <v>54.6</v>
      </c>
      <c r="D48" s="163">
        <v>94.8</v>
      </c>
      <c r="E48" s="162"/>
      <c r="F48" s="162"/>
      <c r="G48" s="162"/>
    </row>
    <row r="49" spans="1:7" x14ac:dyDescent="0.25">
      <c r="A49" s="161">
        <v>13</v>
      </c>
      <c r="B49" s="163">
        <v>22.5</v>
      </c>
      <c r="C49" s="163">
        <v>59.8</v>
      </c>
      <c r="D49" s="163">
        <v>87.5</v>
      </c>
      <c r="E49" s="162"/>
      <c r="F49" s="162"/>
      <c r="G49" s="162"/>
    </row>
    <row r="50" spans="1:7" x14ac:dyDescent="0.25">
      <c r="A50" s="161">
        <v>14</v>
      </c>
      <c r="B50" s="163">
        <v>36.200000000000003</v>
      </c>
      <c r="C50" s="163">
        <v>54.9</v>
      </c>
      <c r="D50" s="163">
        <v>84.6</v>
      </c>
      <c r="E50" s="162"/>
      <c r="F50" s="162"/>
      <c r="G50" s="162"/>
    </row>
    <row r="51" spans="1:7" x14ac:dyDescent="0.25">
      <c r="A51" s="161">
        <v>15</v>
      </c>
      <c r="B51" s="163">
        <v>17.600000000000001</v>
      </c>
      <c r="C51" s="163">
        <v>68.900000000000006</v>
      </c>
      <c r="D51" s="163">
        <v>71.8</v>
      </c>
      <c r="E51" s="162"/>
      <c r="F51" s="162"/>
      <c r="G51" s="162"/>
    </row>
    <row r="52" spans="1:7" x14ac:dyDescent="0.25">
      <c r="A52" s="161">
        <v>16</v>
      </c>
      <c r="B52" s="163">
        <v>32</v>
      </c>
      <c r="C52" s="163">
        <v>51.9</v>
      </c>
      <c r="D52" s="163">
        <v>87.7</v>
      </c>
      <c r="E52" s="162"/>
      <c r="F52" s="162"/>
      <c r="G52" s="162"/>
    </row>
    <row r="53" spans="1:7" x14ac:dyDescent="0.25">
      <c r="A53" s="161">
        <v>17</v>
      </c>
      <c r="B53" s="163">
        <v>22.9</v>
      </c>
      <c r="C53" s="163">
        <v>63</v>
      </c>
      <c r="D53" s="163">
        <v>100.2</v>
      </c>
      <c r="E53" s="162"/>
      <c r="F53" s="162"/>
      <c r="G53" s="162"/>
    </row>
    <row r="54" spans="1:7" x14ac:dyDescent="0.25">
      <c r="A54" s="161">
        <v>18</v>
      </c>
      <c r="B54" s="163">
        <v>35.1</v>
      </c>
      <c r="C54" s="163">
        <v>53.4</v>
      </c>
      <c r="D54" s="163">
        <v>70.3</v>
      </c>
      <c r="E54" s="162"/>
      <c r="F54" s="162"/>
      <c r="G54" s="162"/>
    </row>
    <row r="55" spans="1:7" ht="14.5" thickBot="1" x14ac:dyDescent="0.3">
      <c r="A55" s="164">
        <v>19</v>
      </c>
      <c r="B55" s="165">
        <v>25.2</v>
      </c>
      <c r="C55" s="165">
        <v>56.1</v>
      </c>
      <c r="D55" s="165">
        <v>78.5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28.5</v>
      </c>
      <c r="C59" s="163">
        <v>56.5</v>
      </c>
      <c r="D59" s="163">
        <v>72</v>
      </c>
      <c r="E59" s="163">
        <v>44.5</v>
      </c>
      <c r="F59" s="163">
        <v>83.4</v>
      </c>
      <c r="G59" s="163">
        <v>100.1</v>
      </c>
    </row>
    <row r="60" spans="1:7" x14ac:dyDescent="0.25">
      <c r="A60" s="161">
        <v>2</v>
      </c>
      <c r="B60" s="163">
        <v>24.1</v>
      </c>
      <c r="C60" s="163">
        <v>54.2</v>
      </c>
      <c r="D60" s="163">
        <v>89.2</v>
      </c>
      <c r="E60" s="163">
        <v>57.1</v>
      </c>
      <c r="F60" s="163">
        <v>82.1</v>
      </c>
      <c r="G60" s="163">
        <v>108.5</v>
      </c>
    </row>
    <row r="61" spans="1:7" x14ac:dyDescent="0.25">
      <c r="A61" s="161">
        <v>3</v>
      </c>
      <c r="B61" s="163">
        <v>45.9</v>
      </c>
      <c r="C61" s="163">
        <v>52.9</v>
      </c>
      <c r="D61" s="163">
        <v>103.1</v>
      </c>
      <c r="E61" s="163">
        <v>39.6</v>
      </c>
      <c r="F61" s="163">
        <v>68.8</v>
      </c>
      <c r="G61" s="163">
        <v>97.6</v>
      </c>
    </row>
    <row r="62" spans="1:7" x14ac:dyDescent="0.25">
      <c r="A62" s="161">
        <v>4</v>
      </c>
      <c r="B62" s="163">
        <v>18.8</v>
      </c>
      <c r="C62" s="163">
        <v>62.8</v>
      </c>
      <c r="D62" s="163">
        <v>105.1</v>
      </c>
      <c r="E62" s="163">
        <v>45.7</v>
      </c>
      <c r="F62" s="163">
        <v>69.900000000000006</v>
      </c>
      <c r="G62" s="163">
        <v>111</v>
      </c>
    </row>
    <row r="63" spans="1:7" x14ac:dyDescent="0.25">
      <c r="A63" s="161">
        <v>5</v>
      </c>
      <c r="B63" s="163">
        <v>16.2</v>
      </c>
      <c r="C63" s="163">
        <v>50</v>
      </c>
      <c r="D63" s="163">
        <v>82.7</v>
      </c>
      <c r="E63" s="163">
        <v>49.5</v>
      </c>
      <c r="F63" s="163">
        <v>80.8</v>
      </c>
      <c r="G63" s="163">
        <v>118.8</v>
      </c>
    </row>
    <row r="64" spans="1:7" x14ac:dyDescent="0.25">
      <c r="A64" s="167">
        <v>6</v>
      </c>
      <c r="B64" s="163">
        <v>33.799999999999997</v>
      </c>
      <c r="C64" s="163">
        <v>62</v>
      </c>
      <c r="D64" s="163">
        <v>98.9</v>
      </c>
      <c r="E64" s="163">
        <v>46.1</v>
      </c>
      <c r="F64" s="163">
        <v>78.8</v>
      </c>
      <c r="G64" s="163">
        <v>102.5</v>
      </c>
    </row>
    <row r="65" spans="1:7" ht="14.5" thickBot="1" x14ac:dyDescent="0.3">
      <c r="A65" s="164">
        <v>7</v>
      </c>
      <c r="B65" s="165">
        <v>22.3</v>
      </c>
      <c r="C65" s="165">
        <v>61.3</v>
      </c>
      <c r="D65" s="165">
        <v>100.5</v>
      </c>
      <c r="E65" s="165">
        <v>45.1</v>
      </c>
      <c r="F65" s="165">
        <v>80.900000000000006</v>
      </c>
      <c r="G65" s="165">
        <v>105.3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29.4</v>
      </c>
      <c r="C69" s="163">
        <v>60.4</v>
      </c>
      <c r="D69" s="163">
        <v>104.7</v>
      </c>
      <c r="E69" s="163">
        <v>49.2</v>
      </c>
      <c r="F69" s="163">
        <v>73.400000000000006</v>
      </c>
      <c r="G69" s="163">
        <v>116.1</v>
      </c>
    </row>
    <row r="70" spans="1:7" x14ac:dyDescent="0.25">
      <c r="A70" s="161">
        <v>2</v>
      </c>
      <c r="B70" s="163">
        <v>34.799999999999997</v>
      </c>
      <c r="C70" s="163">
        <v>66.400000000000006</v>
      </c>
      <c r="D70" s="163">
        <v>71.5</v>
      </c>
      <c r="E70" s="163">
        <v>40.700000000000003</v>
      </c>
      <c r="F70" s="163">
        <v>74.099999999999994</v>
      </c>
      <c r="G70" s="163">
        <v>111.3</v>
      </c>
    </row>
    <row r="71" spans="1:7" x14ac:dyDescent="0.25">
      <c r="A71" s="161">
        <v>3</v>
      </c>
      <c r="B71" s="163">
        <v>49.4</v>
      </c>
      <c r="C71" s="163">
        <v>54.5</v>
      </c>
      <c r="D71" s="163">
        <v>101.9</v>
      </c>
      <c r="E71" s="163">
        <v>36.700000000000003</v>
      </c>
      <c r="F71" s="163">
        <v>61</v>
      </c>
      <c r="G71" s="163">
        <v>112.3</v>
      </c>
    </row>
    <row r="72" spans="1:7" x14ac:dyDescent="0.25">
      <c r="A72" s="161">
        <v>4</v>
      </c>
      <c r="B72" s="163">
        <v>33.6</v>
      </c>
      <c r="C72" s="163">
        <v>69.3</v>
      </c>
      <c r="D72" s="163">
        <v>96.2</v>
      </c>
      <c r="E72" s="163">
        <v>51.5</v>
      </c>
      <c r="F72" s="163">
        <v>74.3</v>
      </c>
      <c r="G72" s="163">
        <v>103.6</v>
      </c>
    </row>
    <row r="73" spans="1:7" x14ac:dyDescent="0.25">
      <c r="A73" s="161">
        <v>5</v>
      </c>
      <c r="B73" s="163">
        <v>26.3</v>
      </c>
      <c r="C73" s="163">
        <v>52.5</v>
      </c>
      <c r="D73" s="163">
        <v>104.6</v>
      </c>
      <c r="E73" s="163">
        <v>40.700000000000003</v>
      </c>
      <c r="F73" s="163">
        <v>64.900000000000006</v>
      </c>
      <c r="G73" s="163">
        <v>101.2</v>
      </c>
    </row>
    <row r="74" spans="1:7" x14ac:dyDescent="0.25">
      <c r="A74" s="161">
        <v>6</v>
      </c>
      <c r="B74" s="163">
        <v>43.6</v>
      </c>
      <c r="C74" s="163">
        <v>62</v>
      </c>
      <c r="D74" s="163">
        <v>82.6</v>
      </c>
      <c r="E74" s="163">
        <v>31.8</v>
      </c>
      <c r="F74" s="163">
        <v>64.400000000000006</v>
      </c>
      <c r="G74" s="163">
        <v>109.4</v>
      </c>
    </row>
    <row r="75" spans="1:7" x14ac:dyDescent="0.25">
      <c r="A75" s="161">
        <v>7</v>
      </c>
      <c r="B75" s="163">
        <v>16.899999999999999</v>
      </c>
      <c r="C75" s="163">
        <v>66.599999999999994</v>
      </c>
      <c r="D75" s="163">
        <v>90.4</v>
      </c>
      <c r="E75" s="163">
        <v>40</v>
      </c>
      <c r="F75" s="163">
        <v>80.900000000000006</v>
      </c>
      <c r="G75" s="163">
        <v>91.8</v>
      </c>
    </row>
    <row r="76" spans="1:7" x14ac:dyDescent="0.25">
      <c r="A76" s="161">
        <v>8</v>
      </c>
      <c r="B76" s="163">
        <v>19.600000000000001</v>
      </c>
      <c r="C76" s="163">
        <v>67.599999999999994</v>
      </c>
      <c r="D76" s="163">
        <v>104.9</v>
      </c>
      <c r="E76" s="163">
        <v>55.1</v>
      </c>
      <c r="F76" s="163">
        <v>71.2</v>
      </c>
      <c r="G76" s="163">
        <v>109.5</v>
      </c>
    </row>
    <row r="77" spans="1:7" x14ac:dyDescent="0.25">
      <c r="A77" s="161">
        <v>9</v>
      </c>
      <c r="B77" s="163">
        <v>17.399999999999999</v>
      </c>
      <c r="C77" s="163">
        <v>64.400000000000006</v>
      </c>
      <c r="D77" s="163">
        <v>108.5</v>
      </c>
      <c r="E77" s="163">
        <v>52.7</v>
      </c>
      <c r="F77" s="163">
        <v>70.900000000000006</v>
      </c>
      <c r="G77" s="163">
        <v>90.8</v>
      </c>
    </row>
    <row r="78" spans="1:7" x14ac:dyDescent="0.25">
      <c r="A78" s="161">
        <v>10</v>
      </c>
      <c r="B78" s="163">
        <v>41.5</v>
      </c>
      <c r="C78" s="163">
        <v>66.3</v>
      </c>
      <c r="D78" s="163">
        <v>101.7</v>
      </c>
      <c r="E78" s="163">
        <v>52.8</v>
      </c>
      <c r="F78" s="163">
        <v>85.6</v>
      </c>
      <c r="G78" s="163">
        <v>102.6</v>
      </c>
    </row>
    <row r="79" spans="1:7" x14ac:dyDescent="0.25">
      <c r="A79" s="161">
        <v>11</v>
      </c>
      <c r="B79" s="163">
        <v>23.9</v>
      </c>
      <c r="C79" s="163">
        <v>52.1</v>
      </c>
      <c r="D79" s="163">
        <v>102.7</v>
      </c>
      <c r="E79" s="163">
        <v>58</v>
      </c>
      <c r="F79" s="163">
        <v>62.9</v>
      </c>
      <c r="G79" s="163">
        <v>95.4</v>
      </c>
    </row>
    <row r="80" spans="1:7" x14ac:dyDescent="0.25">
      <c r="A80" s="161">
        <v>12</v>
      </c>
      <c r="B80" s="163">
        <v>34.700000000000003</v>
      </c>
      <c r="C80" s="163">
        <v>56.4</v>
      </c>
      <c r="D80" s="163">
        <v>106.7</v>
      </c>
      <c r="E80" s="163">
        <v>45</v>
      </c>
      <c r="F80" s="163">
        <v>74.2</v>
      </c>
      <c r="G80" s="163">
        <v>114</v>
      </c>
    </row>
    <row r="81" spans="1:7" x14ac:dyDescent="0.25">
      <c r="A81" s="161">
        <v>13</v>
      </c>
      <c r="B81" s="163">
        <v>40.5</v>
      </c>
      <c r="C81" s="163">
        <v>59.1</v>
      </c>
      <c r="D81" s="163">
        <v>97.5</v>
      </c>
      <c r="E81" s="163">
        <v>45.2</v>
      </c>
      <c r="F81" s="163">
        <v>61.7</v>
      </c>
      <c r="G81" s="163">
        <v>113.1</v>
      </c>
    </row>
    <row r="82" spans="1:7" x14ac:dyDescent="0.25">
      <c r="A82" s="161">
        <v>14</v>
      </c>
      <c r="B82" s="163">
        <v>41.8</v>
      </c>
      <c r="C82" s="163">
        <v>54</v>
      </c>
      <c r="D82" s="163">
        <v>79.3</v>
      </c>
      <c r="E82" s="163">
        <v>59.5</v>
      </c>
      <c r="F82" s="163">
        <v>70.5</v>
      </c>
      <c r="G82" s="163">
        <v>96</v>
      </c>
    </row>
    <row r="83" spans="1:7" x14ac:dyDescent="0.25">
      <c r="A83" s="161">
        <v>15</v>
      </c>
      <c r="B83" s="163">
        <v>41.8</v>
      </c>
      <c r="C83" s="163">
        <v>51.4</v>
      </c>
      <c r="D83" s="163">
        <v>85.4</v>
      </c>
      <c r="E83" s="163">
        <v>45.8</v>
      </c>
      <c r="F83" s="163">
        <v>87.4</v>
      </c>
      <c r="G83" s="163">
        <v>117.3</v>
      </c>
    </row>
    <row r="84" spans="1:7" x14ac:dyDescent="0.25">
      <c r="A84" s="161">
        <v>16</v>
      </c>
      <c r="B84" s="163">
        <v>19.7</v>
      </c>
      <c r="C84" s="163">
        <v>61.7</v>
      </c>
      <c r="D84" s="163">
        <v>84.4</v>
      </c>
      <c r="E84" s="163"/>
      <c r="F84" s="163"/>
      <c r="G84" s="163"/>
    </row>
    <row r="85" spans="1:7" ht="14.5" thickBot="1" x14ac:dyDescent="0.3">
      <c r="A85" s="166">
        <v>17</v>
      </c>
      <c r="B85" s="168">
        <v>42.4</v>
      </c>
      <c r="C85" s="168">
        <v>53.5</v>
      </c>
      <c r="D85" s="168">
        <v>86.7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34.1</v>
      </c>
      <c r="C89" s="163">
        <v>54.8</v>
      </c>
      <c r="D89" s="163">
        <v>102</v>
      </c>
      <c r="E89" s="163">
        <v>57.8</v>
      </c>
      <c r="F89" s="163">
        <v>66.099999999999994</v>
      </c>
      <c r="G89" s="163">
        <v>102.9</v>
      </c>
    </row>
    <row r="90" spans="1:7" x14ac:dyDescent="0.25">
      <c r="A90" s="161">
        <v>2</v>
      </c>
      <c r="B90" s="163">
        <v>33.299999999999997</v>
      </c>
      <c r="C90" s="163">
        <v>65.900000000000006</v>
      </c>
      <c r="D90" s="163">
        <v>83.6</v>
      </c>
      <c r="E90" s="163">
        <v>37.299999999999997</v>
      </c>
      <c r="F90" s="163">
        <v>79.7</v>
      </c>
      <c r="G90" s="163">
        <v>117.3</v>
      </c>
    </row>
    <row r="91" spans="1:7" x14ac:dyDescent="0.25">
      <c r="A91" s="161">
        <v>3</v>
      </c>
      <c r="B91" s="163">
        <v>27</v>
      </c>
      <c r="C91" s="163">
        <v>63.1</v>
      </c>
      <c r="D91" s="163">
        <v>85.8</v>
      </c>
      <c r="E91" s="163">
        <v>36.4</v>
      </c>
      <c r="F91" s="163">
        <v>83.1</v>
      </c>
      <c r="G91" s="163">
        <v>92.6</v>
      </c>
    </row>
    <row r="92" spans="1:7" x14ac:dyDescent="0.25">
      <c r="A92" s="161">
        <v>4</v>
      </c>
      <c r="B92" s="163">
        <v>29.5</v>
      </c>
      <c r="C92" s="163">
        <v>56.8</v>
      </c>
      <c r="D92" s="163">
        <v>95.9</v>
      </c>
      <c r="E92" s="163">
        <v>40.6</v>
      </c>
      <c r="F92" s="163">
        <v>63.2</v>
      </c>
      <c r="G92" s="163">
        <v>98.7</v>
      </c>
    </row>
    <row r="93" spans="1:7" x14ac:dyDescent="0.25">
      <c r="A93" s="161">
        <v>5</v>
      </c>
      <c r="B93" s="163">
        <v>45.6</v>
      </c>
      <c r="C93" s="163">
        <v>63.1</v>
      </c>
      <c r="D93" s="163">
        <v>86.9</v>
      </c>
      <c r="E93" s="163">
        <v>27</v>
      </c>
      <c r="F93" s="163">
        <v>76.400000000000006</v>
      </c>
      <c r="G93" s="163">
        <v>91.1</v>
      </c>
    </row>
    <row r="94" spans="1:7" x14ac:dyDescent="0.25">
      <c r="A94" s="161">
        <v>6</v>
      </c>
      <c r="B94" s="163">
        <v>20.9</v>
      </c>
      <c r="C94" s="163">
        <v>65.099999999999994</v>
      </c>
      <c r="D94" s="163">
        <v>107.3</v>
      </c>
      <c r="E94" s="163">
        <v>39.299999999999997</v>
      </c>
      <c r="F94" s="163">
        <v>77.099999999999994</v>
      </c>
      <c r="G94" s="163">
        <v>98.5</v>
      </c>
    </row>
    <row r="95" spans="1:7" x14ac:dyDescent="0.25">
      <c r="A95" s="161">
        <v>7</v>
      </c>
      <c r="B95" s="163">
        <v>15.4</v>
      </c>
      <c r="C95" s="163">
        <v>66.900000000000006</v>
      </c>
      <c r="D95" s="163">
        <v>105.6</v>
      </c>
      <c r="E95" s="163">
        <v>25</v>
      </c>
      <c r="F95" s="163">
        <v>67.2</v>
      </c>
      <c r="G95" s="163">
        <v>109.4</v>
      </c>
    </row>
    <row r="96" spans="1:7" x14ac:dyDescent="0.25">
      <c r="A96" s="161">
        <v>8</v>
      </c>
      <c r="B96" s="163">
        <v>37.299999999999997</v>
      </c>
      <c r="C96" s="163">
        <v>64.3</v>
      </c>
      <c r="D96" s="163">
        <v>105.6</v>
      </c>
      <c r="E96" s="162"/>
      <c r="F96" s="162"/>
      <c r="G96" s="162"/>
    </row>
    <row r="97" spans="1:7" x14ac:dyDescent="0.25">
      <c r="A97" s="161">
        <v>9</v>
      </c>
      <c r="B97" s="163">
        <v>29.6</v>
      </c>
      <c r="C97" s="163">
        <v>69.7</v>
      </c>
      <c r="D97" s="163">
        <v>72.900000000000006</v>
      </c>
      <c r="E97" s="162"/>
      <c r="F97" s="162"/>
      <c r="G97" s="162"/>
    </row>
    <row r="98" spans="1:7" x14ac:dyDescent="0.25">
      <c r="A98" s="161">
        <v>10</v>
      </c>
      <c r="B98" s="163">
        <v>32.799999999999997</v>
      </c>
      <c r="C98" s="163">
        <v>50.5</v>
      </c>
      <c r="D98" s="163">
        <v>105.6</v>
      </c>
      <c r="E98" s="162"/>
      <c r="F98" s="162"/>
      <c r="G98" s="162"/>
    </row>
    <row r="99" spans="1:7" x14ac:dyDescent="0.25">
      <c r="A99" s="161">
        <v>11</v>
      </c>
      <c r="B99" s="163">
        <v>26.7</v>
      </c>
      <c r="C99" s="163">
        <v>61.3</v>
      </c>
      <c r="D99" s="163">
        <v>82.1</v>
      </c>
      <c r="E99" s="162"/>
      <c r="F99" s="162"/>
      <c r="G99" s="162"/>
    </row>
    <row r="100" spans="1:7" x14ac:dyDescent="0.25">
      <c r="A100" s="161">
        <v>12</v>
      </c>
      <c r="B100" s="163">
        <v>49.7</v>
      </c>
      <c r="C100" s="163">
        <v>50.7</v>
      </c>
      <c r="D100" s="163">
        <v>79.5</v>
      </c>
      <c r="E100" s="162"/>
      <c r="F100" s="162"/>
      <c r="G100" s="162"/>
    </row>
    <row r="101" spans="1:7" x14ac:dyDescent="0.25">
      <c r="A101" s="161">
        <v>13</v>
      </c>
      <c r="B101" s="163">
        <v>26.3</v>
      </c>
      <c r="C101" s="163">
        <v>56.4</v>
      </c>
      <c r="D101" s="163">
        <v>96.7</v>
      </c>
      <c r="E101" s="162"/>
      <c r="F101" s="162"/>
      <c r="G101" s="162"/>
    </row>
    <row r="102" spans="1:7" x14ac:dyDescent="0.25">
      <c r="A102" s="161">
        <v>14</v>
      </c>
      <c r="B102" s="163">
        <v>19.8</v>
      </c>
      <c r="C102" s="163">
        <v>66.099999999999994</v>
      </c>
      <c r="D102" s="163">
        <v>102.1</v>
      </c>
      <c r="E102" s="162"/>
      <c r="F102" s="162"/>
      <c r="G102" s="162"/>
    </row>
    <row r="103" spans="1:7" x14ac:dyDescent="0.25">
      <c r="A103" s="161">
        <v>15</v>
      </c>
      <c r="B103" s="163">
        <v>32.5</v>
      </c>
      <c r="C103" s="163">
        <v>52.6</v>
      </c>
      <c r="D103" s="163">
        <v>87.8</v>
      </c>
      <c r="E103" s="162"/>
      <c r="F103" s="162"/>
      <c r="G103" s="162"/>
    </row>
    <row r="104" spans="1:7" x14ac:dyDescent="0.25">
      <c r="A104" s="161">
        <v>16</v>
      </c>
      <c r="B104" s="163">
        <v>35.299999999999997</v>
      </c>
      <c r="C104" s="163">
        <v>52.9</v>
      </c>
      <c r="D104" s="163">
        <v>71.400000000000006</v>
      </c>
      <c r="E104" s="162"/>
      <c r="F104" s="162"/>
      <c r="G104" s="162"/>
    </row>
    <row r="105" spans="1:7" x14ac:dyDescent="0.25">
      <c r="A105" s="161">
        <v>17</v>
      </c>
      <c r="B105" s="163">
        <v>16.399999999999999</v>
      </c>
      <c r="C105" s="163">
        <v>65.5</v>
      </c>
      <c r="D105" s="163">
        <v>107.1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95.9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29.7</v>
      </c>
      <c r="C110" s="163">
        <v>55.7</v>
      </c>
      <c r="D110" s="163">
        <v>78.2</v>
      </c>
      <c r="E110" s="163">
        <v>38.799999999999997</v>
      </c>
      <c r="F110" s="163">
        <v>86.4</v>
      </c>
      <c r="G110" s="163">
        <v>119.2</v>
      </c>
    </row>
    <row r="111" spans="1:7" x14ac:dyDescent="0.25">
      <c r="A111" s="161">
        <v>2</v>
      </c>
      <c r="B111" s="163">
        <v>34.5</v>
      </c>
      <c r="C111" s="163">
        <v>53.9</v>
      </c>
      <c r="D111" s="163">
        <v>102.8</v>
      </c>
      <c r="E111" s="163">
        <v>34.200000000000003</v>
      </c>
      <c r="F111" s="163">
        <v>75.5</v>
      </c>
      <c r="G111" s="163">
        <v>115.1</v>
      </c>
    </row>
    <row r="112" spans="1:7" ht="14.5" thickBot="1" x14ac:dyDescent="0.3">
      <c r="A112" s="166">
        <v>3</v>
      </c>
      <c r="B112" s="168"/>
      <c r="C112" s="168"/>
      <c r="D112" s="168"/>
      <c r="E112" s="168">
        <v>47.5</v>
      </c>
      <c r="F112" s="168">
        <v>63.6</v>
      </c>
      <c r="G112" s="168">
        <v>115.8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32.4</v>
      </c>
      <c r="C116" s="163">
        <v>56.3</v>
      </c>
      <c r="D116" s="163">
        <v>75.2</v>
      </c>
      <c r="E116" s="163">
        <v>28.7</v>
      </c>
      <c r="F116" s="163">
        <v>74.2</v>
      </c>
      <c r="G116" s="163">
        <v>91.5</v>
      </c>
    </row>
    <row r="117" spans="1:7" x14ac:dyDescent="0.25">
      <c r="A117" s="161">
        <v>2</v>
      </c>
      <c r="B117" s="163">
        <v>41.9</v>
      </c>
      <c r="C117" s="163">
        <v>66.599999999999994</v>
      </c>
      <c r="D117" s="163">
        <v>77.5</v>
      </c>
      <c r="E117" s="163">
        <v>52.8</v>
      </c>
      <c r="F117" s="163">
        <v>73.5</v>
      </c>
      <c r="G117" s="163">
        <v>92.3</v>
      </c>
    </row>
    <row r="118" spans="1:7" x14ac:dyDescent="0.25">
      <c r="A118" s="161">
        <v>3</v>
      </c>
      <c r="B118" s="163">
        <v>18.100000000000001</v>
      </c>
      <c r="C118" s="163">
        <v>60.7</v>
      </c>
      <c r="D118" s="163">
        <v>70.599999999999994</v>
      </c>
      <c r="E118" s="163">
        <v>59.2</v>
      </c>
      <c r="F118" s="163">
        <v>89.3</v>
      </c>
      <c r="G118" s="163">
        <v>99.9</v>
      </c>
    </row>
    <row r="119" spans="1:7" x14ac:dyDescent="0.25">
      <c r="A119" s="161">
        <v>4</v>
      </c>
      <c r="B119" s="163">
        <v>28.4</v>
      </c>
      <c r="C119" s="163">
        <v>50.7</v>
      </c>
      <c r="D119" s="163">
        <v>73.599999999999994</v>
      </c>
      <c r="E119" s="163">
        <v>50.4</v>
      </c>
      <c r="F119" s="163">
        <v>62.9</v>
      </c>
      <c r="G119" s="163">
        <v>91.6</v>
      </c>
    </row>
    <row r="120" spans="1:7" x14ac:dyDescent="0.25">
      <c r="A120" s="161">
        <v>5</v>
      </c>
      <c r="B120" s="162"/>
      <c r="C120" s="162"/>
      <c r="D120" s="162"/>
      <c r="E120" s="163">
        <v>28.9</v>
      </c>
      <c r="F120" s="163">
        <v>89.4</v>
      </c>
      <c r="G120" s="163">
        <v>110.3</v>
      </c>
    </row>
    <row r="121" spans="1:7" x14ac:dyDescent="0.25">
      <c r="A121" s="161">
        <v>6</v>
      </c>
      <c r="B121" s="162"/>
      <c r="C121" s="162"/>
      <c r="D121" s="162"/>
      <c r="E121" s="163">
        <v>49</v>
      </c>
      <c r="F121" s="163">
        <v>77.5</v>
      </c>
      <c r="G121" s="163">
        <v>97.8</v>
      </c>
    </row>
    <row r="122" spans="1:7" x14ac:dyDescent="0.25">
      <c r="A122" s="161">
        <v>7</v>
      </c>
      <c r="B122" s="162"/>
      <c r="C122" s="162"/>
      <c r="D122" s="162"/>
      <c r="E122" s="163">
        <v>33.9</v>
      </c>
      <c r="F122" s="163">
        <v>79.3</v>
      </c>
      <c r="G122" s="163">
        <v>119.5</v>
      </c>
    </row>
    <row r="123" spans="1:7" x14ac:dyDescent="0.25">
      <c r="A123" s="161">
        <v>8</v>
      </c>
      <c r="B123" s="162"/>
      <c r="C123" s="162"/>
      <c r="D123" s="162"/>
      <c r="E123" s="163">
        <v>44.6</v>
      </c>
      <c r="F123" s="163">
        <v>82.5</v>
      </c>
      <c r="G123" s="163">
        <v>95.4</v>
      </c>
    </row>
    <row r="124" spans="1:7" ht="14.5" thickBot="1" x14ac:dyDescent="0.3">
      <c r="A124" s="166">
        <v>9</v>
      </c>
      <c r="B124" s="168"/>
      <c r="C124" s="168"/>
      <c r="D124" s="168"/>
      <c r="E124" s="168">
        <v>51.3</v>
      </c>
      <c r="F124" s="168">
        <v>80.2</v>
      </c>
      <c r="G124" s="168">
        <v>109.7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63.283333333333331</v>
      </c>
      <c r="C129" s="170">
        <f>AVERAGE(E5:G7)</f>
        <v>71.533333333333331</v>
      </c>
      <c r="D129" s="161">
        <f>'2021.1'!D129</f>
        <v>2166</v>
      </c>
      <c r="E129" s="161">
        <v>4327</v>
      </c>
      <c r="F129" s="161">
        <f>D129*B129</f>
        <v>137071.69999999998</v>
      </c>
      <c r="G129" s="161">
        <f>E129*C129</f>
        <v>309524.73333333334</v>
      </c>
    </row>
    <row r="130" spans="1:7" x14ac:dyDescent="0.25">
      <c r="A130" s="162" t="str">
        <f>A8</f>
        <v>Dongyuan Huangtian swine Farm</v>
      </c>
      <c r="B130" s="169">
        <f>AVERAGE((B11:D15))</f>
        <v>58.720000000000006</v>
      </c>
      <c r="C130" s="169">
        <f>AVERAGE(E11:G11)</f>
        <v>70.766666666666666</v>
      </c>
      <c r="D130" s="161">
        <f>'2021.1'!D130</f>
        <v>6431</v>
      </c>
      <c r="E130" s="161">
        <v>1446</v>
      </c>
      <c r="F130" s="161">
        <f t="shared" ref="F130:G137" si="0">D130*B130</f>
        <v>377628.32000000007</v>
      </c>
      <c r="G130" s="161">
        <f t="shared" si="0"/>
        <v>102328.6</v>
      </c>
    </row>
    <row r="131" spans="1:7" x14ac:dyDescent="0.25">
      <c r="A131" s="162" t="str">
        <f>A16</f>
        <v>Enping Shahu swine  Farm</v>
      </c>
      <c r="B131" s="169">
        <f>AVERAGE(B19:D33)</f>
        <v>61.66</v>
      </c>
      <c r="C131" s="169">
        <f>AVERAGE(E19:G28)</f>
        <v>75.796666666666653</v>
      </c>
      <c r="D131" s="161">
        <f>'2021.1'!D131</f>
        <v>23413</v>
      </c>
      <c r="E131" s="161">
        <v>15600</v>
      </c>
      <c r="F131" s="161">
        <f t="shared" si="0"/>
        <v>1443645.5799999998</v>
      </c>
      <c r="G131" s="161">
        <f t="shared" si="0"/>
        <v>1182427.9999999998</v>
      </c>
    </row>
    <row r="132" spans="1:7" x14ac:dyDescent="0.25">
      <c r="A132" s="162" t="str">
        <f>A34</f>
        <v>Langtian Yuehui swine Farm</v>
      </c>
      <c r="B132" s="169">
        <f>AVERAGE(B37:D55)</f>
        <v>58.957894736842114</v>
      </c>
      <c r="C132" s="169">
        <f>AVERAGE(E37:G43)</f>
        <v>73.585714285714289</v>
      </c>
      <c r="D132" s="161">
        <f>'2021.1'!D132</f>
        <v>29497</v>
      </c>
      <c r="E132" s="161">
        <v>10165</v>
      </c>
      <c r="F132" s="161">
        <f t="shared" si="0"/>
        <v>1739081.0210526318</v>
      </c>
      <c r="G132" s="161">
        <f t="shared" si="0"/>
        <v>747998.7857142858</v>
      </c>
    </row>
    <row r="133" spans="1:7" x14ac:dyDescent="0.25">
      <c r="A133" s="162" t="str">
        <f>A56</f>
        <v>Qujiang Fengwan swine Farm</v>
      </c>
      <c r="B133" s="169">
        <f>AVERAGE(B59:D65)</f>
        <v>59.085714285714282</v>
      </c>
      <c r="C133" s="169">
        <f>AVERAGE(E59:G65)</f>
        <v>76.957142857142856</v>
      </c>
      <c r="D133" s="161">
        <f>'2021.1'!D133</f>
        <v>9686</v>
      </c>
      <c r="E133" s="161">
        <v>11346</v>
      </c>
      <c r="F133" s="161">
        <f t="shared" si="0"/>
        <v>572304.22857142857</v>
      </c>
      <c r="G133" s="161">
        <f t="shared" si="0"/>
        <v>873155.74285714282</v>
      </c>
    </row>
    <row r="134" spans="1:7" x14ac:dyDescent="0.25">
      <c r="A134" s="162" t="str">
        <f>A66</f>
        <v>Pingyuan Zhongshi swine Farm</v>
      </c>
      <c r="B134" s="169">
        <f>AVERAGE(B69:D85)</f>
        <v>62.454901960784312</v>
      </c>
      <c r="C134" s="169">
        <f>AVERAGE(E69:G83)</f>
        <v>74.811111111111117</v>
      </c>
      <c r="D134" s="161">
        <f>'2021.1'!D134</f>
        <v>26358</v>
      </c>
      <c r="E134" s="161">
        <v>23585</v>
      </c>
      <c r="F134" s="161">
        <f t="shared" si="0"/>
        <v>1646186.3058823529</v>
      </c>
      <c r="G134" s="161">
        <f t="shared" si="0"/>
        <v>1764420.0555555557</v>
      </c>
    </row>
    <row r="135" spans="1:7" x14ac:dyDescent="0.25">
      <c r="A135" s="162" t="str">
        <f>A86</f>
        <v>Yangchun Tanshui swine Farm</v>
      </c>
      <c r="B135" s="169">
        <f>AVERAGE(B89:D106)</f>
        <v>61.763461538461542</v>
      </c>
      <c r="C135" s="169">
        <f>AVERAGE(E89:G95)</f>
        <v>70.795238095238091</v>
      </c>
      <c r="D135" s="161">
        <f>'2021.1'!D135</f>
        <v>26581</v>
      </c>
      <c r="E135" s="161">
        <v>11671</v>
      </c>
      <c r="F135" s="161">
        <f t="shared" si="0"/>
        <v>1641734.5711538463</v>
      </c>
      <c r="G135" s="161">
        <f t="shared" si="0"/>
        <v>826251.22380952374</v>
      </c>
    </row>
    <row r="136" spans="1:7" x14ac:dyDescent="0.25">
      <c r="A136" s="162" t="str">
        <f>A107</f>
        <v>Xinfeng Shatian swine Farm</v>
      </c>
      <c r="B136" s="169">
        <f>AVERAGE(B110:D112)</f>
        <v>59.133333333333333</v>
      </c>
      <c r="C136" s="169">
        <f>AVERAGE(E110:G112)</f>
        <v>77.344444444444449</v>
      </c>
      <c r="D136" s="161">
        <f>'2021.1'!D136</f>
        <v>2074</v>
      </c>
      <c r="E136" s="161">
        <v>3793</v>
      </c>
      <c r="F136" s="161">
        <f t="shared" si="0"/>
        <v>122642.53333333333</v>
      </c>
      <c r="G136" s="161">
        <f t="shared" si="0"/>
        <v>293367.47777777782</v>
      </c>
    </row>
    <row r="137" spans="1:7" x14ac:dyDescent="0.25">
      <c r="A137" s="162" t="str">
        <f>A113</f>
        <v>Kaiping Cangcheng swine Farm</v>
      </c>
      <c r="B137" s="169">
        <f>AVERAGE(B116:D119)</f>
        <v>54.333333333333336</v>
      </c>
      <c r="C137" s="169">
        <f>AVERAGE(E116:G124)</f>
        <v>74.651851851851845</v>
      </c>
      <c r="D137" s="161">
        <f>'2021.1'!D137</f>
        <v>5872</v>
      </c>
      <c r="E137" s="161">
        <v>14012</v>
      </c>
      <c r="F137" s="161">
        <f t="shared" si="0"/>
        <v>319045.33333333337</v>
      </c>
      <c r="G137" s="161">
        <f t="shared" si="0"/>
        <v>1046021.7481481481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95945</v>
      </c>
      <c r="F138" s="161">
        <f t="shared" ref="F138:G138" si="1">SUM(F129:F137)</f>
        <v>7999339.5933269262</v>
      </c>
      <c r="G138" s="161">
        <f t="shared" si="1"/>
        <v>7145496.3671957674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60.5</v>
      </c>
      <c r="D142" s="171">
        <f>ROUNDDOWN(G138/E138,1)</f>
        <v>74.400000000000006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3F0BC-34BD-45B1-BFA3-B1812B7DF7CE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607" t="s">
        <v>181</v>
      </c>
      <c r="B2" s="608"/>
      <c r="C2" s="608"/>
      <c r="D2" s="608"/>
      <c r="E2" s="608"/>
      <c r="F2" s="608"/>
      <c r="G2" s="609"/>
    </row>
    <row r="3" spans="1:7" ht="14.5" x14ac:dyDescent="0.3">
      <c r="A3" s="160"/>
      <c r="B3" s="593" t="s">
        <v>170</v>
      </c>
      <c r="C3" s="606"/>
      <c r="D3" s="594"/>
      <c r="E3" s="593" t="s">
        <v>171</v>
      </c>
      <c r="F3" s="606"/>
      <c r="G3" s="594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19.3</v>
      </c>
      <c r="C5" s="163">
        <v>55.9</v>
      </c>
      <c r="D5" s="163">
        <v>93.7</v>
      </c>
      <c r="E5" s="163">
        <v>58</v>
      </c>
      <c r="F5" s="163">
        <v>80.5</v>
      </c>
      <c r="G5" s="163">
        <v>112</v>
      </c>
    </row>
    <row r="6" spans="1:7" x14ac:dyDescent="0.25">
      <c r="A6" s="161">
        <v>2</v>
      </c>
      <c r="B6" s="163">
        <v>38.4</v>
      </c>
      <c r="C6" s="163">
        <v>60.6</v>
      </c>
      <c r="D6" s="163">
        <v>97.2</v>
      </c>
      <c r="E6" s="163">
        <v>48.6</v>
      </c>
      <c r="F6" s="163">
        <v>83.9</v>
      </c>
      <c r="G6" s="163">
        <v>118.7</v>
      </c>
    </row>
    <row r="7" spans="1:7" ht="14.5" thickBot="1" x14ac:dyDescent="0.3">
      <c r="A7" s="164">
        <v>3</v>
      </c>
      <c r="B7" s="165"/>
      <c r="C7" s="165"/>
      <c r="D7" s="165"/>
      <c r="E7" s="165">
        <v>59.5</v>
      </c>
      <c r="F7" s="165">
        <v>82.3</v>
      </c>
      <c r="G7" s="165">
        <v>93.1</v>
      </c>
    </row>
    <row r="8" spans="1:7" ht="14.5" thickTop="1" x14ac:dyDescent="0.25">
      <c r="A8" s="603" t="s">
        <v>182</v>
      </c>
      <c r="B8" s="604"/>
      <c r="C8" s="604"/>
      <c r="D8" s="604"/>
      <c r="E8" s="604"/>
      <c r="F8" s="604"/>
      <c r="G8" s="605"/>
    </row>
    <row r="9" spans="1:7" ht="14.5" x14ac:dyDescent="0.3">
      <c r="A9" s="160"/>
      <c r="B9" s="593" t="s">
        <v>170</v>
      </c>
      <c r="C9" s="606"/>
      <c r="D9" s="594"/>
      <c r="E9" s="593" t="s">
        <v>171</v>
      </c>
      <c r="F9" s="606"/>
      <c r="G9" s="594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16.5</v>
      </c>
      <c r="C11" s="163">
        <v>63.3</v>
      </c>
      <c r="D11" s="163">
        <v>75.2</v>
      </c>
      <c r="E11" s="163">
        <v>47</v>
      </c>
      <c r="F11" s="163">
        <v>65.5</v>
      </c>
      <c r="G11" s="163">
        <v>105.3</v>
      </c>
    </row>
    <row r="12" spans="1:7" x14ac:dyDescent="0.25">
      <c r="A12" s="161">
        <v>2</v>
      </c>
      <c r="B12" s="163">
        <v>38.1</v>
      </c>
      <c r="C12" s="163">
        <v>51.7</v>
      </c>
      <c r="D12" s="163">
        <v>82.5</v>
      </c>
      <c r="E12" s="163"/>
      <c r="F12" s="163"/>
      <c r="G12" s="163"/>
    </row>
    <row r="13" spans="1:7" x14ac:dyDescent="0.25">
      <c r="A13" s="161">
        <v>3</v>
      </c>
      <c r="B13" s="163">
        <v>20.7</v>
      </c>
      <c r="C13" s="163">
        <v>64.400000000000006</v>
      </c>
      <c r="D13" s="163">
        <v>81.2</v>
      </c>
      <c r="E13" s="162"/>
      <c r="F13" s="162"/>
      <c r="G13" s="162"/>
    </row>
    <row r="14" spans="1:7" x14ac:dyDescent="0.25">
      <c r="A14" s="161">
        <v>4</v>
      </c>
      <c r="B14" s="163">
        <v>25</v>
      </c>
      <c r="C14" s="163">
        <v>69.2</v>
      </c>
      <c r="D14" s="163">
        <v>83.7</v>
      </c>
      <c r="E14" s="162"/>
      <c r="F14" s="162"/>
      <c r="G14" s="162"/>
    </row>
    <row r="15" spans="1:7" ht="14.5" thickBot="1" x14ac:dyDescent="0.3">
      <c r="A15" s="164">
        <v>5</v>
      </c>
      <c r="B15" s="165">
        <v>23.3</v>
      </c>
      <c r="C15" s="165">
        <v>54.9</v>
      </c>
      <c r="D15" s="165">
        <v>107.2</v>
      </c>
      <c r="E15" s="165"/>
      <c r="F15" s="165"/>
      <c r="G15" s="165"/>
    </row>
    <row r="16" spans="1:7" ht="14.5" thickTop="1" x14ac:dyDescent="0.25">
      <c r="A16" s="603" t="s">
        <v>183</v>
      </c>
      <c r="B16" s="604"/>
      <c r="C16" s="604"/>
      <c r="D16" s="604"/>
      <c r="E16" s="604"/>
      <c r="F16" s="604"/>
      <c r="G16" s="605"/>
    </row>
    <row r="17" spans="1:7" ht="14.5" x14ac:dyDescent="0.3">
      <c r="A17" s="160"/>
      <c r="B17" s="593" t="s">
        <v>170</v>
      </c>
      <c r="C17" s="606"/>
      <c r="D17" s="594"/>
      <c r="E17" s="593" t="s">
        <v>171</v>
      </c>
      <c r="F17" s="606"/>
      <c r="G17" s="594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48.6</v>
      </c>
      <c r="C19" s="163">
        <v>51.9</v>
      </c>
      <c r="D19" s="163">
        <v>90.4</v>
      </c>
      <c r="E19" s="163">
        <v>36</v>
      </c>
      <c r="F19" s="163">
        <v>80.3</v>
      </c>
      <c r="G19" s="163">
        <v>94.9</v>
      </c>
    </row>
    <row r="20" spans="1:7" x14ac:dyDescent="0.25">
      <c r="A20" s="161">
        <v>2</v>
      </c>
      <c r="B20" s="163">
        <v>31.1</v>
      </c>
      <c r="C20" s="163">
        <v>58.7</v>
      </c>
      <c r="D20" s="163">
        <v>81.099999999999994</v>
      </c>
      <c r="E20" s="163">
        <v>29</v>
      </c>
      <c r="F20" s="163">
        <v>82.1</v>
      </c>
      <c r="G20" s="163">
        <v>119.1</v>
      </c>
    </row>
    <row r="21" spans="1:7" x14ac:dyDescent="0.25">
      <c r="A21" s="161">
        <v>3</v>
      </c>
      <c r="B21" s="163">
        <v>28.4</v>
      </c>
      <c r="C21" s="163">
        <v>68.900000000000006</v>
      </c>
      <c r="D21" s="163">
        <v>102.9</v>
      </c>
      <c r="E21" s="163">
        <v>31.3</v>
      </c>
      <c r="F21" s="163">
        <v>68.2</v>
      </c>
      <c r="G21" s="163">
        <v>117.6</v>
      </c>
    </row>
    <row r="22" spans="1:7" x14ac:dyDescent="0.25">
      <c r="A22" s="161">
        <v>4</v>
      </c>
      <c r="B22" s="163">
        <v>42.7</v>
      </c>
      <c r="C22" s="163">
        <v>59.1</v>
      </c>
      <c r="D22" s="163">
        <v>90.5</v>
      </c>
      <c r="E22" s="163">
        <v>31.8</v>
      </c>
      <c r="F22" s="163">
        <v>65.7</v>
      </c>
      <c r="G22" s="163">
        <v>107</v>
      </c>
    </row>
    <row r="23" spans="1:7" x14ac:dyDescent="0.25">
      <c r="A23" s="161">
        <v>5</v>
      </c>
      <c r="B23" s="163">
        <v>31.7</v>
      </c>
      <c r="C23" s="163">
        <v>52.7</v>
      </c>
      <c r="D23" s="163">
        <v>96.3</v>
      </c>
      <c r="E23" s="163">
        <v>55.3</v>
      </c>
      <c r="F23" s="163">
        <v>78.599999999999994</v>
      </c>
      <c r="G23" s="163">
        <v>96.1</v>
      </c>
    </row>
    <row r="24" spans="1:7" x14ac:dyDescent="0.25">
      <c r="A24" s="161">
        <v>6</v>
      </c>
      <c r="B24" s="163">
        <v>24.8</v>
      </c>
      <c r="C24" s="163">
        <v>57.4</v>
      </c>
      <c r="D24" s="163">
        <v>79.400000000000006</v>
      </c>
      <c r="E24" s="163">
        <v>39.200000000000003</v>
      </c>
      <c r="F24" s="163">
        <v>78.2</v>
      </c>
      <c r="G24" s="163">
        <v>97.2</v>
      </c>
    </row>
    <row r="25" spans="1:7" x14ac:dyDescent="0.25">
      <c r="A25" s="161">
        <v>7</v>
      </c>
      <c r="B25" s="163">
        <v>38.9</v>
      </c>
      <c r="C25" s="163">
        <v>52.9</v>
      </c>
      <c r="D25" s="163">
        <v>88.2</v>
      </c>
      <c r="E25" s="163">
        <v>46.7</v>
      </c>
      <c r="F25" s="163">
        <v>76.7</v>
      </c>
      <c r="G25" s="163">
        <v>98.1</v>
      </c>
    </row>
    <row r="26" spans="1:7" x14ac:dyDescent="0.25">
      <c r="A26" s="161">
        <v>8</v>
      </c>
      <c r="B26" s="163">
        <v>41.8</v>
      </c>
      <c r="C26" s="163">
        <v>55.7</v>
      </c>
      <c r="D26" s="163">
        <v>83</v>
      </c>
      <c r="E26" s="163">
        <v>57</v>
      </c>
      <c r="F26" s="163">
        <v>68.7</v>
      </c>
      <c r="G26" s="163">
        <v>105.7</v>
      </c>
    </row>
    <row r="27" spans="1:7" x14ac:dyDescent="0.25">
      <c r="A27" s="161">
        <v>9</v>
      </c>
      <c r="B27" s="163">
        <v>33.6</v>
      </c>
      <c r="C27" s="163">
        <v>64.3</v>
      </c>
      <c r="D27" s="163">
        <v>93.5</v>
      </c>
      <c r="E27" s="163">
        <v>55.1</v>
      </c>
      <c r="F27" s="163">
        <v>66.400000000000006</v>
      </c>
      <c r="G27" s="163">
        <v>93.6</v>
      </c>
    </row>
    <row r="28" spans="1:7" x14ac:dyDescent="0.25">
      <c r="A28" s="161">
        <v>10</v>
      </c>
      <c r="B28" s="163">
        <v>15</v>
      </c>
      <c r="C28" s="163">
        <v>50.6</v>
      </c>
      <c r="D28" s="163">
        <v>104.4</v>
      </c>
      <c r="E28" s="163">
        <v>31.8</v>
      </c>
      <c r="F28" s="163">
        <v>72.400000000000006</v>
      </c>
      <c r="G28" s="163">
        <v>104.6</v>
      </c>
    </row>
    <row r="29" spans="1:7" x14ac:dyDescent="0.25">
      <c r="A29" s="161">
        <v>11</v>
      </c>
      <c r="B29" s="163">
        <v>35.200000000000003</v>
      </c>
      <c r="C29" s="163">
        <v>50.4</v>
      </c>
      <c r="D29" s="163">
        <v>106.8</v>
      </c>
      <c r="E29" s="163"/>
      <c r="F29" s="163"/>
      <c r="G29" s="163"/>
    </row>
    <row r="30" spans="1:7" x14ac:dyDescent="0.25">
      <c r="A30" s="161">
        <v>12</v>
      </c>
      <c r="B30" s="163">
        <v>31.8</v>
      </c>
      <c r="C30" s="163">
        <v>57.6</v>
      </c>
      <c r="D30" s="163">
        <v>103.9</v>
      </c>
      <c r="E30" s="163"/>
      <c r="F30" s="163"/>
      <c r="G30" s="163"/>
    </row>
    <row r="31" spans="1:7" x14ac:dyDescent="0.25">
      <c r="A31" s="161">
        <v>13</v>
      </c>
      <c r="B31" s="163">
        <v>40.6</v>
      </c>
      <c r="C31" s="163">
        <v>61.4</v>
      </c>
      <c r="D31" s="163">
        <v>77.099999999999994</v>
      </c>
      <c r="E31" s="163"/>
      <c r="F31" s="163"/>
      <c r="G31" s="163"/>
    </row>
    <row r="32" spans="1:7" x14ac:dyDescent="0.25">
      <c r="A32" s="161">
        <v>14</v>
      </c>
      <c r="B32" s="163">
        <v>20</v>
      </c>
      <c r="C32" s="163">
        <v>52.5</v>
      </c>
      <c r="D32" s="163">
        <v>78.8</v>
      </c>
      <c r="E32" s="163"/>
      <c r="F32" s="163"/>
      <c r="G32" s="163"/>
    </row>
    <row r="33" spans="1:7" ht="14.5" thickBot="1" x14ac:dyDescent="0.3">
      <c r="A33" s="166">
        <v>15</v>
      </c>
      <c r="B33" s="165">
        <v>24.6</v>
      </c>
      <c r="C33" s="165">
        <v>54.7</v>
      </c>
      <c r="D33" s="165">
        <v>103.3</v>
      </c>
      <c r="E33" s="165"/>
      <c r="F33" s="165"/>
      <c r="G33" s="165"/>
    </row>
    <row r="34" spans="1:7" ht="14.5" thickTop="1" x14ac:dyDescent="0.25">
      <c r="A34" s="603" t="s">
        <v>184</v>
      </c>
      <c r="B34" s="604"/>
      <c r="C34" s="604"/>
      <c r="D34" s="604"/>
      <c r="E34" s="604"/>
      <c r="F34" s="604"/>
      <c r="G34" s="605"/>
    </row>
    <row r="35" spans="1:7" ht="14.5" x14ac:dyDescent="0.3">
      <c r="A35" s="160"/>
      <c r="B35" s="593" t="s">
        <v>170</v>
      </c>
      <c r="C35" s="606"/>
      <c r="D35" s="594"/>
      <c r="E35" s="593" t="s">
        <v>171</v>
      </c>
      <c r="F35" s="606"/>
      <c r="G35" s="594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48.3</v>
      </c>
      <c r="C37" s="163">
        <v>51.4</v>
      </c>
      <c r="D37" s="163">
        <v>96.1</v>
      </c>
      <c r="E37" s="163">
        <v>42.3</v>
      </c>
      <c r="F37" s="163">
        <v>61.7</v>
      </c>
      <c r="G37" s="163">
        <v>113.4</v>
      </c>
    </row>
    <row r="38" spans="1:7" x14ac:dyDescent="0.25">
      <c r="A38" s="161">
        <v>2</v>
      </c>
      <c r="B38" s="163">
        <v>35.1</v>
      </c>
      <c r="C38" s="163">
        <v>57.5</v>
      </c>
      <c r="D38" s="163">
        <v>79</v>
      </c>
      <c r="E38" s="163">
        <v>43.8</v>
      </c>
      <c r="F38" s="163">
        <v>89.2</v>
      </c>
      <c r="G38" s="163">
        <v>101.9</v>
      </c>
    </row>
    <row r="39" spans="1:7" x14ac:dyDescent="0.25">
      <c r="A39" s="161">
        <v>3</v>
      </c>
      <c r="B39" s="163">
        <v>24.5</v>
      </c>
      <c r="C39" s="163">
        <v>69.5</v>
      </c>
      <c r="D39" s="163">
        <v>100</v>
      </c>
      <c r="E39" s="163">
        <v>36.700000000000003</v>
      </c>
      <c r="F39" s="163">
        <v>84.8</v>
      </c>
      <c r="G39" s="163">
        <v>117</v>
      </c>
    </row>
    <row r="40" spans="1:7" x14ac:dyDescent="0.25">
      <c r="A40" s="161">
        <v>4</v>
      </c>
      <c r="B40" s="163">
        <v>28.6</v>
      </c>
      <c r="C40" s="163">
        <v>58.9</v>
      </c>
      <c r="D40" s="163">
        <v>83.9</v>
      </c>
      <c r="E40" s="163">
        <v>59.5</v>
      </c>
      <c r="F40" s="163">
        <v>72.099999999999994</v>
      </c>
      <c r="G40" s="163">
        <v>96.7</v>
      </c>
    </row>
    <row r="41" spans="1:7" x14ac:dyDescent="0.25">
      <c r="A41" s="161">
        <v>5</v>
      </c>
      <c r="B41" s="163">
        <v>27.4</v>
      </c>
      <c r="C41" s="163">
        <v>56.8</v>
      </c>
      <c r="D41" s="163">
        <v>78.400000000000006</v>
      </c>
      <c r="E41" s="163">
        <v>53.4</v>
      </c>
      <c r="F41" s="163">
        <v>63.2</v>
      </c>
      <c r="G41" s="163">
        <v>92.5</v>
      </c>
    </row>
    <row r="42" spans="1:7" x14ac:dyDescent="0.25">
      <c r="A42" s="161">
        <v>6</v>
      </c>
      <c r="B42" s="163">
        <v>42.1</v>
      </c>
      <c r="C42" s="163">
        <v>54.2</v>
      </c>
      <c r="D42" s="163">
        <v>107</v>
      </c>
      <c r="E42" s="163">
        <v>55</v>
      </c>
      <c r="F42" s="163">
        <v>87.7</v>
      </c>
      <c r="G42" s="163">
        <v>106.7</v>
      </c>
    </row>
    <row r="43" spans="1:7" x14ac:dyDescent="0.25">
      <c r="A43" s="161">
        <v>7</v>
      </c>
      <c r="B43" s="163">
        <v>27.4</v>
      </c>
      <c r="C43" s="163">
        <v>65.400000000000006</v>
      </c>
      <c r="D43" s="163">
        <v>74.3</v>
      </c>
      <c r="E43" s="163">
        <v>33.799999999999997</v>
      </c>
      <c r="F43" s="163">
        <v>87.7</v>
      </c>
      <c r="G43" s="163">
        <v>115.4</v>
      </c>
    </row>
    <row r="44" spans="1:7" x14ac:dyDescent="0.25">
      <c r="A44" s="161">
        <v>8</v>
      </c>
      <c r="B44" s="163">
        <v>27.7</v>
      </c>
      <c r="C44" s="163">
        <v>60.8</v>
      </c>
      <c r="D44" s="163">
        <v>76.5</v>
      </c>
      <c r="E44" s="162"/>
      <c r="F44" s="162"/>
      <c r="G44" s="162"/>
    </row>
    <row r="45" spans="1:7" x14ac:dyDescent="0.25">
      <c r="A45" s="161">
        <v>9</v>
      </c>
      <c r="B45" s="163">
        <v>26.6</v>
      </c>
      <c r="C45" s="163">
        <v>57.2</v>
      </c>
      <c r="D45" s="163">
        <v>75.3</v>
      </c>
      <c r="E45" s="162"/>
      <c r="F45" s="162"/>
      <c r="G45" s="162"/>
    </row>
    <row r="46" spans="1:7" x14ac:dyDescent="0.25">
      <c r="A46" s="161">
        <v>10</v>
      </c>
      <c r="B46" s="163">
        <v>42.1</v>
      </c>
      <c r="C46" s="163">
        <v>50.2</v>
      </c>
      <c r="D46" s="163">
        <v>99.5</v>
      </c>
      <c r="E46" s="162"/>
      <c r="F46" s="162"/>
      <c r="G46" s="162"/>
    </row>
    <row r="47" spans="1:7" x14ac:dyDescent="0.25">
      <c r="A47" s="161">
        <v>11</v>
      </c>
      <c r="B47" s="163">
        <v>43.6</v>
      </c>
      <c r="C47" s="163">
        <v>62.6</v>
      </c>
      <c r="D47" s="163">
        <v>100.2</v>
      </c>
      <c r="E47" s="162"/>
      <c r="F47" s="162"/>
      <c r="G47" s="162"/>
    </row>
    <row r="48" spans="1:7" x14ac:dyDescent="0.25">
      <c r="A48" s="161">
        <v>12</v>
      </c>
      <c r="B48" s="163">
        <v>26.8</v>
      </c>
      <c r="C48" s="163">
        <v>51.3</v>
      </c>
      <c r="D48" s="163">
        <v>100.2</v>
      </c>
      <c r="E48" s="162"/>
      <c r="F48" s="162"/>
      <c r="G48" s="162"/>
    </row>
    <row r="49" spans="1:7" x14ac:dyDescent="0.25">
      <c r="A49" s="161">
        <v>13</v>
      </c>
      <c r="B49" s="163">
        <v>16.5</v>
      </c>
      <c r="C49" s="163">
        <v>58.3</v>
      </c>
      <c r="D49" s="163">
        <v>95.7</v>
      </c>
      <c r="E49" s="162"/>
      <c r="F49" s="162"/>
      <c r="G49" s="162"/>
    </row>
    <row r="50" spans="1:7" x14ac:dyDescent="0.25">
      <c r="A50" s="161">
        <v>14</v>
      </c>
      <c r="B50" s="163">
        <v>34.799999999999997</v>
      </c>
      <c r="C50" s="163">
        <v>64.3</v>
      </c>
      <c r="D50" s="163">
        <v>90.6</v>
      </c>
      <c r="E50" s="162"/>
      <c r="F50" s="162"/>
      <c r="G50" s="162"/>
    </row>
    <row r="51" spans="1:7" x14ac:dyDescent="0.25">
      <c r="A51" s="161">
        <v>15</v>
      </c>
      <c r="B51" s="163">
        <v>43.4</v>
      </c>
      <c r="C51" s="163">
        <v>69.099999999999994</v>
      </c>
      <c r="D51" s="163">
        <v>109.5</v>
      </c>
      <c r="E51" s="162"/>
      <c r="F51" s="162"/>
      <c r="G51" s="162"/>
    </row>
    <row r="52" spans="1:7" x14ac:dyDescent="0.25">
      <c r="A52" s="161">
        <v>16</v>
      </c>
      <c r="B52" s="163">
        <v>27.3</v>
      </c>
      <c r="C52" s="163">
        <v>61.2</v>
      </c>
      <c r="D52" s="163">
        <v>108.8</v>
      </c>
      <c r="E52" s="162"/>
      <c r="F52" s="162"/>
      <c r="G52" s="162"/>
    </row>
    <row r="53" spans="1:7" x14ac:dyDescent="0.25">
      <c r="A53" s="161">
        <v>17</v>
      </c>
      <c r="B53" s="163">
        <v>30.5</v>
      </c>
      <c r="C53" s="163">
        <v>63.7</v>
      </c>
      <c r="D53" s="163">
        <v>89.4</v>
      </c>
      <c r="E53" s="162"/>
      <c r="F53" s="162"/>
      <c r="G53" s="162"/>
    </row>
    <row r="54" spans="1:7" x14ac:dyDescent="0.25">
      <c r="A54" s="161">
        <v>18</v>
      </c>
      <c r="B54" s="163">
        <v>31.8</v>
      </c>
      <c r="C54" s="163">
        <v>63.1</v>
      </c>
      <c r="D54" s="163">
        <v>108.1</v>
      </c>
      <c r="E54" s="162"/>
      <c r="F54" s="162"/>
      <c r="G54" s="162"/>
    </row>
    <row r="55" spans="1:7" ht="14.5" thickBot="1" x14ac:dyDescent="0.3">
      <c r="A55" s="164">
        <v>19</v>
      </c>
      <c r="B55" s="165">
        <v>45.7</v>
      </c>
      <c r="C55" s="165">
        <v>57.7</v>
      </c>
      <c r="D55" s="165">
        <v>101</v>
      </c>
      <c r="E55" s="165"/>
      <c r="F55" s="165"/>
      <c r="G55" s="165"/>
    </row>
    <row r="56" spans="1:7" ht="14.5" thickTop="1" x14ac:dyDescent="0.25">
      <c r="A56" s="603" t="s">
        <v>185</v>
      </c>
      <c r="B56" s="604"/>
      <c r="C56" s="604"/>
      <c r="D56" s="604"/>
      <c r="E56" s="604"/>
      <c r="F56" s="604"/>
      <c r="G56" s="605"/>
    </row>
    <row r="57" spans="1:7" ht="14.5" x14ac:dyDescent="0.3">
      <c r="A57" s="160"/>
      <c r="B57" s="593" t="s">
        <v>170</v>
      </c>
      <c r="C57" s="606"/>
      <c r="D57" s="594"/>
      <c r="E57" s="593" t="s">
        <v>171</v>
      </c>
      <c r="F57" s="606"/>
      <c r="G57" s="594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33</v>
      </c>
      <c r="C59" s="163">
        <v>66.5</v>
      </c>
      <c r="D59" s="163">
        <v>108.5</v>
      </c>
      <c r="E59" s="163">
        <v>50.7</v>
      </c>
      <c r="F59" s="163">
        <v>69.3</v>
      </c>
      <c r="G59" s="163">
        <v>103.1</v>
      </c>
    </row>
    <row r="60" spans="1:7" x14ac:dyDescent="0.25">
      <c r="A60" s="161">
        <v>2</v>
      </c>
      <c r="B60" s="163">
        <v>32</v>
      </c>
      <c r="C60" s="163">
        <v>58</v>
      </c>
      <c r="D60" s="163">
        <v>98.1</v>
      </c>
      <c r="E60" s="163">
        <v>46.6</v>
      </c>
      <c r="F60" s="163">
        <v>66</v>
      </c>
      <c r="G60" s="163">
        <v>109.8</v>
      </c>
    </row>
    <row r="61" spans="1:7" x14ac:dyDescent="0.25">
      <c r="A61" s="161">
        <v>3</v>
      </c>
      <c r="B61" s="163">
        <v>34.9</v>
      </c>
      <c r="C61" s="163">
        <v>67.400000000000006</v>
      </c>
      <c r="D61" s="163">
        <v>86.2</v>
      </c>
      <c r="E61" s="163">
        <v>26.5</v>
      </c>
      <c r="F61" s="163">
        <v>88</v>
      </c>
      <c r="G61" s="163">
        <v>108.2</v>
      </c>
    </row>
    <row r="62" spans="1:7" x14ac:dyDescent="0.25">
      <c r="A62" s="161">
        <v>4</v>
      </c>
      <c r="B62" s="163">
        <v>28.3</v>
      </c>
      <c r="C62" s="163">
        <v>68.099999999999994</v>
      </c>
      <c r="D62" s="163">
        <v>70.900000000000006</v>
      </c>
      <c r="E62" s="163">
        <v>39.5</v>
      </c>
      <c r="F62" s="163">
        <v>74.7</v>
      </c>
      <c r="G62" s="163">
        <v>115.6</v>
      </c>
    </row>
    <row r="63" spans="1:7" x14ac:dyDescent="0.25">
      <c r="A63" s="161">
        <v>5</v>
      </c>
      <c r="B63" s="163">
        <v>28.7</v>
      </c>
      <c r="C63" s="163">
        <v>50.7</v>
      </c>
      <c r="D63" s="163">
        <v>96.7</v>
      </c>
      <c r="E63" s="163">
        <v>44</v>
      </c>
      <c r="F63" s="163">
        <v>62.1</v>
      </c>
      <c r="G63" s="163">
        <v>114.5</v>
      </c>
    </row>
    <row r="64" spans="1:7" x14ac:dyDescent="0.25">
      <c r="A64" s="167">
        <v>6</v>
      </c>
      <c r="B64" s="163">
        <v>40.700000000000003</v>
      </c>
      <c r="C64" s="163">
        <v>54.4</v>
      </c>
      <c r="D64" s="163">
        <v>70.400000000000006</v>
      </c>
      <c r="E64" s="163">
        <v>35</v>
      </c>
      <c r="F64" s="163">
        <v>73.3</v>
      </c>
      <c r="G64" s="163">
        <v>94.4</v>
      </c>
    </row>
    <row r="65" spans="1:7" ht="14.5" thickBot="1" x14ac:dyDescent="0.3">
      <c r="A65" s="164">
        <v>7</v>
      </c>
      <c r="B65" s="165">
        <v>36.200000000000003</v>
      </c>
      <c r="C65" s="165">
        <v>62.6</v>
      </c>
      <c r="D65" s="165">
        <v>72.099999999999994</v>
      </c>
      <c r="E65" s="165">
        <v>44.9</v>
      </c>
      <c r="F65" s="165">
        <v>66.900000000000006</v>
      </c>
      <c r="G65" s="165">
        <v>107.4</v>
      </c>
    </row>
    <row r="66" spans="1:7" ht="14.5" thickTop="1" x14ac:dyDescent="0.25">
      <c r="A66" s="603" t="s">
        <v>186</v>
      </c>
      <c r="B66" s="604"/>
      <c r="C66" s="604"/>
      <c r="D66" s="604"/>
      <c r="E66" s="604"/>
      <c r="F66" s="604"/>
      <c r="G66" s="605"/>
    </row>
    <row r="67" spans="1:7" ht="14.5" x14ac:dyDescent="0.3">
      <c r="A67" s="160"/>
      <c r="B67" s="593" t="s">
        <v>170</v>
      </c>
      <c r="C67" s="606"/>
      <c r="D67" s="594"/>
      <c r="E67" s="593" t="s">
        <v>171</v>
      </c>
      <c r="F67" s="606"/>
      <c r="G67" s="594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19.5</v>
      </c>
      <c r="C69" s="163">
        <v>65.3</v>
      </c>
      <c r="D69" s="163">
        <v>92.8</v>
      </c>
      <c r="E69" s="163">
        <v>35.799999999999997</v>
      </c>
      <c r="F69" s="163">
        <v>76.5</v>
      </c>
      <c r="G69" s="163">
        <v>92</v>
      </c>
    </row>
    <row r="70" spans="1:7" x14ac:dyDescent="0.25">
      <c r="A70" s="161">
        <v>2</v>
      </c>
      <c r="B70" s="163">
        <v>49.3</v>
      </c>
      <c r="C70" s="163">
        <v>50.1</v>
      </c>
      <c r="D70" s="163">
        <v>104.1</v>
      </c>
      <c r="E70" s="163">
        <v>26.9</v>
      </c>
      <c r="F70" s="163">
        <v>62.5</v>
      </c>
      <c r="G70" s="163">
        <v>91.5</v>
      </c>
    </row>
    <row r="71" spans="1:7" x14ac:dyDescent="0.25">
      <c r="A71" s="161">
        <v>3</v>
      </c>
      <c r="B71" s="163">
        <v>23.2</v>
      </c>
      <c r="C71" s="163">
        <v>68.400000000000006</v>
      </c>
      <c r="D71" s="163">
        <v>75</v>
      </c>
      <c r="E71" s="163">
        <v>46.1</v>
      </c>
      <c r="F71" s="163">
        <v>74.599999999999994</v>
      </c>
      <c r="G71" s="163">
        <v>104</v>
      </c>
    </row>
    <row r="72" spans="1:7" x14ac:dyDescent="0.25">
      <c r="A72" s="161">
        <v>4</v>
      </c>
      <c r="B72" s="163">
        <v>44.6</v>
      </c>
      <c r="C72" s="163">
        <v>63.1</v>
      </c>
      <c r="D72" s="163">
        <v>88.8</v>
      </c>
      <c r="E72" s="163">
        <v>60</v>
      </c>
      <c r="F72" s="163">
        <v>68.5</v>
      </c>
      <c r="G72" s="163">
        <v>108.3</v>
      </c>
    </row>
    <row r="73" spans="1:7" x14ac:dyDescent="0.25">
      <c r="A73" s="161">
        <v>5</v>
      </c>
      <c r="B73" s="163">
        <v>29.8</v>
      </c>
      <c r="C73" s="163">
        <v>62.5</v>
      </c>
      <c r="D73" s="163">
        <v>102.4</v>
      </c>
      <c r="E73" s="163">
        <v>48.6</v>
      </c>
      <c r="F73" s="163">
        <v>65.400000000000006</v>
      </c>
      <c r="G73" s="163">
        <v>108.6</v>
      </c>
    </row>
    <row r="74" spans="1:7" x14ac:dyDescent="0.25">
      <c r="A74" s="161">
        <v>6</v>
      </c>
      <c r="B74" s="163">
        <v>25.3</v>
      </c>
      <c r="C74" s="163">
        <v>58.9</v>
      </c>
      <c r="D74" s="163">
        <v>108</v>
      </c>
      <c r="E74" s="163">
        <v>41.8</v>
      </c>
      <c r="F74" s="163">
        <v>74.400000000000006</v>
      </c>
      <c r="G74" s="163">
        <v>116.2</v>
      </c>
    </row>
    <row r="75" spans="1:7" x14ac:dyDescent="0.25">
      <c r="A75" s="161">
        <v>7</v>
      </c>
      <c r="B75" s="163">
        <v>37.4</v>
      </c>
      <c r="C75" s="163">
        <v>54.9</v>
      </c>
      <c r="D75" s="163">
        <v>85.6</v>
      </c>
      <c r="E75" s="163">
        <v>58.5</v>
      </c>
      <c r="F75" s="163">
        <v>82.8</v>
      </c>
      <c r="G75" s="163">
        <v>101.1</v>
      </c>
    </row>
    <row r="76" spans="1:7" x14ac:dyDescent="0.25">
      <c r="A76" s="161">
        <v>8</v>
      </c>
      <c r="B76" s="163">
        <v>33.9</v>
      </c>
      <c r="C76" s="163">
        <v>50.4</v>
      </c>
      <c r="D76" s="163">
        <v>85.9</v>
      </c>
      <c r="E76" s="163">
        <v>32.299999999999997</v>
      </c>
      <c r="F76" s="163">
        <v>86.8</v>
      </c>
      <c r="G76" s="163">
        <v>102.5</v>
      </c>
    </row>
    <row r="77" spans="1:7" x14ac:dyDescent="0.25">
      <c r="A77" s="161">
        <v>9</v>
      </c>
      <c r="B77" s="163">
        <v>34.9</v>
      </c>
      <c r="C77" s="163">
        <v>65.900000000000006</v>
      </c>
      <c r="D77" s="163">
        <v>92</v>
      </c>
      <c r="E77" s="163">
        <v>46</v>
      </c>
      <c r="F77" s="163">
        <v>82.3</v>
      </c>
      <c r="G77" s="163">
        <v>119.3</v>
      </c>
    </row>
    <row r="78" spans="1:7" x14ac:dyDescent="0.25">
      <c r="A78" s="161">
        <v>10</v>
      </c>
      <c r="B78" s="163">
        <v>30.5</v>
      </c>
      <c r="C78" s="163">
        <v>51</v>
      </c>
      <c r="D78" s="163">
        <v>108.7</v>
      </c>
      <c r="E78" s="163">
        <v>42.9</v>
      </c>
      <c r="F78" s="163">
        <v>71.7</v>
      </c>
      <c r="G78" s="163">
        <v>105.4</v>
      </c>
    </row>
    <row r="79" spans="1:7" x14ac:dyDescent="0.25">
      <c r="A79" s="161">
        <v>11</v>
      </c>
      <c r="B79" s="163">
        <v>23.7</v>
      </c>
      <c r="C79" s="163">
        <v>68.3</v>
      </c>
      <c r="D79" s="163">
        <v>90.4</v>
      </c>
      <c r="E79" s="163">
        <v>27.2</v>
      </c>
      <c r="F79" s="163">
        <v>71</v>
      </c>
      <c r="G79" s="163">
        <v>96.5</v>
      </c>
    </row>
    <row r="80" spans="1:7" x14ac:dyDescent="0.25">
      <c r="A80" s="161">
        <v>12</v>
      </c>
      <c r="B80" s="163">
        <v>43.8</v>
      </c>
      <c r="C80" s="163">
        <v>50.2</v>
      </c>
      <c r="D80" s="163">
        <v>86.4</v>
      </c>
      <c r="E80" s="163">
        <v>44.8</v>
      </c>
      <c r="F80" s="163">
        <v>86.8</v>
      </c>
      <c r="G80" s="163">
        <v>104.9</v>
      </c>
    </row>
    <row r="81" spans="1:7" x14ac:dyDescent="0.25">
      <c r="A81" s="161">
        <v>13</v>
      </c>
      <c r="B81" s="163">
        <v>38.9</v>
      </c>
      <c r="C81" s="163">
        <v>66.400000000000006</v>
      </c>
      <c r="D81" s="163">
        <v>104.2</v>
      </c>
      <c r="E81" s="163">
        <v>36.299999999999997</v>
      </c>
      <c r="F81" s="163">
        <v>84.1</v>
      </c>
      <c r="G81" s="163">
        <v>109</v>
      </c>
    </row>
    <row r="82" spans="1:7" x14ac:dyDescent="0.25">
      <c r="A82" s="161">
        <v>14</v>
      </c>
      <c r="B82" s="163">
        <v>41.3</v>
      </c>
      <c r="C82" s="163">
        <v>62.8</v>
      </c>
      <c r="D82" s="163">
        <v>81.7</v>
      </c>
      <c r="E82" s="163">
        <v>28</v>
      </c>
      <c r="F82" s="163">
        <v>88.2</v>
      </c>
      <c r="G82" s="163">
        <v>117.4</v>
      </c>
    </row>
    <row r="83" spans="1:7" x14ac:dyDescent="0.25">
      <c r="A83" s="161">
        <v>15</v>
      </c>
      <c r="B83" s="163">
        <v>21.4</v>
      </c>
      <c r="C83" s="163">
        <v>62.1</v>
      </c>
      <c r="D83" s="163">
        <v>97.3</v>
      </c>
      <c r="E83" s="163">
        <v>45.8</v>
      </c>
      <c r="F83" s="163">
        <v>73.8</v>
      </c>
      <c r="G83" s="163">
        <v>96.1</v>
      </c>
    </row>
    <row r="84" spans="1:7" x14ac:dyDescent="0.25">
      <c r="A84" s="161">
        <v>16</v>
      </c>
      <c r="B84" s="163">
        <v>27.7</v>
      </c>
      <c r="C84" s="163">
        <v>55.1</v>
      </c>
      <c r="D84" s="163">
        <v>90.4</v>
      </c>
      <c r="E84" s="163"/>
      <c r="F84" s="163"/>
      <c r="G84" s="163"/>
    </row>
    <row r="85" spans="1:7" ht="14.5" thickBot="1" x14ac:dyDescent="0.3">
      <c r="A85" s="166">
        <v>17</v>
      </c>
      <c r="B85" s="168">
        <v>45.5</v>
      </c>
      <c r="C85" s="168">
        <v>63.6</v>
      </c>
      <c r="D85" s="168">
        <v>80.099999999999994</v>
      </c>
      <c r="E85" s="168"/>
      <c r="F85" s="168"/>
      <c r="G85" s="168"/>
    </row>
    <row r="86" spans="1:7" ht="14.5" thickTop="1" x14ac:dyDescent="0.25">
      <c r="A86" s="603" t="s">
        <v>187</v>
      </c>
      <c r="B86" s="604"/>
      <c r="C86" s="604"/>
      <c r="D86" s="604"/>
      <c r="E86" s="604"/>
      <c r="F86" s="604"/>
      <c r="G86" s="605"/>
    </row>
    <row r="87" spans="1:7" ht="14.5" x14ac:dyDescent="0.3">
      <c r="A87" s="160"/>
      <c r="B87" s="593" t="s">
        <v>170</v>
      </c>
      <c r="C87" s="606"/>
      <c r="D87" s="594"/>
      <c r="E87" s="593" t="s">
        <v>171</v>
      </c>
      <c r="F87" s="606"/>
      <c r="G87" s="594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37.299999999999997</v>
      </c>
      <c r="C89" s="163">
        <v>63.2</v>
      </c>
      <c r="D89" s="163">
        <v>72.400000000000006</v>
      </c>
      <c r="E89" s="163">
        <v>38.299999999999997</v>
      </c>
      <c r="F89" s="163">
        <v>77.3</v>
      </c>
      <c r="G89" s="163">
        <v>101.3</v>
      </c>
    </row>
    <row r="90" spans="1:7" x14ac:dyDescent="0.25">
      <c r="A90" s="161">
        <v>2</v>
      </c>
      <c r="B90" s="163">
        <v>28.7</v>
      </c>
      <c r="C90" s="163">
        <v>57.2</v>
      </c>
      <c r="D90" s="163">
        <v>85.9</v>
      </c>
      <c r="E90" s="163">
        <v>53.3</v>
      </c>
      <c r="F90" s="163">
        <v>88.7</v>
      </c>
      <c r="G90" s="163">
        <v>106.7</v>
      </c>
    </row>
    <row r="91" spans="1:7" x14ac:dyDescent="0.25">
      <c r="A91" s="161">
        <v>3</v>
      </c>
      <c r="B91" s="163">
        <v>38.4</v>
      </c>
      <c r="C91" s="163">
        <v>63.4</v>
      </c>
      <c r="D91" s="163">
        <v>95.3</v>
      </c>
      <c r="E91" s="163">
        <v>52.5</v>
      </c>
      <c r="F91" s="163">
        <v>67.5</v>
      </c>
      <c r="G91" s="163">
        <v>115</v>
      </c>
    </row>
    <row r="92" spans="1:7" x14ac:dyDescent="0.25">
      <c r="A92" s="161">
        <v>4</v>
      </c>
      <c r="B92" s="163">
        <v>34.6</v>
      </c>
      <c r="C92" s="163">
        <v>55.3</v>
      </c>
      <c r="D92" s="163">
        <v>97.2</v>
      </c>
      <c r="E92" s="163">
        <v>28.6</v>
      </c>
      <c r="F92" s="163">
        <v>73.599999999999994</v>
      </c>
      <c r="G92" s="163">
        <v>116.2</v>
      </c>
    </row>
    <row r="93" spans="1:7" x14ac:dyDescent="0.25">
      <c r="A93" s="161">
        <v>5</v>
      </c>
      <c r="B93" s="163">
        <v>16.3</v>
      </c>
      <c r="C93" s="163">
        <v>65.099999999999994</v>
      </c>
      <c r="D93" s="163">
        <v>83.9</v>
      </c>
      <c r="E93" s="163">
        <v>58.1</v>
      </c>
      <c r="F93" s="163">
        <v>81</v>
      </c>
      <c r="G93" s="163">
        <v>114.4</v>
      </c>
    </row>
    <row r="94" spans="1:7" x14ac:dyDescent="0.25">
      <c r="A94" s="161">
        <v>6</v>
      </c>
      <c r="B94" s="163">
        <v>15</v>
      </c>
      <c r="C94" s="163">
        <v>55.2</v>
      </c>
      <c r="D94" s="163">
        <v>79</v>
      </c>
      <c r="E94" s="163">
        <v>30.5</v>
      </c>
      <c r="F94" s="163">
        <v>68.5</v>
      </c>
      <c r="G94" s="163">
        <v>92.6</v>
      </c>
    </row>
    <row r="95" spans="1:7" x14ac:dyDescent="0.25">
      <c r="A95" s="161">
        <v>7</v>
      </c>
      <c r="B95" s="163">
        <v>27.4</v>
      </c>
      <c r="C95" s="163">
        <v>67.900000000000006</v>
      </c>
      <c r="D95" s="163">
        <v>79.099999999999994</v>
      </c>
      <c r="E95" s="163">
        <v>42</v>
      </c>
      <c r="F95" s="163">
        <v>63.6</v>
      </c>
      <c r="G95" s="163">
        <v>117.6</v>
      </c>
    </row>
    <row r="96" spans="1:7" x14ac:dyDescent="0.25">
      <c r="A96" s="161">
        <v>8</v>
      </c>
      <c r="B96" s="163">
        <v>22.1</v>
      </c>
      <c r="C96" s="163">
        <v>61.6</v>
      </c>
      <c r="D96" s="163">
        <v>96.3</v>
      </c>
      <c r="E96" s="162"/>
      <c r="F96" s="162"/>
      <c r="G96" s="162"/>
    </row>
    <row r="97" spans="1:7" x14ac:dyDescent="0.25">
      <c r="A97" s="161">
        <v>9</v>
      </c>
      <c r="B97" s="163">
        <v>29.8</v>
      </c>
      <c r="C97" s="163">
        <v>60.3</v>
      </c>
      <c r="D97" s="163">
        <v>78.2</v>
      </c>
      <c r="E97" s="162"/>
      <c r="F97" s="162"/>
      <c r="G97" s="162"/>
    </row>
    <row r="98" spans="1:7" x14ac:dyDescent="0.25">
      <c r="A98" s="161">
        <v>10</v>
      </c>
      <c r="B98" s="163">
        <v>33.5</v>
      </c>
      <c r="C98" s="163">
        <v>56.5</v>
      </c>
      <c r="D98" s="163">
        <v>72.5</v>
      </c>
      <c r="E98" s="162"/>
      <c r="F98" s="162"/>
      <c r="G98" s="162"/>
    </row>
    <row r="99" spans="1:7" x14ac:dyDescent="0.25">
      <c r="A99" s="161">
        <v>11</v>
      </c>
      <c r="B99" s="163">
        <v>39.5</v>
      </c>
      <c r="C99" s="163">
        <v>50.8</v>
      </c>
      <c r="D99" s="163">
        <v>77.3</v>
      </c>
      <c r="E99" s="162"/>
      <c r="F99" s="162"/>
      <c r="G99" s="162"/>
    </row>
    <row r="100" spans="1:7" x14ac:dyDescent="0.25">
      <c r="A100" s="161">
        <v>12</v>
      </c>
      <c r="B100" s="163">
        <v>20.5</v>
      </c>
      <c r="C100" s="163">
        <v>67.099999999999994</v>
      </c>
      <c r="D100" s="163">
        <v>104.4</v>
      </c>
      <c r="E100" s="162"/>
      <c r="F100" s="162"/>
      <c r="G100" s="162"/>
    </row>
    <row r="101" spans="1:7" x14ac:dyDescent="0.25">
      <c r="A101" s="161">
        <v>13</v>
      </c>
      <c r="B101" s="163">
        <v>42.7</v>
      </c>
      <c r="C101" s="163">
        <v>64.900000000000006</v>
      </c>
      <c r="D101" s="163">
        <v>110</v>
      </c>
      <c r="E101" s="162"/>
      <c r="F101" s="162"/>
      <c r="G101" s="162"/>
    </row>
    <row r="102" spans="1:7" x14ac:dyDescent="0.25">
      <c r="A102" s="161">
        <v>14</v>
      </c>
      <c r="B102" s="163">
        <v>28.9</v>
      </c>
      <c r="C102" s="163">
        <v>68.3</v>
      </c>
      <c r="D102" s="163">
        <v>80.599999999999994</v>
      </c>
      <c r="E102" s="162"/>
      <c r="F102" s="162"/>
      <c r="G102" s="162"/>
    </row>
    <row r="103" spans="1:7" x14ac:dyDescent="0.25">
      <c r="A103" s="161">
        <v>15</v>
      </c>
      <c r="B103" s="163">
        <v>20.8</v>
      </c>
      <c r="C103" s="163">
        <v>55.4</v>
      </c>
      <c r="D103" s="163">
        <v>89.8</v>
      </c>
      <c r="E103" s="162"/>
      <c r="F103" s="162"/>
      <c r="G103" s="162"/>
    </row>
    <row r="104" spans="1:7" x14ac:dyDescent="0.25">
      <c r="A104" s="161">
        <v>16</v>
      </c>
      <c r="B104" s="163">
        <v>29.3</v>
      </c>
      <c r="C104" s="163">
        <v>55.1</v>
      </c>
      <c r="D104" s="163">
        <v>77.7</v>
      </c>
      <c r="E104" s="162"/>
      <c r="F104" s="162"/>
      <c r="G104" s="162"/>
    </row>
    <row r="105" spans="1:7" x14ac:dyDescent="0.25">
      <c r="A105" s="161">
        <v>17</v>
      </c>
      <c r="B105" s="163">
        <v>38.299999999999997</v>
      </c>
      <c r="C105" s="163">
        <v>52</v>
      </c>
      <c r="D105" s="163">
        <v>83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72.5</v>
      </c>
      <c r="E106" s="168"/>
      <c r="F106" s="168"/>
      <c r="G106" s="168"/>
    </row>
    <row r="107" spans="1:7" ht="14.5" thickTop="1" x14ac:dyDescent="0.25">
      <c r="A107" s="603" t="s">
        <v>188</v>
      </c>
      <c r="B107" s="604"/>
      <c r="C107" s="604"/>
      <c r="D107" s="604"/>
      <c r="E107" s="604"/>
      <c r="F107" s="604"/>
      <c r="G107" s="605"/>
    </row>
    <row r="108" spans="1:7" ht="14.5" x14ac:dyDescent="0.3">
      <c r="A108" s="160"/>
      <c r="B108" s="593" t="s">
        <v>170</v>
      </c>
      <c r="C108" s="606"/>
      <c r="D108" s="594"/>
      <c r="E108" s="593" t="s">
        <v>171</v>
      </c>
      <c r="F108" s="606"/>
      <c r="G108" s="594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46.4</v>
      </c>
      <c r="C110" s="163">
        <v>63.2</v>
      </c>
      <c r="D110" s="163">
        <v>76.7</v>
      </c>
      <c r="E110" s="163">
        <v>50</v>
      </c>
      <c r="F110" s="163">
        <v>81</v>
      </c>
      <c r="G110" s="163">
        <v>103.4</v>
      </c>
    </row>
    <row r="111" spans="1:7" x14ac:dyDescent="0.25">
      <c r="A111" s="161">
        <v>2</v>
      </c>
      <c r="B111" s="163">
        <v>22.9</v>
      </c>
      <c r="C111" s="163">
        <v>67.099999999999994</v>
      </c>
      <c r="D111" s="163">
        <v>88.5</v>
      </c>
      <c r="E111" s="163">
        <v>46.3</v>
      </c>
      <c r="F111" s="163">
        <v>82.5</v>
      </c>
      <c r="G111" s="163">
        <v>114.6</v>
      </c>
    </row>
    <row r="112" spans="1:7" ht="14.5" thickBot="1" x14ac:dyDescent="0.3">
      <c r="A112" s="166">
        <v>3</v>
      </c>
      <c r="B112" s="168"/>
      <c r="C112" s="168"/>
      <c r="D112" s="168"/>
      <c r="E112" s="168">
        <v>26.9</v>
      </c>
      <c r="F112" s="168">
        <v>86.4</v>
      </c>
      <c r="G112" s="168">
        <v>94.6</v>
      </c>
    </row>
    <row r="113" spans="1:7" ht="14.5" thickTop="1" x14ac:dyDescent="0.25">
      <c r="A113" s="603" t="s">
        <v>189</v>
      </c>
      <c r="B113" s="604"/>
      <c r="C113" s="604"/>
      <c r="D113" s="604"/>
      <c r="E113" s="604"/>
      <c r="F113" s="604"/>
      <c r="G113" s="605"/>
    </row>
    <row r="114" spans="1:7" ht="14.5" x14ac:dyDescent="0.3">
      <c r="A114" s="160"/>
      <c r="B114" s="593" t="s">
        <v>170</v>
      </c>
      <c r="C114" s="606"/>
      <c r="D114" s="594"/>
      <c r="E114" s="593" t="s">
        <v>171</v>
      </c>
      <c r="F114" s="606"/>
      <c r="G114" s="594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48.5</v>
      </c>
      <c r="C116" s="163">
        <v>66.400000000000006</v>
      </c>
      <c r="D116" s="163">
        <v>71.2</v>
      </c>
      <c r="E116" s="163">
        <v>36.5</v>
      </c>
      <c r="F116" s="163">
        <v>78.7</v>
      </c>
      <c r="G116" s="163">
        <v>101.1</v>
      </c>
    </row>
    <row r="117" spans="1:7" x14ac:dyDescent="0.25">
      <c r="A117" s="161">
        <v>2</v>
      </c>
      <c r="B117" s="163">
        <v>28.5</v>
      </c>
      <c r="C117" s="163">
        <v>63</v>
      </c>
      <c r="D117" s="163">
        <v>109.1</v>
      </c>
      <c r="E117" s="163">
        <v>44.9</v>
      </c>
      <c r="F117" s="163">
        <v>84.9</v>
      </c>
      <c r="G117" s="163">
        <v>106.6</v>
      </c>
    </row>
    <row r="118" spans="1:7" x14ac:dyDescent="0.25">
      <c r="A118" s="161">
        <v>3</v>
      </c>
      <c r="B118" s="163">
        <v>41.9</v>
      </c>
      <c r="C118" s="163">
        <v>52.7</v>
      </c>
      <c r="D118" s="163">
        <v>75.8</v>
      </c>
      <c r="E118" s="163">
        <v>38.9</v>
      </c>
      <c r="F118" s="163">
        <v>60.1</v>
      </c>
      <c r="G118" s="163">
        <v>90.7</v>
      </c>
    </row>
    <row r="119" spans="1:7" x14ac:dyDescent="0.25">
      <c r="A119" s="161">
        <v>4</v>
      </c>
      <c r="B119" s="163">
        <v>15.9</v>
      </c>
      <c r="C119" s="163">
        <v>58.9</v>
      </c>
      <c r="D119" s="163">
        <v>71.099999999999994</v>
      </c>
      <c r="E119" s="163">
        <v>34.700000000000003</v>
      </c>
      <c r="F119" s="163">
        <v>72.8</v>
      </c>
      <c r="G119" s="163">
        <v>107.4</v>
      </c>
    </row>
    <row r="120" spans="1:7" x14ac:dyDescent="0.25">
      <c r="A120" s="161">
        <v>5</v>
      </c>
      <c r="B120" s="162"/>
      <c r="C120" s="162"/>
      <c r="D120" s="162"/>
      <c r="E120" s="163">
        <v>49.8</v>
      </c>
      <c r="F120" s="163">
        <v>62.9</v>
      </c>
      <c r="G120" s="163">
        <v>109.2</v>
      </c>
    </row>
    <row r="121" spans="1:7" x14ac:dyDescent="0.25">
      <c r="A121" s="161">
        <v>6</v>
      </c>
      <c r="B121" s="162"/>
      <c r="C121" s="162"/>
      <c r="D121" s="162"/>
      <c r="E121" s="163">
        <v>42.4</v>
      </c>
      <c r="F121" s="163">
        <v>83.4</v>
      </c>
      <c r="G121" s="163">
        <v>90.8</v>
      </c>
    </row>
    <row r="122" spans="1:7" x14ac:dyDescent="0.25">
      <c r="A122" s="161">
        <v>7</v>
      </c>
      <c r="B122" s="162"/>
      <c r="C122" s="162"/>
      <c r="D122" s="162"/>
      <c r="E122" s="163">
        <v>29.6</v>
      </c>
      <c r="F122" s="163">
        <v>74.599999999999994</v>
      </c>
      <c r="G122" s="163">
        <v>107.1</v>
      </c>
    </row>
    <row r="123" spans="1:7" x14ac:dyDescent="0.25">
      <c r="A123" s="161">
        <v>8</v>
      </c>
      <c r="B123" s="162"/>
      <c r="C123" s="162"/>
      <c r="D123" s="162"/>
      <c r="E123" s="163">
        <v>58.8</v>
      </c>
      <c r="F123" s="163">
        <v>84.2</v>
      </c>
      <c r="G123" s="163">
        <v>109.4</v>
      </c>
    </row>
    <row r="124" spans="1:7" ht="14.5" thickBot="1" x14ac:dyDescent="0.3">
      <c r="A124" s="166">
        <v>9</v>
      </c>
      <c r="B124" s="168"/>
      <c r="C124" s="168"/>
      <c r="D124" s="168"/>
      <c r="E124" s="168">
        <v>28.4</v>
      </c>
      <c r="F124" s="168">
        <v>82.9</v>
      </c>
      <c r="G124" s="168">
        <v>119.8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60.85</v>
      </c>
      <c r="C129" s="170">
        <f>AVERAGE(E5:G7)</f>
        <v>81.844444444444449</v>
      </c>
      <c r="D129" s="161">
        <f>'2021.1'!D129</f>
        <v>2166</v>
      </c>
      <c r="E129" s="161">
        <v>4355</v>
      </c>
      <c r="F129" s="161">
        <f>D129*B129</f>
        <v>131801.1</v>
      </c>
      <c r="G129" s="161">
        <f>E129*C129</f>
        <v>356432.55555555556</v>
      </c>
    </row>
    <row r="130" spans="1:7" x14ac:dyDescent="0.25">
      <c r="A130" s="162" t="str">
        <f>A8</f>
        <v>Dongyuan Huangtian swine Farm</v>
      </c>
      <c r="B130" s="169">
        <f>AVERAGE((B11:D15))</f>
        <v>57.126666666666665</v>
      </c>
      <c r="C130" s="169">
        <f>AVERAGE(E11:G11)</f>
        <v>72.600000000000009</v>
      </c>
      <c r="D130" s="161">
        <f>'2021.1'!D130</f>
        <v>6431</v>
      </c>
      <c r="E130" s="161">
        <v>1447</v>
      </c>
      <c r="F130" s="161">
        <f t="shared" ref="F130:G137" si="0">D130*B130</f>
        <v>367381.59333333332</v>
      </c>
      <c r="G130" s="161">
        <f t="shared" si="0"/>
        <v>105052.20000000001</v>
      </c>
    </row>
    <row r="131" spans="1:7" x14ac:dyDescent="0.25">
      <c r="A131" s="162" t="str">
        <f>A16</f>
        <v>Enping Shahu swine  Farm</v>
      </c>
      <c r="B131" s="169">
        <f>AVERAGE(B19:D33)</f>
        <v>60.382222222222225</v>
      </c>
      <c r="C131" s="169">
        <f>AVERAGE(E19:G28)</f>
        <v>72.813333333333333</v>
      </c>
      <c r="D131" s="161">
        <f>'2021.1'!D131</f>
        <v>23413</v>
      </c>
      <c r="E131" s="161">
        <v>15536</v>
      </c>
      <c r="F131" s="161">
        <f t="shared" si="0"/>
        <v>1413728.9688888891</v>
      </c>
      <c r="G131" s="161">
        <f t="shared" si="0"/>
        <v>1131227.9466666665</v>
      </c>
    </row>
    <row r="132" spans="1:7" x14ac:dyDescent="0.25">
      <c r="A132" s="162" t="str">
        <f>A34</f>
        <v>Langtian Yuehui swine Farm</v>
      </c>
      <c r="B132" s="169">
        <f>AVERAGE(B37:D55)</f>
        <v>62.050877192982448</v>
      </c>
      <c r="C132" s="169">
        <f>AVERAGE(E37:G43)</f>
        <v>76.880952380952394</v>
      </c>
      <c r="D132" s="161">
        <f>'2021.1'!D132</f>
        <v>29497</v>
      </c>
      <c r="E132" s="161">
        <v>10176</v>
      </c>
      <c r="F132" s="161">
        <f t="shared" si="0"/>
        <v>1830314.7245614033</v>
      </c>
      <c r="G132" s="161">
        <f t="shared" si="0"/>
        <v>782340.57142857159</v>
      </c>
    </row>
    <row r="133" spans="1:7" x14ac:dyDescent="0.25">
      <c r="A133" s="162" t="str">
        <f>A56</f>
        <v>Qujiang Fengwan swine Farm</v>
      </c>
      <c r="B133" s="169">
        <f>AVERAGE(B59:D65)</f>
        <v>60.209523809523816</v>
      </c>
      <c r="C133" s="169">
        <f>AVERAGE(E59:G65)</f>
        <v>73.357142857142875</v>
      </c>
      <c r="D133" s="161">
        <f>'2021.1'!D133</f>
        <v>9686</v>
      </c>
      <c r="E133" s="161">
        <v>11361</v>
      </c>
      <c r="F133" s="161">
        <f t="shared" si="0"/>
        <v>583189.44761904771</v>
      </c>
      <c r="G133" s="161">
        <f t="shared" si="0"/>
        <v>833410.50000000023</v>
      </c>
    </row>
    <row r="134" spans="1:7" x14ac:dyDescent="0.25">
      <c r="A134" s="162" t="str">
        <f>A66</f>
        <v>Pingyuan Zhongshi swine Farm</v>
      </c>
      <c r="B134" s="169">
        <f>AVERAGE(B69:D85)</f>
        <v>62.029411764705891</v>
      </c>
      <c r="C134" s="169">
        <f>AVERAGE(E69:G83)</f>
        <v>74.293333333333337</v>
      </c>
      <c r="D134" s="161">
        <f>'2021.1'!D134</f>
        <v>26358</v>
      </c>
      <c r="E134" s="161">
        <v>23594</v>
      </c>
      <c r="F134" s="161">
        <f t="shared" si="0"/>
        <v>1634971.2352941178</v>
      </c>
      <c r="G134" s="161">
        <f t="shared" si="0"/>
        <v>1752876.9066666667</v>
      </c>
    </row>
    <row r="135" spans="1:7" x14ac:dyDescent="0.25">
      <c r="A135" s="162" t="str">
        <f>A86</f>
        <v>Yangchun Tanshui swine Farm</v>
      </c>
      <c r="B135" s="169">
        <f>AVERAGE(B89:D106)</f>
        <v>58.798076923076934</v>
      </c>
      <c r="C135" s="169">
        <f>AVERAGE(E89:G95)</f>
        <v>75.585714285714275</v>
      </c>
      <c r="D135" s="161">
        <f>'2021.1'!D135</f>
        <v>26581</v>
      </c>
      <c r="E135" s="161">
        <v>11677</v>
      </c>
      <c r="F135" s="161">
        <f t="shared" si="0"/>
        <v>1562911.682692308</v>
      </c>
      <c r="G135" s="161">
        <f t="shared" si="0"/>
        <v>882614.38571428554</v>
      </c>
    </row>
    <row r="136" spans="1:7" x14ac:dyDescent="0.25">
      <c r="A136" s="162" t="str">
        <f>A107</f>
        <v>Xinfeng Shatian swine Farm</v>
      </c>
      <c r="B136" s="169">
        <f>AVERAGE(B110:D112)</f>
        <v>60.800000000000004</v>
      </c>
      <c r="C136" s="169">
        <f>AVERAGE(E110:G112)</f>
        <v>76.188888888888883</v>
      </c>
      <c r="D136" s="161">
        <f>'2021.1'!D136</f>
        <v>2074</v>
      </c>
      <c r="E136" s="161">
        <v>3798</v>
      </c>
      <c r="F136" s="161">
        <f t="shared" si="0"/>
        <v>126099.20000000001</v>
      </c>
      <c r="G136" s="161">
        <f t="shared" si="0"/>
        <v>289365.39999999997</v>
      </c>
    </row>
    <row r="137" spans="1:7" x14ac:dyDescent="0.25">
      <c r="A137" s="162" t="str">
        <f>A113</f>
        <v>Kaiping Cangcheng swine Farm</v>
      </c>
      <c r="B137" s="169">
        <f>AVERAGE(B116:D119)</f>
        <v>58.583333333333336</v>
      </c>
      <c r="C137" s="169">
        <f>AVERAGE(E116:G124)</f>
        <v>73.725925925925935</v>
      </c>
      <c r="D137" s="161">
        <f>'2021.1'!D137</f>
        <v>5872</v>
      </c>
      <c r="E137" s="161">
        <v>13998</v>
      </c>
      <c r="F137" s="161">
        <f t="shared" si="0"/>
        <v>344001.33333333337</v>
      </c>
      <c r="G137" s="161">
        <f t="shared" si="0"/>
        <v>1032015.5111111113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95942</v>
      </c>
      <c r="F138" s="161">
        <f t="shared" ref="F138:G138" si="1">SUM(F129:F137)</f>
        <v>7994399.2857224327</v>
      </c>
      <c r="G138" s="161">
        <f t="shared" si="1"/>
        <v>7165335.9771428565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60.5</v>
      </c>
      <c r="D142" s="171">
        <f>ROUNDDOWN(G138/E138,1)</f>
        <v>74.599999999999994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26098-6D3F-4555-B7C6-AEC3F652C7CC}">
  <dimension ref="A1:G142"/>
  <sheetViews>
    <sheetView topLeftCell="A4"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607" t="s">
        <v>181</v>
      </c>
      <c r="B2" s="608"/>
      <c r="C2" s="608"/>
      <c r="D2" s="608"/>
      <c r="E2" s="608"/>
      <c r="F2" s="608"/>
      <c r="G2" s="609"/>
    </row>
    <row r="3" spans="1:7" ht="14.5" x14ac:dyDescent="0.3">
      <c r="A3" s="160"/>
      <c r="B3" s="593" t="s">
        <v>170</v>
      </c>
      <c r="C3" s="606"/>
      <c r="D3" s="594"/>
      <c r="E3" s="593" t="s">
        <v>171</v>
      </c>
      <c r="F3" s="606"/>
      <c r="G3" s="594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17.7</v>
      </c>
      <c r="C5" s="163">
        <v>51</v>
      </c>
      <c r="D5" s="163">
        <v>100.3</v>
      </c>
      <c r="E5" s="163">
        <v>33.9</v>
      </c>
      <c r="F5" s="163">
        <v>74.8</v>
      </c>
      <c r="G5" s="163">
        <v>95</v>
      </c>
    </row>
    <row r="6" spans="1:7" x14ac:dyDescent="0.25">
      <c r="A6" s="161">
        <v>2</v>
      </c>
      <c r="B6" s="163">
        <v>32.6</v>
      </c>
      <c r="C6" s="163">
        <v>63.9</v>
      </c>
      <c r="D6" s="163">
        <v>77.5</v>
      </c>
      <c r="E6" s="163">
        <v>54.8</v>
      </c>
      <c r="F6" s="163">
        <v>64.400000000000006</v>
      </c>
      <c r="G6" s="163">
        <v>97.4</v>
      </c>
    </row>
    <row r="7" spans="1:7" ht="14.5" thickBot="1" x14ac:dyDescent="0.3">
      <c r="A7" s="164">
        <v>3</v>
      </c>
      <c r="B7" s="165"/>
      <c r="C7" s="165"/>
      <c r="D7" s="165"/>
      <c r="E7" s="165">
        <v>51.1</v>
      </c>
      <c r="F7" s="165">
        <v>66.400000000000006</v>
      </c>
      <c r="G7" s="165">
        <v>109.5</v>
      </c>
    </row>
    <row r="8" spans="1:7" ht="14.5" thickTop="1" x14ac:dyDescent="0.25">
      <c r="A8" s="603" t="s">
        <v>182</v>
      </c>
      <c r="B8" s="604"/>
      <c r="C8" s="604"/>
      <c r="D8" s="604"/>
      <c r="E8" s="604"/>
      <c r="F8" s="604"/>
      <c r="G8" s="605"/>
    </row>
    <row r="9" spans="1:7" ht="14.5" x14ac:dyDescent="0.3">
      <c r="A9" s="160"/>
      <c r="B9" s="593" t="s">
        <v>170</v>
      </c>
      <c r="C9" s="606"/>
      <c r="D9" s="594"/>
      <c r="E9" s="593" t="s">
        <v>171</v>
      </c>
      <c r="F9" s="606"/>
      <c r="G9" s="594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47.5</v>
      </c>
      <c r="C11" s="163">
        <v>52.6</v>
      </c>
      <c r="D11" s="163">
        <v>83.2</v>
      </c>
      <c r="E11" s="163">
        <v>55.3</v>
      </c>
      <c r="F11" s="163">
        <v>62.5</v>
      </c>
      <c r="G11" s="163">
        <v>93.1</v>
      </c>
    </row>
    <row r="12" spans="1:7" x14ac:dyDescent="0.25">
      <c r="A12" s="161">
        <v>2</v>
      </c>
      <c r="B12" s="163">
        <v>43.7</v>
      </c>
      <c r="C12" s="163">
        <v>58.3</v>
      </c>
      <c r="D12" s="163">
        <v>90</v>
      </c>
      <c r="E12" s="163"/>
      <c r="F12" s="163"/>
      <c r="G12" s="163"/>
    </row>
    <row r="13" spans="1:7" x14ac:dyDescent="0.25">
      <c r="A13" s="161">
        <v>3</v>
      </c>
      <c r="B13" s="163">
        <v>36.299999999999997</v>
      </c>
      <c r="C13" s="163">
        <v>52</v>
      </c>
      <c r="D13" s="163">
        <v>91.8</v>
      </c>
      <c r="E13" s="162"/>
      <c r="F13" s="162"/>
      <c r="G13" s="162"/>
    </row>
    <row r="14" spans="1:7" x14ac:dyDescent="0.25">
      <c r="A14" s="161">
        <v>4</v>
      </c>
      <c r="B14" s="163">
        <v>44.6</v>
      </c>
      <c r="C14" s="163">
        <v>62.8</v>
      </c>
      <c r="D14" s="163">
        <v>105.7</v>
      </c>
      <c r="E14" s="162"/>
      <c r="F14" s="162"/>
      <c r="G14" s="162"/>
    </row>
    <row r="15" spans="1:7" ht="14.5" thickBot="1" x14ac:dyDescent="0.3">
      <c r="A15" s="164">
        <v>5</v>
      </c>
      <c r="B15" s="165">
        <v>27</v>
      </c>
      <c r="C15" s="165">
        <v>51.8</v>
      </c>
      <c r="D15" s="165">
        <v>92.3</v>
      </c>
      <c r="E15" s="165"/>
      <c r="F15" s="165"/>
      <c r="G15" s="165"/>
    </row>
    <row r="16" spans="1:7" ht="14.5" thickTop="1" x14ac:dyDescent="0.25">
      <c r="A16" s="603" t="s">
        <v>183</v>
      </c>
      <c r="B16" s="604"/>
      <c r="C16" s="604"/>
      <c r="D16" s="604"/>
      <c r="E16" s="604"/>
      <c r="F16" s="604"/>
      <c r="G16" s="605"/>
    </row>
    <row r="17" spans="1:7" ht="14.5" x14ac:dyDescent="0.3">
      <c r="A17" s="160"/>
      <c r="B17" s="593" t="s">
        <v>170</v>
      </c>
      <c r="C17" s="606"/>
      <c r="D17" s="594"/>
      <c r="E17" s="593" t="s">
        <v>171</v>
      </c>
      <c r="F17" s="606"/>
      <c r="G17" s="594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35.200000000000003</v>
      </c>
      <c r="C19" s="163">
        <v>57.8</v>
      </c>
      <c r="D19" s="163">
        <v>90.7</v>
      </c>
      <c r="E19" s="163">
        <v>49.7</v>
      </c>
      <c r="F19" s="163">
        <v>80.400000000000006</v>
      </c>
      <c r="G19" s="163">
        <v>103.3</v>
      </c>
    </row>
    <row r="20" spans="1:7" x14ac:dyDescent="0.25">
      <c r="A20" s="161">
        <v>2</v>
      </c>
      <c r="B20" s="163">
        <v>32.700000000000003</v>
      </c>
      <c r="C20" s="163">
        <v>54.3</v>
      </c>
      <c r="D20" s="163">
        <v>100.8</v>
      </c>
      <c r="E20" s="163">
        <v>26.8</v>
      </c>
      <c r="F20" s="163">
        <v>61.7</v>
      </c>
      <c r="G20" s="163">
        <v>116.2</v>
      </c>
    </row>
    <row r="21" spans="1:7" x14ac:dyDescent="0.25">
      <c r="A21" s="161">
        <v>3</v>
      </c>
      <c r="B21" s="163">
        <v>46.3</v>
      </c>
      <c r="C21" s="163">
        <v>51.4</v>
      </c>
      <c r="D21" s="163">
        <v>72.099999999999994</v>
      </c>
      <c r="E21" s="163">
        <v>37.9</v>
      </c>
      <c r="F21" s="163">
        <v>81</v>
      </c>
      <c r="G21" s="163">
        <v>108.7</v>
      </c>
    </row>
    <row r="22" spans="1:7" x14ac:dyDescent="0.25">
      <c r="A22" s="161">
        <v>4</v>
      </c>
      <c r="B22" s="163">
        <v>38.9</v>
      </c>
      <c r="C22" s="163">
        <v>58.3</v>
      </c>
      <c r="D22" s="163">
        <v>87.1</v>
      </c>
      <c r="E22" s="163">
        <v>49</v>
      </c>
      <c r="F22" s="163">
        <v>79.3</v>
      </c>
      <c r="G22" s="163">
        <v>112.6</v>
      </c>
    </row>
    <row r="23" spans="1:7" x14ac:dyDescent="0.25">
      <c r="A23" s="161">
        <v>5</v>
      </c>
      <c r="B23" s="163">
        <v>25.2</v>
      </c>
      <c r="C23" s="163">
        <v>62.2</v>
      </c>
      <c r="D23" s="163">
        <v>105.1</v>
      </c>
      <c r="E23" s="163">
        <v>44.7</v>
      </c>
      <c r="F23" s="163">
        <v>82.5</v>
      </c>
      <c r="G23" s="163">
        <v>92.6</v>
      </c>
    </row>
    <row r="24" spans="1:7" x14ac:dyDescent="0.25">
      <c r="A24" s="161">
        <v>6</v>
      </c>
      <c r="B24" s="163">
        <v>36</v>
      </c>
      <c r="C24" s="163">
        <v>67.599999999999994</v>
      </c>
      <c r="D24" s="163">
        <v>77.8</v>
      </c>
      <c r="E24" s="163">
        <v>50.4</v>
      </c>
      <c r="F24" s="163">
        <v>89.2</v>
      </c>
      <c r="G24" s="163">
        <v>114.1</v>
      </c>
    </row>
    <row r="25" spans="1:7" x14ac:dyDescent="0.25">
      <c r="A25" s="161">
        <v>7</v>
      </c>
      <c r="B25" s="163">
        <v>38</v>
      </c>
      <c r="C25" s="163">
        <v>56.8</v>
      </c>
      <c r="D25" s="163">
        <v>97.6</v>
      </c>
      <c r="E25" s="163">
        <v>34.200000000000003</v>
      </c>
      <c r="F25" s="163">
        <v>67.8</v>
      </c>
      <c r="G25" s="163">
        <v>118</v>
      </c>
    </row>
    <row r="26" spans="1:7" x14ac:dyDescent="0.25">
      <c r="A26" s="161">
        <v>8</v>
      </c>
      <c r="B26" s="163">
        <v>44.3</v>
      </c>
      <c r="C26" s="163">
        <v>51.7</v>
      </c>
      <c r="D26" s="163">
        <v>108.8</v>
      </c>
      <c r="E26" s="163">
        <v>58.1</v>
      </c>
      <c r="F26" s="163">
        <v>78</v>
      </c>
      <c r="G26" s="163">
        <v>107.9</v>
      </c>
    </row>
    <row r="27" spans="1:7" x14ac:dyDescent="0.25">
      <c r="A27" s="161">
        <v>9</v>
      </c>
      <c r="B27" s="163">
        <v>18.8</v>
      </c>
      <c r="C27" s="163">
        <v>54.8</v>
      </c>
      <c r="D27" s="163">
        <v>95.7</v>
      </c>
      <c r="E27" s="163">
        <v>29.3</v>
      </c>
      <c r="F27" s="163">
        <v>86.3</v>
      </c>
      <c r="G27" s="163">
        <v>116.4</v>
      </c>
    </row>
    <row r="28" spans="1:7" x14ac:dyDescent="0.25">
      <c r="A28" s="161">
        <v>10</v>
      </c>
      <c r="B28" s="163">
        <v>39</v>
      </c>
      <c r="C28" s="163">
        <v>56.6</v>
      </c>
      <c r="D28" s="163">
        <v>101.4</v>
      </c>
      <c r="E28" s="163">
        <v>28.9</v>
      </c>
      <c r="F28" s="163">
        <v>82.9</v>
      </c>
      <c r="G28" s="163">
        <v>90.5</v>
      </c>
    </row>
    <row r="29" spans="1:7" x14ac:dyDescent="0.25">
      <c r="A29" s="161">
        <v>11</v>
      </c>
      <c r="B29" s="163">
        <v>30.9</v>
      </c>
      <c r="C29" s="163">
        <v>64.599999999999994</v>
      </c>
      <c r="D29" s="163">
        <v>107.6</v>
      </c>
      <c r="E29" s="163"/>
      <c r="F29" s="163"/>
      <c r="G29" s="163"/>
    </row>
    <row r="30" spans="1:7" x14ac:dyDescent="0.25">
      <c r="A30" s="161">
        <v>12</v>
      </c>
      <c r="B30" s="163">
        <v>38.6</v>
      </c>
      <c r="C30" s="163">
        <v>56</v>
      </c>
      <c r="D30" s="163">
        <v>87.4</v>
      </c>
      <c r="E30" s="163"/>
      <c r="F30" s="163"/>
      <c r="G30" s="163"/>
    </row>
    <row r="31" spans="1:7" x14ac:dyDescent="0.25">
      <c r="A31" s="161">
        <v>13</v>
      </c>
      <c r="B31" s="163">
        <v>41.7</v>
      </c>
      <c r="C31" s="163">
        <v>65.3</v>
      </c>
      <c r="D31" s="163">
        <v>95</v>
      </c>
      <c r="E31" s="163"/>
      <c r="F31" s="163"/>
      <c r="G31" s="163"/>
    </row>
    <row r="32" spans="1:7" x14ac:dyDescent="0.25">
      <c r="A32" s="161">
        <v>14</v>
      </c>
      <c r="B32" s="163">
        <v>44.9</v>
      </c>
      <c r="C32" s="163">
        <v>62.4</v>
      </c>
      <c r="D32" s="163">
        <v>101</v>
      </c>
      <c r="E32" s="163"/>
      <c r="F32" s="163"/>
      <c r="G32" s="163"/>
    </row>
    <row r="33" spans="1:7" ht="14.5" thickBot="1" x14ac:dyDescent="0.3">
      <c r="A33" s="166">
        <v>15</v>
      </c>
      <c r="B33" s="165">
        <v>34.700000000000003</v>
      </c>
      <c r="C33" s="165">
        <v>56.3</v>
      </c>
      <c r="D33" s="165">
        <v>95</v>
      </c>
      <c r="E33" s="165"/>
      <c r="F33" s="165"/>
      <c r="G33" s="165"/>
    </row>
    <row r="34" spans="1:7" ht="14.5" thickTop="1" x14ac:dyDescent="0.25">
      <c r="A34" s="603" t="s">
        <v>184</v>
      </c>
      <c r="B34" s="604"/>
      <c r="C34" s="604"/>
      <c r="D34" s="604"/>
      <c r="E34" s="604"/>
      <c r="F34" s="604"/>
      <c r="G34" s="605"/>
    </row>
    <row r="35" spans="1:7" ht="14.5" x14ac:dyDescent="0.3">
      <c r="A35" s="160"/>
      <c r="B35" s="593" t="s">
        <v>170</v>
      </c>
      <c r="C35" s="606"/>
      <c r="D35" s="594"/>
      <c r="E35" s="593" t="s">
        <v>171</v>
      </c>
      <c r="F35" s="606"/>
      <c r="G35" s="594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26.4</v>
      </c>
      <c r="C37" s="163">
        <v>64.2</v>
      </c>
      <c r="D37" s="163">
        <v>109.4</v>
      </c>
      <c r="E37" s="163">
        <v>58.9</v>
      </c>
      <c r="F37" s="163">
        <v>86.6</v>
      </c>
      <c r="G37" s="163">
        <v>94.3</v>
      </c>
    </row>
    <row r="38" spans="1:7" x14ac:dyDescent="0.25">
      <c r="A38" s="161">
        <v>2</v>
      </c>
      <c r="B38" s="163">
        <v>40.700000000000003</v>
      </c>
      <c r="C38" s="163">
        <v>64.599999999999994</v>
      </c>
      <c r="D38" s="163">
        <v>75.099999999999994</v>
      </c>
      <c r="E38" s="163">
        <v>27</v>
      </c>
      <c r="F38" s="163">
        <v>73.5</v>
      </c>
      <c r="G38" s="163">
        <v>98.8</v>
      </c>
    </row>
    <row r="39" spans="1:7" x14ac:dyDescent="0.25">
      <c r="A39" s="161">
        <v>3</v>
      </c>
      <c r="B39" s="163">
        <v>33.700000000000003</v>
      </c>
      <c r="C39" s="163">
        <v>62.8</v>
      </c>
      <c r="D39" s="163">
        <v>103.2</v>
      </c>
      <c r="E39" s="163">
        <v>53.8</v>
      </c>
      <c r="F39" s="163">
        <v>68.599999999999994</v>
      </c>
      <c r="G39" s="163">
        <v>108.6</v>
      </c>
    </row>
    <row r="40" spans="1:7" x14ac:dyDescent="0.25">
      <c r="A40" s="161">
        <v>4</v>
      </c>
      <c r="B40" s="163">
        <v>31.1</v>
      </c>
      <c r="C40" s="163">
        <v>53.2</v>
      </c>
      <c r="D40" s="163">
        <v>99.2</v>
      </c>
      <c r="E40" s="163">
        <v>27.2</v>
      </c>
      <c r="F40" s="163">
        <v>83.5</v>
      </c>
      <c r="G40" s="163">
        <v>107.1</v>
      </c>
    </row>
    <row r="41" spans="1:7" x14ac:dyDescent="0.25">
      <c r="A41" s="161">
        <v>5</v>
      </c>
      <c r="B41" s="163">
        <v>34.799999999999997</v>
      </c>
      <c r="C41" s="163">
        <v>69.2</v>
      </c>
      <c r="D41" s="163">
        <v>79.599999999999994</v>
      </c>
      <c r="E41" s="163">
        <v>35.4</v>
      </c>
      <c r="F41" s="163">
        <v>80.7</v>
      </c>
      <c r="G41" s="163">
        <v>101.6</v>
      </c>
    </row>
    <row r="42" spans="1:7" x14ac:dyDescent="0.25">
      <c r="A42" s="161">
        <v>6</v>
      </c>
      <c r="B42" s="163">
        <v>49.2</v>
      </c>
      <c r="C42" s="163">
        <v>67.900000000000006</v>
      </c>
      <c r="D42" s="163">
        <v>89.5</v>
      </c>
      <c r="E42" s="163">
        <v>35.6</v>
      </c>
      <c r="F42" s="163">
        <v>71.900000000000006</v>
      </c>
      <c r="G42" s="163">
        <v>96.9</v>
      </c>
    </row>
    <row r="43" spans="1:7" x14ac:dyDescent="0.25">
      <c r="A43" s="161">
        <v>7</v>
      </c>
      <c r="B43" s="163">
        <v>24.7</v>
      </c>
      <c r="C43" s="163">
        <v>52.5</v>
      </c>
      <c r="D43" s="163">
        <v>101.6</v>
      </c>
      <c r="E43" s="163">
        <v>51.1</v>
      </c>
      <c r="F43" s="163">
        <v>85.1</v>
      </c>
      <c r="G43" s="163">
        <v>92.2</v>
      </c>
    </row>
    <row r="44" spans="1:7" x14ac:dyDescent="0.25">
      <c r="A44" s="161">
        <v>8</v>
      </c>
      <c r="B44" s="163">
        <v>47.4</v>
      </c>
      <c r="C44" s="163">
        <v>53</v>
      </c>
      <c r="D44" s="163">
        <v>85.8</v>
      </c>
      <c r="E44" s="162"/>
      <c r="F44" s="162"/>
      <c r="G44" s="162"/>
    </row>
    <row r="45" spans="1:7" x14ac:dyDescent="0.25">
      <c r="A45" s="161">
        <v>9</v>
      </c>
      <c r="B45" s="163">
        <v>32.9</v>
      </c>
      <c r="C45" s="163">
        <v>55.9</v>
      </c>
      <c r="D45" s="163">
        <v>99.8</v>
      </c>
      <c r="E45" s="162"/>
      <c r="F45" s="162"/>
      <c r="G45" s="162"/>
    </row>
    <row r="46" spans="1:7" x14ac:dyDescent="0.25">
      <c r="A46" s="161">
        <v>10</v>
      </c>
      <c r="B46" s="163">
        <v>26.3</v>
      </c>
      <c r="C46" s="163">
        <v>60.4</v>
      </c>
      <c r="D46" s="163">
        <v>98.3</v>
      </c>
      <c r="E46" s="162"/>
      <c r="F46" s="162"/>
      <c r="G46" s="162"/>
    </row>
    <row r="47" spans="1:7" x14ac:dyDescent="0.25">
      <c r="A47" s="161">
        <v>11</v>
      </c>
      <c r="B47" s="163">
        <v>24.5</v>
      </c>
      <c r="C47" s="163">
        <v>68.7</v>
      </c>
      <c r="D47" s="163">
        <v>101.9</v>
      </c>
      <c r="E47" s="162"/>
      <c r="F47" s="162"/>
      <c r="G47" s="162"/>
    </row>
    <row r="48" spans="1:7" x14ac:dyDescent="0.25">
      <c r="A48" s="161">
        <v>12</v>
      </c>
      <c r="B48" s="163">
        <v>47.5</v>
      </c>
      <c r="C48" s="163">
        <v>62.2</v>
      </c>
      <c r="D48" s="163">
        <v>71</v>
      </c>
      <c r="E48" s="162"/>
      <c r="F48" s="162"/>
      <c r="G48" s="162"/>
    </row>
    <row r="49" spans="1:7" x14ac:dyDescent="0.25">
      <c r="A49" s="161">
        <v>13</v>
      </c>
      <c r="B49" s="163">
        <v>15.8</v>
      </c>
      <c r="C49" s="163">
        <v>66.400000000000006</v>
      </c>
      <c r="D49" s="163">
        <v>104.6</v>
      </c>
      <c r="E49" s="162"/>
      <c r="F49" s="162"/>
      <c r="G49" s="162"/>
    </row>
    <row r="50" spans="1:7" x14ac:dyDescent="0.25">
      <c r="A50" s="161">
        <v>14</v>
      </c>
      <c r="B50" s="163">
        <v>24.4</v>
      </c>
      <c r="C50" s="163">
        <v>55.8</v>
      </c>
      <c r="D50" s="163">
        <v>92.5</v>
      </c>
      <c r="E50" s="162"/>
      <c r="F50" s="162"/>
      <c r="G50" s="162"/>
    </row>
    <row r="51" spans="1:7" x14ac:dyDescent="0.25">
      <c r="A51" s="161">
        <v>15</v>
      </c>
      <c r="B51" s="163">
        <v>19.100000000000001</v>
      </c>
      <c r="C51" s="163">
        <v>66.2</v>
      </c>
      <c r="D51" s="163">
        <v>93.9</v>
      </c>
      <c r="E51" s="162"/>
      <c r="F51" s="162"/>
      <c r="G51" s="162"/>
    </row>
    <row r="52" spans="1:7" x14ac:dyDescent="0.25">
      <c r="A52" s="161">
        <v>16</v>
      </c>
      <c r="B52" s="163">
        <v>47.7</v>
      </c>
      <c r="C52" s="163">
        <v>56.7</v>
      </c>
      <c r="D52" s="163">
        <v>90.4</v>
      </c>
      <c r="E52" s="162"/>
      <c r="F52" s="162"/>
      <c r="G52" s="162"/>
    </row>
    <row r="53" spans="1:7" x14ac:dyDescent="0.25">
      <c r="A53" s="161">
        <v>17</v>
      </c>
      <c r="B53" s="163">
        <v>35.5</v>
      </c>
      <c r="C53" s="163">
        <v>54</v>
      </c>
      <c r="D53" s="163">
        <v>72</v>
      </c>
      <c r="E53" s="162"/>
      <c r="F53" s="162"/>
      <c r="G53" s="162"/>
    </row>
    <row r="54" spans="1:7" x14ac:dyDescent="0.25">
      <c r="A54" s="161">
        <v>18</v>
      </c>
      <c r="B54" s="163">
        <v>48.9</v>
      </c>
      <c r="C54" s="163">
        <v>51.6</v>
      </c>
      <c r="D54" s="163">
        <v>83</v>
      </c>
      <c r="E54" s="162"/>
      <c r="F54" s="162"/>
      <c r="G54" s="162"/>
    </row>
    <row r="55" spans="1:7" ht="14.5" thickBot="1" x14ac:dyDescent="0.3">
      <c r="A55" s="164">
        <v>19</v>
      </c>
      <c r="B55" s="165">
        <v>32.299999999999997</v>
      </c>
      <c r="C55" s="165">
        <v>51.6</v>
      </c>
      <c r="D55" s="165">
        <v>104.2</v>
      </c>
      <c r="E55" s="165"/>
      <c r="F55" s="165"/>
      <c r="G55" s="165"/>
    </row>
    <row r="56" spans="1:7" ht="14.5" thickTop="1" x14ac:dyDescent="0.25">
      <c r="A56" s="603" t="s">
        <v>185</v>
      </c>
      <c r="B56" s="604"/>
      <c r="C56" s="604"/>
      <c r="D56" s="604"/>
      <c r="E56" s="604"/>
      <c r="F56" s="604"/>
      <c r="G56" s="605"/>
    </row>
    <row r="57" spans="1:7" ht="14.5" x14ac:dyDescent="0.3">
      <c r="A57" s="160"/>
      <c r="B57" s="593" t="s">
        <v>170</v>
      </c>
      <c r="C57" s="606"/>
      <c r="D57" s="594"/>
      <c r="E57" s="593" t="s">
        <v>171</v>
      </c>
      <c r="F57" s="606"/>
      <c r="G57" s="594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43.8</v>
      </c>
      <c r="C59" s="163">
        <v>65.8</v>
      </c>
      <c r="D59" s="163">
        <v>103.6</v>
      </c>
      <c r="E59" s="163">
        <v>28.4</v>
      </c>
      <c r="F59" s="163">
        <v>82.4</v>
      </c>
      <c r="G59" s="163">
        <v>104.7</v>
      </c>
    </row>
    <row r="60" spans="1:7" x14ac:dyDescent="0.25">
      <c r="A60" s="161">
        <v>2</v>
      </c>
      <c r="B60" s="163">
        <v>41.5</v>
      </c>
      <c r="C60" s="163">
        <v>59.3</v>
      </c>
      <c r="D60" s="163">
        <v>105.4</v>
      </c>
      <c r="E60" s="163">
        <v>39.9</v>
      </c>
      <c r="F60" s="163">
        <v>60.2</v>
      </c>
      <c r="G60" s="163">
        <v>104.3</v>
      </c>
    </row>
    <row r="61" spans="1:7" x14ac:dyDescent="0.25">
      <c r="A61" s="161">
        <v>3</v>
      </c>
      <c r="B61" s="163">
        <v>19.600000000000001</v>
      </c>
      <c r="C61" s="163">
        <v>66.599999999999994</v>
      </c>
      <c r="D61" s="163">
        <v>79.3</v>
      </c>
      <c r="E61" s="163">
        <v>57.6</v>
      </c>
      <c r="F61" s="163">
        <v>74.2</v>
      </c>
      <c r="G61" s="163">
        <v>118.3</v>
      </c>
    </row>
    <row r="62" spans="1:7" x14ac:dyDescent="0.25">
      <c r="A62" s="161">
        <v>4</v>
      </c>
      <c r="B62" s="163">
        <v>19.600000000000001</v>
      </c>
      <c r="C62" s="163">
        <v>65.599999999999994</v>
      </c>
      <c r="D62" s="163">
        <v>78.7</v>
      </c>
      <c r="E62" s="163">
        <v>57.8</v>
      </c>
      <c r="F62" s="163">
        <v>65.2</v>
      </c>
      <c r="G62" s="163">
        <v>91.7</v>
      </c>
    </row>
    <row r="63" spans="1:7" x14ac:dyDescent="0.25">
      <c r="A63" s="161">
        <v>5</v>
      </c>
      <c r="B63" s="163">
        <v>24</v>
      </c>
      <c r="C63" s="163">
        <v>54.8</v>
      </c>
      <c r="D63" s="163">
        <v>101.4</v>
      </c>
      <c r="E63" s="163">
        <v>32.799999999999997</v>
      </c>
      <c r="F63" s="163">
        <v>75</v>
      </c>
      <c r="G63" s="163">
        <v>110.8</v>
      </c>
    </row>
    <row r="64" spans="1:7" x14ac:dyDescent="0.25">
      <c r="A64" s="167">
        <v>6</v>
      </c>
      <c r="B64" s="163">
        <v>37.9</v>
      </c>
      <c r="C64" s="163">
        <v>68.599999999999994</v>
      </c>
      <c r="D64" s="163">
        <v>91.2</v>
      </c>
      <c r="E64" s="163">
        <v>33.799999999999997</v>
      </c>
      <c r="F64" s="163">
        <v>68.7</v>
      </c>
      <c r="G64" s="163">
        <v>108.5</v>
      </c>
    </row>
    <row r="65" spans="1:7" ht="14.5" thickBot="1" x14ac:dyDescent="0.3">
      <c r="A65" s="164">
        <v>7</v>
      </c>
      <c r="B65" s="165">
        <v>23.9</v>
      </c>
      <c r="C65" s="165">
        <v>50.6</v>
      </c>
      <c r="D65" s="165">
        <v>99.5</v>
      </c>
      <c r="E65" s="165">
        <v>37.5</v>
      </c>
      <c r="F65" s="165">
        <v>76.2</v>
      </c>
      <c r="G65" s="165">
        <v>115.1</v>
      </c>
    </row>
    <row r="66" spans="1:7" ht="14.5" thickTop="1" x14ac:dyDescent="0.25">
      <c r="A66" s="603" t="s">
        <v>186</v>
      </c>
      <c r="B66" s="604"/>
      <c r="C66" s="604"/>
      <c r="D66" s="604"/>
      <c r="E66" s="604"/>
      <c r="F66" s="604"/>
      <c r="G66" s="605"/>
    </row>
    <row r="67" spans="1:7" ht="14.5" x14ac:dyDescent="0.3">
      <c r="A67" s="160"/>
      <c r="B67" s="593" t="s">
        <v>170</v>
      </c>
      <c r="C67" s="606"/>
      <c r="D67" s="594"/>
      <c r="E67" s="593" t="s">
        <v>171</v>
      </c>
      <c r="F67" s="606"/>
      <c r="G67" s="594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18.2</v>
      </c>
      <c r="C69" s="163">
        <v>66.7</v>
      </c>
      <c r="D69" s="163">
        <v>83.8</v>
      </c>
      <c r="E69" s="163">
        <v>35</v>
      </c>
      <c r="F69" s="163">
        <v>74.900000000000006</v>
      </c>
      <c r="G69" s="163">
        <v>113.3</v>
      </c>
    </row>
    <row r="70" spans="1:7" x14ac:dyDescent="0.25">
      <c r="A70" s="161">
        <v>2</v>
      </c>
      <c r="B70" s="163">
        <v>26.1</v>
      </c>
      <c r="C70" s="163">
        <v>56.2</v>
      </c>
      <c r="D70" s="163">
        <v>78.099999999999994</v>
      </c>
      <c r="E70" s="163">
        <v>33.200000000000003</v>
      </c>
      <c r="F70" s="163">
        <v>86.6</v>
      </c>
      <c r="G70" s="163">
        <v>107.4</v>
      </c>
    </row>
    <row r="71" spans="1:7" x14ac:dyDescent="0.25">
      <c r="A71" s="161">
        <v>3</v>
      </c>
      <c r="B71" s="163">
        <v>19.399999999999999</v>
      </c>
      <c r="C71" s="163">
        <v>54.4</v>
      </c>
      <c r="D71" s="163">
        <v>84.3</v>
      </c>
      <c r="E71" s="163">
        <v>26.7</v>
      </c>
      <c r="F71" s="163">
        <v>72.2</v>
      </c>
      <c r="G71" s="163">
        <v>114.4</v>
      </c>
    </row>
    <row r="72" spans="1:7" x14ac:dyDescent="0.25">
      <c r="A72" s="161">
        <v>4</v>
      </c>
      <c r="B72" s="163">
        <v>39.9</v>
      </c>
      <c r="C72" s="163">
        <v>65.2</v>
      </c>
      <c r="D72" s="163">
        <v>95.5</v>
      </c>
      <c r="E72" s="163">
        <v>36.700000000000003</v>
      </c>
      <c r="F72" s="163">
        <v>65.8</v>
      </c>
      <c r="G72" s="163">
        <v>100.8</v>
      </c>
    </row>
    <row r="73" spans="1:7" x14ac:dyDescent="0.25">
      <c r="A73" s="161">
        <v>5</v>
      </c>
      <c r="B73" s="163">
        <v>22.7</v>
      </c>
      <c r="C73" s="163">
        <v>65.8</v>
      </c>
      <c r="D73" s="163">
        <v>96.3</v>
      </c>
      <c r="E73" s="163">
        <v>33.5</v>
      </c>
      <c r="F73" s="163">
        <v>79.2</v>
      </c>
      <c r="G73" s="163">
        <v>108.9</v>
      </c>
    </row>
    <row r="74" spans="1:7" x14ac:dyDescent="0.25">
      <c r="A74" s="161">
        <v>6</v>
      </c>
      <c r="B74" s="163">
        <v>50</v>
      </c>
      <c r="C74" s="163">
        <v>51.8</v>
      </c>
      <c r="D74" s="163">
        <v>103.2</v>
      </c>
      <c r="E74" s="163">
        <v>46.9</v>
      </c>
      <c r="F74" s="163">
        <v>67.599999999999994</v>
      </c>
      <c r="G74" s="163">
        <v>111.6</v>
      </c>
    </row>
    <row r="75" spans="1:7" x14ac:dyDescent="0.25">
      <c r="A75" s="161">
        <v>7</v>
      </c>
      <c r="B75" s="163">
        <v>17.3</v>
      </c>
      <c r="C75" s="163">
        <v>57.7</v>
      </c>
      <c r="D75" s="163">
        <v>95.1</v>
      </c>
      <c r="E75" s="163">
        <v>40.799999999999997</v>
      </c>
      <c r="F75" s="163">
        <v>64.8</v>
      </c>
      <c r="G75" s="163">
        <v>100.9</v>
      </c>
    </row>
    <row r="76" spans="1:7" x14ac:dyDescent="0.25">
      <c r="A76" s="161">
        <v>8</v>
      </c>
      <c r="B76" s="163">
        <v>18.600000000000001</v>
      </c>
      <c r="C76" s="163">
        <v>60.7</v>
      </c>
      <c r="D76" s="163">
        <v>76.400000000000006</v>
      </c>
      <c r="E76" s="163">
        <v>29.6</v>
      </c>
      <c r="F76" s="163">
        <v>69.7</v>
      </c>
      <c r="G76" s="163">
        <v>103.3</v>
      </c>
    </row>
    <row r="77" spans="1:7" x14ac:dyDescent="0.25">
      <c r="A77" s="161">
        <v>9</v>
      </c>
      <c r="B77" s="163">
        <v>35.1</v>
      </c>
      <c r="C77" s="163">
        <v>54.5</v>
      </c>
      <c r="D77" s="163">
        <v>95.7</v>
      </c>
      <c r="E77" s="163">
        <v>59.9</v>
      </c>
      <c r="F77" s="163">
        <v>70.5</v>
      </c>
      <c r="G77" s="163">
        <v>119.8</v>
      </c>
    </row>
    <row r="78" spans="1:7" x14ac:dyDescent="0.25">
      <c r="A78" s="161">
        <v>10</v>
      </c>
      <c r="B78" s="163">
        <v>32.299999999999997</v>
      </c>
      <c r="C78" s="163">
        <v>57.3</v>
      </c>
      <c r="D78" s="163">
        <v>96.6</v>
      </c>
      <c r="E78" s="163">
        <v>43.3</v>
      </c>
      <c r="F78" s="163">
        <v>76.599999999999994</v>
      </c>
      <c r="G78" s="163">
        <v>111.4</v>
      </c>
    </row>
    <row r="79" spans="1:7" x14ac:dyDescent="0.25">
      <c r="A79" s="161">
        <v>11</v>
      </c>
      <c r="B79" s="163">
        <v>42.8</v>
      </c>
      <c r="C79" s="163">
        <v>59.1</v>
      </c>
      <c r="D79" s="163">
        <v>103.8</v>
      </c>
      <c r="E79" s="163">
        <v>27</v>
      </c>
      <c r="F79" s="163">
        <v>65.8</v>
      </c>
      <c r="G79" s="163">
        <v>91.6</v>
      </c>
    </row>
    <row r="80" spans="1:7" x14ac:dyDescent="0.25">
      <c r="A80" s="161">
        <v>12</v>
      </c>
      <c r="B80" s="163">
        <v>40.1</v>
      </c>
      <c r="C80" s="163">
        <v>61</v>
      </c>
      <c r="D80" s="163">
        <v>105.4</v>
      </c>
      <c r="E80" s="163">
        <v>51.2</v>
      </c>
      <c r="F80" s="163">
        <v>83</v>
      </c>
      <c r="G80" s="163">
        <v>116</v>
      </c>
    </row>
    <row r="81" spans="1:7" x14ac:dyDescent="0.25">
      <c r="A81" s="161">
        <v>13</v>
      </c>
      <c r="B81" s="163">
        <v>22.6</v>
      </c>
      <c r="C81" s="163">
        <v>67.900000000000006</v>
      </c>
      <c r="D81" s="163">
        <v>105</v>
      </c>
      <c r="E81" s="163">
        <v>48.4</v>
      </c>
      <c r="F81" s="163">
        <v>76.900000000000006</v>
      </c>
      <c r="G81" s="163">
        <v>96.4</v>
      </c>
    </row>
    <row r="82" spans="1:7" x14ac:dyDescent="0.25">
      <c r="A82" s="161">
        <v>14</v>
      </c>
      <c r="B82" s="163">
        <v>29.2</v>
      </c>
      <c r="C82" s="163">
        <v>57.2</v>
      </c>
      <c r="D82" s="163">
        <v>71.599999999999994</v>
      </c>
      <c r="E82" s="163">
        <v>50.5</v>
      </c>
      <c r="F82" s="163">
        <v>67.099999999999994</v>
      </c>
      <c r="G82" s="163">
        <v>97.5</v>
      </c>
    </row>
    <row r="83" spans="1:7" x14ac:dyDescent="0.25">
      <c r="A83" s="161">
        <v>15</v>
      </c>
      <c r="B83" s="163">
        <v>38.6</v>
      </c>
      <c r="C83" s="163">
        <v>62.5</v>
      </c>
      <c r="D83" s="163">
        <v>97</v>
      </c>
      <c r="E83" s="163">
        <v>55.9</v>
      </c>
      <c r="F83" s="163">
        <v>74.8</v>
      </c>
      <c r="G83" s="163">
        <v>114.4</v>
      </c>
    </row>
    <row r="84" spans="1:7" x14ac:dyDescent="0.25">
      <c r="A84" s="161">
        <v>16</v>
      </c>
      <c r="B84" s="163">
        <v>20.7</v>
      </c>
      <c r="C84" s="163">
        <v>61.5</v>
      </c>
      <c r="D84" s="163">
        <v>102.4</v>
      </c>
      <c r="E84" s="163"/>
      <c r="F84" s="163"/>
      <c r="G84" s="163"/>
    </row>
    <row r="85" spans="1:7" ht="14.5" thickBot="1" x14ac:dyDescent="0.3">
      <c r="A85" s="166">
        <v>17</v>
      </c>
      <c r="B85" s="168">
        <v>21</v>
      </c>
      <c r="C85" s="168">
        <v>64.099999999999994</v>
      </c>
      <c r="D85" s="168">
        <v>88.3</v>
      </c>
      <c r="E85" s="168"/>
      <c r="F85" s="168"/>
      <c r="G85" s="168"/>
    </row>
    <row r="86" spans="1:7" ht="14.5" thickTop="1" x14ac:dyDescent="0.25">
      <c r="A86" s="603" t="s">
        <v>187</v>
      </c>
      <c r="B86" s="604"/>
      <c r="C86" s="604"/>
      <c r="D86" s="604"/>
      <c r="E86" s="604"/>
      <c r="F86" s="604"/>
      <c r="G86" s="605"/>
    </row>
    <row r="87" spans="1:7" ht="14.5" x14ac:dyDescent="0.3">
      <c r="A87" s="160"/>
      <c r="B87" s="593" t="s">
        <v>170</v>
      </c>
      <c r="C87" s="606"/>
      <c r="D87" s="594"/>
      <c r="E87" s="593" t="s">
        <v>171</v>
      </c>
      <c r="F87" s="606"/>
      <c r="G87" s="594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27.3</v>
      </c>
      <c r="C89" s="163">
        <v>50.9</v>
      </c>
      <c r="D89" s="163">
        <v>95.8</v>
      </c>
      <c r="E89" s="163">
        <v>30.3</v>
      </c>
      <c r="F89" s="163">
        <v>79.900000000000006</v>
      </c>
      <c r="G89" s="163">
        <v>113.4</v>
      </c>
    </row>
    <row r="90" spans="1:7" x14ac:dyDescent="0.25">
      <c r="A90" s="161">
        <v>2</v>
      </c>
      <c r="B90" s="163">
        <v>22.6</v>
      </c>
      <c r="C90" s="163">
        <v>60.1</v>
      </c>
      <c r="D90" s="163">
        <v>101.1</v>
      </c>
      <c r="E90" s="163">
        <v>40.4</v>
      </c>
      <c r="F90" s="163">
        <v>79.7</v>
      </c>
      <c r="G90" s="163">
        <v>118.8</v>
      </c>
    </row>
    <row r="91" spans="1:7" x14ac:dyDescent="0.25">
      <c r="A91" s="161">
        <v>3</v>
      </c>
      <c r="B91" s="163">
        <v>45</v>
      </c>
      <c r="C91" s="163">
        <v>56.4</v>
      </c>
      <c r="D91" s="163">
        <v>100.5</v>
      </c>
      <c r="E91" s="163">
        <v>29.3</v>
      </c>
      <c r="F91" s="163">
        <v>71.099999999999994</v>
      </c>
      <c r="G91" s="163">
        <v>114.3</v>
      </c>
    </row>
    <row r="92" spans="1:7" x14ac:dyDescent="0.25">
      <c r="A92" s="161">
        <v>4</v>
      </c>
      <c r="B92" s="163">
        <v>46.5</v>
      </c>
      <c r="C92" s="163">
        <v>60.1</v>
      </c>
      <c r="D92" s="163">
        <v>87.4</v>
      </c>
      <c r="E92" s="163">
        <v>46.6</v>
      </c>
      <c r="F92" s="163">
        <v>71.400000000000006</v>
      </c>
      <c r="G92" s="163">
        <v>108.3</v>
      </c>
    </row>
    <row r="93" spans="1:7" x14ac:dyDescent="0.25">
      <c r="A93" s="161">
        <v>5</v>
      </c>
      <c r="B93" s="163">
        <v>15.6</v>
      </c>
      <c r="C93" s="163">
        <v>68.099999999999994</v>
      </c>
      <c r="D93" s="163">
        <v>95.7</v>
      </c>
      <c r="E93" s="163">
        <v>48.4</v>
      </c>
      <c r="F93" s="163">
        <v>60.8</v>
      </c>
      <c r="G93" s="163">
        <v>114.1</v>
      </c>
    </row>
    <row r="94" spans="1:7" x14ac:dyDescent="0.25">
      <c r="A94" s="161">
        <v>6</v>
      </c>
      <c r="B94" s="163">
        <v>48.1</v>
      </c>
      <c r="C94" s="163">
        <v>66.3</v>
      </c>
      <c r="D94" s="163">
        <v>94.8</v>
      </c>
      <c r="E94" s="163">
        <v>25.2</v>
      </c>
      <c r="F94" s="163">
        <v>80.400000000000006</v>
      </c>
      <c r="G94" s="163">
        <v>93.2</v>
      </c>
    </row>
    <row r="95" spans="1:7" x14ac:dyDescent="0.25">
      <c r="A95" s="161">
        <v>7</v>
      </c>
      <c r="B95" s="163">
        <v>29.3</v>
      </c>
      <c r="C95" s="163">
        <v>50.1</v>
      </c>
      <c r="D95" s="163">
        <v>102</v>
      </c>
      <c r="E95" s="163">
        <v>47.9</v>
      </c>
      <c r="F95" s="163">
        <v>89.1</v>
      </c>
      <c r="G95" s="163">
        <v>110.7</v>
      </c>
    </row>
    <row r="96" spans="1:7" x14ac:dyDescent="0.25">
      <c r="A96" s="161">
        <v>8</v>
      </c>
      <c r="B96" s="163">
        <v>37.5</v>
      </c>
      <c r="C96" s="163">
        <v>59.4</v>
      </c>
      <c r="D96" s="163">
        <v>73.400000000000006</v>
      </c>
      <c r="E96" s="162"/>
      <c r="F96" s="162"/>
      <c r="G96" s="162"/>
    </row>
    <row r="97" spans="1:7" x14ac:dyDescent="0.25">
      <c r="A97" s="161">
        <v>9</v>
      </c>
      <c r="B97" s="163">
        <v>24.4</v>
      </c>
      <c r="C97" s="163">
        <v>55.5</v>
      </c>
      <c r="D97" s="163">
        <v>106.2</v>
      </c>
      <c r="E97" s="162"/>
      <c r="F97" s="162"/>
      <c r="G97" s="162"/>
    </row>
    <row r="98" spans="1:7" x14ac:dyDescent="0.25">
      <c r="A98" s="161">
        <v>10</v>
      </c>
      <c r="B98" s="163">
        <v>35.299999999999997</v>
      </c>
      <c r="C98" s="163">
        <v>69.7</v>
      </c>
      <c r="D98" s="163">
        <v>85.5</v>
      </c>
      <c r="E98" s="162"/>
      <c r="F98" s="162"/>
      <c r="G98" s="162"/>
    </row>
    <row r="99" spans="1:7" x14ac:dyDescent="0.25">
      <c r="A99" s="161">
        <v>11</v>
      </c>
      <c r="B99" s="163">
        <v>46.1</v>
      </c>
      <c r="C99" s="163">
        <v>54.7</v>
      </c>
      <c r="D99" s="163">
        <v>95.6</v>
      </c>
      <c r="E99" s="162"/>
      <c r="F99" s="162"/>
      <c r="G99" s="162"/>
    </row>
    <row r="100" spans="1:7" x14ac:dyDescent="0.25">
      <c r="A100" s="161">
        <v>12</v>
      </c>
      <c r="B100" s="163">
        <v>29.2</v>
      </c>
      <c r="C100" s="163">
        <v>65.5</v>
      </c>
      <c r="D100" s="163">
        <v>81.3</v>
      </c>
      <c r="E100" s="162"/>
      <c r="F100" s="162"/>
      <c r="G100" s="162"/>
    </row>
    <row r="101" spans="1:7" x14ac:dyDescent="0.25">
      <c r="A101" s="161">
        <v>13</v>
      </c>
      <c r="B101" s="163">
        <v>22.2</v>
      </c>
      <c r="C101" s="163">
        <v>50</v>
      </c>
      <c r="D101" s="163">
        <v>80.7</v>
      </c>
      <c r="E101" s="162"/>
      <c r="F101" s="162"/>
      <c r="G101" s="162"/>
    </row>
    <row r="102" spans="1:7" x14ac:dyDescent="0.25">
      <c r="A102" s="161">
        <v>14</v>
      </c>
      <c r="B102" s="163">
        <v>38.1</v>
      </c>
      <c r="C102" s="163">
        <v>51.3</v>
      </c>
      <c r="D102" s="163">
        <v>75.2</v>
      </c>
      <c r="E102" s="162"/>
      <c r="F102" s="162"/>
      <c r="G102" s="162"/>
    </row>
    <row r="103" spans="1:7" x14ac:dyDescent="0.25">
      <c r="A103" s="161">
        <v>15</v>
      </c>
      <c r="B103" s="163">
        <v>43.6</v>
      </c>
      <c r="C103" s="163">
        <v>70</v>
      </c>
      <c r="D103" s="163">
        <v>105.2</v>
      </c>
      <c r="E103" s="162"/>
      <c r="F103" s="162"/>
      <c r="G103" s="162"/>
    </row>
    <row r="104" spans="1:7" x14ac:dyDescent="0.25">
      <c r="A104" s="161">
        <v>16</v>
      </c>
      <c r="B104" s="163">
        <v>35</v>
      </c>
      <c r="C104" s="163">
        <v>55.2</v>
      </c>
      <c r="D104" s="163">
        <v>86.5</v>
      </c>
      <c r="E104" s="162"/>
      <c r="F104" s="162"/>
      <c r="G104" s="162"/>
    </row>
    <row r="105" spans="1:7" x14ac:dyDescent="0.25">
      <c r="A105" s="161">
        <v>17</v>
      </c>
      <c r="B105" s="163">
        <v>39.1</v>
      </c>
      <c r="C105" s="163">
        <v>59.8</v>
      </c>
      <c r="D105" s="163">
        <v>101.5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80.5</v>
      </c>
      <c r="E106" s="168"/>
      <c r="F106" s="168"/>
      <c r="G106" s="168"/>
    </row>
    <row r="107" spans="1:7" ht="14.5" thickTop="1" x14ac:dyDescent="0.25">
      <c r="A107" s="603" t="s">
        <v>188</v>
      </c>
      <c r="B107" s="604"/>
      <c r="C107" s="604"/>
      <c r="D107" s="604"/>
      <c r="E107" s="604"/>
      <c r="F107" s="604"/>
      <c r="G107" s="605"/>
    </row>
    <row r="108" spans="1:7" ht="14.5" x14ac:dyDescent="0.3">
      <c r="A108" s="160"/>
      <c r="B108" s="593" t="s">
        <v>170</v>
      </c>
      <c r="C108" s="606"/>
      <c r="D108" s="594"/>
      <c r="E108" s="593" t="s">
        <v>171</v>
      </c>
      <c r="F108" s="606"/>
      <c r="G108" s="594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37.700000000000003</v>
      </c>
      <c r="C110" s="163">
        <v>55.3</v>
      </c>
      <c r="D110" s="163">
        <v>87</v>
      </c>
      <c r="E110" s="163">
        <v>31.4</v>
      </c>
      <c r="F110" s="163">
        <v>62</v>
      </c>
      <c r="G110" s="163">
        <v>111.3</v>
      </c>
    </row>
    <row r="111" spans="1:7" x14ac:dyDescent="0.25">
      <c r="A111" s="161">
        <v>2</v>
      </c>
      <c r="B111" s="163">
        <v>19.399999999999999</v>
      </c>
      <c r="C111" s="163">
        <v>53.1</v>
      </c>
      <c r="D111" s="163">
        <v>87.7</v>
      </c>
      <c r="E111" s="163">
        <v>43.1</v>
      </c>
      <c r="F111" s="163">
        <v>74.3</v>
      </c>
      <c r="G111" s="163">
        <v>118.1</v>
      </c>
    </row>
    <row r="112" spans="1:7" ht="14.5" thickBot="1" x14ac:dyDescent="0.3">
      <c r="A112" s="166">
        <v>3</v>
      </c>
      <c r="B112" s="168"/>
      <c r="C112" s="168"/>
      <c r="D112" s="168"/>
      <c r="E112" s="168">
        <v>43.8</v>
      </c>
      <c r="F112" s="168">
        <v>88.8</v>
      </c>
      <c r="G112" s="168">
        <v>104.2</v>
      </c>
    </row>
    <row r="113" spans="1:7" ht="14.5" thickTop="1" x14ac:dyDescent="0.25">
      <c r="A113" s="603" t="s">
        <v>189</v>
      </c>
      <c r="B113" s="604"/>
      <c r="C113" s="604"/>
      <c r="D113" s="604"/>
      <c r="E113" s="604"/>
      <c r="F113" s="604"/>
      <c r="G113" s="605"/>
    </row>
    <row r="114" spans="1:7" ht="14.5" x14ac:dyDescent="0.3">
      <c r="A114" s="160"/>
      <c r="B114" s="593" t="s">
        <v>170</v>
      </c>
      <c r="C114" s="606"/>
      <c r="D114" s="594"/>
      <c r="E114" s="593" t="s">
        <v>171</v>
      </c>
      <c r="F114" s="606"/>
      <c r="G114" s="594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25.6</v>
      </c>
      <c r="C116" s="163">
        <v>61.3</v>
      </c>
      <c r="D116" s="163">
        <v>86.2</v>
      </c>
      <c r="E116" s="163">
        <v>33.799999999999997</v>
      </c>
      <c r="F116" s="163">
        <v>79.400000000000006</v>
      </c>
      <c r="G116" s="163">
        <v>112.1</v>
      </c>
    </row>
    <row r="117" spans="1:7" x14ac:dyDescent="0.25">
      <c r="A117" s="161">
        <v>2</v>
      </c>
      <c r="B117" s="163">
        <v>15.5</v>
      </c>
      <c r="C117" s="163">
        <v>60.9</v>
      </c>
      <c r="D117" s="163">
        <v>100.6</v>
      </c>
      <c r="E117" s="163">
        <v>38.299999999999997</v>
      </c>
      <c r="F117" s="163">
        <v>67.599999999999994</v>
      </c>
      <c r="G117" s="163">
        <v>98.3</v>
      </c>
    </row>
    <row r="118" spans="1:7" x14ac:dyDescent="0.25">
      <c r="A118" s="161">
        <v>3</v>
      </c>
      <c r="B118" s="163">
        <v>15.7</v>
      </c>
      <c r="C118" s="163">
        <v>63.4</v>
      </c>
      <c r="D118" s="163">
        <v>97.9</v>
      </c>
      <c r="E118" s="163">
        <v>38.9</v>
      </c>
      <c r="F118" s="163">
        <v>77.5</v>
      </c>
      <c r="G118" s="163">
        <v>118.9</v>
      </c>
    </row>
    <row r="119" spans="1:7" x14ac:dyDescent="0.25">
      <c r="A119" s="161">
        <v>4</v>
      </c>
      <c r="B119" s="163">
        <v>46.3</v>
      </c>
      <c r="C119" s="163">
        <v>52.1</v>
      </c>
      <c r="D119" s="163">
        <v>108.3</v>
      </c>
      <c r="E119" s="163">
        <v>25.6</v>
      </c>
      <c r="F119" s="163">
        <v>82.5</v>
      </c>
      <c r="G119" s="163">
        <v>100.1</v>
      </c>
    </row>
    <row r="120" spans="1:7" x14ac:dyDescent="0.25">
      <c r="A120" s="161">
        <v>5</v>
      </c>
      <c r="B120" s="162"/>
      <c r="C120" s="162"/>
      <c r="D120" s="162"/>
      <c r="E120" s="163">
        <v>33</v>
      </c>
      <c r="F120" s="163">
        <v>83.7</v>
      </c>
      <c r="G120" s="163">
        <v>109.9</v>
      </c>
    </row>
    <row r="121" spans="1:7" x14ac:dyDescent="0.25">
      <c r="A121" s="161">
        <v>6</v>
      </c>
      <c r="B121" s="162"/>
      <c r="C121" s="162"/>
      <c r="D121" s="162"/>
      <c r="E121" s="163">
        <v>43.6</v>
      </c>
      <c r="F121" s="163">
        <v>86</v>
      </c>
      <c r="G121" s="163">
        <v>112.1</v>
      </c>
    </row>
    <row r="122" spans="1:7" x14ac:dyDescent="0.25">
      <c r="A122" s="161">
        <v>7</v>
      </c>
      <c r="B122" s="162"/>
      <c r="C122" s="162"/>
      <c r="D122" s="162"/>
      <c r="E122" s="163">
        <v>30.4</v>
      </c>
      <c r="F122" s="163">
        <v>73.5</v>
      </c>
      <c r="G122" s="163">
        <v>117.1</v>
      </c>
    </row>
    <row r="123" spans="1:7" x14ac:dyDescent="0.25">
      <c r="A123" s="161">
        <v>8</v>
      </c>
      <c r="B123" s="162"/>
      <c r="C123" s="162"/>
      <c r="D123" s="162"/>
      <c r="E123" s="163">
        <v>54.8</v>
      </c>
      <c r="F123" s="163">
        <v>64.3</v>
      </c>
      <c r="G123" s="163">
        <v>109.8</v>
      </c>
    </row>
    <row r="124" spans="1:7" ht="14.5" thickBot="1" x14ac:dyDescent="0.3">
      <c r="A124" s="166">
        <v>9</v>
      </c>
      <c r="B124" s="168"/>
      <c r="C124" s="168"/>
      <c r="D124" s="168"/>
      <c r="E124" s="168">
        <v>51</v>
      </c>
      <c r="F124" s="168">
        <v>79.400000000000006</v>
      </c>
      <c r="G124" s="168">
        <v>115.6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57.166666666666664</v>
      </c>
      <c r="C129" s="170">
        <f>AVERAGE(E5:G7)</f>
        <v>71.922222222222217</v>
      </c>
      <c r="D129" s="161">
        <f>'2021.1'!D129</f>
        <v>2166</v>
      </c>
      <c r="E129" s="161">
        <v>4363</v>
      </c>
      <c r="F129" s="161">
        <f>D129*B129</f>
        <v>123823</v>
      </c>
      <c r="G129" s="161">
        <f>E129*C129</f>
        <v>313796.65555555554</v>
      </c>
    </row>
    <row r="130" spans="1:7" x14ac:dyDescent="0.25">
      <c r="A130" s="162" t="str">
        <f>A8</f>
        <v>Dongyuan Huangtian swine Farm</v>
      </c>
      <c r="B130" s="169">
        <f>AVERAGE((B11:D15))</f>
        <v>62.639999999999993</v>
      </c>
      <c r="C130" s="169">
        <f>AVERAGE(E11:G11)</f>
        <v>70.3</v>
      </c>
      <c r="D130" s="161">
        <f>'2021.1'!D130</f>
        <v>6431</v>
      </c>
      <c r="E130" s="161">
        <v>1443</v>
      </c>
      <c r="F130" s="161">
        <f t="shared" ref="F130:G137" si="0">D130*B130</f>
        <v>402837.83999999997</v>
      </c>
      <c r="G130" s="161">
        <f t="shared" si="0"/>
        <v>101442.9</v>
      </c>
    </row>
    <row r="131" spans="1:7" x14ac:dyDescent="0.25">
      <c r="A131" s="162" t="str">
        <f>A16</f>
        <v>Enping Shahu swine  Farm</v>
      </c>
      <c r="B131" s="169">
        <f>AVERAGE(B19:D33)</f>
        <v>63.208888888888893</v>
      </c>
      <c r="C131" s="169">
        <f>AVERAGE(E19:G28)</f>
        <v>75.946666666666673</v>
      </c>
      <c r="D131" s="161">
        <f>'2021.1'!D131</f>
        <v>23413</v>
      </c>
      <c r="E131" s="161">
        <v>15571</v>
      </c>
      <c r="F131" s="161">
        <f t="shared" si="0"/>
        <v>1479909.7155555557</v>
      </c>
      <c r="G131" s="161">
        <f t="shared" si="0"/>
        <v>1182565.5466666669</v>
      </c>
    </row>
    <row r="132" spans="1:7" x14ac:dyDescent="0.25">
      <c r="A132" s="162" t="str">
        <f>A34</f>
        <v>Langtian Yuehui swine Farm</v>
      </c>
      <c r="B132" s="169">
        <f>AVERAGE(B37:D55)</f>
        <v>62.0140350877193</v>
      </c>
      <c r="C132" s="169">
        <f>AVERAGE(E37:G43)</f>
        <v>73.257142857142867</v>
      </c>
      <c r="D132" s="161">
        <f>'2021.1'!D132</f>
        <v>29497</v>
      </c>
      <c r="E132" s="161">
        <v>10158</v>
      </c>
      <c r="F132" s="161">
        <f t="shared" si="0"/>
        <v>1829227.9929824562</v>
      </c>
      <c r="G132" s="161">
        <f t="shared" si="0"/>
        <v>744146.05714285723</v>
      </c>
    </row>
    <row r="133" spans="1:7" x14ac:dyDescent="0.25">
      <c r="A133" s="162" t="str">
        <f>A56</f>
        <v>Qujiang Fengwan swine Farm</v>
      </c>
      <c r="B133" s="169">
        <f>AVERAGE(B59:D65)</f>
        <v>61.938095238095244</v>
      </c>
      <c r="C133" s="169">
        <f>AVERAGE(E59:G65)</f>
        <v>73.480952380952374</v>
      </c>
      <c r="D133" s="161">
        <f>'2021.1'!D133</f>
        <v>9686</v>
      </c>
      <c r="E133" s="161">
        <v>11342</v>
      </c>
      <c r="F133" s="161">
        <f t="shared" si="0"/>
        <v>599932.39047619049</v>
      </c>
      <c r="G133" s="161">
        <f t="shared" si="0"/>
        <v>833420.96190476185</v>
      </c>
    </row>
    <row r="134" spans="1:7" x14ac:dyDescent="0.25">
      <c r="A134" s="162" t="str">
        <f>A66</f>
        <v>Pingyuan Zhongshi swine Farm</v>
      </c>
      <c r="B134" s="169">
        <f>AVERAGE(B69:D85)</f>
        <v>60.719607843137233</v>
      </c>
      <c r="C134" s="169">
        <f>AVERAGE(E69:G83)</f>
        <v>73.817777777777778</v>
      </c>
      <c r="D134" s="161">
        <f>'2021.1'!D134</f>
        <v>26358</v>
      </c>
      <c r="E134" s="161">
        <v>23606</v>
      </c>
      <c r="F134" s="161">
        <f t="shared" si="0"/>
        <v>1600447.4235294112</v>
      </c>
      <c r="G134" s="161">
        <f t="shared" si="0"/>
        <v>1742542.4622222222</v>
      </c>
    </row>
    <row r="135" spans="1:7" x14ac:dyDescent="0.25">
      <c r="A135" s="162" t="str">
        <f>A86</f>
        <v>Yangchun Tanshui swine Farm</v>
      </c>
      <c r="B135" s="169">
        <f>AVERAGE(B89:D106)</f>
        <v>62.248076923076908</v>
      </c>
      <c r="C135" s="169">
        <f>AVERAGE(E89:G95)</f>
        <v>74.919047619047618</v>
      </c>
      <c r="D135" s="161">
        <f>'2021.1'!D135</f>
        <v>26581</v>
      </c>
      <c r="E135" s="161">
        <v>11625</v>
      </c>
      <c r="F135" s="161">
        <f t="shared" si="0"/>
        <v>1654616.1326923072</v>
      </c>
      <c r="G135" s="161">
        <f t="shared" si="0"/>
        <v>870933.92857142852</v>
      </c>
    </row>
    <row r="136" spans="1:7" x14ac:dyDescent="0.25">
      <c r="A136" s="162" t="str">
        <f>A107</f>
        <v>Xinfeng Shatian swine Farm</v>
      </c>
      <c r="B136" s="169">
        <f>AVERAGE(B110:D112)</f>
        <v>56.699999999999996</v>
      </c>
      <c r="C136" s="169">
        <f>AVERAGE(E110:G112)</f>
        <v>75.222222222222229</v>
      </c>
      <c r="D136" s="161">
        <f>'2021.1'!D136</f>
        <v>2074</v>
      </c>
      <c r="E136" s="161">
        <v>3796</v>
      </c>
      <c r="F136" s="161">
        <f t="shared" si="0"/>
        <v>117595.79999999999</v>
      </c>
      <c r="G136" s="161">
        <f t="shared" si="0"/>
        <v>285543.55555555556</v>
      </c>
    </row>
    <row r="137" spans="1:7" x14ac:dyDescent="0.25">
      <c r="A137" s="162" t="str">
        <f>A113</f>
        <v>Kaiping Cangcheng swine Farm</v>
      </c>
      <c r="B137" s="169">
        <f>AVERAGE(B116:D119)</f>
        <v>61.15</v>
      </c>
      <c r="C137" s="169">
        <f>AVERAGE(E116:G124)</f>
        <v>75.451851851851842</v>
      </c>
      <c r="D137" s="161">
        <f>'2021.1'!D137</f>
        <v>5872</v>
      </c>
      <c r="E137" s="161">
        <v>14001</v>
      </c>
      <c r="F137" s="161">
        <f t="shared" si="0"/>
        <v>359072.8</v>
      </c>
      <c r="G137" s="161">
        <f t="shared" si="0"/>
        <v>1056401.3777777776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95905</v>
      </c>
      <c r="F138" s="161">
        <f t="shared" ref="F138:G138" si="1">SUM(F129:F137)</f>
        <v>8167463.0952359196</v>
      </c>
      <c r="G138" s="161">
        <f t="shared" si="1"/>
        <v>7130793.4453968247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61.8</v>
      </c>
      <c r="D142" s="171">
        <f>ROUNDDOWN(G138/E138,1)</f>
        <v>74.3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2B3E-5643-463D-9861-12D492A266D0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28.5</v>
      </c>
      <c r="C5" s="163">
        <v>61.3</v>
      </c>
      <c r="D5" s="163">
        <v>107.4</v>
      </c>
      <c r="E5" s="163">
        <v>45.6</v>
      </c>
      <c r="F5" s="163">
        <v>72.8</v>
      </c>
      <c r="G5" s="163">
        <v>109.3</v>
      </c>
    </row>
    <row r="6" spans="1:7" x14ac:dyDescent="0.25">
      <c r="A6" s="161">
        <v>2</v>
      </c>
      <c r="B6" s="163">
        <v>18.7</v>
      </c>
      <c r="C6" s="163">
        <v>67.7</v>
      </c>
      <c r="D6" s="163">
        <v>107.8</v>
      </c>
      <c r="E6" s="163">
        <v>33.799999999999997</v>
      </c>
      <c r="F6" s="163">
        <v>81.7</v>
      </c>
      <c r="G6" s="163">
        <v>108.7</v>
      </c>
    </row>
    <row r="7" spans="1:7" ht="14.5" thickBot="1" x14ac:dyDescent="0.3">
      <c r="A7" s="164">
        <v>3</v>
      </c>
      <c r="B7" s="165"/>
      <c r="C7" s="165"/>
      <c r="D7" s="165"/>
      <c r="E7" s="165">
        <v>34</v>
      </c>
      <c r="F7" s="165">
        <v>69.7</v>
      </c>
      <c r="G7" s="165">
        <v>97.3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47.9</v>
      </c>
      <c r="C11" s="163">
        <v>61.2</v>
      </c>
      <c r="D11" s="163">
        <v>98.5</v>
      </c>
      <c r="E11" s="163">
        <v>49</v>
      </c>
      <c r="F11" s="163">
        <v>62.4</v>
      </c>
      <c r="G11" s="163">
        <v>101.9</v>
      </c>
    </row>
    <row r="12" spans="1:7" x14ac:dyDescent="0.25">
      <c r="A12" s="161">
        <v>2</v>
      </c>
      <c r="B12" s="163">
        <v>15.4</v>
      </c>
      <c r="C12" s="163">
        <v>55.8</v>
      </c>
      <c r="D12" s="163">
        <v>75.099999999999994</v>
      </c>
      <c r="E12" s="163"/>
      <c r="F12" s="163"/>
      <c r="G12" s="163"/>
    </row>
    <row r="13" spans="1:7" x14ac:dyDescent="0.25">
      <c r="A13" s="161">
        <v>3</v>
      </c>
      <c r="B13" s="163">
        <v>17.8</v>
      </c>
      <c r="C13" s="163">
        <v>56.4</v>
      </c>
      <c r="D13" s="163">
        <v>90.9</v>
      </c>
      <c r="E13" s="162"/>
      <c r="F13" s="162"/>
      <c r="G13" s="162"/>
    </row>
    <row r="14" spans="1:7" x14ac:dyDescent="0.25">
      <c r="A14" s="161">
        <v>4</v>
      </c>
      <c r="B14" s="163">
        <v>41.6</v>
      </c>
      <c r="C14" s="163">
        <v>67.3</v>
      </c>
      <c r="D14" s="163">
        <v>73.599999999999994</v>
      </c>
      <c r="E14" s="162"/>
      <c r="F14" s="162"/>
      <c r="G14" s="162"/>
    </row>
    <row r="15" spans="1:7" ht="14.5" thickBot="1" x14ac:dyDescent="0.3">
      <c r="A15" s="164">
        <v>5</v>
      </c>
      <c r="B15" s="165">
        <v>42.1</v>
      </c>
      <c r="C15" s="165">
        <v>65</v>
      </c>
      <c r="D15" s="165">
        <v>85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16</v>
      </c>
      <c r="C19" s="163">
        <v>53.3</v>
      </c>
      <c r="D19" s="163">
        <v>99.9</v>
      </c>
      <c r="E19" s="163">
        <v>38.200000000000003</v>
      </c>
      <c r="F19" s="163">
        <v>83.6</v>
      </c>
      <c r="G19" s="163">
        <v>115</v>
      </c>
    </row>
    <row r="20" spans="1:7" x14ac:dyDescent="0.25">
      <c r="A20" s="161">
        <v>2</v>
      </c>
      <c r="B20" s="163">
        <v>24.9</v>
      </c>
      <c r="C20" s="163">
        <v>53.1</v>
      </c>
      <c r="D20" s="163">
        <v>106.1</v>
      </c>
      <c r="E20" s="163">
        <v>51.2</v>
      </c>
      <c r="F20" s="163">
        <v>71.8</v>
      </c>
      <c r="G20" s="163">
        <v>112.2</v>
      </c>
    </row>
    <row r="21" spans="1:7" x14ac:dyDescent="0.25">
      <c r="A21" s="161">
        <v>3</v>
      </c>
      <c r="B21" s="163">
        <v>22</v>
      </c>
      <c r="C21" s="163">
        <v>59.7</v>
      </c>
      <c r="D21" s="163">
        <v>72.5</v>
      </c>
      <c r="E21" s="163">
        <v>32.700000000000003</v>
      </c>
      <c r="F21" s="163">
        <v>87.9</v>
      </c>
      <c r="G21" s="163">
        <v>112.1</v>
      </c>
    </row>
    <row r="22" spans="1:7" x14ac:dyDescent="0.25">
      <c r="A22" s="161">
        <v>4</v>
      </c>
      <c r="B22" s="163">
        <v>21.2</v>
      </c>
      <c r="C22" s="163">
        <v>54.4</v>
      </c>
      <c r="D22" s="163">
        <v>87.3</v>
      </c>
      <c r="E22" s="163">
        <v>46.8</v>
      </c>
      <c r="F22" s="163">
        <v>79.2</v>
      </c>
      <c r="G22" s="163">
        <v>117.2</v>
      </c>
    </row>
    <row r="23" spans="1:7" x14ac:dyDescent="0.25">
      <c r="A23" s="161">
        <v>5</v>
      </c>
      <c r="B23" s="163">
        <v>47.1</v>
      </c>
      <c r="C23" s="163">
        <v>59.2</v>
      </c>
      <c r="D23" s="163">
        <v>93.1</v>
      </c>
      <c r="E23" s="163">
        <v>47.2</v>
      </c>
      <c r="F23" s="163">
        <v>85.3</v>
      </c>
      <c r="G23" s="163">
        <v>93.3</v>
      </c>
    </row>
    <row r="24" spans="1:7" x14ac:dyDescent="0.25">
      <c r="A24" s="161">
        <v>6</v>
      </c>
      <c r="B24" s="163">
        <v>24.3</v>
      </c>
      <c r="C24" s="163">
        <v>61.8</v>
      </c>
      <c r="D24" s="163">
        <v>97</v>
      </c>
      <c r="E24" s="163">
        <v>58.4</v>
      </c>
      <c r="F24" s="163">
        <v>86.1</v>
      </c>
      <c r="G24" s="163">
        <v>106.9</v>
      </c>
    </row>
    <row r="25" spans="1:7" x14ac:dyDescent="0.25">
      <c r="A25" s="161">
        <v>7</v>
      </c>
      <c r="B25" s="163">
        <v>47.2</v>
      </c>
      <c r="C25" s="163">
        <v>69.2</v>
      </c>
      <c r="D25" s="163">
        <v>83.5</v>
      </c>
      <c r="E25" s="163">
        <v>42</v>
      </c>
      <c r="F25" s="163">
        <v>81.2</v>
      </c>
      <c r="G25" s="163">
        <v>116.6</v>
      </c>
    </row>
    <row r="26" spans="1:7" x14ac:dyDescent="0.25">
      <c r="A26" s="161">
        <v>8</v>
      </c>
      <c r="B26" s="163">
        <v>47.7</v>
      </c>
      <c r="C26" s="163">
        <v>54.3</v>
      </c>
      <c r="D26" s="163">
        <v>99</v>
      </c>
      <c r="E26" s="163">
        <v>32</v>
      </c>
      <c r="F26" s="163">
        <v>88.8</v>
      </c>
      <c r="G26" s="163">
        <v>97.9</v>
      </c>
    </row>
    <row r="27" spans="1:7" x14ac:dyDescent="0.25">
      <c r="A27" s="161">
        <v>9</v>
      </c>
      <c r="B27" s="163">
        <v>26.9</v>
      </c>
      <c r="C27" s="163">
        <v>59.5</v>
      </c>
      <c r="D27" s="163">
        <v>76.400000000000006</v>
      </c>
      <c r="E27" s="163">
        <v>41.9</v>
      </c>
      <c r="F27" s="163">
        <v>62.8</v>
      </c>
      <c r="G27" s="163">
        <v>114</v>
      </c>
    </row>
    <row r="28" spans="1:7" x14ac:dyDescent="0.25">
      <c r="A28" s="161">
        <v>10</v>
      </c>
      <c r="B28" s="163">
        <v>28.4</v>
      </c>
      <c r="C28" s="163">
        <v>69.599999999999994</v>
      </c>
      <c r="D28" s="163">
        <v>85.6</v>
      </c>
      <c r="E28" s="163">
        <v>47.3</v>
      </c>
      <c r="F28" s="163">
        <v>86.4</v>
      </c>
      <c r="G28" s="163">
        <v>101</v>
      </c>
    </row>
    <row r="29" spans="1:7" x14ac:dyDescent="0.25">
      <c r="A29" s="161">
        <v>11</v>
      </c>
      <c r="B29" s="163">
        <v>35.5</v>
      </c>
      <c r="C29" s="163">
        <v>64.5</v>
      </c>
      <c r="D29" s="163">
        <v>79.5</v>
      </c>
      <c r="E29" s="163"/>
      <c r="F29" s="163"/>
      <c r="G29" s="163"/>
    </row>
    <row r="30" spans="1:7" x14ac:dyDescent="0.25">
      <c r="A30" s="161">
        <v>12</v>
      </c>
      <c r="B30" s="163">
        <v>47</v>
      </c>
      <c r="C30" s="163">
        <v>67.099999999999994</v>
      </c>
      <c r="D30" s="163">
        <v>77</v>
      </c>
      <c r="E30" s="163"/>
      <c r="F30" s="163"/>
      <c r="G30" s="163"/>
    </row>
    <row r="31" spans="1:7" x14ac:dyDescent="0.25">
      <c r="A31" s="161">
        <v>13</v>
      </c>
      <c r="B31" s="163">
        <v>29.4</v>
      </c>
      <c r="C31" s="163">
        <v>54</v>
      </c>
      <c r="D31" s="163">
        <v>92.5</v>
      </c>
      <c r="E31" s="163"/>
      <c r="F31" s="163"/>
      <c r="G31" s="163"/>
    </row>
    <row r="32" spans="1:7" x14ac:dyDescent="0.25">
      <c r="A32" s="161">
        <v>14</v>
      </c>
      <c r="B32" s="163">
        <v>40.9</v>
      </c>
      <c r="C32" s="163">
        <v>57.8</v>
      </c>
      <c r="D32" s="163">
        <v>81.8</v>
      </c>
      <c r="E32" s="163"/>
      <c r="F32" s="163"/>
      <c r="G32" s="163"/>
    </row>
    <row r="33" spans="1:7" ht="14.5" thickBot="1" x14ac:dyDescent="0.3">
      <c r="A33" s="166">
        <v>15</v>
      </c>
      <c r="B33" s="165">
        <v>36.299999999999997</v>
      </c>
      <c r="C33" s="165">
        <v>57.2</v>
      </c>
      <c r="D33" s="165">
        <v>74.900000000000006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23.1</v>
      </c>
      <c r="C37" s="163">
        <v>60.9</v>
      </c>
      <c r="D37" s="163">
        <v>86.4</v>
      </c>
      <c r="E37" s="163">
        <v>50.1</v>
      </c>
      <c r="F37" s="163">
        <v>86.8</v>
      </c>
      <c r="G37" s="163">
        <v>104.1</v>
      </c>
    </row>
    <row r="38" spans="1:7" x14ac:dyDescent="0.25">
      <c r="A38" s="161">
        <v>2</v>
      </c>
      <c r="B38" s="163">
        <v>32.700000000000003</v>
      </c>
      <c r="C38" s="163">
        <v>64.8</v>
      </c>
      <c r="D38" s="163">
        <v>102.6</v>
      </c>
      <c r="E38" s="163">
        <v>58.8</v>
      </c>
      <c r="F38" s="163">
        <v>85.3</v>
      </c>
      <c r="G38" s="163">
        <v>100.1</v>
      </c>
    </row>
    <row r="39" spans="1:7" x14ac:dyDescent="0.25">
      <c r="A39" s="161">
        <v>3</v>
      </c>
      <c r="B39" s="163">
        <v>35.4</v>
      </c>
      <c r="C39" s="163">
        <v>57.5</v>
      </c>
      <c r="D39" s="163">
        <v>79.8</v>
      </c>
      <c r="E39" s="163">
        <v>37</v>
      </c>
      <c r="F39" s="163">
        <v>65</v>
      </c>
      <c r="G39" s="163">
        <v>96.2</v>
      </c>
    </row>
    <row r="40" spans="1:7" x14ac:dyDescent="0.25">
      <c r="A40" s="161">
        <v>4</v>
      </c>
      <c r="B40" s="163">
        <v>28.8</v>
      </c>
      <c r="C40" s="163">
        <v>52.1</v>
      </c>
      <c r="D40" s="163">
        <v>93.7</v>
      </c>
      <c r="E40" s="163">
        <v>27.4</v>
      </c>
      <c r="F40" s="163">
        <v>68.7</v>
      </c>
      <c r="G40" s="163">
        <v>119.9</v>
      </c>
    </row>
    <row r="41" spans="1:7" x14ac:dyDescent="0.25">
      <c r="A41" s="161">
        <v>5</v>
      </c>
      <c r="B41" s="163">
        <v>38</v>
      </c>
      <c r="C41" s="163">
        <v>64.900000000000006</v>
      </c>
      <c r="D41" s="163">
        <v>94.6</v>
      </c>
      <c r="E41" s="163">
        <v>46.4</v>
      </c>
      <c r="F41" s="163">
        <v>76.2</v>
      </c>
      <c r="G41" s="163">
        <v>115.6</v>
      </c>
    </row>
    <row r="42" spans="1:7" x14ac:dyDescent="0.25">
      <c r="A42" s="161">
        <v>6</v>
      </c>
      <c r="B42" s="163">
        <v>16.2</v>
      </c>
      <c r="C42" s="163">
        <v>52.5</v>
      </c>
      <c r="D42" s="163">
        <v>89.9</v>
      </c>
      <c r="E42" s="163">
        <v>59.1</v>
      </c>
      <c r="F42" s="163">
        <v>60.9</v>
      </c>
      <c r="G42" s="163">
        <v>102.8</v>
      </c>
    </row>
    <row r="43" spans="1:7" x14ac:dyDescent="0.25">
      <c r="A43" s="161">
        <v>7</v>
      </c>
      <c r="B43" s="163">
        <v>24.5</v>
      </c>
      <c r="C43" s="163">
        <v>68.8</v>
      </c>
      <c r="D43" s="163">
        <v>96.4</v>
      </c>
      <c r="E43" s="163">
        <v>57.3</v>
      </c>
      <c r="F43" s="163">
        <v>74.599999999999994</v>
      </c>
      <c r="G43" s="163">
        <v>91.5</v>
      </c>
    </row>
    <row r="44" spans="1:7" x14ac:dyDescent="0.25">
      <c r="A44" s="161">
        <v>8</v>
      </c>
      <c r="B44" s="163">
        <v>41.5</v>
      </c>
      <c r="C44" s="163">
        <v>62.7</v>
      </c>
      <c r="D44" s="163">
        <v>93.5</v>
      </c>
      <c r="E44" s="162"/>
      <c r="F44" s="162"/>
      <c r="G44" s="162"/>
    </row>
    <row r="45" spans="1:7" x14ac:dyDescent="0.25">
      <c r="A45" s="161">
        <v>9</v>
      </c>
      <c r="B45" s="163">
        <v>48.4</v>
      </c>
      <c r="C45" s="163">
        <v>50.8</v>
      </c>
      <c r="D45" s="163">
        <v>79.7</v>
      </c>
      <c r="E45" s="162"/>
      <c r="F45" s="162"/>
      <c r="G45" s="162"/>
    </row>
    <row r="46" spans="1:7" x14ac:dyDescent="0.25">
      <c r="A46" s="161">
        <v>10</v>
      </c>
      <c r="B46" s="163">
        <v>38.200000000000003</v>
      </c>
      <c r="C46" s="163">
        <v>64</v>
      </c>
      <c r="D46" s="163">
        <v>87.5</v>
      </c>
      <c r="E46" s="162"/>
      <c r="F46" s="162"/>
      <c r="G46" s="162"/>
    </row>
    <row r="47" spans="1:7" x14ac:dyDescent="0.25">
      <c r="A47" s="161">
        <v>11</v>
      </c>
      <c r="B47" s="163">
        <v>44.1</v>
      </c>
      <c r="C47" s="163">
        <v>69.5</v>
      </c>
      <c r="D47" s="163">
        <v>108.1</v>
      </c>
      <c r="E47" s="162"/>
      <c r="F47" s="162"/>
      <c r="G47" s="162"/>
    </row>
    <row r="48" spans="1:7" x14ac:dyDescent="0.25">
      <c r="A48" s="161">
        <v>12</v>
      </c>
      <c r="B48" s="163">
        <v>15.1</v>
      </c>
      <c r="C48" s="163">
        <v>52.2</v>
      </c>
      <c r="D48" s="163">
        <v>98.5</v>
      </c>
      <c r="E48" s="162"/>
      <c r="F48" s="162"/>
      <c r="G48" s="162"/>
    </row>
    <row r="49" spans="1:7" x14ac:dyDescent="0.25">
      <c r="A49" s="161">
        <v>13</v>
      </c>
      <c r="B49" s="163">
        <v>37.700000000000003</v>
      </c>
      <c r="C49" s="163">
        <v>59.5</v>
      </c>
      <c r="D49" s="163">
        <v>98</v>
      </c>
      <c r="E49" s="162"/>
      <c r="F49" s="162"/>
      <c r="G49" s="162"/>
    </row>
    <row r="50" spans="1:7" x14ac:dyDescent="0.25">
      <c r="A50" s="161">
        <v>14</v>
      </c>
      <c r="B50" s="163">
        <v>32.4</v>
      </c>
      <c r="C50" s="163">
        <v>57.3</v>
      </c>
      <c r="D50" s="163">
        <v>100</v>
      </c>
      <c r="E50" s="162"/>
      <c r="F50" s="162"/>
      <c r="G50" s="162"/>
    </row>
    <row r="51" spans="1:7" x14ac:dyDescent="0.25">
      <c r="A51" s="161">
        <v>15</v>
      </c>
      <c r="B51" s="163">
        <v>36.6</v>
      </c>
      <c r="C51" s="163">
        <v>66.2</v>
      </c>
      <c r="D51" s="163">
        <v>103.7</v>
      </c>
      <c r="E51" s="162"/>
      <c r="F51" s="162"/>
      <c r="G51" s="162"/>
    </row>
    <row r="52" spans="1:7" x14ac:dyDescent="0.25">
      <c r="A52" s="161">
        <v>16</v>
      </c>
      <c r="B52" s="163">
        <v>18.899999999999999</v>
      </c>
      <c r="C52" s="163">
        <v>50.5</v>
      </c>
      <c r="D52" s="163">
        <v>108.6</v>
      </c>
      <c r="E52" s="162"/>
      <c r="F52" s="162"/>
      <c r="G52" s="162"/>
    </row>
    <row r="53" spans="1:7" x14ac:dyDescent="0.25">
      <c r="A53" s="161">
        <v>17</v>
      </c>
      <c r="B53" s="163">
        <v>43.8</v>
      </c>
      <c r="C53" s="163">
        <v>51.2</v>
      </c>
      <c r="D53" s="163">
        <v>88.1</v>
      </c>
      <c r="E53" s="162"/>
      <c r="F53" s="162"/>
      <c r="G53" s="162"/>
    </row>
    <row r="54" spans="1:7" x14ac:dyDescent="0.25">
      <c r="A54" s="161">
        <v>18</v>
      </c>
      <c r="B54" s="163">
        <v>16.7</v>
      </c>
      <c r="C54" s="163">
        <v>63.1</v>
      </c>
      <c r="D54" s="163">
        <v>91.4</v>
      </c>
      <c r="E54" s="162"/>
      <c r="F54" s="162"/>
      <c r="G54" s="162"/>
    </row>
    <row r="55" spans="1:7" ht="14.5" thickBot="1" x14ac:dyDescent="0.3">
      <c r="A55" s="164">
        <v>19</v>
      </c>
      <c r="B55" s="165">
        <v>48.9</v>
      </c>
      <c r="C55" s="165">
        <v>61.1</v>
      </c>
      <c r="D55" s="165">
        <v>106.1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30.9</v>
      </c>
      <c r="C59" s="163">
        <v>50.3</v>
      </c>
      <c r="D59" s="163">
        <v>103.4</v>
      </c>
      <c r="E59" s="163">
        <v>44.5</v>
      </c>
      <c r="F59" s="163">
        <v>84.3</v>
      </c>
      <c r="G59" s="163">
        <v>106.7</v>
      </c>
    </row>
    <row r="60" spans="1:7" x14ac:dyDescent="0.25">
      <c r="A60" s="161">
        <v>2</v>
      </c>
      <c r="B60" s="163">
        <v>42.8</v>
      </c>
      <c r="C60" s="163">
        <v>60.7</v>
      </c>
      <c r="D60" s="163">
        <v>78.099999999999994</v>
      </c>
      <c r="E60" s="163">
        <v>47.8</v>
      </c>
      <c r="F60" s="163">
        <v>79.099999999999994</v>
      </c>
      <c r="G60" s="163">
        <v>92.5</v>
      </c>
    </row>
    <row r="61" spans="1:7" x14ac:dyDescent="0.25">
      <c r="A61" s="161">
        <v>3</v>
      </c>
      <c r="B61" s="163">
        <v>44.8</v>
      </c>
      <c r="C61" s="163">
        <v>56</v>
      </c>
      <c r="D61" s="163">
        <v>104.3</v>
      </c>
      <c r="E61" s="163">
        <v>55.7</v>
      </c>
      <c r="F61" s="163">
        <v>65.900000000000006</v>
      </c>
      <c r="G61" s="163">
        <v>115</v>
      </c>
    </row>
    <row r="62" spans="1:7" x14ac:dyDescent="0.25">
      <c r="A62" s="161">
        <v>4</v>
      </c>
      <c r="B62" s="163">
        <v>25.4</v>
      </c>
      <c r="C62" s="163">
        <v>50.8</v>
      </c>
      <c r="D62" s="163">
        <v>97.1</v>
      </c>
      <c r="E62" s="163">
        <v>57.4</v>
      </c>
      <c r="F62" s="163">
        <v>81.900000000000006</v>
      </c>
      <c r="G62" s="163">
        <v>103</v>
      </c>
    </row>
    <row r="63" spans="1:7" x14ac:dyDescent="0.25">
      <c r="A63" s="161">
        <v>5</v>
      </c>
      <c r="B63" s="163">
        <v>48.6</v>
      </c>
      <c r="C63" s="163">
        <v>58.9</v>
      </c>
      <c r="D63" s="163">
        <v>77.099999999999994</v>
      </c>
      <c r="E63" s="163">
        <v>40.6</v>
      </c>
      <c r="F63" s="163">
        <v>85.6</v>
      </c>
      <c r="G63" s="163">
        <v>90.8</v>
      </c>
    </row>
    <row r="64" spans="1:7" x14ac:dyDescent="0.25">
      <c r="A64" s="167">
        <v>6</v>
      </c>
      <c r="B64" s="163">
        <v>20.8</v>
      </c>
      <c r="C64" s="163">
        <v>69.599999999999994</v>
      </c>
      <c r="D64" s="163">
        <v>104.2</v>
      </c>
      <c r="E64" s="163">
        <v>50.4</v>
      </c>
      <c r="F64" s="163">
        <v>64</v>
      </c>
      <c r="G64" s="163">
        <v>91.4</v>
      </c>
    </row>
    <row r="65" spans="1:7" ht="14.5" thickBot="1" x14ac:dyDescent="0.3">
      <c r="A65" s="164">
        <v>7</v>
      </c>
      <c r="B65" s="165">
        <v>30.1</v>
      </c>
      <c r="C65" s="165">
        <v>66.900000000000006</v>
      </c>
      <c r="D65" s="165">
        <v>92.5</v>
      </c>
      <c r="E65" s="165">
        <v>47.3</v>
      </c>
      <c r="F65" s="165">
        <v>60.9</v>
      </c>
      <c r="G65" s="165">
        <v>118.8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25.9</v>
      </c>
      <c r="C69" s="163">
        <v>64.400000000000006</v>
      </c>
      <c r="D69" s="163">
        <v>85.3</v>
      </c>
      <c r="E69" s="163">
        <v>39.9</v>
      </c>
      <c r="F69" s="163">
        <v>70</v>
      </c>
      <c r="G69" s="163">
        <v>98.6</v>
      </c>
    </row>
    <row r="70" spans="1:7" x14ac:dyDescent="0.25">
      <c r="A70" s="161">
        <v>2</v>
      </c>
      <c r="B70" s="163">
        <v>27.3</v>
      </c>
      <c r="C70" s="163">
        <v>62.8</v>
      </c>
      <c r="D70" s="163">
        <v>87.6</v>
      </c>
      <c r="E70" s="163">
        <v>57.1</v>
      </c>
      <c r="F70" s="163">
        <v>76.5</v>
      </c>
      <c r="G70" s="163">
        <v>116.1</v>
      </c>
    </row>
    <row r="71" spans="1:7" x14ac:dyDescent="0.25">
      <c r="A71" s="161">
        <v>3</v>
      </c>
      <c r="B71" s="163">
        <v>20.100000000000001</v>
      </c>
      <c r="C71" s="163">
        <v>57.4</v>
      </c>
      <c r="D71" s="163">
        <v>84.6</v>
      </c>
      <c r="E71" s="163">
        <v>54.5</v>
      </c>
      <c r="F71" s="163">
        <v>62.8</v>
      </c>
      <c r="G71" s="163">
        <v>108.4</v>
      </c>
    </row>
    <row r="72" spans="1:7" x14ac:dyDescent="0.25">
      <c r="A72" s="161">
        <v>4</v>
      </c>
      <c r="B72" s="163">
        <v>28.7</v>
      </c>
      <c r="C72" s="163">
        <v>53.5</v>
      </c>
      <c r="D72" s="163">
        <v>83.2</v>
      </c>
      <c r="E72" s="163">
        <v>50.9</v>
      </c>
      <c r="F72" s="163">
        <v>87.5</v>
      </c>
      <c r="G72" s="163">
        <v>100.8</v>
      </c>
    </row>
    <row r="73" spans="1:7" x14ac:dyDescent="0.25">
      <c r="A73" s="161">
        <v>5</v>
      </c>
      <c r="B73" s="163">
        <v>36.299999999999997</v>
      </c>
      <c r="C73" s="163">
        <v>63</v>
      </c>
      <c r="D73" s="163">
        <v>86.5</v>
      </c>
      <c r="E73" s="163">
        <v>49.2</v>
      </c>
      <c r="F73" s="163">
        <v>75.3</v>
      </c>
      <c r="G73" s="163">
        <v>94</v>
      </c>
    </row>
    <row r="74" spans="1:7" x14ac:dyDescent="0.25">
      <c r="A74" s="161">
        <v>6</v>
      </c>
      <c r="B74" s="163">
        <v>40.6</v>
      </c>
      <c r="C74" s="163">
        <v>63.9</v>
      </c>
      <c r="D74" s="163">
        <v>100.5</v>
      </c>
      <c r="E74" s="163">
        <v>54.4</v>
      </c>
      <c r="F74" s="163">
        <v>74.7</v>
      </c>
      <c r="G74" s="163">
        <v>118.9</v>
      </c>
    </row>
    <row r="75" spans="1:7" x14ac:dyDescent="0.25">
      <c r="A75" s="161">
        <v>7</v>
      </c>
      <c r="B75" s="163">
        <v>25.2</v>
      </c>
      <c r="C75" s="163">
        <v>55.2</v>
      </c>
      <c r="D75" s="163">
        <v>105.5</v>
      </c>
      <c r="E75" s="163">
        <v>30.5</v>
      </c>
      <c r="F75" s="163">
        <v>60</v>
      </c>
      <c r="G75" s="163">
        <v>105.7</v>
      </c>
    </row>
    <row r="76" spans="1:7" x14ac:dyDescent="0.25">
      <c r="A76" s="161">
        <v>8</v>
      </c>
      <c r="B76" s="163">
        <v>41.5</v>
      </c>
      <c r="C76" s="163">
        <v>63.6</v>
      </c>
      <c r="D76" s="163">
        <v>100.2</v>
      </c>
      <c r="E76" s="163">
        <v>25.4</v>
      </c>
      <c r="F76" s="163">
        <v>84.5</v>
      </c>
      <c r="G76" s="163">
        <v>119.9</v>
      </c>
    </row>
    <row r="77" spans="1:7" x14ac:dyDescent="0.25">
      <c r="A77" s="161">
        <v>9</v>
      </c>
      <c r="B77" s="163">
        <v>16.7</v>
      </c>
      <c r="C77" s="163">
        <v>58.5</v>
      </c>
      <c r="D77" s="163">
        <v>73.7</v>
      </c>
      <c r="E77" s="163">
        <v>28.2</v>
      </c>
      <c r="F77" s="163">
        <v>81.2</v>
      </c>
      <c r="G77" s="163">
        <v>119.5</v>
      </c>
    </row>
    <row r="78" spans="1:7" x14ac:dyDescent="0.25">
      <c r="A78" s="161">
        <v>10</v>
      </c>
      <c r="B78" s="163">
        <v>39.4</v>
      </c>
      <c r="C78" s="163">
        <v>55</v>
      </c>
      <c r="D78" s="163">
        <v>86.6</v>
      </c>
      <c r="E78" s="163">
        <v>43.8</v>
      </c>
      <c r="F78" s="163">
        <v>72.8</v>
      </c>
      <c r="G78" s="163">
        <v>101.4</v>
      </c>
    </row>
    <row r="79" spans="1:7" x14ac:dyDescent="0.25">
      <c r="A79" s="161">
        <v>11</v>
      </c>
      <c r="B79" s="163">
        <v>46.7</v>
      </c>
      <c r="C79" s="163">
        <v>68.400000000000006</v>
      </c>
      <c r="D79" s="163">
        <v>89.2</v>
      </c>
      <c r="E79" s="163">
        <v>51.8</v>
      </c>
      <c r="F79" s="163">
        <v>85.8</v>
      </c>
      <c r="G79" s="163">
        <v>115.7</v>
      </c>
    </row>
    <row r="80" spans="1:7" x14ac:dyDescent="0.25">
      <c r="A80" s="161">
        <v>12</v>
      </c>
      <c r="B80" s="163">
        <v>21.6</v>
      </c>
      <c r="C80" s="163">
        <v>51.3</v>
      </c>
      <c r="D80" s="163">
        <v>109.7</v>
      </c>
      <c r="E80" s="163">
        <v>27.8</v>
      </c>
      <c r="F80" s="163">
        <v>81.099999999999994</v>
      </c>
      <c r="G80" s="163">
        <v>90</v>
      </c>
    </row>
    <row r="81" spans="1:7" x14ac:dyDescent="0.25">
      <c r="A81" s="161">
        <v>13</v>
      </c>
      <c r="B81" s="163">
        <v>17.7</v>
      </c>
      <c r="C81" s="163">
        <v>54.1</v>
      </c>
      <c r="D81" s="163">
        <v>98.9</v>
      </c>
      <c r="E81" s="163">
        <v>51.9</v>
      </c>
      <c r="F81" s="163">
        <v>75.2</v>
      </c>
      <c r="G81" s="163">
        <v>113.8</v>
      </c>
    </row>
    <row r="82" spans="1:7" x14ac:dyDescent="0.25">
      <c r="A82" s="161">
        <v>14</v>
      </c>
      <c r="B82" s="163">
        <v>16.899999999999999</v>
      </c>
      <c r="C82" s="163">
        <v>58.6</v>
      </c>
      <c r="D82" s="163">
        <v>73.3</v>
      </c>
      <c r="E82" s="163">
        <v>31.6</v>
      </c>
      <c r="F82" s="163">
        <v>64.400000000000006</v>
      </c>
      <c r="G82" s="163">
        <v>100.3</v>
      </c>
    </row>
    <row r="83" spans="1:7" x14ac:dyDescent="0.25">
      <c r="A83" s="161">
        <v>15</v>
      </c>
      <c r="B83" s="163">
        <v>16</v>
      </c>
      <c r="C83" s="163">
        <v>54.8</v>
      </c>
      <c r="D83" s="163">
        <v>79.5</v>
      </c>
      <c r="E83" s="163">
        <v>32.200000000000003</v>
      </c>
      <c r="F83" s="163">
        <v>76.900000000000006</v>
      </c>
      <c r="G83" s="163">
        <v>102.8</v>
      </c>
    </row>
    <row r="84" spans="1:7" x14ac:dyDescent="0.25">
      <c r="A84" s="161">
        <v>16</v>
      </c>
      <c r="B84" s="163">
        <v>20.2</v>
      </c>
      <c r="C84" s="163">
        <v>63.8</v>
      </c>
      <c r="D84" s="163">
        <v>99.4</v>
      </c>
      <c r="E84" s="163"/>
      <c r="F84" s="163"/>
      <c r="G84" s="163"/>
    </row>
    <row r="85" spans="1:7" ht="14.5" thickBot="1" x14ac:dyDescent="0.3">
      <c r="A85" s="166">
        <v>17</v>
      </c>
      <c r="B85" s="168">
        <v>36.5</v>
      </c>
      <c r="C85" s="168">
        <v>67.900000000000006</v>
      </c>
      <c r="D85" s="168">
        <v>100.6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47.6</v>
      </c>
      <c r="C89" s="163">
        <v>62.5</v>
      </c>
      <c r="D89" s="163">
        <v>84.1</v>
      </c>
      <c r="E89" s="163">
        <v>54.1</v>
      </c>
      <c r="F89" s="163">
        <v>63.3</v>
      </c>
      <c r="G89" s="163">
        <v>111.7</v>
      </c>
    </row>
    <row r="90" spans="1:7" x14ac:dyDescent="0.25">
      <c r="A90" s="161">
        <v>2</v>
      </c>
      <c r="B90" s="163">
        <v>35</v>
      </c>
      <c r="C90" s="163">
        <v>65.400000000000006</v>
      </c>
      <c r="D90" s="163">
        <v>98.2</v>
      </c>
      <c r="E90" s="163">
        <v>28.5</v>
      </c>
      <c r="F90" s="163">
        <v>73.400000000000006</v>
      </c>
      <c r="G90" s="163">
        <v>102.7</v>
      </c>
    </row>
    <row r="91" spans="1:7" x14ac:dyDescent="0.25">
      <c r="A91" s="161">
        <v>3</v>
      </c>
      <c r="B91" s="163">
        <v>17.899999999999999</v>
      </c>
      <c r="C91" s="163">
        <v>55.5</v>
      </c>
      <c r="D91" s="163">
        <v>82.4</v>
      </c>
      <c r="E91" s="163">
        <v>32.299999999999997</v>
      </c>
      <c r="F91" s="163">
        <v>76.8</v>
      </c>
      <c r="G91" s="163">
        <v>111</v>
      </c>
    </row>
    <row r="92" spans="1:7" x14ac:dyDescent="0.25">
      <c r="A92" s="161">
        <v>4</v>
      </c>
      <c r="B92" s="163">
        <v>24.6</v>
      </c>
      <c r="C92" s="163">
        <v>58.7</v>
      </c>
      <c r="D92" s="163">
        <v>90.1</v>
      </c>
      <c r="E92" s="163">
        <v>39.799999999999997</v>
      </c>
      <c r="F92" s="163">
        <v>82</v>
      </c>
      <c r="G92" s="163">
        <v>112.4</v>
      </c>
    </row>
    <row r="93" spans="1:7" x14ac:dyDescent="0.25">
      <c r="A93" s="161">
        <v>5</v>
      </c>
      <c r="B93" s="163">
        <v>22.8</v>
      </c>
      <c r="C93" s="163">
        <v>65.400000000000006</v>
      </c>
      <c r="D93" s="163">
        <v>76.7</v>
      </c>
      <c r="E93" s="163">
        <v>44</v>
      </c>
      <c r="F93" s="163">
        <v>74.400000000000006</v>
      </c>
      <c r="G93" s="163">
        <v>110.2</v>
      </c>
    </row>
    <row r="94" spans="1:7" x14ac:dyDescent="0.25">
      <c r="A94" s="161">
        <v>6</v>
      </c>
      <c r="B94" s="163">
        <v>42.4</v>
      </c>
      <c r="C94" s="163">
        <v>68.3</v>
      </c>
      <c r="D94" s="163">
        <v>73</v>
      </c>
      <c r="E94" s="163">
        <v>57.1</v>
      </c>
      <c r="F94" s="163">
        <v>71.3</v>
      </c>
      <c r="G94" s="163">
        <v>111.6</v>
      </c>
    </row>
    <row r="95" spans="1:7" x14ac:dyDescent="0.25">
      <c r="A95" s="161">
        <v>7</v>
      </c>
      <c r="B95" s="163">
        <v>19.3</v>
      </c>
      <c r="C95" s="163">
        <v>63.3</v>
      </c>
      <c r="D95" s="163">
        <v>100.4</v>
      </c>
      <c r="E95" s="163">
        <v>32.9</v>
      </c>
      <c r="F95" s="163">
        <v>87.3</v>
      </c>
      <c r="G95" s="163">
        <v>101.4</v>
      </c>
    </row>
    <row r="96" spans="1:7" x14ac:dyDescent="0.25">
      <c r="A96" s="161">
        <v>8</v>
      </c>
      <c r="B96" s="163">
        <v>37</v>
      </c>
      <c r="C96" s="163">
        <v>66.900000000000006</v>
      </c>
      <c r="D96" s="163">
        <v>93.3</v>
      </c>
      <c r="E96" s="162"/>
      <c r="F96" s="162"/>
      <c r="G96" s="162"/>
    </row>
    <row r="97" spans="1:7" x14ac:dyDescent="0.25">
      <c r="A97" s="161">
        <v>9</v>
      </c>
      <c r="B97" s="163">
        <v>30.1</v>
      </c>
      <c r="C97" s="163">
        <v>54.2</v>
      </c>
      <c r="D97" s="163">
        <v>87.8</v>
      </c>
      <c r="E97" s="162"/>
      <c r="F97" s="162"/>
      <c r="G97" s="162"/>
    </row>
    <row r="98" spans="1:7" x14ac:dyDescent="0.25">
      <c r="A98" s="161">
        <v>10</v>
      </c>
      <c r="B98" s="163">
        <v>28.2</v>
      </c>
      <c r="C98" s="163">
        <v>63.3</v>
      </c>
      <c r="D98" s="163">
        <v>97.4</v>
      </c>
      <c r="E98" s="162"/>
      <c r="F98" s="162"/>
      <c r="G98" s="162"/>
    </row>
    <row r="99" spans="1:7" x14ac:dyDescent="0.25">
      <c r="A99" s="161">
        <v>11</v>
      </c>
      <c r="B99" s="163">
        <v>34.700000000000003</v>
      </c>
      <c r="C99" s="163">
        <v>55.7</v>
      </c>
      <c r="D99" s="163">
        <v>73.099999999999994</v>
      </c>
      <c r="E99" s="162"/>
      <c r="F99" s="162"/>
      <c r="G99" s="162"/>
    </row>
    <row r="100" spans="1:7" x14ac:dyDescent="0.25">
      <c r="A100" s="161">
        <v>12</v>
      </c>
      <c r="B100" s="163">
        <v>27.7</v>
      </c>
      <c r="C100" s="163">
        <v>54.5</v>
      </c>
      <c r="D100" s="163">
        <v>83.7</v>
      </c>
      <c r="E100" s="162"/>
      <c r="F100" s="162"/>
      <c r="G100" s="162"/>
    </row>
    <row r="101" spans="1:7" x14ac:dyDescent="0.25">
      <c r="A101" s="161">
        <v>13</v>
      </c>
      <c r="B101" s="163">
        <v>44.6</v>
      </c>
      <c r="C101" s="163">
        <v>61.4</v>
      </c>
      <c r="D101" s="163">
        <v>89</v>
      </c>
      <c r="E101" s="162"/>
      <c r="F101" s="162"/>
      <c r="G101" s="162"/>
    </row>
    <row r="102" spans="1:7" x14ac:dyDescent="0.25">
      <c r="A102" s="161">
        <v>14</v>
      </c>
      <c r="B102" s="163">
        <v>27.7</v>
      </c>
      <c r="C102" s="163">
        <v>69.599999999999994</v>
      </c>
      <c r="D102" s="163">
        <v>98.5</v>
      </c>
      <c r="E102" s="162"/>
      <c r="F102" s="162"/>
      <c r="G102" s="162"/>
    </row>
    <row r="103" spans="1:7" x14ac:dyDescent="0.25">
      <c r="A103" s="161">
        <v>15</v>
      </c>
      <c r="B103" s="163">
        <v>27.5</v>
      </c>
      <c r="C103" s="163">
        <v>61.3</v>
      </c>
      <c r="D103" s="163">
        <v>80.8</v>
      </c>
      <c r="E103" s="162"/>
      <c r="F103" s="162"/>
      <c r="G103" s="162"/>
    </row>
    <row r="104" spans="1:7" x14ac:dyDescent="0.25">
      <c r="A104" s="161">
        <v>16</v>
      </c>
      <c r="B104" s="163">
        <v>17.3</v>
      </c>
      <c r="C104" s="163">
        <v>61.5</v>
      </c>
      <c r="D104" s="163">
        <v>92</v>
      </c>
      <c r="E104" s="162"/>
      <c r="F104" s="162"/>
      <c r="G104" s="162"/>
    </row>
    <row r="105" spans="1:7" x14ac:dyDescent="0.25">
      <c r="A105" s="161">
        <v>17</v>
      </c>
      <c r="B105" s="163">
        <v>41.3</v>
      </c>
      <c r="C105" s="163">
        <v>67.8</v>
      </c>
      <c r="D105" s="163">
        <v>103.3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94.4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31.9</v>
      </c>
      <c r="C110" s="163">
        <v>56.7</v>
      </c>
      <c r="D110" s="163">
        <v>109</v>
      </c>
      <c r="E110" s="163">
        <v>54.9</v>
      </c>
      <c r="F110" s="163">
        <v>69.900000000000006</v>
      </c>
      <c r="G110" s="163">
        <v>117.5</v>
      </c>
    </row>
    <row r="111" spans="1:7" x14ac:dyDescent="0.25">
      <c r="A111" s="161">
        <v>2</v>
      </c>
      <c r="B111" s="163">
        <v>20.5</v>
      </c>
      <c r="C111" s="163">
        <v>54.4</v>
      </c>
      <c r="D111" s="163">
        <v>90.8</v>
      </c>
      <c r="E111" s="163">
        <v>51.5</v>
      </c>
      <c r="F111" s="163">
        <v>76.900000000000006</v>
      </c>
      <c r="G111" s="163">
        <v>94.6</v>
      </c>
    </row>
    <row r="112" spans="1:7" ht="14.5" thickBot="1" x14ac:dyDescent="0.3">
      <c r="A112" s="166">
        <v>3</v>
      </c>
      <c r="B112" s="168"/>
      <c r="C112" s="168"/>
      <c r="D112" s="168"/>
      <c r="E112" s="168">
        <v>49.2</v>
      </c>
      <c r="F112" s="168">
        <v>77.400000000000006</v>
      </c>
      <c r="G112" s="168">
        <v>117.3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41.7</v>
      </c>
      <c r="C116" s="163">
        <v>59.5</v>
      </c>
      <c r="D116" s="163">
        <v>76.8</v>
      </c>
      <c r="E116" s="163">
        <v>29.5</v>
      </c>
      <c r="F116" s="163">
        <v>88.1</v>
      </c>
      <c r="G116" s="163">
        <v>99.9</v>
      </c>
    </row>
    <row r="117" spans="1:7" x14ac:dyDescent="0.25">
      <c r="A117" s="161">
        <v>2</v>
      </c>
      <c r="B117" s="163">
        <v>20.3</v>
      </c>
      <c r="C117" s="163">
        <v>56.5</v>
      </c>
      <c r="D117" s="163">
        <v>96.3</v>
      </c>
      <c r="E117" s="163">
        <v>39.1</v>
      </c>
      <c r="F117" s="163">
        <v>62.7</v>
      </c>
      <c r="G117" s="163">
        <v>105.8</v>
      </c>
    </row>
    <row r="118" spans="1:7" x14ac:dyDescent="0.25">
      <c r="A118" s="161">
        <v>3</v>
      </c>
      <c r="B118" s="163">
        <v>15</v>
      </c>
      <c r="C118" s="163">
        <v>55.7</v>
      </c>
      <c r="D118" s="163">
        <v>85.2</v>
      </c>
      <c r="E118" s="163">
        <v>28.6</v>
      </c>
      <c r="F118" s="163">
        <v>69.5</v>
      </c>
      <c r="G118" s="163">
        <v>92</v>
      </c>
    </row>
    <row r="119" spans="1:7" x14ac:dyDescent="0.25">
      <c r="A119" s="161">
        <v>4</v>
      </c>
      <c r="B119" s="163">
        <v>36.6</v>
      </c>
      <c r="C119" s="163">
        <v>61.3</v>
      </c>
      <c r="D119" s="163">
        <v>71.3</v>
      </c>
      <c r="E119" s="163">
        <v>51.1</v>
      </c>
      <c r="F119" s="163">
        <v>83.1</v>
      </c>
      <c r="G119" s="163">
        <v>101.8</v>
      </c>
    </row>
    <row r="120" spans="1:7" x14ac:dyDescent="0.25">
      <c r="A120" s="161">
        <v>5</v>
      </c>
      <c r="B120" s="162"/>
      <c r="C120" s="162"/>
      <c r="D120" s="162"/>
      <c r="E120" s="163">
        <v>36.799999999999997</v>
      </c>
      <c r="F120" s="163">
        <v>70.099999999999994</v>
      </c>
      <c r="G120" s="163">
        <v>112.7</v>
      </c>
    </row>
    <row r="121" spans="1:7" x14ac:dyDescent="0.25">
      <c r="A121" s="161">
        <v>6</v>
      </c>
      <c r="B121" s="162"/>
      <c r="C121" s="162"/>
      <c r="D121" s="162"/>
      <c r="E121" s="163">
        <v>34</v>
      </c>
      <c r="F121" s="163">
        <v>80</v>
      </c>
      <c r="G121" s="163">
        <v>117.4</v>
      </c>
    </row>
    <row r="122" spans="1:7" x14ac:dyDescent="0.25">
      <c r="A122" s="161">
        <v>7</v>
      </c>
      <c r="B122" s="162"/>
      <c r="C122" s="162"/>
      <c r="D122" s="162"/>
      <c r="E122" s="163">
        <v>33.700000000000003</v>
      </c>
      <c r="F122" s="163">
        <v>80.5</v>
      </c>
      <c r="G122" s="163">
        <v>112.5</v>
      </c>
    </row>
    <row r="123" spans="1:7" x14ac:dyDescent="0.25">
      <c r="A123" s="161">
        <v>8</v>
      </c>
      <c r="B123" s="162"/>
      <c r="C123" s="162"/>
      <c r="D123" s="162"/>
      <c r="E123" s="163">
        <v>39.799999999999997</v>
      </c>
      <c r="F123" s="163">
        <v>80.400000000000006</v>
      </c>
      <c r="G123" s="163">
        <v>98.6</v>
      </c>
    </row>
    <row r="124" spans="1:7" ht="14.5" thickBot="1" x14ac:dyDescent="0.3">
      <c r="A124" s="166">
        <v>9</v>
      </c>
      <c r="B124" s="168"/>
      <c r="C124" s="168"/>
      <c r="D124" s="168"/>
      <c r="E124" s="168">
        <v>59</v>
      </c>
      <c r="F124" s="168">
        <v>60.8</v>
      </c>
      <c r="G124" s="168">
        <v>118.8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65.233333333333334</v>
      </c>
      <c r="C129" s="170">
        <f>AVERAGE(E5:G7)</f>
        <v>72.544444444444437</v>
      </c>
      <c r="D129" s="161">
        <f>'2021.1'!D129</f>
        <v>2166</v>
      </c>
      <c r="E129" s="161">
        <v>4348</v>
      </c>
      <c r="F129" s="161">
        <f>D129*B129</f>
        <v>141295.4</v>
      </c>
      <c r="G129" s="161">
        <f>E129*C129</f>
        <v>315423.24444444443</v>
      </c>
    </row>
    <row r="130" spans="1:7" x14ac:dyDescent="0.25">
      <c r="A130" s="162" t="str">
        <f>A8</f>
        <v>Dongyuan Huangtian swine Farm</v>
      </c>
      <c r="B130" s="169">
        <f>AVERAGE((B11:D15))</f>
        <v>59.573333333333338</v>
      </c>
      <c r="C130" s="169">
        <f>AVERAGE(E11:G11)</f>
        <v>71.100000000000009</v>
      </c>
      <c r="D130" s="161">
        <f>'2021.1'!D130</f>
        <v>6431</v>
      </c>
      <c r="E130" s="161">
        <v>1449</v>
      </c>
      <c r="F130" s="161">
        <f t="shared" ref="F130:G137" si="0">D130*B130</f>
        <v>383116.10666666669</v>
      </c>
      <c r="G130" s="161">
        <f t="shared" si="0"/>
        <v>103023.90000000001</v>
      </c>
    </row>
    <row r="131" spans="1:7" x14ac:dyDescent="0.25">
      <c r="A131" s="162" t="str">
        <f>A16</f>
        <v>Enping Shahu swine  Farm</v>
      </c>
      <c r="B131" s="169">
        <f>AVERAGE(B19:D33)</f>
        <v>59.902222222222242</v>
      </c>
      <c r="C131" s="169">
        <f>AVERAGE(E19:G28)</f>
        <v>77.90000000000002</v>
      </c>
      <c r="D131" s="161">
        <f>'2021.1'!D131</f>
        <v>23413</v>
      </c>
      <c r="E131" s="161">
        <v>15619</v>
      </c>
      <c r="F131" s="161">
        <f t="shared" si="0"/>
        <v>1402490.7288888893</v>
      </c>
      <c r="G131" s="161">
        <f t="shared" si="0"/>
        <v>1216720.1000000003</v>
      </c>
    </row>
    <row r="132" spans="1:7" x14ac:dyDescent="0.25">
      <c r="A132" s="162" t="str">
        <f>A34</f>
        <v>Langtian Yuehui swine Farm</v>
      </c>
      <c r="B132" s="169">
        <f>AVERAGE(B37:D55)</f>
        <v>62.407017543859638</v>
      </c>
      <c r="C132" s="169">
        <f>AVERAGE(E37:G43)</f>
        <v>75.419047619047618</v>
      </c>
      <c r="D132" s="161">
        <f>'2021.1'!D132</f>
        <v>29497</v>
      </c>
      <c r="E132" s="161">
        <v>10155</v>
      </c>
      <c r="F132" s="161">
        <f t="shared" si="0"/>
        <v>1840819.7964912278</v>
      </c>
      <c r="G132" s="161">
        <f t="shared" si="0"/>
        <v>765880.42857142852</v>
      </c>
    </row>
    <row r="133" spans="1:7" x14ac:dyDescent="0.25">
      <c r="A133" s="162" t="str">
        <f>A56</f>
        <v>Qujiang Fengwan swine Farm</v>
      </c>
      <c r="B133" s="169">
        <f>AVERAGE(B59:D65)</f>
        <v>62.538095238095238</v>
      </c>
      <c r="C133" s="169">
        <f>AVERAGE(E59:G65)</f>
        <v>75.409523809523819</v>
      </c>
      <c r="D133" s="161">
        <f>'2021.1'!D133</f>
        <v>9686</v>
      </c>
      <c r="E133" s="161">
        <v>11364</v>
      </c>
      <c r="F133" s="161">
        <f t="shared" si="0"/>
        <v>605743.99047619046</v>
      </c>
      <c r="G133" s="161">
        <f t="shared" si="0"/>
        <v>856953.82857142866</v>
      </c>
    </row>
    <row r="134" spans="1:7" x14ac:dyDescent="0.25">
      <c r="A134" s="162" t="str">
        <f>A66</f>
        <v>Pingyuan Zhongshi swine Farm</v>
      </c>
      <c r="B134" s="169">
        <f>AVERAGE(B69:D85)</f>
        <v>59.564705882352953</v>
      </c>
      <c r="C134" s="169">
        <f>AVERAGE(E69:G83)</f>
        <v>74.751111111111143</v>
      </c>
      <c r="D134" s="161">
        <f>'2021.1'!D134</f>
        <v>26358</v>
      </c>
      <c r="E134" s="161">
        <v>23618</v>
      </c>
      <c r="F134" s="161">
        <f t="shared" si="0"/>
        <v>1570006.5176470592</v>
      </c>
      <c r="G134" s="161">
        <f t="shared" si="0"/>
        <v>1765471.742222223</v>
      </c>
    </row>
    <row r="135" spans="1:7" x14ac:dyDescent="0.25">
      <c r="A135" s="162" t="str">
        <f>A86</f>
        <v>Yangchun Tanshui swine Farm</v>
      </c>
      <c r="B135" s="169">
        <f>AVERAGE(B89:D106)</f>
        <v>61.138461538461556</v>
      </c>
      <c r="C135" s="169">
        <f>AVERAGE(E89:G95)</f>
        <v>75.152380952380938</v>
      </c>
      <c r="D135" s="161">
        <f>'2021.1'!D135</f>
        <v>26581</v>
      </c>
      <c r="E135" s="161">
        <v>11607</v>
      </c>
      <c r="F135" s="161">
        <f t="shared" si="0"/>
        <v>1625121.4461538466</v>
      </c>
      <c r="G135" s="161">
        <f t="shared" si="0"/>
        <v>872293.68571428559</v>
      </c>
    </row>
    <row r="136" spans="1:7" x14ac:dyDescent="0.25">
      <c r="A136" s="162" t="str">
        <f>A107</f>
        <v>Xinfeng Shatian swine Farm</v>
      </c>
      <c r="B136" s="169">
        <f>AVERAGE(B110:D112)</f>
        <v>60.550000000000004</v>
      </c>
      <c r="C136" s="169">
        <f>AVERAGE(E110:G112)</f>
        <v>78.800000000000011</v>
      </c>
      <c r="D136" s="161">
        <f>'2021.1'!D136</f>
        <v>2074</v>
      </c>
      <c r="E136" s="161">
        <v>3789</v>
      </c>
      <c r="F136" s="161">
        <f t="shared" si="0"/>
        <v>125580.70000000001</v>
      </c>
      <c r="G136" s="161">
        <f t="shared" si="0"/>
        <v>298573.20000000007</v>
      </c>
    </row>
    <row r="137" spans="1:7" x14ac:dyDescent="0.25">
      <c r="A137" s="162" t="str">
        <f>A113</f>
        <v>Kaiping Cangcheng swine Farm</v>
      </c>
      <c r="B137" s="169">
        <f>AVERAGE(B116:D119)</f>
        <v>56.349999999999994</v>
      </c>
      <c r="C137" s="169">
        <f>AVERAGE(E116:G124)</f>
        <v>73.566666666666663</v>
      </c>
      <c r="D137" s="161">
        <f>'2021.1'!D137</f>
        <v>5872</v>
      </c>
      <c r="E137" s="161">
        <v>13995</v>
      </c>
      <c r="F137" s="161">
        <f t="shared" si="0"/>
        <v>330887.19999999995</v>
      </c>
      <c r="G137" s="161">
        <f t="shared" si="0"/>
        <v>1029565.5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95944</v>
      </c>
      <c r="F138" s="161">
        <f t="shared" ref="F138:G138" si="1">SUM(F129:F137)</f>
        <v>8025061.8863238795</v>
      </c>
      <c r="G138" s="161">
        <f t="shared" si="1"/>
        <v>7223905.6295238109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60.7</v>
      </c>
      <c r="D142" s="171">
        <f>ROUNDDOWN(G138/E138,1)</f>
        <v>75.2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3B41-124C-4904-8E99-249D9F22D554}">
  <dimension ref="A1:G142"/>
  <sheetViews>
    <sheetView workbookViewId="0">
      <selection activeCell="G142" sqref="G14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15.1</v>
      </c>
      <c r="C5" s="163">
        <v>58</v>
      </c>
      <c r="D5" s="163">
        <v>100.4</v>
      </c>
      <c r="E5" s="163">
        <v>26.1</v>
      </c>
      <c r="F5" s="163">
        <v>76.400000000000006</v>
      </c>
      <c r="G5" s="163">
        <v>90.4</v>
      </c>
    </row>
    <row r="6" spans="1:7" x14ac:dyDescent="0.25">
      <c r="A6" s="161">
        <v>2</v>
      </c>
      <c r="B6" s="163">
        <v>32.9</v>
      </c>
      <c r="C6" s="163">
        <v>59.1</v>
      </c>
      <c r="D6" s="163">
        <v>77.599999999999994</v>
      </c>
      <c r="E6" s="163">
        <v>55.2</v>
      </c>
      <c r="F6" s="163">
        <v>80</v>
      </c>
      <c r="G6" s="163">
        <v>90.5</v>
      </c>
    </row>
    <row r="7" spans="1:7" ht="14.5" thickBot="1" x14ac:dyDescent="0.3">
      <c r="A7" s="164">
        <v>3</v>
      </c>
      <c r="B7" s="165"/>
      <c r="C7" s="165"/>
      <c r="D7" s="165"/>
      <c r="E7" s="165">
        <v>36.5</v>
      </c>
      <c r="F7" s="165">
        <v>80.7</v>
      </c>
      <c r="G7" s="165">
        <v>119.1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39.200000000000003</v>
      </c>
      <c r="C11" s="163">
        <v>65.400000000000006</v>
      </c>
      <c r="D11" s="163">
        <v>92.4</v>
      </c>
      <c r="E11" s="163">
        <v>36</v>
      </c>
      <c r="F11" s="163">
        <v>76.099999999999994</v>
      </c>
      <c r="G11" s="163">
        <v>112.6</v>
      </c>
    </row>
    <row r="12" spans="1:7" x14ac:dyDescent="0.25">
      <c r="A12" s="161">
        <v>2</v>
      </c>
      <c r="B12" s="163">
        <v>17.600000000000001</v>
      </c>
      <c r="C12" s="163">
        <v>63.2</v>
      </c>
      <c r="D12" s="163">
        <v>101.1</v>
      </c>
      <c r="E12" s="163"/>
      <c r="F12" s="163"/>
      <c r="G12" s="163"/>
    </row>
    <row r="13" spans="1:7" x14ac:dyDescent="0.25">
      <c r="A13" s="161">
        <v>3</v>
      </c>
      <c r="B13" s="163">
        <v>27.1</v>
      </c>
      <c r="C13" s="163">
        <v>63.5</v>
      </c>
      <c r="D13" s="163">
        <v>82.7</v>
      </c>
      <c r="E13" s="162"/>
      <c r="F13" s="162"/>
      <c r="G13" s="162"/>
    </row>
    <row r="14" spans="1:7" x14ac:dyDescent="0.25">
      <c r="A14" s="161">
        <v>4</v>
      </c>
      <c r="B14" s="163">
        <v>47.9</v>
      </c>
      <c r="C14" s="163">
        <v>64</v>
      </c>
      <c r="D14" s="163">
        <v>101.6</v>
      </c>
      <c r="E14" s="162"/>
      <c r="F14" s="162"/>
      <c r="G14" s="162"/>
    </row>
    <row r="15" spans="1:7" ht="14.5" thickBot="1" x14ac:dyDescent="0.3">
      <c r="A15" s="164">
        <v>5</v>
      </c>
      <c r="B15" s="165">
        <v>36.5</v>
      </c>
      <c r="C15" s="165">
        <v>57.1</v>
      </c>
      <c r="D15" s="165">
        <v>71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22.7</v>
      </c>
      <c r="C19" s="163">
        <v>63.7</v>
      </c>
      <c r="D19" s="163">
        <v>95</v>
      </c>
      <c r="E19" s="163">
        <v>59.6</v>
      </c>
      <c r="F19" s="163">
        <v>70.400000000000006</v>
      </c>
      <c r="G19" s="163">
        <v>110.1</v>
      </c>
    </row>
    <row r="20" spans="1:7" x14ac:dyDescent="0.25">
      <c r="A20" s="161">
        <v>2</v>
      </c>
      <c r="B20" s="163">
        <v>45.1</v>
      </c>
      <c r="C20" s="163">
        <v>62.9</v>
      </c>
      <c r="D20" s="163">
        <v>90.9</v>
      </c>
      <c r="E20" s="163">
        <v>26</v>
      </c>
      <c r="F20" s="163">
        <v>84</v>
      </c>
      <c r="G20" s="163">
        <v>116.7</v>
      </c>
    </row>
    <row r="21" spans="1:7" x14ac:dyDescent="0.25">
      <c r="A21" s="161">
        <v>3</v>
      </c>
      <c r="B21" s="163">
        <v>40.299999999999997</v>
      </c>
      <c r="C21" s="163">
        <v>62.9</v>
      </c>
      <c r="D21" s="163">
        <v>95.4</v>
      </c>
      <c r="E21" s="163">
        <v>55.3</v>
      </c>
      <c r="F21" s="163">
        <v>63.2</v>
      </c>
      <c r="G21" s="163">
        <v>119.1</v>
      </c>
    </row>
    <row r="22" spans="1:7" x14ac:dyDescent="0.25">
      <c r="A22" s="161">
        <v>4</v>
      </c>
      <c r="B22" s="163">
        <v>15.4</v>
      </c>
      <c r="C22" s="163">
        <v>69.400000000000006</v>
      </c>
      <c r="D22" s="163">
        <v>78.8</v>
      </c>
      <c r="E22" s="163">
        <v>37.799999999999997</v>
      </c>
      <c r="F22" s="163">
        <v>80.599999999999994</v>
      </c>
      <c r="G22" s="163">
        <v>106</v>
      </c>
    </row>
    <row r="23" spans="1:7" x14ac:dyDescent="0.25">
      <c r="A23" s="161">
        <v>5</v>
      </c>
      <c r="B23" s="163">
        <v>26.8</v>
      </c>
      <c r="C23" s="163">
        <v>55.5</v>
      </c>
      <c r="D23" s="163">
        <v>100.5</v>
      </c>
      <c r="E23" s="163">
        <v>56.3</v>
      </c>
      <c r="F23" s="163">
        <v>75.3</v>
      </c>
      <c r="G23" s="163">
        <v>111.8</v>
      </c>
    </row>
    <row r="24" spans="1:7" x14ac:dyDescent="0.25">
      <c r="A24" s="161">
        <v>6</v>
      </c>
      <c r="B24" s="163">
        <v>40.6</v>
      </c>
      <c r="C24" s="163">
        <v>56.7</v>
      </c>
      <c r="D24" s="163">
        <v>82.5</v>
      </c>
      <c r="E24" s="163">
        <v>53.1</v>
      </c>
      <c r="F24" s="163">
        <v>83.4</v>
      </c>
      <c r="G24" s="163">
        <v>102.4</v>
      </c>
    </row>
    <row r="25" spans="1:7" x14ac:dyDescent="0.25">
      <c r="A25" s="161">
        <v>7</v>
      </c>
      <c r="B25" s="163">
        <v>32.799999999999997</v>
      </c>
      <c r="C25" s="163">
        <v>61.5</v>
      </c>
      <c r="D25" s="163">
        <v>78.8</v>
      </c>
      <c r="E25" s="163">
        <v>43</v>
      </c>
      <c r="F25" s="163">
        <v>69.2</v>
      </c>
      <c r="G25" s="163">
        <v>90.6</v>
      </c>
    </row>
    <row r="26" spans="1:7" x14ac:dyDescent="0.25">
      <c r="A26" s="161">
        <v>8</v>
      </c>
      <c r="B26" s="163">
        <v>22.8</v>
      </c>
      <c r="C26" s="163">
        <v>59.4</v>
      </c>
      <c r="D26" s="163">
        <v>103.1</v>
      </c>
      <c r="E26" s="163">
        <v>32.200000000000003</v>
      </c>
      <c r="F26" s="163">
        <v>62.7</v>
      </c>
      <c r="G26" s="163">
        <v>107.7</v>
      </c>
    </row>
    <row r="27" spans="1:7" x14ac:dyDescent="0.25">
      <c r="A27" s="161">
        <v>9</v>
      </c>
      <c r="B27" s="163">
        <v>37.299999999999997</v>
      </c>
      <c r="C27" s="163">
        <v>55.5</v>
      </c>
      <c r="D27" s="163">
        <v>105.7</v>
      </c>
      <c r="E27" s="163">
        <v>34</v>
      </c>
      <c r="F27" s="163">
        <v>84.9</v>
      </c>
      <c r="G27" s="163">
        <v>101.1</v>
      </c>
    </row>
    <row r="28" spans="1:7" x14ac:dyDescent="0.25">
      <c r="A28" s="161">
        <v>10</v>
      </c>
      <c r="B28" s="163">
        <v>49.9</v>
      </c>
      <c r="C28" s="163">
        <v>60.7</v>
      </c>
      <c r="D28" s="163">
        <v>93.4</v>
      </c>
      <c r="E28" s="163">
        <v>49.6</v>
      </c>
      <c r="F28" s="163">
        <v>86</v>
      </c>
      <c r="G28" s="163">
        <v>107.4</v>
      </c>
    </row>
    <row r="29" spans="1:7" x14ac:dyDescent="0.25">
      <c r="A29" s="161">
        <v>11</v>
      </c>
      <c r="B29" s="163">
        <v>30.6</v>
      </c>
      <c r="C29" s="163">
        <v>52.6</v>
      </c>
      <c r="D29" s="163">
        <v>84</v>
      </c>
      <c r="E29" s="163"/>
      <c r="F29" s="163"/>
      <c r="G29" s="163"/>
    </row>
    <row r="30" spans="1:7" x14ac:dyDescent="0.25">
      <c r="A30" s="161">
        <v>12</v>
      </c>
      <c r="B30" s="163">
        <v>28.5</v>
      </c>
      <c r="C30" s="163">
        <v>66.900000000000006</v>
      </c>
      <c r="D30" s="163">
        <v>94.3</v>
      </c>
      <c r="E30" s="163"/>
      <c r="F30" s="163"/>
      <c r="G30" s="163"/>
    </row>
    <row r="31" spans="1:7" x14ac:dyDescent="0.25">
      <c r="A31" s="161">
        <v>13</v>
      </c>
      <c r="B31" s="163">
        <v>15.3</v>
      </c>
      <c r="C31" s="163">
        <v>53</v>
      </c>
      <c r="D31" s="163">
        <v>72.900000000000006</v>
      </c>
      <c r="E31" s="163"/>
      <c r="F31" s="163"/>
      <c r="G31" s="163"/>
    </row>
    <row r="32" spans="1:7" x14ac:dyDescent="0.25">
      <c r="A32" s="161">
        <v>14</v>
      </c>
      <c r="B32" s="163">
        <v>30.5</v>
      </c>
      <c r="C32" s="163">
        <v>69.5</v>
      </c>
      <c r="D32" s="163">
        <v>70.2</v>
      </c>
      <c r="E32" s="163"/>
      <c r="F32" s="163"/>
      <c r="G32" s="163"/>
    </row>
    <row r="33" spans="1:7" ht="14.5" thickBot="1" x14ac:dyDescent="0.3">
      <c r="A33" s="166">
        <v>15</v>
      </c>
      <c r="B33" s="165">
        <v>18.8</v>
      </c>
      <c r="C33" s="165">
        <v>52.3</v>
      </c>
      <c r="D33" s="165">
        <v>84.9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36.200000000000003</v>
      </c>
      <c r="C37" s="163">
        <v>52.1</v>
      </c>
      <c r="D37" s="163">
        <v>88.7</v>
      </c>
      <c r="E37" s="163">
        <v>28.4</v>
      </c>
      <c r="F37" s="163">
        <v>73.5</v>
      </c>
      <c r="G37" s="163">
        <v>107.2</v>
      </c>
    </row>
    <row r="38" spans="1:7" x14ac:dyDescent="0.25">
      <c r="A38" s="161">
        <v>2</v>
      </c>
      <c r="B38" s="163">
        <v>31.2</v>
      </c>
      <c r="C38" s="163">
        <v>61.4</v>
      </c>
      <c r="D38" s="163">
        <v>89.9</v>
      </c>
      <c r="E38" s="163">
        <v>46.4</v>
      </c>
      <c r="F38" s="163">
        <v>64</v>
      </c>
      <c r="G38" s="163">
        <v>114.7</v>
      </c>
    </row>
    <row r="39" spans="1:7" x14ac:dyDescent="0.25">
      <c r="A39" s="161">
        <v>3</v>
      </c>
      <c r="B39" s="163">
        <v>40.6</v>
      </c>
      <c r="C39" s="163">
        <v>57.3</v>
      </c>
      <c r="D39" s="163">
        <v>78.7</v>
      </c>
      <c r="E39" s="163">
        <v>48.2</v>
      </c>
      <c r="F39" s="163">
        <v>78.7</v>
      </c>
      <c r="G39" s="163">
        <v>93.1</v>
      </c>
    </row>
    <row r="40" spans="1:7" x14ac:dyDescent="0.25">
      <c r="A40" s="161">
        <v>4</v>
      </c>
      <c r="B40" s="163">
        <v>45.2</v>
      </c>
      <c r="C40" s="163">
        <v>61.4</v>
      </c>
      <c r="D40" s="163">
        <v>77.3</v>
      </c>
      <c r="E40" s="163">
        <v>32.4</v>
      </c>
      <c r="F40" s="163">
        <v>66.2</v>
      </c>
      <c r="G40" s="163">
        <v>107.4</v>
      </c>
    </row>
    <row r="41" spans="1:7" x14ac:dyDescent="0.25">
      <c r="A41" s="161">
        <v>5</v>
      </c>
      <c r="B41" s="163">
        <v>24.2</v>
      </c>
      <c r="C41" s="163">
        <v>67.2</v>
      </c>
      <c r="D41" s="163">
        <v>78.099999999999994</v>
      </c>
      <c r="E41" s="163">
        <v>34</v>
      </c>
      <c r="F41" s="163">
        <v>87.8</v>
      </c>
      <c r="G41" s="163">
        <v>108.4</v>
      </c>
    </row>
    <row r="42" spans="1:7" x14ac:dyDescent="0.25">
      <c r="A42" s="161">
        <v>6</v>
      </c>
      <c r="B42" s="163">
        <v>21.5</v>
      </c>
      <c r="C42" s="163">
        <v>68.3</v>
      </c>
      <c r="D42" s="163">
        <v>92.5</v>
      </c>
      <c r="E42" s="163">
        <v>43.7</v>
      </c>
      <c r="F42" s="163">
        <v>78.5</v>
      </c>
      <c r="G42" s="163">
        <v>90.6</v>
      </c>
    </row>
    <row r="43" spans="1:7" x14ac:dyDescent="0.25">
      <c r="A43" s="161">
        <v>7</v>
      </c>
      <c r="B43" s="163">
        <v>28.5</v>
      </c>
      <c r="C43" s="163">
        <v>68.7</v>
      </c>
      <c r="D43" s="163">
        <v>101.1</v>
      </c>
      <c r="E43" s="163">
        <v>46.8</v>
      </c>
      <c r="F43" s="163">
        <v>60.8</v>
      </c>
      <c r="G43" s="163">
        <v>91</v>
      </c>
    </row>
    <row r="44" spans="1:7" x14ac:dyDescent="0.25">
      <c r="A44" s="161">
        <v>8</v>
      </c>
      <c r="B44" s="163">
        <v>47</v>
      </c>
      <c r="C44" s="163">
        <v>56.4</v>
      </c>
      <c r="D44" s="163">
        <v>102.8</v>
      </c>
      <c r="E44" s="162"/>
      <c r="F44" s="162"/>
      <c r="G44" s="162"/>
    </row>
    <row r="45" spans="1:7" x14ac:dyDescent="0.25">
      <c r="A45" s="161">
        <v>9</v>
      </c>
      <c r="B45" s="163">
        <v>18.899999999999999</v>
      </c>
      <c r="C45" s="163">
        <v>57.7</v>
      </c>
      <c r="D45" s="163">
        <v>109.6</v>
      </c>
      <c r="E45" s="162"/>
      <c r="F45" s="162"/>
      <c r="G45" s="162"/>
    </row>
    <row r="46" spans="1:7" x14ac:dyDescent="0.25">
      <c r="A46" s="161">
        <v>10</v>
      </c>
      <c r="B46" s="163">
        <v>43.2</v>
      </c>
      <c r="C46" s="163">
        <v>53.9</v>
      </c>
      <c r="D46" s="163">
        <v>96.2</v>
      </c>
      <c r="E46" s="162"/>
      <c r="F46" s="162"/>
      <c r="G46" s="162"/>
    </row>
    <row r="47" spans="1:7" x14ac:dyDescent="0.25">
      <c r="A47" s="161">
        <v>11</v>
      </c>
      <c r="B47" s="163">
        <v>35.299999999999997</v>
      </c>
      <c r="C47" s="163">
        <v>51.7</v>
      </c>
      <c r="D47" s="163">
        <v>75.900000000000006</v>
      </c>
      <c r="E47" s="162"/>
      <c r="F47" s="162"/>
      <c r="G47" s="162"/>
    </row>
    <row r="48" spans="1:7" x14ac:dyDescent="0.25">
      <c r="A48" s="161">
        <v>12</v>
      </c>
      <c r="B48" s="163">
        <v>42.1</v>
      </c>
      <c r="C48" s="163">
        <v>51</v>
      </c>
      <c r="D48" s="163">
        <v>92.1</v>
      </c>
      <c r="E48" s="162"/>
      <c r="F48" s="162"/>
      <c r="G48" s="162"/>
    </row>
    <row r="49" spans="1:7" x14ac:dyDescent="0.25">
      <c r="A49" s="161">
        <v>13</v>
      </c>
      <c r="B49" s="163">
        <v>17.7</v>
      </c>
      <c r="C49" s="163">
        <v>69.900000000000006</v>
      </c>
      <c r="D49" s="163">
        <v>101.7</v>
      </c>
      <c r="E49" s="162"/>
      <c r="F49" s="162"/>
      <c r="G49" s="162"/>
    </row>
    <row r="50" spans="1:7" x14ac:dyDescent="0.25">
      <c r="A50" s="161">
        <v>14</v>
      </c>
      <c r="B50" s="163">
        <v>16.399999999999999</v>
      </c>
      <c r="C50" s="163">
        <v>54.7</v>
      </c>
      <c r="D50" s="163">
        <v>72.599999999999994</v>
      </c>
      <c r="E50" s="162"/>
      <c r="F50" s="162"/>
      <c r="G50" s="162"/>
    </row>
    <row r="51" spans="1:7" x14ac:dyDescent="0.25">
      <c r="A51" s="161">
        <v>15</v>
      </c>
      <c r="B51" s="163">
        <v>35.6</v>
      </c>
      <c r="C51" s="163">
        <v>63.8</v>
      </c>
      <c r="D51" s="163">
        <v>72.5</v>
      </c>
      <c r="E51" s="162"/>
      <c r="F51" s="162"/>
      <c r="G51" s="162"/>
    </row>
    <row r="52" spans="1:7" x14ac:dyDescent="0.25">
      <c r="A52" s="161">
        <v>16</v>
      </c>
      <c r="B52" s="163">
        <v>29.8</v>
      </c>
      <c r="C52" s="163">
        <v>63.2</v>
      </c>
      <c r="D52" s="163">
        <v>91.4</v>
      </c>
      <c r="E52" s="162"/>
      <c r="F52" s="162"/>
      <c r="G52" s="162"/>
    </row>
    <row r="53" spans="1:7" x14ac:dyDescent="0.25">
      <c r="A53" s="161">
        <v>17</v>
      </c>
      <c r="B53" s="163">
        <v>42.7</v>
      </c>
      <c r="C53" s="163">
        <v>50.3</v>
      </c>
      <c r="D53" s="163">
        <v>79.099999999999994</v>
      </c>
      <c r="E53" s="162"/>
      <c r="F53" s="162"/>
      <c r="G53" s="162"/>
    </row>
    <row r="54" spans="1:7" x14ac:dyDescent="0.25">
      <c r="A54" s="161">
        <v>18</v>
      </c>
      <c r="B54" s="163">
        <v>15.7</v>
      </c>
      <c r="C54" s="163">
        <v>53.8</v>
      </c>
      <c r="D54" s="163">
        <v>73.099999999999994</v>
      </c>
      <c r="E54" s="162"/>
      <c r="F54" s="162"/>
      <c r="G54" s="162"/>
    </row>
    <row r="55" spans="1:7" ht="14.5" thickBot="1" x14ac:dyDescent="0.3">
      <c r="A55" s="164">
        <v>19</v>
      </c>
      <c r="B55" s="165">
        <v>19.8</v>
      </c>
      <c r="C55" s="165">
        <v>68</v>
      </c>
      <c r="D55" s="165">
        <v>102.8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28</v>
      </c>
      <c r="C59" s="163">
        <v>69.099999999999994</v>
      </c>
      <c r="D59" s="163">
        <v>79.099999999999994</v>
      </c>
      <c r="E59" s="163">
        <v>49.3</v>
      </c>
      <c r="F59" s="163">
        <v>85.1</v>
      </c>
      <c r="G59" s="163">
        <v>90.9</v>
      </c>
    </row>
    <row r="60" spans="1:7" x14ac:dyDescent="0.25">
      <c r="A60" s="161">
        <v>2</v>
      </c>
      <c r="B60" s="163">
        <v>41.4</v>
      </c>
      <c r="C60" s="163">
        <v>65.7</v>
      </c>
      <c r="D60" s="163">
        <v>94.7</v>
      </c>
      <c r="E60" s="163">
        <v>40.299999999999997</v>
      </c>
      <c r="F60" s="163">
        <v>85.7</v>
      </c>
      <c r="G60" s="163">
        <v>90.8</v>
      </c>
    </row>
    <row r="61" spans="1:7" x14ac:dyDescent="0.25">
      <c r="A61" s="161">
        <v>3</v>
      </c>
      <c r="B61" s="163">
        <v>38.9</v>
      </c>
      <c r="C61" s="163">
        <v>54</v>
      </c>
      <c r="D61" s="163">
        <v>85.3</v>
      </c>
      <c r="E61" s="163">
        <v>47.6</v>
      </c>
      <c r="F61" s="163">
        <v>65.599999999999994</v>
      </c>
      <c r="G61" s="163">
        <v>115.4</v>
      </c>
    </row>
    <row r="62" spans="1:7" x14ac:dyDescent="0.25">
      <c r="A62" s="161">
        <v>4</v>
      </c>
      <c r="B62" s="163">
        <v>24.6</v>
      </c>
      <c r="C62" s="163">
        <v>67</v>
      </c>
      <c r="D62" s="163">
        <v>108.7</v>
      </c>
      <c r="E62" s="163">
        <v>52.3</v>
      </c>
      <c r="F62" s="163">
        <v>72.099999999999994</v>
      </c>
      <c r="G62" s="163">
        <v>119.5</v>
      </c>
    </row>
    <row r="63" spans="1:7" x14ac:dyDescent="0.25">
      <c r="A63" s="161">
        <v>5</v>
      </c>
      <c r="B63" s="163">
        <v>46.4</v>
      </c>
      <c r="C63" s="163">
        <v>55.5</v>
      </c>
      <c r="D63" s="163">
        <v>73.900000000000006</v>
      </c>
      <c r="E63" s="163">
        <v>47</v>
      </c>
      <c r="F63" s="163">
        <v>61.5</v>
      </c>
      <c r="G63" s="163">
        <v>100.2</v>
      </c>
    </row>
    <row r="64" spans="1:7" x14ac:dyDescent="0.25">
      <c r="A64" s="167">
        <v>6</v>
      </c>
      <c r="B64" s="163">
        <v>20.399999999999999</v>
      </c>
      <c r="C64" s="163">
        <v>51.4</v>
      </c>
      <c r="D64" s="163">
        <v>105.1</v>
      </c>
      <c r="E64" s="163">
        <v>54.9</v>
      </c>
      <c r="F64" s="163">
        <v>82.7</v>
      </c>
      <c r="G64" s="163">
        <v>96.2</v>
      </c>
    </row>
    <row r="65" spans="1:7" ht="14.5" thickBot="1" x14ac:dyDescent="0.3">
      <c r="A65" s="164">
        <v>7</v>
      </c>
      <c r="B65" s="165">
        <v>15.8</v>
      </c>
      <c r="C65" s="165">
        <v>65.7</v>
      </c>
      <c r="D65" s="165">
        <v>74</v>
      </c>
      <c r="E65" s="165">
        <v>30.1</v>
      </c>
      <c r="F65" s="165">
        <v>90</v>
      </c>
      <c r="G65" s="165">
        <v>117.8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18.2</v>
      </c>
      <c r="C69" s="163">
        <v>60.6</v>
      </c>
      <c r="D69" s="163">
        <v>103.8</v>
      </c>
      <c r="E69" s="163">
        <v>41.6</v>
      </c>
      <c r="F69" s="163">
        <v>89.9</v>
      </c>
      <c r="G69" s="163">
        <v>100.8</v>
      </c>
    </row>
    <row r="70" spans="1:7" x14ac:dyDescent="0.25">
      <c r="A70" s="161">
        <v>2</v>
      </c>
      <c r="B70" s="163">
        <v>49.4</v>
      </c>
      <c r="C70" s="163">
        <v>54.4</v>
      </c>
      <c r="D70" s="163">
        <v>99.5</v>
      </c>
      <c r="E70" s="163">
        <v>47.2</v>
      </c>
      <c r="F70" s="163">
        <v>80.3</v>
      </c>
      <c r="G70" s="163">
        <v>103</v>
      </c>
    </row>
    <row r="71" spans="1:7" x14ac:dyDescent="0.25">
      <c r="A71" s="161">
        <v>3</v>
      </c>
      <c r="B71" s="163">
        <v>39.200000000000003</v>
      </c>
      <c r="C71" s="163">
        <v>59.1</v>
      </c>
      <c r="D71" s="163">
        <v>94.6</v>
      </c>
      <c r="E71" s="163">
        <v>50.7</v>
      </c>
      <c r="F71" s="163">
        <v>82</v>
      </c>
      <c r="G71" s="163">
        <v>117.2</v>
      </c>
    </row>
    <row r="72" spans="1:7" x14ac:dyDescent="0.25">
      <c r="A72" s="161">
        <v>4</v>
      </c>
      <c r="B72" s="163">
        <v>22.8</v>
      </c>
      <c r="C72" s="163">
        <v>67.599999999999994</v>
      </c>
      <c r="D72" s="163">
        <v>74.7</v>
      </c>
      <c r="E72" s="163">
        <v>48.8</v>
      </c>
      <c r="F72" s="163">
        <v>67.900000000000006</v>
      </c>
      <c r="G72" s="163">
        <v>106</v>
      </c>
    </row>
    <row r="73" spans="1:7" x14ac:dyDescent="0.25">
      <c r="A73" s="161">
        <v>5</v>
      </c>
      <c r="B73" s="163">
        <v>38.1</v>
      </c>
      <c r="C73" s="163">
        <v>50.2</v>
      </c>
      <c r="D73" s="163">
        <v>74.3</v>
      </c>
      <c r="E73" s="163">
        <v>40.6</v>
      </c>
      <c r="F73" s="163">
        <v>64.2</v>
      </c>
      <c r="G73" s="163">
        <v>118.7</v>
      </c>
    </row>
    <row r="74" spans="1:7" x14ac:dyDescent="0.25">
      <c r="A74" s="161">
        <v>6</v>
      </c>
      <c r="B74" s="163">
        <v>32.4</v>
      </c>
      <c r="C74" s="163">
        <v>67.900000000000006</v>
      </c>
      <c r="D74" s="163">
        <v>98.9</v>
      </c>
      <c r="E74" s="163">
        <v>37.799999999999997</v>
      </c>
      <c r="F74" s="163">
        <v>88.8</v>
      </c>
      <c r="G74" s="163">
        <v>96.1</v>
      </c>
    </row>
    <row r="75" spans="1:7" x14ac:dyDescent="0.25">
      <c r="A75" s="161">
        <v>7</v>
      </c>
      <c r="B75" s="163">
        <v>42.3</v>
      </c>
      <c r="C75" s="163">
        <v>56.2</v>
      </c>
      <c r="D75" s="163">
        <v>94.5</v>
      </c>
      <c r="E75" s="163">
        <v>30.8</v>
      </c>
      <c r="F75" s="163">
        <v>85.3</v>
      </c>
      <c r="G75" s="163">
        <v>98.8</v>
      </c>
    </row>
    <row r="76" spans="1:7" x14ac:dyDescent="0.25">
      <c r="A76" s="161">
        <v>8</v>
      </c>
      <c r="B76" s="163">
        <v>43.8</v>
      </c>
      <c r="C76" s="163">
        <v>59.4</v>
      </c>
      <c r="D76" s="163">
        <v>105.6</v>
      </c>
      <c r="E76" s="163">
        <v>52.3</v>
      </c>
      <c r="F76" s="163">
        <v>75.400000000000006</v>
      </c>
      <c r="G76" s="163">
        <v>117.2</v>
      </c>
    </row>
    <row r="77" spans="1:7" x14ac:dyDescent="0.25">
      <c r="A77" s="161">
        <v>9</v>
      </c>
      <c r="B77" s="163">
        <v>45.3</v>
      </c>
      <c r="C77" s="163">
        <v>56</v>
      </c>
      <c r="D77" s="163">
        <v>104.2</v>
      </c>
      <c r="E77" s="163">
        <v>44</v>
      </c>
      <c r="F77" s="163">
        <v>63.4</v>
      </c>
      <c r="G77" s="163">
        <v>91.3</v>
      </c>
    </row>
    <row r="78" spans="1:7" x14ac:dyDescent="0.25">
      <c r="A78" s="161">
        <v>10</v>
      </c>
      <c r="B78" s="163">
        <v>26.6</v>
      </c>
      <c r="C78" s="163">
        <v>63.1</v>
      </c>
      <c r="D78" s="163">
        <v>85.3</v>
      </c>
      <c r="E78" s="163">
        <v>45.8</v>
      </c>
      <c r="F78" s="163">
        <v>69.400000000000006</v>
      </c>
      <c r="G78" s="163">
        <v>119.3</v>
      </c>
    </row>
    <row r="79" spans="1:7" x14ac:dyDescent="0.25">
      <c r="A79" s="161">
        <v>11</v>
      </c>
      <c r="B79" s="163">
        <v>37.4</v>
      </c>
      <c r="C79" s="163">
        <v>55</v>
      </c>
      <c r="D79" s="163">
        <v>85.9</v>
      </c>
      <c r="E79" s="163">
        <v>41.3</v>
      </c>
      <c r="F79" s="163">
        <v>79.900000000000006</v>
      </c>
      <c r="G79" s="163">
        <v>90.3</v>
      </c>
    </row>
    <row r="80" spans="1:7" x14ac:dyDescent="0.25">
      <c r="A80" s="161">
        <v>12</v>
      </c>
      <c r="B80" s="163">
        <v>16.100000000000001</v>
      </c>
      <c r="C80" s="163">
        <v>69.5</v>
      </c>
      <c r="D80" s="163">
        <v>104.8</v>
      </c>
      <c r="E80" s="163">
        <v>35.5</v>
      </c>
      <c r="F80" s="163">
        <v>76.900000000000006</v>
      </c>
      <c r="G80" s="163">
        <v>95.2</v>
      </c>
    </row>
    <row r="81" spans="1:7" x14ac:dyDescent="0.25">
      <c r="A81" s="161">
        <v>13</v>
      </c>
      <c r="B81" s="163">
        <v>48.2</v>
      </c>
      <c r="C81" s="163">
        <v>70</v>
      </c>
      <c r="D81" s="163">
        <v>92.5</v>
      </c>
      <c r="E81" s="163">
        <v>43.8</v>
      </c>
      <c r="F81" s="163">
        <v>64.2</v>
      </c>
      <c r="G81" s="163">
        <v>104.9</v>
      </c>
    </row>
    <row r="82" spans="1:7" x14ac:dyDescent="0.25">
      <c r="A82" s="161">
        <v>14</v>
      </c>
      <c r="B82" s="163">
        <v>17.399999999999999</v>
      </c>
      <c r="C82" s="163">
        <v>56.7</v>
      </c>
      <c r="D82" s="163">
        <v>99.7</v>
      </c>
      <c r="E82" s="163">
        <v>32</v>
      </c>
      <c r="F82" s="163">
        <v>77.2</v>
      </c>
      <c r="G82" s="163">
        <v>116.2</v>
      </c>
    </row>
    <row r="83" spans="1:7" x14ac:dyDescent="0.25">
      <c r="A83" s="161">
        <v>15</v>
      </c>
      <c r="B83" s="163">
        <v>41</v>
      </c>
      <c r="C83" s="163">
        <v>67.5</v>
      </c>
      <c r="D83" s="163">
        <v>100.8</v>
      </c>
      <c r="E83" s="163">
        <v>32.4</v>
      </c>
      <c r="F83" s="163">
        <v>80.2</v>
      </c>
      <c r="G83" s="163">
        <v>104.1</v>
      </c>
    </row>
    <row r="84" spans="1:7" x14ac:dyDescent="0.25">
      <c r="A84" s="161">
        <v>16</v>
      </c>
      <c r="B84" s="163">
        <v>19.899999999999999</v>
      </c>
      <c r="C84" s="163">
        <v>59.8</v>
      </c>
      <c r="D84" s="163">
        <v>74.7</v>
      </c>
      <c r="E84" s="163"/>
      <c r="F84" s="163"/>
      <c r="G84" s="163"/>
    </row>
    <row r="85" spans="1:7" ht="14.5" thickBot="1" x14ac:dyDescent="0.3">
      <c r="A85" s="166">
        <v>17</v>
      </c>
      <c r="B85" s="168">
        <v>22</v>
      </c>
      <c r="C85" s="168">
        <v>50.3</v>
      </c>
      <c r="D85" s="168">
        <v>88.2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29.3</v>
      </c>
      <c r="C89" s="163">
        <v>50.6</v>
      </c>
      <c r="D89" s="163">
        <v>94.5</v>
      </c>
      <c r="E89" s="163">
        <v>56.2</v>
      </c>
      <c r="F89" s="163">
        <v>77.7</v>
      </c>
      <c r="G89" s="163">
        <v>90.2</v>
      </c>
    </row>
    <row r="90" spans="1:7" x14ac:dyDescent="0.25">
      <c r="A90" s="161">
        <v>2</v>
      </c>
      <c r="B90" s="163">
        <v>41.8</v>
      </c>
      <c r="C90" s="163">
        <v>69.599999999999994</v>
      </c>
      <c r="D90" s="163">
        <v>107.1</v>
      </c>
      <c r="E90" s="163">
        <v>42.1</v>
      </c>
      <c r="F90" s="163">
        <v>86.9</v>
      </c>
      <c r="G90" s="163">
        <v>96</v>
      </c>
    </row>
    <row r="91" spans="1:7" x14ac:dyDescent="0.25">
      <c r="A91" s="161">
        <v>3</v>
      </c>
      <c r="B91" s="163">
        <v>34.5</v>
      </c>
      <c r="C91" s="163">
        <v>53.9</v>
      </c>
      <c r="D91" s="163">
        <v>86.2</v>
      </c>
      <c r="E91" s="163">
        <v>40.799999999999997</v>
      </c>
      <c r="F91" s="163">
        <v>65.7</v>
      </c>
      <c r="G91" s="163">
        <v>116.5</v>
      </c>
    </row>
    <row r="92" spans="1:7" x14ac:dyDescent="0.25">
      <c r="A92" s="161">
        <v>4</v>
      </c>
      <c r="B92" s="163">
        <v>32.6</v>
      </c>
      <c r="C92" s="163">
        <v>54.8</v>
      </c>
      <c r="D92" s="163">
        <v>77</v>
      </c>
      <c r="E92" s="163">
        <v>29.7</v>
      </c>
      <c r="F92" s="163">
        <v>63.3</v>
      </c>
      <c r="G92" s="163">
        <v>118</v>
      </c>
    </row>
    <row r="93" spans="1:7" x14ac:dyDescent="0.25">
      <c r="A93" s="161">
        <v>5</v>
      </c>
      <c r="B93" s="163">
        <v>31.9</v>
      </c>
      <c r="C93" s="163">
        <v>60.7</v>
      </c>
      <c r="D93" s="163">
        <v>71.2</v>
      </c>
      <c r="E93" s="163">
        <v>46.8</v>
      </c>
      <c r="F93" s="163">
        <v>71.400000000000006</v>
      </c>
      <c r="G93" s="163">
        <v>109.9</v>
      </c>
    </row>
    <row r="94" spans="1:7" x14ac:dyDescent="0.25">
      <c r="A94" s="161">
        <v>6</v>
      </c>
      <c r="B94" s="163">
        <v>38.6</v>
      </c>
      <c r="C94" s="163">
        <v>62.4</v>
      </c>
      <c r="D94" s="163">
        <v>83.4</v>
      </c>
      <c r="E94" s="163">
        <v>53.5</v>
      </c>
      <c r="F94" s="163">
        <v>70.599999999999994</v>
      </c>
      <c r="G94" s="163">
        <v>112.2</v>
      </c>
    </row>
    <row r="95" spans="1:7" x14ac:dyDescent="0.25">
      <c r="A95" s="161">
        <v>7</v>
      </c>
      <c r="B95" s="163">
        <v>20.2</v>
      </c>
      <c r="C95" s="163">
        <v>50</v>
      </c>
      <c r="D95" s="163">
        <v>79.599999999999994</v>
      </c>
      <c r="E95" s="163">
        <v>34.6</v>
      </c>
      <c r="F95" s="163">
        <v>61.7</v>
      </c>
      <c r="G95" s="163">
        <v>119.1</v>
      </c>
    </row>
    <row r="96" spans="1:7" x14ac:dyDescent="0.25">
      <c r="A96" s="161">
        <v>8</v>
      </c>
      <c r="B96" s="163">
        <v>45.4</v>
      </c>
      <c r="C96" s="163">
        <v>52</v>
      </c>
      <c r="D96" s="163">
        <v>74.099999999999994</v>
      </c>
      <c r="E96" s="162"/>
      <c r="F96" s="162"/>
      <c r="G96" s="162"/>
    </row>
    <row r="97" spans="1:7" x14ac:dyDescent="0.25">
      <c r="A97" s="161">
        <v>9</v>
      </c>
      <c r="B97" s="163">
        <v>41.7</v>
      </c>
      <c r="C97" s="163">
        <v>64.2</v>
      </c>
      <c r="D97" s="163">
        <v>107.8</v>
      </c>
      <c r="E97" s="162"/>
      <c r="F97" s="162"/>
      <c r="G97" s="162"/>
    </row>
    <row r="98" spans="1:7" x14ac:dyDescent="0.25">
      <c r="A98" s="161">
        <v>10</v>
      </c>
      <c r="B98" s="163">
        <v>19.399999999999999</v>
      </c>
      <c r="C98" s="163">
        <v>68.2</v>
      </c>
      <c r="D98" s="163">
        <v>71.8</v>
      </c>
      <c r="E98" s="162"/>
      <c r="F98" s="162"/>
      <c r="G98" s="162"/>
    </row>
    <row r="99" spans="1:7" x14ac:dyDescent="0.25">
      <c r="A99" s="161">
        <v>11</v>
      </c>
      <c r="B99" s="163">
        <v>40</v>
      </c>
      <c r="C99" s="163">
        <v>66.099999999999994</v>
      </c>
      <c r="D99" s="163">
        <v>81.400000000000006</v>
      </c>
      <c r="E99" s="162"/>
      <c r="F99" s="162"/>
      <c r="G99" s="162"/>
    </row>
    <row r="100" spans="1:7" x14ac:dyDescent="0.25">
      <c r="A100" s="161">
        <v>12</v>
      </c>
      <c r="B100" s="163">
        <v>29</v>
      </c>
      <c r="C100" s="163">
        <v>52</v>
      </c>
      <c r="D100" s="163">
        <v>96.9</v>
      </c>
      <c r="E100" s="162"/>
      <c r="F100" s="162"/>
      <c r="G100" s="162"/>
    </row>
    <row r="101" spans="1:7" x14ac:dyDescent="0.25">
      <c r="A101" s="161">
        <v>13</v>
      </c>
      <c r="B101" s="163">
        <v>44.4</v>
      </c>
      <c r="C101" s="163">
        <v>54</v>
      </c>
      <c r="D101" s="163">
        <v>78.099999999999994</v>
      </c>
      <c r="E101" s="162"/>
      <c r="F101" s="162"/>
      <c r="G101" s="162"/>
    </row>
    <row r="102" spans="1:7" x14ac:dyDescent="0.25">
      <c r="A102" s="161">
        <v>14</v>
      </c>
      <c r="B102" s="163">
        <v>20.399999999999999</v>
      </c>
      <c r="C102" s="163">
        <v>57.2</v>
      </c>
      <c r="D102" s="163">
        <v>81.400000000000006</v>
      </c>
      <c r="E102" s="162"/>
      <c r="F102" s="162"/>
      <c r="G102" s="162"/>
    </row>
    <row r="103" spans="1:7" x14ac:dyDescent="0.25">
      <c r="A103" s="161">
        <v>15</v>
      </c>
      <c r="B103" s="163">
        <v>26.1</v>
      </c>
      <c r="C103" s="163">
        <v>55.7</v>
      </c>
      <c r="D103" s="163">
        <v>93.4</v>
      </c>
      <c r="E103" s="162"/>
      <c r="F103" s="162"/>
      <c r="G103" s="162"/>
    </row>
    <row r="104" spans="1:7" x14ac:dyDescent="0.25">
      <c r="A104" s="161">
        <v>16</v>
      </c>
      <c r="B104" s="163">
        <v>31.2</v>
      </c>
      <c r="C104" s="163">
        <v>66.3</v>
      </c>
      <c r="D104" s="163">
        <v>109.7</v>
      </c>
      <c r="E104" s="162"/>
      <c r="F104" s="162"/>
      <c r="G104" s="162"/>
    </row>
    <row r="105" spans="1:7" x14ac:dyDescent="0.25">
      <c r="A105" s="161">
        <v>17</v>
      </c>
      <c r="B105" s="163">
        <v>39.5</v>
      </c>
      <c r="C105" s="163">
        <v>60.8</v>
      </c>
      <c r="D105" s="163">
        <v>85.7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81.900000000000006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39.299999999999997</v>
      </c>
      <c r="C110" s="163">
        <v>57.7</v>
      </c>
      <c r="D110" s="163">
        <v>90.5</v>
      </c>
      <c r="E110" s="163">
        <v>35.9</v>
      </c>
      <c r="F110" s="163">
        <v>85.1</v>
      </c>
      <c r="G110" s="163">
        <v>92.8</v>
      </c>
    </row>
    <row r="111" spans="1:7" x14ac:dyDescent="0.25">
      <c r="A111" s="161">
        <v>2</v>
      </c>
      <c r="B111" s="163">
        <v>32.700000000000003</v>
      </c>
      <c r="C111" s="163">
        <v>64.3</v>
      </c>
      <c r="D111" s="163">
        <v>88.7</v>
      </c>
      <c r="E111" s="163">
        <v>29.3</v>
      </c>
      <c r="F111" s="163">
        <v>69.599999999999994</v>
      </c>
      <c r="G111" s="163">
        <v>102.6</v>
      </c>
    </row>
    <row r="112" spans="1:7" ht="14.5" thickBot="1" x14ac:dyDescent="0.3">
      <c r="A112" s="166">
        <v>3</v>
      </c>
      <c r="B112" s="168"/>
      <c r="C112" s="168"/>
      <c r="D112" s="168"/>
      <c r="E112" s="168">
        <v>57.3</v>
      </c>
      <c r="F112" s="168">
        <v>82.5</v>
      </c>
      <c r="G112" s="168">
        <v>113.1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31.2</v>
      </c>
      <c r="C116" s="163">
        <v>62.4</v>
      </c>
      <c r="D116" s="163">
        <v>103</v>
      </c>
      <c r="E116" s="163">
        <v>44.9</v>
      </c>
      <c r="F116" s="163">
        <v>62.3</v>
      </c>
      <c r="G116" s="163">
        <v>93.7</v>
      </c>
    </row>
    <row r="117" spans="1:7" x14ac:dyDescent="0.25">
      <c r="A117" s="161">
        <v>2</v>
      </c>
      <c r="B117" s="163">
        <v>16.100000000000001</v>
      </c>
      <c r="C117" s="163">
        <v>61.1</v>
      </c>
      <c r="D117" s="163">
        <v>84.4</v>
      </c>
      <c r="E117" s="163">
        <v>53.8</v>
      </c>
      <c r="F117" s="163">
        <v>73.2</v>
      </c>
      <c r="G117" s="163">
        <v>107.9</v>
      </c>
    </row>
    <row r="118" spans="1:7" x14ac:dyDescent="0.25">
      <c r="A118" s="161">
        <v>3</v>
      </c>
      <c r="B118" s="163">
        <v>21.3</v>
      </c>
      <c r="C118" s="163">
        <v>63.2</v>
      </c>
      <c r="D118" s="163">
        <v>100.4</v>
      </c>
      <c r="E118" s="163">
        <v>57.8</v>
      </c>
      <c r="F118" s="163">
        <v>79.099999999999994</v>
      </c>
      <c r="G118" s="163">
        <v>114.7</v>
      </c>
    </row>
    <row r="119" spans="1:7" x14ac:dyDescent="0.25">
      <c r="A119" s="161">
        <v>4</v>
      </c>
      <c r="B119" s="163">
        <v>38.299999999999997</v>
      </c>
      <c r="C119" s="163">
        <v>59.3</v>
      </c>
      <c r="D119" s="163">
        <v>86.6</v>
      </c>
      <c r="E119" s="163">
        <v>52.6</v>
      </c>
      <c r="F119" s="163">
        <v>64.099999999999994</v>
      </c>
      <c r="G119" s="163">
        <v>105.7</v>
      </c>
    </row>
    <row r="120" spans="1:7" x14ac:dyDescent="0.25">
      <c r="A120" s="161">
        <v>5</v>
      </c>
      <c r="B120" s="162"/>
      <c r="C120" s="162"/>
      <c r="D120" s="162"/>
      <c r="E120" s="163">
        <v>49.9</v>
      </c>
      <c r="F120" s="163">
        <v>73.3</v>
      </c>
      <c r="G120" s="163">
        <v>100.1</v>
      </c>
    </row>
    <row r="121" spans="1:7" x14ac:dyDescent="0.25">
      <c r="A121" s="161">
        <v>6</v>
      </c>
      <c r="B121" s="162"/>
      <c r="C121" s="162"/>
      <c r="D121" s="162"/>
      <c r="E121" s="163">
        <v>29.5</v>
      </c>
      <c r="F121" s="163">
        <v>88.3</v>
      </c>
      <c r="G121" s="163">
        <v>119.7</v>
      </c>
    </row>
    <row r="122" spans="1:7" x14ac:dyDescent="0.25">
      <c r="A122" s="161">
        <v>7</v>
      </c>
      <c r="B122" s="162"/>
      <c r="C122" s="162"/>
      <c r="D122" s="162"/>
      <c r="E122" s="163">
        <v>43.2</v>
      </c>
      <c r="F122" s="163">
        <v>68.7</v>
      </c>
      <c r="G122" s="163">
        <v>102.1</v>
      </c>
    </row>
    <row r="123" spans="1:7" x14ac:dyDescent="0.25">
      <c r="A123" s="161">
        <v>8</v>
      </c>
      <c r="B123" s="162"/>
      <c r="C123" s="162"/>
      <c r="D123" s="162"/>
      <c r="E123" s="163">
        <v>36.299999999999997</v>
      </c>
      <c r="F123" s="163">
        <v>63.3</v>
      </c>
      <c r="G123" s="163">
        <v>115.6</v>
      </c>
    </row>
    <row r="124" spans="1:7" ht="14.5" thickBot="1" x14ac:dyDescent="0.3">
      <c r="A124" s="166">
        <v>9</v>
      </c>
      <c r="B124" s="168"/>
      <c r="C124" s="168"/>
      <c r="D124" s="168"/>
      <c r="E124" s="168">
        <v>34.1</v>
      </c>
      <c r="F124" s="168">
        <v>81</v>
      </c>
      <c r="G124" s="168">
        <v>99.9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57.183333333333337</v>
      </c>
      <c r="C129" s="170">
        <f>AVERAGE(E5:G7)</f>
        <v>72.76666666666668</v>
      </c>
      <c r="D129" s="161">
        <f>'2021.1'!D129</f>
        <v>2166</v>
      </c>
      <c r="E129" s="161">
        <v>4356</v>
      </c>
      <c r="F129" s="161">
        <f>D129*B129</f>
        <v>123859.1</v>
      </c>
      <c r="G129" s="161">
        <f>E129*C129</f>
        <v>316971.60000000003</v>
      </c>
    </row>
    <row r="130" spans="1:7" x14ac:dyDescent="0.25">
      <c r="A130" s="162" t="str">
        <f>A8</f>
        <v>Dongyuan Huangtian swine Farm</v>
      </c>
      <c r="B130" s="169">
        <f>AVERAGE((B11:D15))</f>
        <v>62.02</v>
      </c>
      <c r="C130" s="169">
        <f>AVERAGE(E11:G11)</f>
        <v>74.899999999999991</v>
      </c>
      <c r="D130" s="161">
        <f>'2021.1'!D130</f>
        <v>6431</v>
      </c>
      <c r="E130" s="161">
        <v>1445</v>
      </c>
      <c r="F130" s="161">
        <f t="shared" ref="F130:G137" si="0">D130*B130</f>
        <v>398850.62</v>
      </c>
      <c r="G130" s="161">
        <f t="shared" si="0"/>
        <v>108230.49999999999</v>
      </c>
    </row>
    <row r="131" spans="1:7" x14ac:dyDescent="0.25">
      <c r="A131" s="162" t="str">
        <f>A16</f>
        <v>Enping Shahu swine  Farm</v>
      </c>
      <c r="B131" s="169">
        <f>AVERAGE(B19:D33)</f>
        <v>59.78444444444446</v>
      </c>
      <c r="C131" s="169">
        <f>AVERAGE(E19:G28)</f>
        <v>75.983333333333348</v>
      </c>
      <c r="D131" s="161">
        <f>'2021.1'!D131</f>
        <v>23413</v>
      </c>
      <c r="E131" s="161">
        <v>15517</v>
      </c>
      <c r="F131" s="161">
        <f t="shared" si="0"/>
        <v>1399733.1977777781</v>
      </c>
      <c r="G131" s="161">
        <f t="shared" si="0"/>
        <v>1179033.3833333335</v>
      </c>
    </row>
    <row r="132" spans="1:7" x14ac:dyDescent="0.25">
      <c r="A132" s="162" t="str">
        <f>A34</f>
        <v>Langtian Yuehui swine Farm</v>
      </c>
      <c r="B132" s="169">
        <f>AVERAGE(B37:D55)</f>
        <v>59.62280701754387</v>
      </c>
      <c r="C132" s="169">
        <f>AVERAGE(E37:G43)</f>
        <v>71.514285714285705</v>
      </c>
      <c r="D132" s="161">
        <f>'2021.1'!D132</f>
        <v>29497</v>
      </c>
      <c r="E132" s="161">
        <v>10156</v>
      </c>
      <c r="F132" s="161">
        <f t="shared" si="0"/>
        <v>1758693.9385964915</v>
      </c>
      <c r="G132" s="161">
        <f t="shared" si="0"/>
        <v>726299.08571428561</v>
      </c>
    </row>
    <row r="133" spans="1:7" x14ac:dyDescent="0.25">
      <c r="A133" s="162" t="str">
        <f>A56</f>
        <v>Qujiang Fengwan swine Farm</v>
      </c>
      <c r="B133" s="169">
        <f>AVERAGE(B59:D65)</f>
        <v>60.223809523809514</v>
      </c>
      <c r="C133" s="169">
        <f>AVERAGE(E59:G65)</f>
        <v>75.952380952380949</v>
      </c>
      <c r="D133" s="161">
        <f>'2021.1'!D133</f>
        <v>9686</v>
      </c>
      <c r="E133" s="161">
        <v>11352</v>
      </c>
      <c r="F133" s="161">
        <f t="shared" si="0"/>
        <v>583327.81904761901</v>
      </c>
      <c r="G133" s="161">
        <f t="shared" si="0"/>
        <v>862211.42857142852</v>
      </c>
    </row>
    <row r="134" spans="1:7" x14ac:dyDescent="0.25">
      <c r="A134" s="162" t="str">
        <f>A66</f>
        <v>Pingyuan Zhongshi swine Farm</v>
      </c>
      <c r="B134" s="169">
        <f>AVERAGE(B69:D85)</f>
        <v>62.066666666666663</v>
      </c>
      <c r="C134" s="169">
        <f>AVERAGE(E69:G83)</f>
        <v>74.415555555555557</v>
      </c>
      <c r="D134" s="161">
        <f>'2021.1'!D134</f>
        <v>26358</v>
      </c>
      <c r="E134" s="161">
        <v>23581</v>
      </c>
      <c r="F134" s="161">
        <f t="shared" si="0"/>
        <v>1635953.2</v>
      </c>
      <c r="G134" s="161">
        <f t="shared" si="0"/>
        <v>1754793.2155555557</v>
      </c>
    </row>
    <row r="135" spans="1:7" x14ac:dyDescent="0.25">
      <c r="A135" s="162" t="str">
        <f>A86</f>
        <v>Yangchun Tanshui swine Farm</v>
      </c>
      <c r="B135" s="169">
        <f>AVERAGE(B89:D106)</f>
        <v>60.109615384615381</v>
      </c>
      <c r="C135" s="169">
        <f>AVERAGE(E89:G95)</f>
        <v>74.423809523809524</v>
      </c>
      <c r="D135" s="161">
        <f>'2021.1'!D135</f>
        <v>26581</v>
      </c>
      <c r="E135" s="161">
        <v>11635</v>
      </c>
      <c r="F135" s="161">
        <f t="shared" si="0"/>
        <v>1597773.6865384614</v>
      </c>
      <c r="G135" s="161">
        <f t="shared" si="0"/>
        <v>865921.02380952379</v>
      </c>
    </row>
    <row r="136" spans="1:7" x14ac:dyDescent="0.25">
      <c r="A136" s="162" t="str">
        <f>A107</f>
        <v>Xinfeng Shatian swine Farm</v>
      </c>
      <c r="B136" s="169">
        <f>AVERAGE(B110:D112)</f>
        <v>62.199999999999996</v>
      </c>
      <c r="C136" s="169">
        <f>AVERAGE(E110:G112)</f>
        <v>74.244444444444468</v>
      </c>
      <c r="D136" s="161">
        <f>'2021.1'!D136</f>
        <v>2074</v>
      </c>
      <c r="E136" s="161">
        <v>3797</v>
      </c>
      <c r="F136" s="161">
        <f t="shared" si="0"/>
        <v>129002.79999999999</v>
      </c>
      <c r="G136" s="161">
        <f t="shared" si="0"/>
        <v>281906.15555555566</v>
      </c>
    </row>
    <row r="137" spans="1:7" x14ac:dyDescent="0.25">
      <c r="A137" s="162" t="str">
        <f>A113</f>
        <v>Kaiping Cangcheng swine Farm</v>
      </c>
      <c r="B137" s="169">
        <f>AVERAGE(B116:D119)</f>
        <v>60.608333333333327</v>
      </c>
      <c r="C137" s="169">
        <f>AVERAGE(E116:G124)</f>
        <v>74.622222222222206</v>
      </c>
      <c r="D137" s="161">
        <f>'2021.1'!D137</f>
        <v>5872</v>
      </c>
      <c r="E137" s="161">
        <v>14036</v>
      </c>
      <c r="F137" s="161">
        <f t="shared" si="0"/>
        <v>355892.1333333333</v>
      </c>
      <c r="G137" s="161">
        <f t="shared" si="0"/>
        <v>1047397.5111111109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95875</v>
      </c>
      <c r="F138" s="161">
        <f t="shared" ref="F138:G138" si="1">SUM(F129:F137)</f>
        <v>7983086.4952936824</v>
      </c>
      <c r="G138" s="161">
        <f t="shared" si="1"/>
        <v>7142763.9036507942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60.4</v>
      </c>
      <c r="D142" s="171">
        <f>ROUNDDOWN(G138/E138,1)</f>
        <v>74.5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4"/>
  <sheetViews>
    <sheetView topLeftCell="A284" zoomScaleNormal="100" workbookViewId="0">
      <selection activeCell="G289" sqref="G289"/>
    </sheetView>
  </sheetViews>
  <sheetFormatPr defaultColWidth="8.7265625" defaultRowHeight="13.5" x14ac:dyDescent="0.3"/>
  <cols>
    <col min="1" max="1" width="32.453125" style="29" customWidth="1"/>
    <col min="2" max="3" width="15.1796875" style="29" customWidth="1"/>
    <col min="4" max="4" width="31.453125" style="29" customWidth="1"/>
    <col min="5" max="5" width="61.08984375" style="29" customWidth="1"/>
    <col min="6" max="6" width="12.7265625" style="29" bestFit="1" customWidth="1"/>
    <col min="7" max="7" width="13.7265625" style="29" bestFit="1" customWidth="1"/>
    <col min="8" max="16384" width="8.7265625" style="29"/>
  </cols>
  <sheetData>
    <row r="1" spans="1:6" ht="15" x14ac:dyDescent="0.3">
      <c r="A1" s="79" t="s">
        <v>34</v>
      </c>
      <c r="B1" s="79"/>
      <c r="C1" s="80"/>
    </row>
    <row r="2" spans="1:6" ht="15" x14ac:dyDescent="0.3">
      <c r="A2" s="79"/>
      <c r="B2" s="79"/>
      <c r="C2" s="80"/>
      <c r="D2" s="81"/>
    </row>
    <row r="3" spans="1:6" ht="15" x14ac:dyDescent="0.3">
      <c r="A3" s="79"/>
      <c r="B3" s="79"/>
      <c r="C3" s="80"/>
    </row>
    <row r="4" spans="1:6" x14ac:dyDescent="0.3">
      <c r="A4" s="82" t="s">
        <v>35</v>
      </c>
      <c r="B4" s="80"/>
      <c r="C4" s="80"/>
    </row>
    <row r="5" spans="1:6" x14ac:dyDescent="0.3">
      <c r="A5" s="80"/>
      <c r="B5" s="80"/>
      <c r="E5" s="83"/>
    </row>
    <row r="6" spans="1:6" x14ac:dyDescent="0.3">
      <c r="A6" s="80"/>
      <c r="B6" s="80"/>
      <c r="E6" s="83"/>
    </row>
    <row r="7" spans="1:6" x14ac:dyDescent="0.3">
      <c r="A7" s="80"/>
      <c r="B7" s="80"/>
      <c r="E7" s="83"/>
    </row>
    <row r="8" spans="1:6" ht="14" thickBot="1" x14ac:dyDescent="0.35"/>
    <row r="9" spans="1:6" x14ac:dyDescent="0.3">
      <c r="A9" s="84" t="s">
        <v>3</v>
      </c>
      <c r="B9" s="85" t="s">
        <v>10</v>
      </c>
      <c r="C9" s="85"/>
      <c r="D9" s="85" t="s">
        <v>2</v>
      </c>
      <c r="E9" s="85" t="s">
        <v>4</v>
      </c>
      <c r="F9" s="86"/>
    </row>
    <row r="10" spans="1:6" x14ac:dyDescent="0.3">
      <c r="A10" s="87"/>
      <c r="B10" s="88" t="s">
        <v>76</v>
      </c>
      <c r="C10" s="88" t="s">
        <v>77</v>
      </c>
      <c r="D10" s="88"/>
      <c r="E10" s="89"/>
      <c r="F10" s="86"/>
    </row>
    <row r="11" spans="1:6" x14ac:dyDescent="0.3">
      <c r="A11" s="90"/>
      <c r="B11" s="91"/>
      <c r="C11" s="91"/>
      <c r="D11" s="91"/>
      <c r="E11" s="92"/>
      <c r="F11" s="86"/>
    </row>
    <row r="12" spans="1:6" ht="15.5" x14ac:dyDescent="0.4">
      <c r="A12" s="90" t="s">
        <v>206</v>
      </c>
      <c r="B12" s="93">
        <v>25</v>
      </c>
      <c r="C12" s="93">
        <v>25</v>
      </c>
      <c r="D12" s="94" t="s">
        <v>207</v>
      </c>
      <c r="E12" s="92" t="s">
        <v>130</v>
      </c>
      <c r="F12" s="86"/>
    </row>
    <row r="13" spans="1:6" ht="15.5" x14ac:dyDescent="0.4">
      <c r="A13" s="90" t="s">
        <v>206</v>
      </c>
      <c r="B13" s="93">
        <v>28</v>
      </c>
      <c r="C13" s="93">
        <v>28</v>
      </c>
      <c r="D13" s="94" t="s">
        <v>207</v>
      </c>
      <c r="E13" s="92" t="s">
        <v>119</v>
      </c>
      <c r="F13" s="86"/>
    </row>
    <row r="14" spans="1:6" ht="15.5" x14ac:dyDescent="0.4">
      <c r="A14" s="90" t="s">
        <v>208</v>
      </c>
      <c r="B14" s="93">
        <v>6.7000000000000002E-4</v>
      </c>
      <c r="C14" s="93">
        <v>6.7000000000000002E-4</v>
      </c>
      <c r="D14" s="94" t="s">
        <v>120</v>
      </c>
      <c r="E14" s="92" t="s">
        <v>357</v>
      </c>
      <c r="F14" s="86"/>
    </row>
    <row r="15" spans="1:6" ht="15.5" x14ac:dyDescent="0.4">
      <c r="A15" s="90" t="s">
        <v>209</v>
      </c>
      <c r="B15" s="95">
        <v>0.78</v>
      </c>
      <c r="C15" s="95">
        <f>B15</f>
        <v>0.78</v>
      </c>
      <c r="D15" s="94" t="s">
        <v>1</v>
      </c>
      <c r="E15" s="92" t="s">
        <v>132</v>
      </c>
      <c r="F15" s="96"/>
    </row>
    <row r="16" spans="1:6" x14ac:dyDescent="0.3">
      <c r="A16" s="90" t="s">
        <v>39</v>
      </c>
      <c r="B16" s="93">
        <v>0.94</v>
      </c>
      <c r="C16" s="93">
        <v>0.94</v>
      </c>
      <c r="D16" s="94" t="s">
        <v>0</v>
      </c>
      <c r="E16" s="92" t="s">
        <v>356</v>
      </c>
      <c r="F16" s="96"/>
    </row>
    <row r="17" spans="1:7" x14ac:dyDescent="0.3">
      <c r="A17" s="90" t="s">
        <v>53</v>
      </c>
      <c r="B17" s="93">
        <f>B15*B16</f>
        <v>0.73319999999999996</v>
      </c>
      <c r="C17" s="93">
        <f>C15*C16</f>
        <v>0.73319999999999996</v>
      </c>
      <c r="D17" s="94" t="s">
        <v>0</v>
      </c>
      <c r="E17" s="92" t="s">
        <v>54</v>
      </c>
      <c r="F17" s="96"/>
    </row>
    <row r="18" spans="1:7" ht="15.5" x14ac:dyDescent="0.4">
      <c r="A18" s="90" t="s">
        <v>210</v>
      </c>
      <c r="B18" s="93">
        <v>0.28999999999999998</v>
      </c>
      <c r="C18" s="93">
        <v>0.28999999999999998</v>
      </c>
      <c r="D18" s="94" t="s">
        <v>211</v>
      </c>
      <c r="E18" s="92" t="s">
        <v>50</v>
      </c>
      <c r="F18" s="86"/>
    </row>
    <row r="19" spans="1:7" ht="15" customHeight="1" x14ac:dyDescent="0.3">
      <c r="A19" s="90" t="s">
        <v>212</v>
      </c>
      <c r="B19" s="97"/>
      <c r="C19" s="97"/>
      <c r="D19" s="435" t="s">
        <v>69</v>
      </c>
      <c r="E19" s="446" t="s">
        <v>368</v>
      </c>
      <c r="F19" s="86"/>
    </row>
    <row r="20" spans="1:7" ht="15" customHeight="1" x14ac:dyDescent="0.3">
      <c r="A20" s="98" t="str">
        <f>'monitoring results'!A4</f>
        <v>20/12/2020-31/12/2020</v>
      </c>
      <c r="B20" s="97">
        <f>'monitoring results'!B4</f>
        <v>132078</v>
      </c>
      <c r="C20" s="97">
        <f>'monitoring results'!C4</f>
        <v>95993</v>
      </c>
      <c r="D20" s="436"/>
      <c r="E20" s="447"/>
      <c r="F20" s="86"/>
    </row>
    <row r="21" spans="1:7" ht="15" customHeight="1" x14ac:dyDescent="0.3">
      <c r="A21" s="98" t="str">
        <f>'monitoring results'!A5</f>
        <v>01/01/2021-31/01/2021</v>
      </c>
      <c r="B21" s="97">
        <f>'monitoring results'!B5</f>
        <v>132078</v>
      </c>
      <c r="C21" s="97">
        <f>'monitoring results'!C5</f>
        <v>95900</v>
      </c>
      <c r="D21" s="436"/>
      <c r="E21" s="447"/>
      <c r="F21" s="86"/>
    </row>
    <row r="22" spans="1:7" ht="15" customHeight="1" x14ac:dyDescent="0.3">
      <c r="A22" s="98" t="str">
        <f>'monitoring results'!A6</f>
        <v>01/02/1021-28/02/2021</v>
      </c>
      <c r="B22" s="97">
        <f>'monitoring results'!B6</f>
        <v>132078</v>
      </c>
      <c r="C22" s="97">
        <f>'monitoring results'!C6</f>
        <v>95947</v>
      </c>
      <c r="D22" s="436"/>
      <c r="E22" s="447"/>
      <c r="F22" s="86"/>
    </row>
    <row r="23" spans="1:7" ht="15" customHeight="1" x14ac:dyDescent="0.3">
      <c r="A23" s="98" t="str">
        <f>'monitoring results'!A7</f>
        <v>01/03/2021-31/03/3021</v>
      </c>
      <c r="B23" s="97">
        <f>'monitoring results'!B7</f>
        <v>132078</v>
      </c>
      <c r="C23" s="97">
        <f>'monitoring results'!C7</f>
        <v>95778</v>
      </c>
      <c r="D23" s="436"/>
      <c r="E23" s="447"/>
      <c r="F23" s="86"/>
    </row>
    <row r="24" spans="1:7" ht="15" customHeight="1" x14ac:dyDescent="0.3">
      <c r="A24" s="98" t="str">
        <f>'monitoring results'!A8</f>
        <v>01/04/2021-30/04/2021</v>
      </c>
      <c r="B24" s="97">
        <f>'monitoring results'!B8</f>
        <v>132078</v>
      </c>
      <c r="C24" s="97">
        <f>'monitoring results'!C8</f>
        <v>95748</v>
      </c>
      <c r="D24" s="436"/>
      <c r="E24" s="447"/>
      <c r="F24" s="86"/>
    </row>
    <row r="25" spans="1:7" ht="15" customHeight="1" x14ac:dyDescent="0.3">
      <c r="A25" s="98" t="str">
        <f>'monitoring results'!A9</f>
        <v>01/05/2021-31/05/2021</v>
      </c>
      <c r="B25" s="97">
        <f>'monitoring results'!B9</f>
        <v>132078</v>
      </c>
      <c r="C25" s="97">
        <f>'monitoring results'!C9</f>
        <v>95839</v>
      </c>
      <c r="D25" s="436"/>
      <c r="E25" s="447"/>
      <c r="F25" s="86"/>
    </row>
    <row r="26" spans="1:7" ht="15" customHeight="1" x14ac:dyDescent="0.3">
      <c r="A26" s="98" t="str">
        <f>'monitoring results'!A10</f>
        <v>01/06/2021-30/06/2021</v>
      </c>
      <c r="B26" s="97">
        <f>'monitoring results'!B10</f>
        <v>132078</v>
      </c>
      <c r="C26" s="97">
        <f>'monitoring results'!C10</f>
        <v>95920</v>
      </c>
      <c r="D26" s="436"/>
      <c r="E26" s="447"/>
      <c r="F26" s="86"/>
    </row>
    <row r="27" spans="1:7" ht="15" customHeight="1" x14ac:dyDescent="0.3">
      <c r="A27" s="98" t="str">
        <f>'monitoring results'!A11</f>
        <v>01/07/2021-31/07/2021</v>
      </c>
      <c r="B27" s="97">
        <f>'monitoring results'!B11</f>
        <v>132078</v>
      </c>
      <c r="C27" s="97">
        <f>'monitoring results'!C11</f>
        <v>95933</v>
      </c>
      <c r="D27" s="436"/>
      <c r="E27" s="447"/>
      <c r="F27" s="86"/>
    </row>
    <row r="28" spans="1:7" ht="15" customHeight="1" x14ac:dyDescent="0.3">
      <c r="A28" s="98" t="str">
        <f>'monitoring results'!A12</f>
        <v>01/08/2021-31/08/2021</v>
      </c>
      <c r="B28" s="97">
        <f>'monitoring results'!B12</f>
        <v>132078</v>
      </c>
      <c r="C28" s="97">
        <f>'monitoring results'!C12</f>
        <v>95959</v>
      </c>
      <c r="D28" s="436"/>
      <c r="E28" s="447"/>
      <c r="F28" s="86"/>
      <c r="G28" s="99"/>
    </row>
    <row r="29" spans="1:7" ht="15" customHeight="1" x14ac:dyDescent="0.3">
      <c r="A29" s="98" t="str">
        <f>'monitoring results'!A13</f>
        <v>01/09/2021-30/09/2021</v>
      </c>
      <c r="B29" s="97">
        <f>'monitoring results'!B13</f>
        <v>132078</v>
      </c>
      <c r="C29" s="97">
        <f>'monitoring results'!C13</f>
        <v>95861</v>
      </c>
      <c r="D29" s="436"/>
      <c r="E29" s="447"/>
      <c r="F29" s="86"/>
      <c r="G29" s="99"/>
    </row>
    <row r="30" spans="1:7" ht="15" customHeight="1" x14ac:dyDescent="0.3">
      <c r="A30" s="98" t="str">
        <f>'monitoring results'!A14</f>
        <v>01/10/2021-31/10/2021</v>
      </c>
      <c r="B30" s="97">
        <f>'monitoring results'!B14</f>
        <v>132078</v>
      </c>
      <c r="C30" s="97">
        <f>'monitoring results'!C14</f>
        <v>95835</v>
      </c>
      <c r="D30" s="436"/>
      <c r="E30" s="447"/>
      <c r="F30" s="86"/>
      <c r="G30" s="99"/>
    </row>
    <row r="31" spans="1:7" ht="15" customHeight="1" x14ac:dyDescent="0.3">
      <c r="A31" s="98" t="str">
        <f>'monitoring results'!A15</f>
        <v>01/11/2021-30/11/2021</v>
      </c>
      <c r="B31" s="97">
        <f>'monitoring results'!B15</f>
        <v>132078</v>
      </c>
      <c r="C31" s="97">
        <f>'monitoring results'!C15</f>
        <v>95945</v>
      </c>
      <c r="D31" s="436"/>
      <c r="E31" s="447"/>
      <c r="F31" s="86"/>
      <c r="G31" s="99"/>
    </row>
    <row r="32" spans="1:7" ht="15" customHeight="1" x14ac:dyDescent="0.3">
      <c r="A32" s="98" t="str">
        <f>'monitoring results'!A16</f>
        <v>01/12/2021-31/12/2021</v>
      </c>
      <c r="B32" s="97">
        <f>'monitoring results'!B16</f>
        <v>132078</v>
      </c>
      <c r="C32" s="97">
        <f>'monitoring results'!C16</f>
        <v>95942</v>
      </c>
      <c r="D32" s="436"/>
      <c r="E32" s="447"/>
      <c r="F32" s="86"/>
      <c r="G32" s="99"/>
    </row>
    <row r="33" spans="1:7" ht="15" customHeight="1" x14ac:dyDescent="0.3">
      <c r="A33" s="98" t="str">
        <f>'monitoring results'!A17</f>
        <v>01/01/2022-31/01/2022</v>
      </c>
      <c r="B33" s="97">
        <f>'monitoring results'!B17</f>
        <v>132078</v>
      </c>
      <c r="C33" s="97">
        <f>'monitoring results'!C17</f>
        <v>95905</v>
      </c>
      <c r="D33" s="436"/>
      <c r="E33" s="447"/>
      <c r="F33" s="86"/>
      <c r="G33" s="99"/>
    </row>
    <row r="34" spans="1:7" ht="15" customHeight="1" x14ac:dyDescent="0.3">
      <c r="A34" s="98" t="str">
        <f>'monitoring results'!A18</f>
        <v>01/02/2022-28/02/2022</v>
      </c>
      <c r="B34" s="97">
        <f>'monitoring results'!B18</f>
        <v>132078</v>
      </c>
      <c r="C34" s="97">
        <f>'monitoring results'!C18</f>
        <v>95944</v>
      </c>
      <c r="D34" s="436"/>
      <c r="E34" s="448"/>
      <c r="F34" s="86"/>
      <c r="G34" s="99"/>
    </row>
    <row r="35" spans="1:7" ht="15" customHeight="1" x14ac:dyDescent="0.3">
      <c r="A35" s="98" t="str">
        <f>'monitoring results'!A19</f>
        <v>01/03/2022-31/03/2022</v>
      </c>
      <c r="B35" s="97">
        <f>'monitoring results'!B19</f>
        <v>132078</v>
      </c>
      <c r="C35" s="97">
        <f>'monitoring results'!C19</f>
        <v>95875</v>
      </c>
      <c r="D35" s="437"/>
      <c r="E35" s="100"/>
      <c r="F35" s="86"/>
      <c r="G35" s="99"/>
    </row>
    <row r="36" spans="1:7" ht="15" customHeight="1" x14ac:dyDescent="0.3">
      <c r="A36" s="101" t="s">
        <v>213</v>
      </c>
      <c r="B36" s="102"/>
      <c r="C36" s="102"/>
      <c r="D36" s="435" t="s">
        <v>104</v>
      </c>
      <c r="E36" s="449" t="s">
        <v>168</v>
      </c>
      <c r="F36" s="86"/>
    </row>
    <row r="37" spans="1:7" ht="15" customHeight="1" x14ac:dyDescent="0.3">
      <c r="A37" s="98" t="str">
        <f>A20</f>
        <v>20/12/2020-31/12/2020</v>
      </c>
      <c r="B37" s="102">
        <f>'monitoring results'!D4</f>
        <v>61.4</v>
      </c>
      <c r="C37" s="102">
        <f>'monitoring results'!E4</f>
        <v>74.599999999999994</v>
      </c>
      <c r="D37" s="436"/>
      <c r="E37" s="450"/>
      <c r="F37" s="86"/>
    </row>
    <row r="38" spans="1:7" ht="15" customHeight="1" x14ac:dyDescent="0.3">
      <c r="A38" s="98" t="str">
        <f t="shared" ref="A38:A52" si="0">A21</f>
        <v>01/01/2021-31/01/2021</v>
      </c>
      <c r="B38" s="102">
        <f>'monitoring results'!D5</f>
        <v>61.7</v>
      </c>
      <c r="C38" s="102">
        <f>'monitoring results'!E5</f>
        <v>74.599999999999994</v>
      </c>
      <c r="D38" s="436"/>
      <c r="E38" s="450"/>
      <c r="F38" s="86"/>
    </row>
    <row r="39" spans="1:7" ht="15" customHeight="1" x14ac:dyDescent="0.3">
      <c r="A39" s="98" t="str">
        <f t="shared" si="0"/>
        <v>01/02/1021-28/02/2021</v>
      </c>
      <c r="B39" s="102">
        <f>'monitoring results'!D6</f>
        <v>61.2</v>
      </c>
      <c r="C39" s="102">
        <f>'monitoring results'!E6</f>
        <v>72.900000000000006</v>
      </c>
      <c r="D39" s="436"/>
      <c r="E39" s="450"/>
      <c r="F39" s="86"/>
    </row>
    <row r="40" spans="1:7" ht="15" customHeight="1" x14ac:dyDescent="0.3">
      <c r="A40" s="98" t="str">
        <f t="shared" si="0"/>
        <v>01/03/2021-31/03/3021</v>
      </c>
      <c r="B40" s="102">
        <f>'monitoring results'!D7</f>
        <v>60.4</v>
      </c>
      <c r="C40" s="102">
        <f>'monitoring results'!E7</f>
        <v>73.099999999999994</v>
      </c>
      <c r="D40" s="436"/>
      <c r="E40" s="450"/>
      <c r="F40" s="86"/>
    </row>
    <row r="41" spans="1:7" ht="15" customHeight="1" x14ac:dyDescent="0.3">
      <c r="A41" s="98" t="str">
        <f t="shared" si="0"/>
        <v>01/04/2021-30/04/2021</v>
      </c>
      <c r="B41" s="102">
        <f>'monitoring results'!D8</f>
        <v>60.6</v>
      </c>
      <c r="C41" s="102">
        <f>'monitoring results'!E8</f>
        <v>73.900000000000006</v>
      </c>
      <c r="D41" s="436"/>
      <c r="E41" s="450"/>
      <c r="F41" s="86"/>
    </row>
    <row r="42" spans="1:7" ht="15" customHeight="1" x14ac:dyDescent="0.3">
      <c r="A42" s="98" t="str">
        <f t="shared" si="0"/>
        <v>01/05/2021-31/05/2021</v>
      </c>
      <c r="B42" s="102">
        <f>'monitoring results'!D9</f>
        <v>60.9</v>
      </c>
      <c r="C42" s="102">
        <f>'monitoring results'!E9</f>
        <v>74.3</v>
      </c>
      <c r="D42" s="436"/>
      <c r="E42" s="450"/>
      <c r="F42" s="86"/>
    </row>
    <row r="43" spans="1:7" ht="15" customHeight="1" x14ac:dyDescent="0.3">
      <c r="A43" s="98" t="str">
        <f t="shared" si="0"/>
        <v>01/06/2021-30/06/2021</v>
      </c>
      <c r="B43" s="102">
        <f>'monitoring results'!D10</f>
        <v>59.7</v>
      </c>
      <c r="C43" s="102">
        <f>'monitoring results'!E10</f>
        <v>73.599999999999994</v>
      </c>
      <c r="D43" s="436"/>
      <c r="E43" s="450"/>
      <c r="F43" s="86"/>
    </row>
    <row r="44" spans="1:7" ht="15" customHeight="1" x14ac:dyDescent="0.3">
      <c r="A44" s="98" t="str">
        <f t="shared" si="0"/>
        <v>01/07/2021-31/07/2021</v>
      </c>
      <c r="B44" s="102">
        <f>'monitoring results'!D11</f>
        <v>61.3</v>
      </c>
      <c r="C44" s="102">
        <f>'monitoring results'!E11</f>
        <v>73.8</v>
      </c>
      <c r="D44" s="436"/>
      <c r="E44" s="450"/>
      <c r="F44" s="86"/>
    </row>
    <row r="45" spans="1:7" ht="15" customHeight="1" x14ac:dyDescent="0.3">
      <c r="A45" s="98" t="str">
        <f t="shared" si="0"/>
        <v>01/08/2021-31/08/2021</v>
      </c>
      <c r="B45" s="102">
        <f>'monitoring results'!D12</f>
        <v>61.6</v>
      </c>
      <c r="C45" s="102">
        <f>'monitoring results'!E12</f>
        <v>73.400000000000006</v>
      </c>
      <c r="D45" s="436"/>
      <c r="E45" s="450"/>
      <c r="F45" s="86"/>
    </row>
    <row r="46" spans="1:7" ht="15" customHeight="1" x14ac:dyDescent="0.3">
      <c r="A46" s="98" t="str">
        <f t="shared" si="0"/>
        <v>01/09/2021-30/09/2021</v>
      </c>
      <c r="B46" s="102">
        <f>'monitoring results'!D13</f>
        <v>59.6</v>
      </c>
      <c r="C46" s="102">
        <f>'monitoring results'!E13</f>
        <v>73.599999999999994</v>
      </c>
      <c r="D46" s="436"/>
      <c r="E46" s="450"/>
      <c r="F46" s="86"/>
    </row>
    <row r="47" spans="1:7" ht="15" customHeight="1" x14ac:dyDescent="0.3">
      <c r="A47" s="98" t="str">
        <f t="shared" si="0"/>
        <v>01/10/2021-31/10/2021</v>
      </c>
      <c r="B47" s="102">
        <f>'monitoring results'!D14</f>
        <v>61.8</v>
      </c>
      <c r="C47" s="102">
        <f>'monitoring results'!E14</f>
        <v>74.2</v>
      </c>
      <c r="D47" s="436"/>
      <c r="E47" s="450"/>
      <c r="F47" s="86"/>
    </row>
    <row r="48" spans="1:7" ht="15" customHeight="1" x14ac:dyDescent="0.3">
      <c r="A48" s="98" t="str">
        <f t="shared" si="0"/>
        <v>01/11/2021-30/11/2021</v>
      </c>
      <c r="B48" s="102">
        <f>'monitoring results'!D15</f>
        <v>60.5</v>
      </c>
      <c r="C48" s="102">
        <f>'monitoring results'!E15</f>
        <v>74.400000000000006</v>
      </c>
      <c r="D48" s="436"/>
      <c r="E48" s="450"/>
      <c r="F48" s="86"/>
    </row>
    <row r="49" spans="1:7" ht="15" customHeight="1" x14ac:dyDescent="0.3">
      <c r="A49" s="98" t="str">
        <f t="shared" si="0"/>
        <v>01/12/2021-31/12/2021</v>
      </c>
      <c r="B49" s="102">
        <f>'monitoring results'!D16</f>
        <v>60.5</v>
      </c>
      <c r="C49" s="102">
        <f>'monitoring results'!E16</f>
        <v>74.599999999999994</v>
      </c>
      <c r="D49" s="436"/>
      <c r="E49" s="450"/>
      <c r="F49" s="86"/>
    </row>
    <row r="50" spans="1:7" ht="15" customHeight="1" x14ac:dyDescent="0.3">
      <c r="A50" s="98" t="str">
        <f t="shared" si="0"/>
        <v>01/01/2022-31/01/2022</v>
      </c>
      <c r="B50" s="102">
        <f>'monitoring results'!D17</f>
        <v>61.8</v>
      </c>
      <c r="C50" s="102">
        <f>'monitoring results'!E17</f>
        <v>74.3</v>
      </c>
      <c r="D50" s="436"/>
      <c r="E50" s="450"/>
      <c r="F50" s="86"/>
    </row>
    <row r="51" spans="1:7" ht="15" customHeight="1" x14ac:dyDescent="0.3">
      <c r="A51" s="98" t="str">
        <f>A34</f>
        <v>01/02/2022-28/02/2022</v>
      </c>
      <c r="B51" s="102">
        <f>'monitoring results'!D18</f>
        <v>60.7</v>
      </c>
      <c r="C51" s="102">
        <f>'monitoring results'!E18</f>
        <v>75.2</v>
      </c>
      <c r="D51" s="436"/>
      <c r="E51" s="450"/>
      <c r="F51" s="86"/>
    </row>
    <row r="52" spans="1:7" ht="15" customHeight="1" x14ac:dyDescent="0.3">
      <c r="A52" s="98" t="str">
        <f t="shared" si="0"/>
        <v>01/03/2022-31/03/2022</v>
      </c>
      <c r="B52" s="102">
        <f>'monitoring results'!D19</f>
        <v>60.4</v>
      </c>
      <c r="C52" s="102">
        <f>'monitoring results'!E19</f>
        <v>74.5</v>
      </c>
      <c r="D52" s="437"/>
      <c r="E52" s="451"/>
      <c r="F52" s="86"/>
    </row>
    <row r="53" spans="1:7" ht="15" customHeight="1" x14ac:dyDescent="0.4">
      <c r="A53" s="90" t="s">
        <v>214</v>
      </c>
      <c r="B53" s="97">
        <f>B162</f>
        <v>28</v>
      </c>
      <c r="C53" s="97">
        <f>C162</f>
        <v>28</v>
      </c>
      <c r="D53" s="94" t="s">
        <v>104</v>
      </c>
      <c r="E53" s="92" t="s">
        <v>50</v>
      </c>
      <c r="F53" s="86"/>
    </row>
    <row r="54" spans="1:7" x14ac:dyDescent="0.3">
      <c r="A54" s="103" t="s">
        <v>215</v>
      </c>
      <c r="B54" s="93">
        <v>0.3</v>
      </c>
      <c r="C54" s="93">
        <v>0.3</v>
      </c>
      <c r="D54" s="94" t="s">
        <v>6</v>
      </c>
      <c r="E54" s="92" t="str">
        <f>E18</f>
        <v>2006 IPCC guideline, volume 4, chapter 10, tbl. 10A-7</v>
      </c>
      <c r="F54" s="86"/>
    </row>
    <row r="55" spans="1:7" ht="20.5" customHeight="1" x14ac:dyDescent="0.3">
      <c r="A55" s="103" t="s">
        <v>216</v>
      </c>
      <c r="B55" s="104"/>
      <c r="C55" s="104"/>
      <c r="D55" s="435" t="s">
        <v>94</v>
      </c>
      <c r="E55" s="432" t="s">
        <v>105</v>
      </c>
      <c r="F55" s="86"/>
    </row>
    <row r="56" spans="1:7" x14ac:dyDescent="0.3">
      <c r="A56" s="98" t="str">
        <f>A37</f>
        <v>20/12/2020-31/12/2020</v>
      </c>
      <c r="B56" s="104">
        <f>(B37/$B$53)*$B$54*B74</f>
        <v>7.8942857142857132</v>
      </c>
      <c r="C56" s="104">
        <f>(C37/$C$53)*$C$54*C74</f>
        <v>9.5914285714285707</v>
      </c>
      <c r="D56" s="436"/>
      <c r="E56" s="433"/>
      <c r="F56" s="86"/>
    </row>
    <row r="57" spans="1:7" x14ac:dyDescent="0.3">
      <c r="A57" s="98" t="str">
        <f t="shared" ref="A57:A71" si="1">A38</f>
        <v>01/01/2021-31/01/2021</v>
      </c>
      <c r="B57" s="104">
        <f t="shared" ref="B57:B71" si="2">(B38/$B$53)*$B$54*B75</f>
        <v>20.493214285714288</v>
      </c>
      <c r="C57" s="104">
        <f t="shared" ref="C57:C71" si="3">(C38/$C$53)*$C$54*C75</f>
        <v>24.777857142857144</v>
      </c>
      <c r="D57" s="436"/>
      <c r="E57" s="433"/>
      <c r="F57" s="86"/>
    </row>
    <row r="58" spans="1:7" x14ac:dyDescent="0.3">
      <c r="A58" s="98" t="str">
        <f t="shared" si="1"/>
        <v>01/02/1021-28/02/2021</v>
      </c>
      <c r="B58" s="104">
        <f t="shared" si="2"/>
        <v>18.360000000000003</v>
      </c>
      <c r="C58" s="104">
        <f t="shared" si="3"/>
        <v>21.869999999999997</v>
      </c>
      <c r="D58" s="436"/>
      <c r="E58" s="433"/>
      <c r="F58" s="86"/>
    </row>
    <row r="59" spans="1:7" x14ac:dyDescent="0.3">
      <c r="A59" s="98" t="str">
        <f t="shared" si="1"/>
        <v>01/03/2021-31/03/3021</v>
      </c>
      <c r="B59" s="104">
        <f t="shared" si="2"/>
        <v>20.061428571428571</v>
      </c>
      <c r="C59" s="104">
        <f t="shared" si="3"/>
        <v>24.27964285714285</v>
      </c>
      <c r="D59" s="436"/>
      <c r="E59" s="433"/>
      <c r="F59" s="86"/>
    </row>
    <row r="60" spans="1:7" x14ac:dyDescent="0.3">
      <c r="A60" s="98" t="str">
        <f t="shared" si="1"/>
        <v>01/04/2021-30/04/2021</v>
      </c>
      <c r="B60" s="104">
        <f t="shared" si="2"/>
        <v>19.478571428571428</v>
      </c>
      <c r="C60" s="104">
        <f t="shared" si="3"/>
        <v>23.753571428571433</v>
      </c>
      <c r="D60" s="436"/>
      <c r="E60" s="433"/>
      <c r="F60" s="86"/>
    </row>
    <row r="61" spans="1:7" x14ac:dyDescent="0.3">
      <c r="A61" s="98" t="str">
        <f t="shared" si="1"/>
        <v>01/05/2021-31/05/2021</v>
      </c>
      <c r="B61" s="104">
        <f t="shared" si="2"/>
        <v>20.227499999999999</v>
      </c>
      <c r="C61" s="104">
        <f t="shared" si="3"/>
        <v>24.678214285714283</v>
      </c>
      <c r="D61" s="436"/>
      <c r="E61" s="433"/>
      <c r="F61" s="86"/>
      <c r="G61" s="99"/>
    </row>
    <row r="62" spans="1:7" x14ac:dyDescent="0.3">
      <c r="A62" s="98" t="str">
        <f t="shared" si="1"/>
        <v>01/06/2021-30/06/2021</v>
      </c>
      <c r="B62" s="104">
        <f t="shared" si="2"/>
        <v>19.189285714285713</v>
      </c>
      <c r="C62" s="104">
        <f t="shared" si="3"/>
        <v>23.657142857142858</v>
      </c>
      <c r="D62" s="436"/>
      <c r="E62" s="433"/>
      <c r="F62" s="86"/>
      <c r="G62" s="99"/>
    </row>
    <row r="63" spans="1:7" x14ac:dyDescent="0.3">
      <c r="A63" s="98" t="str">
        <f t="shared" si="1"/>
        <v>01/07/2021-31/07/2021</v>
      </c>
      <c r="B63" s="104">
        <f t="shared" si="2"/>
        <v>20.36035714285714</v>
      </c>
      <c r="C63" s="104">
        <f t="shared" si="3"/>
        <v>24.512142857142855</v>
      </c>
      <c r="D63" s="436"/>
      <c r="E63" s="433"/>
      <c r="F63" s="86"/>
    </row>
    <row r="64" spans="1:7" x14ac:dyDescent="0.3">
      <c r="A64" s="98" t="str">
        <f t="shared" si="1"/>
        <v>01/08/2021-31/08/2021</v>
      </c>
      <c r="B64" s="104">
        <f t="shared" si="2"/>
        <v>20.46</v>
      </c>
      <c r="C64" s="104">
        <f t="shared" si="3"/>
        <v>24.379285714285711</v>
      </c>
      <c r="D64" s="436"/>
      <c r="E64" s="433"/>
      <c r="F64" s="86"/>
    </row>
    <row r="65" spans="1:6" x14ac:dyDescent="0.3">
      <c r="A65" s="98" t="str">
        <f t="shared" si="1"/>
        <v>01/09/2021-30/09/2021</v>
      </c>
      <c r="B65" s="104">
        <f t="shared" si="2"/>
        <v>19.157142857142858</v>
      </c>
      <c r="C65" s="104">
        <f t="shared" si="3"/>
        <v>23.657142857142858</v>
      </c>
      <c r="D65" s="436"/>
      <c r="E65" s="433"/>
      <c r="F65" s="86"/>
    </row>
    <row r="66" spans="1:6" x14ac:dyDescent="0.3">
      <c r="A66" s="98" t="str">
        <f t="shared" si="1"/>
        <v>01/10/2021-31/10/2021</v>
      </c>
      <c r="B66" s="104">
        <f t="shared" si="2"/>
        <v>20.526428571428568</v>
      </c>
      <c r="C66" s="104">
        <f t="shared" si="3"/>
        <v>24.644999999999996</v>
      </c>
      <c r="D66" s="436"/>
      <c r="E66" s="433"/>
      <c r="F66" s="86"/>
    </row>
    <row r="67" spans="1:6" x14ac:dyDescent="0.3">
      <c r="A67" s="98" t="str">
        <f t="shared" si="1"/>
        <v>01/11/2021-30/11/2021</v>
      </c>
      <c r="B67" s="104">
        <f t="shared" si="2"/>
        <v>19.446428571428569</v>
      </c>
      <c r="C67" s="104">
        <f t="shared" si="3"/>
        <v>23.914285714285718</v>
      </c>
      <c r="D67" s="436"/>
      <c r="E67" s="433"/>
      <c r="F67" s="86"/>
    </row>
    <row r="68" spans="1:6" x14ac:dyDescent="0.3">
      <c r="A68" s="98" t="str">
        <f t="shared" si="1"/>
        <v>01/12/2021-31/12/2021</v>
      </c>
      <c r="B68" s="104">
        <f t="shared" si="2"/>
        <v>20.094642857142855</v>
      </c>
      <c r="C68" s="104">
        <f t="shared" si="3"/>
        <v>24.777857142857144</v>
      </c>
      <c r="D68" s="436"/>
      <c r="E68" s="433"/>
      <c r="F68" s="86"/>
    </row>
    <row r="69" spans="1:6" x14ac:dyDescent="0.3">
      <c r="A69" s="98" t="str">
        <f t="shared" si="1"/>
        <v>01/01/2022-31/01/2022</v>
      </c>
      <c r="B69" s="104">
        <f t="shared" si="2"/>
        <v>20.526428571428568</v>
      </c>
      <c r="C69" s="104">
        <f t="shared" si="3"/>
        <v>24.678214285714283</v>
      </c>
      <c r="D69" s="436"/>
      <c r="E69" s="433"/>
      <c r="F69" s="86"/>
    </row>
    <row r="70" spans="1:6" x14ac:dyDescent="0.3">
      <c r="A70" s="98" t="str">
        <f t="shared" si="1"/>
        <v>01/02/2022-28/02/2022</v>
      </c>
      <c r="B70" s="104">
        <f t="shared" si="2"/>
        <v>18.210000000000004</v>
      </c>
      <c r="C70" s="104">
        <f t="shared" si="3"/>
        <v>22.56</v>
      </c>
      <c r="D70" s="436"/>
      <c r="E70" s="433"/>
      <c r="F70" s="86"/>
    </row>
    <row r="71" spans="1:6" x14ac:dyDescent="0.3">
      <c r="A71" s="98" t="str">
        <f t="shared" si="1"/>
        <v>01/03/2022-31/03/2022</v>
      </c>
      <c r="B71" s="104">
        <f t="shared" si="2"/>
        <v>20.061428571428571</v>
      </c>
      <c r="C71" s="104">
        <f t="shared" si="3"/>
        <v>24.744642857142857</v>
      </c>
      <c r="D71" s="437"/>
      <c r="E71" s="434"/>
      <c r="F71" s="86"/>
    </row>
    <row r="72" spans="1:6" x14ac:dyDescent="0.3">
      <c r="A72" s="90" t="s">
        <v>217</v>
      </c>
      <c r="B72" s="95">
        <v>1</v>
      </c>
      <c r="C72" s="95">
        <v>1</v>
      </c>
      <c r="D72" s="94" t="s">
        <v>1</v>
      </c>
      <c r="E72" s="92" t="s">
        <v>106</v>
      </c>
      <c r="F72" s="86"/>
    </row>
    <row r="73" spans="1:6" x14ac:dyDescent="0.3">
      <c r="A73" s="90" t="s">
        <v>48</v>
      </c>
      <c r="B73" s="93"/>
      <c r="C73" s="93"/>
      <c r="D73" s="435" t="s">
        <v>52</v>
      </c>
      <c r="E73" s="440" t="s">
        <v>369</v>
      </c>
      <c r="F73" s="105"/>
    </row>
    <row r="74" spans="1:6" x14ac:dyDescent="0.3">
      <c r="A74" s="98" t="str">
        <f>A56</f>
        <v>20/12/2020-31/12/2020</v>
      </c>
      <c r="B74" s="93">
        <v>12</v>
      </c>
      <c r="C74" s="93">
        <f>B74</f>
        <v>12</v>
      </c>
      <c r="D74" s="436"/>
      <c r="E74" s="440"/>
      <c r="F74" s="105"/>
    </row>
    <row r="75" spans="1:6" x14ac:dyDescent="0.3">
      <c r="A75" s="98" t="str">
        <f t="shared" ref="A75:A89" si="4">A57</f>
        <v>01/01/2021-31/01/2021</v>
      </c>
      <c r="B75" s="93">
        <v>31</v>
      </c>
      <c r="C75" s="93">
        <f t="shared" ref="C75:C89" si="5">B75</f>
        <v>31</v>
      </c>
      <c r="D75" s="436"/>
      <c r="E75" s="440"/>
      <c r="F75" s="86"/>
    </row>
    <row r="76" spans="1:6" x14ac:dyDescent="0.3">
      <c r="A76" s="98" t="str">
        <f t="shared" si="4"/>
        <v>01/02/1021-28/02/2021</v>
      </c>
      <c r="B76" s="93">
        <v>28</v>
      </c>
      <c r="C76" s="93">
        <f t="shared" si="5"/>
        <v>28</v>
      </c>
      <c r="D76" s="436"/>
      <c r="E76" s="440"/>
      <c r="F76" s="86"/>
    </row>
    <row r="77" spans="1:6" x14ac:dyDescent="0.3">
      <c r="A77" s="98" t="str">
        <f t="shared" si="4"/>
        <v>01/03/2021-31/03/3021</v>
      </c>
      <c r="B77" s="93">
        <v>31</v>
      </c>
      <c r="C77" s="93">
        <f t="shared" si="5"/>
        <v>31</v>
      </c>
      <c r="D77" s="436"/>
      <c r="E77" s="440"/>
      <c r="F77" s="86"/>
    </row>
    <row r="78" spans="1:6" x14ac:dyDescent="0.3">
      <c r="A78" s="98" t="str">
        <f t="shared" si="4"/>
        <v>01/04/2021-30/04/2021</v>
      </c>
      <c r="B78" s="93">
        <v>30</v>
      </c>
      <c r="C78" s="93">
        <f t="shared" si="5"/>
        <v>30</v>
      </c>
      <c r="D78" s="436"/>
      <c r="E78" s="440"/>
      <c r="F78" s="86"/>
    </row>
    <row r="79" spans="1:6" x14ac:dyDescent="0.3">
      <c r="A79" s="98" t="str">
        <f t="shared" si="4"/>
        <v>01/05/2021-31/05/2021</v>
      </c>
      <c r="B79" s="93">
        <v>31</v>
      </c>
      <c r="C79" s="93">
        <f t="shared" si="5"/>
        <v>31</v>
      </c>
      <c r="D79" s="436"/>
      <c r="E79" s="440"/>
      <c r="F79" s="86"/>
    </row>
    <row r="80" spans="1:6" x14ac:dyDescent="0.3">
      <c r="A80" s="98" t="str">
        <f t="shared" si="4"/>
        <v>01/06/2021-30/06/2021</v>
      </c>
      <c r="B80" s="93">
        <v>30</v>
      </c>
      <c r="C80" s="93">
        <f t="shared" si="5"/>
        <v>30</v>
      </c>
      <c r="D80" s="436"/>
      <c r="E80" s="440"/>
      <c r="F80" s="86"/>
    </row>
    <row r="81" spans="1:6" x14ac:dyDescent="0.3">
      <c r="A81" s="98" t="str">
        <f t="shared" si="4"/>
        <v>01/07/2021-31/07/2021</v>
      </c>
      <c r="B81" s="93">
        <v>31</v>
      </c>
      <c r="C81" s="93">
        <f t="shared" si="5"/>
        <v>31</v>
      </c>
      <c r="D81" s="436"/>
      <c r="E81" s="440"/>
      <c r="F81" s="86"/>
    </row>
    <row r="82" spans="1:6" x14ac:dyDescent="0.3">
      <c r="A82" s="98" t="str">
        <f t="shared" si="4"/>
        <v>01/08/2021-31/08/2021</v>
      </c>
      <c r="B82" s="93">
        <v>31</v>
      </c>
      <c r="C82" s="93">
        <f t="shared" si="5"/>
        <v>31</v>
      </c>
      <c r="D82" s="436"/>
      <c r="E82" s="440"/>
      <c r="F82" s="86"/>
    </row>
    <row r="83" spans="1:6" x14ac:dyDescent="0.3">
      <c r="A83" s="98" t="str">
        <f t="shared" si="4"/>
        <v>01/09/2021-30/09/2021</v>
      </c>
      <c r="B83" s="93">
        <v>30</v>
      </c>
      <c r="C83" s="93">
        <f t="shared" si="5"/>
        <v>30</v>
      </c>
      <c r="D83" s="436"/>
      <c r="E83" s="440"/>
      <c r="F83" s="86"/>
    </row>
    <row r="84" spans="1:6" x14ac:dyDescent="0.3">
      <c r="A84" s="98" t="str">
        <f t="shared" si="4"/>
        <v>01/10/2021-31/10/2021</v>
      </c>
      <c r="B84" s="93">
        <v>31</v>
      </c>
      <c r="C84" s="93">
        <f t="shared" si="5"/>
        <v>31</v>
      </c>
      <c r="D84" s="436"/>
      <c r="E84" s="440"/>
      <c r="F84" s="86"/>
    </row>
    <row r="85" spans="1:6" x14ac:dyDescent="0.3">
      <c r="A85" s="98" t="str">
        <f t="shared" si="4"/>
        <v>01/11/2021-30/11/2021</v>
      </c>
      <c r="B85" s="93">
        <v>30</v>
      </c>
      <c r="C85" s="93">
        <f t="shared" si="5"/>
        <v>30</v>
      </c>
      <c r="D85" s="436"/>
      <c r="E85" s="440"/>
      <c r="F85" s="86"/>
    </row>
    <row r="86" spans="1:6" x14ac:dyDescent="0.3">
      <c r="A86" s="98" t="str">
        <f t="shared" si="4"/>
        <v>01/12/2021-31/12/2021</v>
      </c>
      <c r="B86" s="93">
        <v>31</v>
      </c>
      <c r="C86" s="93">
        <f t="shared" si="5"/>
        <v>31</v>
      </c>
      <c r="D86" s="436"/>
      <c r="E86" s="440"/>
      <c r="F86" s="86"/>
    </row>
    <row r="87" spans="1:6" x14ac:dyDescent="0.3">
      <c r="A87" s="98" t="str">
        <f t="shared" si="4"/>
        <v>01/01/2022-31/01/2022</v>
      </c>
      <c r="B87" s="93">
        <v>31</v>
      </c>
      <c r="C87" s="93">
        <f t="shared" si="5"/>
        <v>31</v>
      </c>
      <c r="D87" s="436"/>
      <c r="E87" s="440"/>
      <c r="F87" s="86"/>
    </row>
    <row r="88" spans="1:6" x14ac:dyDescent="0.3">
      <c r="A88" s="98" t="str">
        <f t="shared" si="4"/>
        <v>01/02/2022-28/02/2022</v>
      </c>
      <c r="B88" s="93">
        <v>28</v>
      </c>
      <c r="C88" s="93">
        <f t="shared" si="5"/>
        <v>28</v>
      </c>
      <c r="D88" s="436"/>
      <c r="E88" s="440"/>
      <c r="F88" s="86"/>
    </row>
    <row r="89" spans="1:6" x14ac:dyDescent="0.3">
      <c r="A89" s="98" t="str">
        <f t="shared" si="4"/>
        <v>01/03/2022-31/03/2022</v>
      </c>
      <c r="B89" s="93">
        <v>31</v>
      </c>
      <c r="C89" s="93">
        <f t="shared" si="5"/>
        <v>31</v>
      </c>
      <c r="D89" s="436"/>
      <c r="E89" s="440"/>
      <c r="F89" s="86"/>
    </row>
    <row r="90" spans="1:6" ht="15.5" x14ac:dyDescent="0.4">
      <c r="A90" s="98" t="s">
        <v>218</v>
      </c>
      <c r="B90" s="93"/>
      <c r="C90" s="93"/>
      <c r="D90" s="94"/>
      <c r="E90" s="92"/>
      <c r="F90" s="86"/>
    </row>
    <row r="91" spans="1:6" ht="15.5" x14ac:dyDescent="0.4">
      <c r="A91" s="98" t="str">
        <f>A74</f>
        <v>20/12/2020-31/12/2020</v>
      </c>
      <c r="B91" s="106">
        <f>ROUNDDOWN($B$12*$B$14*$B$17*$B$18*B20*B56*$B$72,0)</f>
        <v>3713</v>
      </c>
      <c r="C91" s="106">
        <f>ROUNDDOWN($C$12*$C$14*$C$17*$C$18*C20*C56*$C$72,0)</f>
        <v>3279</v>
      </c>
      <c r="D91" s="94" t="s">
        <v>219</v>
      </c>
      <c r="E91" s="432" t="s">
        <v>108</v>
      </c>
      <c r="F91" s="86"/>
    </row>
    <row r="92" spans="1:6" ht="15.5" x14ac:dyDescent="0.4">
      <c r="A92" s="98" t="str">
        <f t="shared" ref="A92:A106" si="6">A75</f>
        <v>01/01/2021-31/01/2021</v>
      </c>
      <c r="B92" s="106">
        <f>ROUNDDOWN($B$13*$B$14*$B$17*$B$18*B21*B57*$B$72,0)</f>
        <v>10796</v>
      </c>
      <c r="C92" s="106">
        <f>ROUNDDOWN($C$13*$C$14*$C$17*$C$18*C21*C57*$C$72,0)</f>
        <v>9478</v>
      </c>
      <c r="D92" s="94" t="s">
        <v>219</v>
      </c>
      <c r="E92" s="433"/>
      <c r="F92" s="86"/>
    </row>
    <row r="93" spans="1:6" ht="15.5" x14ac:dyDescent="0.4">
      <c r="A93" s="98" t="str">
        <f t="shared" si="6"/>
        <v>01/02/1021-28/02/2021</v>
      </c>
      <c r="B93" s="106">
        <f t="shared" ref="B93:B106" si="7">ROUNDDOWN($B$13*$B$14*$B$17*$B$18*B22*B58*$B$72,0)</f>
        <v>9672</v>
      </c>
      <c r="C93" s="106">
        <f t="shared" ref="C93:C106" si="8">ROUNDDOWN($C$13*$C$14*$C$17*$C$18*C22*C58*$C$72,0)</f>
        <v>8370</v>
      </c>
      <c r="D93" s="94" t="s">
        <v>219</v>
      </c>
      <c r="E93" s="433"/>
      <c r="F93" s="86"/>
    </row>
    <row r="94" spans="1:6" ht="15.5" x14ac:dyDescent="0.4">
      <c r="A94" s="98" t="str">
        <f t="shared" si="6"/>
        <v>01/03/2021-31/03/3021</v>
      </c>
      <c r="B94" s="106">
        <f t="shared" si="7"/>
        <v>10569</v>
      </c>
      <c r="C94" s="106">
        <f t="shared" si="8"/>
        <v>9276</v>
      </c>
      <c r="D94" s="94" t="s">
        <v>219</v>
      </c>
      <c r="E94" s="433"/>
      <c r="F94" s="86"/>
    </row>
    <row r="95" spans="1:6" ht="15.5" x14ac:dyDescent="0.4">
      <c r="A95" s="98" t="str">
        <f t="shared" si="6"/>
        <v>01/04/2021-30/04/2021</v>
      </c>
      <c r="B95" s="106">
        <f t="shared" si="7"/>
        <v>10262</v>
      </c>
      <c r="C95" s="106">
        <f t="shared" si="8"/>
        <v>9072</v>
      </c>
      <c r="D95" s="94" t="s">
        <v>219</v>
      </c>
      <c r="E95" s="433"/>
      <c r="F95" s="86"/>
    </row>
    <row r="96" spans="1:6" ht="15.5" x14ac:dyDescent="0.4">
      <c r="A96" s="98" t="str">
        <f t="shared" si="6"/>
        <v>01/05/2021-31/05/2021</v>
      </c>
      <c r="B96" s="106">
        <f t="shared" si="7"/>
        <v>10656</v>
      </c>
      <c r="C96" s="106">
        <f t="shared" si="8"/>
        <v>9434</v>
      </c>
      <c r="D96" s="94" t="s">
        <v>219</v>
      </c>
      <c r="E96" s="433"/>
      <c r="F96" s="86"/>
    </row>
    <row r="97" spans="1:6" ht="15.5" x14ac:dyDescent="0.4">
      <c r="A97" s="98" t="str">
        <f t="shared" si="6"/>
        <v>01/06/2021-30/06/2021</v>
      </c>
      <c r="B97" s="106">
        <f t="shared" si="7"/>
        <v>10109</v>
      </c>
      <c r="C97" s="106">
        <f t="shared" si="8"/>
        <v>9051</v>
      </c>
      <c r="D97" s="94" t="s">
        <v>219</v>
      </c>
      <c r="E97" s="433"/>
      <c r="F97" s="86"/>
    </row>
    <row r="98" spans="1:6" ht="15.5" x14ac:dyDescent="0.4">
      <c r="A98" s="98" t="str">
        <f t="shared" si="6"/>
        <v>01/07/2021-31/07/2021</v>
      </c>
      <c r="B98" s="106">
        <f t="shared" si="7"/>
        <v>10726</v>
      </c>
      <c r="C98" s="106">
        <f t="shared" si="8"/>
        <v>9379</v>
      </c>
      <c r="D98" s="94" t="s">
        <v>219</v>
      </c>
      <c r="E98" s="433"/>
      <c r="F98" s="86"/>
    </row>
    <row r="99" spans="1:6" ht="15.5" x14ac:dyDescent="0.4">
      <c r="A99" s="98" t="str">
        <f t="shared" si="6"/>
        <v>01/08/2021-31/08/2021</v>
      </c>
      <c r="B99" s="106">
        <f t="shared" si="7"/>
        <v>10779</v>
      </c>
      <c r="C99" s="106">
        <f t="shared" si="8"/>
        <v>9331</v>
      </c>
      <c r="D99" s="94" t="s">
        <v>219</v>
      </c>
      <c r="E99" s="433"/>
      <c r="F99" s="86"/>
    </row>
    <row r="100" spans="1:6" ht="15.5" x14ac:dyDescent="0.4">
      <c r="A100" s="98" t="str">
        <f t="shared" si="6"/>
        <v>01/09/2021-30/09/2021</v>
      </c>
      <c r="B100" s="106">
        <f t="shared" si="7"/>
        <v>10092</v>
      </c>
      <c r="C100" s="106">
        <f t="shared" si="8"/>
        <v>9046</v>
      </c>
      <c r="D100" s="94" t="s">
        <v>219</v>
      </c>
      <c r="E100" s="433"/>
      <c r="F100" s="86"/>
    </row>
    <row r="101" spans="1:6" ht="15.5" x14ac:dyDescent="0.4">
      <c r="A101" s="98" t="str">
        <f t="shared" si="6"/>
        <v>01/10/2021-31/10/2021</v>
      </c>
      <c r="B101" s="106">
        <f t="shared" si="7"/>
        <v>10814</v>
      </c>
      <c r="C101" s="106">
        <f t="shared" si="8"/>
        <v>9421</v>
      </c>
      <c r="D101" s="94" t="s">
        <v>220</v>
      </c>
      <c r="E101" s="433"/>
      <c r="F101" s="86"/>
    </row>
    <row r="102" spans="1:6" ht="15.5" x14ac:dyDescent="0.4">
      <c r="A102" s="98" t="str">
        <f t="shared" si="6"/>
        <v>01/11/2021-30/11/2021</v>
      </c>
      <c r="B102" s="106">
        <f t="shared" si="7"/>
        <v>10245</v>
      </c>
      <c r="C102" s="106">
        <f t="shared" si="8"/>
        <v>9152</v>
      </c>
      <c r="D102" s="94" t="s">
        <v>220</v>
      </c>
      <c r="E102" s="433"/>
      <c r="F102" s="86"/>
    </row>
    <row r="103" spans="1:6" ht="15.5" x14ac:dyDescent="0.4">
      <c r="A103" s="98" t="str">
        <f t="shared" si="6"/>
        <v>01/12/2021-31/12/2021</v>
      </c>
      <c r="B103" s="106">
        <f t="shared" si="7"/>
        <v>10586</v>
      </c>
      <c r="C103" s="106">
        <f t="shared" si="8"/>
        <v>9482</v>
      </c>
      <c r="D103" s="94" t="s">
        <v>220</v>
      </c>
      <c r="E103" s="433"/>
      <c r="F103" s="86"/>
    </row>
    <row r="104" spans="1:6" ht="15.5" x14ac:dyDescent="0.4">
      <c r="A104" s="98" t="str">
        <f t="shared" si="6"/>
        <v>01/01/2022-31/01/2022</v>
      </c>
      <c r="B104" s="106">
        <f t="shared" si="7"/>
        <v>10814</v>
      </c>
      <c r="C104" s="106">
        <f t="shared" si="8"/>
        <v>9440</v>
      </c>
      <c r="D104" s="94" t="s">
        <v>220</v>
      </c>
      <c r="E104" s="433"/>
      <c r="F104" s="86"/>
    </row>
    <row r="105" spans="1:6" ht="15.5" x14ac:dyDescent="0.4">
      <c r="A105" s="98" t="str">
        <f t="shared" si="6"/>
        <v>01/02/2022-28/02/2022</v>
      </c>
      <c r="B105" s="106">
        <f t="shared" si="7"/>
        <v>9593</v>
      </c>
      <c r="C105" s="106">
        <f t="shared" si="8"/>
        <v>8633</v>
      </c>
      <c r="D105" s="94" t="s">
        <v>220</v>
      </c>
      <c r="E105" s="433"/>
      <c r="F105" s="86"/>
    </row>
    <row r="106" spans="1:6" ht="15.5" x14ac:dyDescent="0.4">
      <c r="A106" s="98" t="str">
        <f t="shared" si="6"/>
        <v>01/03/2022-31/03/2022</v>
      </c>
      <c r="B106" s="106">
        <f t="shared" si="7"/>
        <v>10569</v>
      </c>
      <c r="C106" s="106">
        <f t="shared" si="8"/>
        <v>9463</v>
      </c>
      <c r="D106" s="94" t="s">
        <v>220</v>
      </c>
      <c r="E106" s="433"/>
      <c r="F106" s="86"/>
    </row>
    <row r="107" spans="1:6" ht="15.5" x14ac:dyDescent="0.4">
      <c r="A107" s="107" t="s">
        <v>245</v>
      </c>
      <c r="B107" s="442">
        <f>B91+C91</f>
        <v>6992</v>
      </c>
      <c r="C107" s="442"/>
      <c r="D107" s="94" t="s">
        <v>220</v>
      </c>
      <c r="E107" s="433"/>
      <c r="F107" s="86"/>
    </row>
    <row r="108" spans="1:6" ht="15.5" x14ac:dyDescent="0.4">
      <c r="A108" s="107" t="s">
        <v>153</v>
      </c>
      <c r="B108" s="442">
        <f>SUM(B92:C103)</f>
        <v>235798</v>
      </c>
      <c r="C108" s="442"/>
      <c r="D108" s="94" t="s">
        <v>219</v>
      </c>
      <c r="E108" s="433"/>
      <c r="F108" s="86"/>
    </row>
    <row r="109" spans="1:6" ht="15.5" x14ac:dyDescent="0.4">
      <c r="A109" s="107" t="s">
        <v>154</v>
      </c>
      <c r="B109" s="426">
        <f>SUM(B104:C106)</f>
        <v>58512</v>
      </c>
      <c r="C109" s="431"/>
      <c r="D109" s="94" t="s">
        <v>219</v>
      </c>
      <c r="E109" s="433"/>
      <c r="F109" s="86"/>
    </row>
    <row r="110" spans="1:6" ht="16" thickBot="1" x14ac:dyDescent="0.45">
      <c r="A110" s="108" t="s">
        <v>221</v>
      </c>
      <c r="B110" s="109">
        <f>B107+B108+B109</f>
        <v>301302</v>
      </c>
      <c r="C110" s="109"/>
      <c r="D110" s="110" t="s">
        <v>219</v>
      </c>
      <c r="E110" s="441"/>
      <c r="F110" s="86"/>
    </row>
    <row r="111" spans="1:6" x14ac:dyDescent="0.3">
      <c r="D111" s="111"/>
    </row>
    <row r="112" spans="1:6" x14ac:dyDescent="0.3">
      <c r="A112" s="82" t="s">
        <v>36</v>
      </c>
      <c r="B112" s="80"/>
    </row>
    <row r="113" spans="1:5" x14ac:dyDescent="0.3">
      <c r="A113" s="438"/>
      <c r="B113" s="439"/>
      <c r="C113" s="439"/>
      <c r="D113" s="439"/>
      <c r="E113" s="112"/>
    </row>
    <row r="114" spans="1:5" x14ac:dyDescent="0.3">
      <c r="A114" s="113"/>
      <c r="E114" s="112"/>
    </row>
    <row r="115" spans="1:5" x14ac:dyDescent="0.3">
      <c r="A115" s="113"/>
    </row>
    <row r="116" spans="1:5" ht="17" customHeight="1" x14ac:dyDescent="0.3">
      <c r="A116" s="80" t="s">
        <v>8</v>
      </c>
      <c r="B116" s="80"/>
    </row>
    <row r="117" spans="1:5" ht="12.75" customHeight="1" x14ac:dyDescent="0.3">
      <c r="A117" s="113"/>
      <c r="B117" s="114"/>
      <c r="C117" s="114"/>
      <c r="D117" s="114"/>
      <c r="E117" s="112"/>
    </row>
    <row r="118" spans="1:5" ht="12.75" customHeight="1" x14ac:dyDescent="0.3">
      <c r="A118" s="113"/>
      <c r="B118" s="114"/>
      <c r="C118" s="114"/>
      <c r="D118" s="114"/>
      <c r="E118" s="112"/>
    </row>
    <row r="119" spans="1:5" ht="12.75" customHeight="1" x14ac:dyDescent="0.3">
      <c r="A119" s="113"/>
      <c r="B119" s="114"/>
      <c r="C119" s="114"/>
      <c r="D119" s="114"/>
      <c r="E119" s="115"/>
    </row>
    <row r="120" spans="1:5" ht="12.75" customHeight="1" x14ac:dyDescent="0.3">
      <c r="A120" s="113"/>
      <c r="B120" s="114"/>
      <c r="C120" s="114"/>
      <c r="D120" s="114"/>
      <c r="E120" s="112"/>
    </row>
    <row r="121" spans="1:5" ht="12.75" customHeight="1" x14ac:dyDescent="0.3">
      <c r="A121" s="113"/>
      <c r="B121" s="114"/>
      <c r="C121" s="114"/>
      <c r="D121" s="114"/>
      <c r="E121" s="112"/>
    </row>
    <row r="122" spans="1:5" ht="14" thickBot="1" x14ac:dyDescent="0.35"/>
    <row r="123" spans="1:5" x14ac:dyDescent="0.3">
      <c r="A123" s="116" t="s">
        <v>3</v>
      </c>
      <c r="B123" s="117" t="s">
        <v>9</v>
      </c>
      <c r="C123" s="117"/>
      <c r="D123" s="117" t="s">
        <v>2</v>
      </c>
      <c r="E123" s="117" t="s">
        <v>4</v>
      </c>
    </row>
    <row r="124" spans="1:5" x14ac:dyDescent="0.3">
      <c r="A124" s="118"/>
      <c r="B124" s="119" t="str">
        <f>B10</f>
        <v>Market Swine</v>
      </c>
      <c r="C124" s="119" t="str">
        <f>C10</f>
        <v>Breeding Swine</v>
      </c>
      <c r="D124" s="119"/>
      <c r="E124" s="119"/>
    </row>
    <row r="125" spans="1:5" ht="15.5" x14ac:dyDescent="0.4">
      <c r="A125" s="101" t="s">
        <v>222</v>
      </c>
      <c r="B125" s="93">
        <v>0</v>
      </c>
      <c r="C125" s="120">
        <v>0</v>
      </c>
      <c r="D125" s="30" t="s">
        <v>223</v>
      </c>
      <c r="E125" s="30" t="s">
        <v>37</v>
      </c>
    </row>
    <row r="126" spans="1:5" ht="15.5" x14ac:dyDescent="0.4">
      <c r="A126" s="101" t="s">
        <v>224</v>
      </c>
      <c r="B126" s="121">
        <f>0.42</f>
        <v>0.42</v>
      </c>
      <c r="C126" s="122">
        <v>0.24</v>
      </c>
      <c r="D126" s="30" t="s">
        <v>49</v>
      </c>
      <c r="E126" s="30" t="s">
        <v>66</v>
      </c>
    </row>
    <row r="127" spans="1:5" x14ac:dyDescent="0.3">
      <c r="A127" s="101" t="s">
        <v>225</v>
      </c>
      <c r="B127" s="104"/>
      <c r="C127" s="104"/>
      <c r="D127" s="428" t="s">
        <v>68</v>
      </c>
      <c r="E127" s="428" t="s">
        <v>47</v>
      </c>
    </row>
    <row r="128" spans="1:5" x14ac:dyDescent="0.3">
      <c r="A128" s="98" t="str">
        <f>A91</f>
        <v>20/12/2020-31/12/2020</v>
      </c>
      <c r="B128" s="104">
        <f>$B$126*$B$161/1000*B74</f>
        <v>0.14112</v>
      </c>
      <c r="C128" s="104">
        <f t="shared" ref="C128:C143" si="9">$C$126*$C$161/1000*C74</f>
        <v>8.0639999999999989E-2</v>
      </c>
      <c r="D128" s="429"/>
      <c r="E128" s="429"/>
    </row>
    <row r="129" spans="1:5" x14ac:dyDescent="0.3">
      <c r="A129" s="98" t="str">
        <f t="shared" ref="A129:A142" si="10">A92</f>
        <v>01/01/2021-31/01/2021</v>
      </c>
      <c r="B129" s="104">
        <f t="shared" ref="B129:B143" si="11">$B$126*$B$161/1000*B75</f>
        <v>0.36456</v>
      </c>
      <c r="C129" s="104">
        <f t="shared" si="9"/>
        <v>0.20831999999999998</v>
      </c>
      <c r="D129" s="429"/>
      <c r="E129" s="429"/>
    </row>
    <row r="130" spans="1:5" x14ac:dyDescent="0.3">
      <c r="A130" s="98" t="str">
        <f t="shared" si="10"/>
        <v>01/02/1021-28/02/2021</v>
      </c>
      <c r="B130" s="104">
        <f t="shared" si="11"/>
        <v>0.32928000000000002</v>
      </c>
      <c r="C130" s="104">
        <f t="shared" si="9"/>
        <v>0.18815999999999999</v>
      </c>
      <c r="D130" s="429"/>
      <c r="E130" s="429"/>
    </row>
    <row r="131" spans="1:5" x14ac:dyDescent="0.3">
      <c r="A131" s="98" t="str">
        <f t="shared" si="10"/>
        <v>01/03/2021-31/03/3021</v>
      </c>
      <c r="B131" s="104">
        <f t="shared" si="11"/>
        <v>0.36456</v>
      </c>
      <c r="C131" s="104">
        <f t="shared" si="9"/>
        <v>0.20831999999999998</v>
      </c>
      <c r="D131" s="429"/>
      <c r="E131" s="429"/>
    </row>
    <row r="132" spans="1:5" x14ac:dyDescent="0.3">
      <c r="A132" s="98" t="str">
        <f t="shared" si="10"/>
        <v>01/04/2021-30/04/2021</v>
      </c>
      <c r="B132" s="104">
        <f t="shared" si="11"/>
        <v>0.3528</v>
      </c>
      <c r="C132" s="104">
        <f t="shared" si="9"/>
        <v>0.20159999999999997</v>
      </c>
      <c r="D132" s="429"/>
      <c r="E132" s="429"/>
    </row>
    <row r="133" spans="1:5" x14ac:dyDescent="0.3">
      <c r="A133" s="98" t="str">
        <f t="shared" si="10"/>
        <v>01/05/2021-31/05/2021</v>
      </c>
      <c r="B133" s="104">
        <f t="shared" si="11"/>
        <v>0.36456</v>
      </c>
      <c r="C133" s="104">
        <f t="shared" si="9"/>
        <v>0.20831999999999998</v>
      </c>
      <c r="D133" s="429"/>
      <c r="E133" s="429"/>
    </row>
    <row r="134" spans="1:5" x14ac:dyDescent="0.3">
      <c r="A134" s="98" t="str">
        <f t="shared" si="10"/>
        <v>01/06/2021-30/06/2021</v>
      </c>
      <c r="B134" s="104">
        <f t="shared" si="11"/>
        <v>0.3528</v>
      </c>
      <c r="C134" s="104">
        <f t="shared" si="9"/>
        <v>0.20159999999999997</v>
      </c>
      <c r="D134" s="429"/>
      <c r="E134" s="429"/>
    </row>
    <row r="135" spans="1:5" x14ac:dyDescent="0.3">
      <c r="A135" s="98" t="str">
        <f t="shared" si="10"/>
        <v>01/07/2021-31/07/2021</v>
      </c>
      <c r="B135" s="104">
        <f t="shared" si="11"/>
        <v>0.36456</v>
      </c>
      <c r="C135" s="104">
        <f t="shared" si="9"/>
        <v>0.20831999999999998</v>
      </c>
      <c r="D135" s="429"/>
      <c r="E135" s="429"/>
    </row>
    <row r="136" spans="1:5" x14ac:dyDescent="0.3">
      <c r="A136" s="98" t="str">
        <f t="shared" si="10"/>
        <v>01/08/2021-31/08/2021</v>
      </c>
      <c r="B136" s="104">
        <f t="shared" si="11"/>
        <v>0.36456</v>
      </c>
      <c r="C136" s="104">
        <f t="shared" si="9"/>
        <v>0.20831999999999998</v>
      </c>
      <c r="D136" s="429"/>
      <c r="E136" s="429"/>
    </row>
    <row r="137" spans="1:5" x14ac:dyDescent="0.3">
      <c r="A137" s="98" t="str">
        <f t="shared" si="10"/>
        <v>01/09/2021-30/09/2021</v>
      </c>
      <c r="B137" s="104">
        <f t="shared" si="11"/>
        <v>0.3528</v>
      </c>
      <c r="C137" s="104">
        <f t="shared" si="9"/>
        <v>0.20159999999999997</v>
      </c>
      <c r="D137" s="429"/>
      <c r="E137" s="429"/>
    </row>
    <row r="138" spans="1:5" x14ac:dyDescent="0.3">
      <c r="A138" s="98" t="str">
        <f t="shared" si="10"/>
        <v>01/10/2021-31/10/2021</v>
      </c>
      <c r="B138" s="104">
        <f t="shared" si="11"/>
        <v>0.36456</v>
      </c>
      <c r="C138" s="104">
        <f t="shared" si="9"/>
        <v>0.20831999999999998</v>
      </c>
      <c r="D138" s="429"/>
      <c r="E138" s="429"/>
    </row>
    <row r="139" spans="1:5" x14ac:dyDescent="0.3">
      <c r="A139" s="98" t="str">
        <f t="shared" si="10"/>
        <v>01/11/2021-30/11/2021</v>
      </c>
      <c r="B139" s="104">
        <f t="shared" si="11"/>
        <v>0.3528</v>
      </c>
      <c r="C139" s="104">
        <f t="shared" si="9"/>
        <v>0.20159999999999997</v>
      </c>
      <c r="D139" s="429"/>
      <c r="E139" s="429"/>
    </row>
    <row r="140" spans="1:5" x14ac:dyDescent="0.3">
      <c r="A140" s="98" t="str">
        <f t="shared" si="10"/>
        <v>01/12/2021-31/12/2021</v>
      </c>
      <c r="B140" s="104">
        <f t="shared" si="11"/>
        <v>0.36456</v>
      </c>
      <c r="C140" s="104">
        <f t="shared" si="9"/>
        <v>0.20831999999999998</v>
      </c>
      <c r="D140" s="429"/>
      <c r="E140" s="429"/>
    </row>
    <row r="141" spans="1:5" x14ac:dyDescent="0.3">
      <c r="A141" s="98" t="str">
        <f t="shared" si="10"/>
        <v>01/01/2022-31/01/2022</v>
      </c>
      <c r="B141" s="104">
        <f t="shared" si="11"/>
        <v>0.36456</v>
      </c>
      <c r="C141" s="104">
        <f t="shared" si="9"/>
        <v>0.20831999999999998</v>
      </c>
      <c r="D141" s="429"/>
      <c r="E141" s="429"/>
    </row>
    <row r="142" spans="1:5" x14ac:dyDescent="0.3">
      <c r="A142" s="98" t="str">
        <f t="shared" si="10"/>
        <v>01/02/2022-28/02/2022</v>
      </c>
      <c r="B142" s="104">
        <f t="shared" si="11"/>
        <v>0.32928000000000002</v>
      </c>
      <c r="C142" s="104">
        <f t="shared" si="9"/>
        <v>0.18815999999999999</v>
      </c>
      <c r="D142" s="429"/>
      <c r="E142" s="429"/>
    </row>
    <row r="143" spans="1:5" x14ac:dyDescent="0.3">
      <c r="A143" s="98" t="str">
        <f>A106</f>
        <v>01/03/2022-31/03/2022</v>
      </c>
      <c r="B143" s="104">
        <f t="shared" si="11"/>
        <v>0.36456</v>
      </c>
      <c r="C143" s="104">
        <f t="shared" si="9"/>
        <v>0.20831999999999998</v>
      </c>
      <c r="D143" s="430"/>
      <c r="E143" s="430"/>
    </row>
    <row r="144" spans="1:5" x14ac:dyDescent="0.3">
      <c r="A144" s="101" t="s">
        <v>213</v>
      </c>
      <c r="B144" s="123"/>
      <c r="C144" s="123"/>
      <c r="D144" s="428" t="s">
        <v>5</v>
      </c>
      <c r="E144" s="428" t="str">
        <f>E36</f>
        <v>Weight record</v>
      </c>
    </row>
    <row r="145" spans="1:5" x14ac:dyDescent="0.3">
      <c r="A145" s="98" t="str">
        <f>A128</f>
        <v>20/12/2020-31/12/2020</v>
      </c>
      <c r="B145" s="124">
        <f>'monitoring results'!D4</f>
        <v>61.4</v>
      </c>
      <c r="C145" s="124">
        <f>'monitoring results'!E4</f>
        <v>74.599999999999994</v>
      </c>
      <c r="D145" s="429"/>
      <c r="E145" s="429"/>
    </row>
    <row r="146" spans="1:5" x14ac:dyDescent="0.3">
      <c r="A146" s="98" t="str">
        <f t="shared" ref="A146:A160" si="12">A129</f>
        <v>01/01/2021-31/01/2021</v>
      </c>
      <c r="B146" s="124">
        <f>'monitoring results'!D5</f>
        <v>61.7</v>
      </c>
      <c r="C146" s="124">
        <f>'monitoring results'!E5</f>
        <v>74.599999999999994</v>
      </c>
      <c r="D146" s="429"/>
      <c r="E146" s="429"/>
    </row>
    <row r="147" spans="1:5" x14ac:dyDescent="0.3">
      <c r="A147" s="98" t="str">
        <f t="shared" si="12"/>
        <v>01/02/1021-28/02/2021</v>
      </c>
      <c r="B147" s="124">
        <f>'monitoring results'!D6</f>
        <v>61.2</v>
      </c>
      <c r="C147" s="124">
        <f>'monitoring results'!E6</f>
        <v>72.900000000000006</v>
      </c>
      <c r="D147" s="429"/>
      <c r="E147" s="429"/>
    </row>
    <row r="148" spans="1:5" x14ac:dyDescent="0.3">
      <c r="A148" s="98" t="str">
        <f t="shared" si="12"/>
        <v>01/03/2021-31/03/3021</v>
      </c>
      <c r="B148" s="124">
        <f>'monitoring results'!D7</f>
        <v>60.4</v>
      </c>
      <c r="C148" s="124">
        <f>'monitoring results'!E7</f>
        <v>73.099999999999994</v>
      </c>
      <c r="D148" s="429"/>
      <c r="E148" s="429"/>
    </row>
    <row r="149" spans="1:5" x14ac:dyDescent="0.3">
      <c r="A149" s="98" t="str">
        <f t="shared" si="12"/>
        <v>01/04/2021-30/04/2021</v>
      </c>
      <c r="B149" s="124">
        <f>'monitoring results'!D8</f>
        <v>60.6</v>
      </c>
      <c r="C149" s="124">
        <f>'monitoring results'!E8</f>
        <v>73.900000000000006</v>
      </c>
      <c r="D149" s="429"/>
      <c r="E149" s="429"/>
    </row>
    <row r="150" spans="1:5" x14ac:dyDescent="0.3">
      <c r="A150" s="98" t="str">
        <f t="shared" si="12"/>
        <v>01/05/2021-31/05/2021</v>
      </c>
      <c r="B150" s="124">
        <f>'monitoring results'!D9</f>
        <v>60.9</v>
      </c>
      <c r="C150" s="124">
        <f>'monitoring results'!E9</f>
        <v>74.3</v>
      </c>
      <c r="D150" s="429"/>
      <c r="E150" s="429"/>
    </row>
    <row r="151" spans="1:5" x14ac:dyDescent="0.3">
      <c r="A151" s="98" t="str">
        <f t="shared" si="12"/>
        <v>01/06/2021-30/06/2021</v>
      </c>
      <c r="B151" s="124">
        <f>'monitoring results'!D10</f>
        <v>59.7</v>
      </c>
      <c r="C151" s="124">
        <f>'monitoring results'!E10</f>
        <v>73.599999999999994</v>
      </c>
      <c r="D151" s="429"/>
      <c r="E151" s="429"/>
    </row>
    <row r="152" spans="1:5" x14ac:dyDescent="0.3">
      <c r="A152" s="98" t="str">
        <f t="shared" si="12"/>
        <v>01/07/2021-31/07/2021</v>
      </c>
      <c r="B152" s="124">
        <f>'monitoring results'!D11</f>
        <v>61.3</v>
      </c>
      <c r="C152" s="124">
        <f>'monitoring results'!E11</f>
        <v>73.8</v>
      </c>
      <c r="D152" s="429"/>
      <c r="E152" s="429"/>
    </row>
    <row r="153" spans="1:5" x14ac:dyDescent="0.3">
      <c r="A153" s="98" t="str">
        <f t="shared" si="12"/>
        <v>01/08/2021-31/08/2021</v>
      </c>
      <c r="B153" s="124">
        <f>'monitoring results'!D12</f>
        <v>61.6</v>
      </c>
      <c r="C153" s="124">
        <f>'monitoring results'!E12</f>
        <v>73.400000000000006</v>
      </c>
      <c r="D153" s="429"/>
      <c r="E153" s="429"/>
    </row>
    <row r="154" spans="1:5" x14ac:dyDescent="0.3">
      <c r="A154" s="98" t="str">
        <f t="shared" si="12"/>
        <v>01/09/2021-30/09/2021</v>
      </c>
      <c r="B154" s="124">
        <f>'monitoring results'!D13</f>
        <v>59.6</v>
      </c>
      <c r="C154" s="124">
        <f>'monitoring results'!E13</f>
        <v>73.599999999999994</v>
      </c>
      <c r="D154" s="429"/>
      <c r="E154" s="429"/>
    </row>
    <row r="155" spans="1:5" x14ac:dyDescent="0.3">
      <c r="A155" s="98" t="str">
        <f t="shared" si="12"/>
        <v>01/10/2021-31/10/2021</v>
      </c>
      <c r="B155" s="124">
        <f>'monitoring results'!D14</f>
        <v>61.8</v>
      </c>
      <c r="C155" s="124">
        <f>'monitoring results'!E14</f>
        <v>74.2</v>
      </c>
      <c r="D155" s="429"/>
      <c r="E155" s="429"/>
    </row>
    <row r="156" spans="1:5" x14ac:dyDescent="0.3">
      <c r="A156" s="98" t="str">
        <f t="shared" si="12"/>
        <v>01/11/2021-30/11/2021</v>
      </c>
      <c r="B156" s="124">
        <f>'monitoring results'!D15</f>
        <v>60.5</v>
      </c>
      <c r="C156" s="124">
        <f>'monitoring results'!E15</f>
        <v>74.400000000000006</v>
      </c>
      <c r="D156" s="429"/>
      <c r="E156" s="429"/>
    </row>
    <row r="157" spans="1:5" x14ac:dyDescent="0.3">
      <c r="A157" s="98" t="str">
        <f t="shared" si="12"/>
        <v>01/12/2021-31/12/2021</v>
      </c>
      <c r="B157" s="124">
        <f>'monitoring results'!D16</f>
        <v>60.5</v>
      </c>
      <c r="C157" s="124">
        <f>'monitoring results'!E16</f>
        <v>74.599999999999994</v>
      </c>
      <c r="D157" s="429"/>
      <c r="E157" s="429"/>
    </row>
    <row r="158" spans="1:5" x14ac:dyDescent="0.3">
      <c r="A158" s="98" t="str">
        <f t="shared" si="12"/>
        <v>01/01/2022-31/01/2022</v>
      </c>
      <c r="B158" s="124">
        <f>'monitoring results'!D17</f>
        <v>61.8</v>
      </c>
      <c r="C158" s="124">
        <f>'monitoring results'!E17</f>
        <v>74.3</v>
      </c>
      <c r="D158" s="429"/>
      <c r="E158" s="429"/>
    </row>
    <row r="159" spans="1:5" x14ac:dyDescent="0.3">
      <c r="A159" s="98" t="str">
        <f t="shared" si="12"/>
        <v>01/02/2022-28/02/2022</v>
      </c>
      <c r="B159" s="124">
        <f>'monitoring results'!D18</f>
        <v>60.7</v>
      </c>
      <c r="C159" s="124">
        <f>'monitoring results'!E18</f>
        <v>75.2</v>
      </c>
      <c r="D159" s="429"/>
      <c r="E159" s="429"/>
    </row>
    <row r="160" spans="1:5" x14ac:dyDescent="0.3">
      <c r="A160" s="98" t="str">
        <f t="shared" si="12"/>
        <v>01/03/2022-31/03/2022</v>
      </c>
      <c r="B160" s="124">
        <f>'monitoring results'!D19</f>
        <v>60.4</v>
      </c>
      <c r="C160" s="124">
        <f>'monitoring results'!E19</f>
        <v>74.5</v>
      </c>
      <c r="D160" s="430"/>
      <c r="E160" s="430"/>
    </row>
    <row r="161" spans="1:5" x14ac:dyDescent="0.3">
      <c r="A161" s="101" t="s">
        <v>65</v>
      </c>
      <c r="B161" s="123">
        <v>28</v>
      </c>
      <c r="C161" s="123">
        <v>28</v>
      </c>
      <c r="D161" s="30" t="s">
        <v>5</v>
      </c>
      <c r="E161" s="94" t="s">
        <v>45</v>
      </c>
    </row>
    <row r="162" spans="1:5" x14ac:dyDescent="0.3">
      <c r="A162" s="101" t="s">
        <v>226</v>
      </c>
      <c r="B162" s="121">
        <v>28</v>
      </c>
      <c r="C162" s="125">
        <v>28</v>
      </c>
      <c r="D162" s="30" t="s">
        <v>5</v>
      </c>
      <c r="E162" s="94" t="s">
        <v>45</v>
      </c>
    </row>
    <row r="163" spans="1:5" ht="15.5" x14ac:dyDescent="0.4">
      <c r="A163" s="101" t="s">
        <v>227</v>
      </c>
      <c r="B163" s="104"/>
      <c r="C163" s="104"/>
      <c r="E163" s="104"/>
    </row>
    <row r="164" spans="1:5" x14ac:dyDescent="0.3">
      <c r="A164" s="98" t="str">
        <f>A145</f>
        <v>20/12/2020-31/12/2020</v>
      </c>
      <c r="B164" s="104">
        <f>(B145/$B$162)*B128</f>
        <v>0.30945599999999995</v>
      </c>
      <c r="C164" s="104">
        <f>(C145/$C$162)*C128</f>
        <v>0.21484799999999996</v>
      </c>
      <c r="D164" s="428" t="s">
        <v>68</v>
      </c>
      <c r="E164" s="428" t="s">
        <v>51</v>
      </c>
    </row>
    <row r="165" spans="1:5" x14ac:dyDescent="0.3">
      <c r="A165" s="98" t="str">
        <f t="shared" ref="A165:A179" si="13">A146</f>
        <v>01/01/2021-31/01/2021</v>
      </c>
      <c r="B165" s="104">
        <f t="shared" ref="B165:B179" si="14">(B146/$B$162)*B129</f>
        <v>0.8033340000000001</v>
      </c>
      <c r="C165" s="104">
        <f t="shared" ref="C165:C179" si="15">(C146/$C$162)*C129</f>
        <v>0.55502399999999996</v>
      </c>
      <c r="D165" s="429"/>
      <c r="E165" s="429"/>
    </row>
    <row r="166" spans="1:5" x14ac:dyDescent="0.3">
      <c r="A166" s="98" t="str">
        <f t="shared" si="13"/>
        <v>01/02/1021-28/02/2021</v>
      </c>
      <c r="B166" s="104">
        <f t="shared" si="14"/>
        <v>0.71971200000000013</v>
      </c>
      <c r="C166" s="104">
        <f t="shared" si="15"/>
        <v>0.48988799999999999</v>
      </c>
      <c r="D166" s="429"/>
      <c r="E166" s="429"/>
    </row>
    <row r="167" spans="1:5" x14ac:dyDescent="0.3">
      <c r="A167" s="98" t="str">
        <f t="shared" si="13"/>
        <v>01/03/2021-31/03/3021</v>
      </c>
      <c r="B167" s="104">
        <f t="shared" si="14"/>
        <v>0.786408</v>
      </c>
      <c r="C167" s="104">
        <f t="shared" si="15"/>
        <v>0.5438639999999999</v>
      </c>
      <c r="D167" s="429"/>
      <c r="E167" s="429"/>
    </row>
    <row r="168" spans="1:5" x14ac:dyDescent="0.3">
      <c r="A168" s="98" t="str">
        <f t="shared" si="13"/>
        <v>01/04/2021-30/04/2021</v>
      </c>
      <c r="B168" s="104">
        <f t="shared" si="14"/>
        <v>0.76355999999999991</v>
      </c>
      <c r="C168" s="104">
        <f t="shared" si="15"/>
        <v>0.53208</v>
      </c>
      <c r="D168" s="429"/>
      <c r="E168" s="429"/>
    </row>
    <row r="169" spans="1:5" x14ac:dyDescent="0.3">
      <c r="A169" s="98" t="str">
        <f t="shared" si="13"/>
        <v>01/05/2021-31/05/2021</v>
      </c>
      <c r="B169" s="104">
        <f t="shared" si="14"/>
        <v>0.7929179999999999</v>
      </c>
      <c r="C169" s="104">
        <f t="shared" si="15"/>
        <v>0.55279199999999995</v>
      </c>
      <c r="D169" s="429"/>
      <c r="E169" s="429"/>
    </row>
    <row r="170" spans="1:5" x14ac:dyDescent="0.3">
      <c r="A170" s="98" t="str">
        <f t="shared" si="13"/>
        <v>01/06/2021-30/06/2021</v>
      </c>
      <c r="B170" s="104">
        <f t="shared" si="14"/>
        <v>0.75222</v>
      </c>
      <c r="C170" s="104">
        <f t="shared" si="15"/>
        <v>0.52991999999999995</v>
      </c>
      <c r="D170" s="429"/>
      <c r="E170" s="429"/>
    </row>
    <row r="171" spans="1:5" x14ac:dyDescent="0.3">
      <c r="A171" s="98" t="str">
        <f t="shared" si="13"/>
        <v>01/07/2021-31/07/2021</v>
      </c>
      <c r="B171" s="104">
        <f t="shared" si="14"/>
        <v>0.79812599999999989</v>
      </c>
      <c r="C171" s="104">
        <f t="shared" si="15"/>
        <v>0.54907199999999989</v>
      </c>
      <c r="D171" s="429"/>
      <c r="E171" s="429"/>
    </row>
    <row r="172" spans="1:5" x14ac:dyDescent="0.3">
      <c r="A172" s="98" t="str">
        <f t="shared" si="13"/>
        <v>01/08/2021-31/08/2021</v>
      </c>
      <c r="B172" s="104">
        <f t="shared" si="14"/>
        <v>0.80203200000000008</v>
      </c>
      <c r="C172" s="104">
        <f t="shared" si="15"/>
        <v>0.54609599999999991</v>
      </c>
      <c r="D172" s="429"/>
      <c r="E172" s="429"/>
    </row>
    <row r="173" spans="1:5" x14ac:dyDescent="0.3">
      <c r="A173" s="98" t="str">
        <f t="shared" si="13"/>
        <v>01/09/2021-30/09/2021</v>
      </c>
      <c r="B173" s="104">
        <f t="shared" si="14"/>
        <v>0.75095999999999996</v>
      </c>
      <c r="C173" s="104">
        <f t="shared" si="15"/>
        <v>0.52991999999999995</v>
      </c>
      <c r="D173" s="429"/>
      <c r="E173" s="429"/>
    </row>
    <row r="174" spans="1:5" x14ac:dyDescent="0.3">
      <c r="A174" s="98" t="str">
        <f t="shared" si="13"/>
        <v>01/10/2021-31/10/2021</v>
      </c>
      <c r="B174" s="104">
        <f t="shared" si="14"/>
        <v>0.80463599999999991</v>
      </c>
      <c r="C174" s="104">
        <f t="shared" si="15"/>
        <v>0.55204799999999987</v>
      </c>
      <c r="D174" s="429"/>
      <c r="E174" s="429"/>
    </row>
    <row r="175" spans="1:5" x14ac:dyDescent="0.3">
      <c r="A175" s="98" t="str">
        <f t="shared" si="13"/>
        <v>01/11/2021-30/11/2021</v>
      </c>
      <c r="B175" s="104">
        <f t="shared" si="14"/>
        <v>0.76229999999999998</v>
      </c>
      <c r="C175" s="104">
        <f t="shared" si="15"/>
        <v>0.53568000000000005</v>
      </c>
      <c r="D175" s="429"/>
      <c r="E175" s="429"/>
    </row>
    <row r="176" spans="1:5" x14ac:dyDescent="0.3">
      <c r="A176" s="98" t="str">
        <f t="shared" si="13"/>
        <v>01/12/2021-31/12/2021</v>
      </c>
      <c r="B176" s="104">
        <f t="shared" si="14"/>
        <v>0.78770999999999991</v>
      </c>
      <c r="C176" s="104">
        <f t="shared" si="15"/>
        <v>0.55502399999999996</v>
      </c>
      <c r="D176" s="429"/>
      <c r="E176" s="429"/>
    </row>
    <row r="177" spans="1:5" x14ac:dyDescent="0.3">
      <c r="A177" s="98" t="str">
        <f t="shared" si="13"/>
        <v>01/01/2022-31/01/2022</v>
      </c>
      <c r="B177" s="104">
        <f t="shared" si="14"/>
        <v>0.80463599999999991</v>
      </c>
      <c r="C177" s="104">
        <f t="shared" si="15"/>
        <v>0.55279199999999995</v>
      </c>
      <c r="D177" s="429"/>
      <c r="E177" s="429"/>
    </row>
    <row r="178" spans="1:5" x14ac:dyDescent="0.3">
      <c r="A178" s="98" t="str">
        <f t="shared" si="13"/>
        <v>01/02/2022-28/02/2022</v>
      </c>
      <c r="B178" s="104">
        <f t="shared" si="14"/>
        <v>0.71383200000000013</v>
      </c>
      <c r="C178" s="104">
        <f t="shared" si="15"/>
        <v>0.50534400000000002</v>
      </c>
      <c r="D178" s="429"/>
      <c r="E178" s="429"/>
    </row>
    <row r="179" spans="1:5" x14ac:dyDescent="0.3">
      <c r="A179" s="98" t="str">
        <f t="shared" si="13"/>
        <v>01/03/2022-31/03/2022</v>
      </c>
      <c r="B179" s="104">
        <f t="shared" si="14"/>
        <v>0.786408</v>
      </c>
      <c r="C179" s="104">
        <f t="shared" si="15"/>
        <v>0.55427999999999988</v>
      </c>
      <c r="D179" s="430"/>
      <c r="E179" s="430"/>
    </row>
    <row r="180" spans="1:5" ht="13.5" customHeight="1" x14ac:dyDescent="0.3">
      <c r="A180" s="32" t="s">
        <v>228</v>
      </c>
      <c r="B180" s="97"/>
      <c r="C180" s="97"/>
      <c r="D180" s="428" t="str">
        <f>D19</f>
        <v>No of heads</v>
      </c>
      <c r="E180" s="452" t="str">
        <f>E19</f>
        <v>Calculated as equatoin 4 or 5 in MR, of which NLT for marke swine and breeding swine is sourced from  "Export record form of Market swine" and " Breeding Pig stock record"</v>
      </c>
    </row>
    <row r="181" spans="1:5" x14ac:dyDescent="0.3">
      <c r="A181" s="98" t="str">
        <f>A164</f>
        <v>20/12/2020-31/12/2020</v>
      </c>
      <c r="B181" s="97">
        <f>'monitoring results'!B4</f>
        <v>132078</v>
      </c>
      <c r="C181" s="97">
        <f>'monitoring results'!C4</f>
        <v>95993</v>
      </c>
      <c r="D181" s="429"/>
      <c r="E181" s="453"/>
    </row>
    <row r="182" spans="1:5" x14ac:dyDescent="0.3">
      <c r="A182" s="98" t="str">
        <f t="shared" ref="A182:A195" si="16">A165</f>
        <v>01/01/2021-31/01/2021</v>
      </c>
      <c r="B182" s="97">
        <f>'monitoring results'!B5</f>
        <v>132078</v>
      </c>
      <c r="C182" s="97">
        <f>'monitoring results'!C5</f>
        <v>95900</v>
      </c>
      <c r="D182" s="429"/>
      <c r="E182" s="453"/>
    </row>
    <row r="183" spans="1:5" x14ac:dyDescent="0.3">
      <c r="A183" s="98" t="str">
        <f t="shared" si="16"/>
        <v>01/02/1021-28/02/2021</v>
      </c>
      <c r="B183" s="97">
        <f>'monitoring results'!B6</f>
        <v>132078</v>
      </c>
      <c r="C183" s="97">
        <f>'monitoring results'!C6</f>
        <v>95947</v>
      </c>
      <c r="D183" s="429"/>
      <c r="E183" s="453"/>
    </row>
    <row r="184" spans="1:5" x14ac:dyDescent="0.3">
      <c r="A184" s="98" t="str">
        <f t="shared" si="16"/>
        <v>01/03/2021-31/03/3021</v>
      </c>
      <c r="B184" s="97">
        <f>'monitoring results'!B7</f>
        <v>132078</v>
      </c>
      <c r="C184" s="97">
        <f>'monitoring results'!C7</f>
        <v>95778</v>
      </c>
      <c r="D184" s="429"/>
      <c r="E184" s="453"/>
    </row>
    <row r="185" spans="1:5" x14ac:dyDescent="0.3">
      <c r="A185" s="98" t="str">
        <f t="shared" si="16"/>
        <v>01/04/2021-30/04/2021</v>
      </c>
      <c r="B185" s="97">
        <f>'monitoring results'!B8</f>
        <v>132078</v>
      </c>
      <c r="C185" s="97">
        <f>'monitoring results'!C8</f>
        <v>95748</v>
      </c>
      <c r="D185" s="429"/>
      <c r="E185" s="453"/>
    </row>
    <row r="186" spans="1:5" x14ac:dyDescent="0.3">
      <c r="A186" s="98" t="str">
        <f t="shared" si="16"/>
        <v>01/05/2021-31/05/2021</v>
      </c>
      <c r="B186" s="97">
        <f>'monitoring results'!B9</f>
        <v>132078</v>
      </c>
      <c r="C186" s="97">
        <f>'monitoring results'!C9</f>
        <v>95839</v>
      </c>
      <c r="D186" s="429"/>
      <c r="E186" s="453"/>
    </row>
    <row r="187" spans="1:5" x14ac:dyDescent="0.3">
      <c r="A187" s="98" t="str">
        <f t="shared" si="16"/>
        <v>01/06/2021-30/06/2021</v>
      </c>
      <c r="B187" s="97">
        <f>'monitoring results'!B10</f>
        <v>132078</v>
      </c>
      <c r="C187" s="97">
        <f>'monitoring results'!C10</f>
        <v>95920</v>
      </c>
      <c r="D187" s="429"/>
      <c r="E187" s="453"/>
    </row>
    <row r="188" spans="1:5" x14ac:dyDescent="0.3">
      <c r="A188" s="98" t="str">
        <f t="shared" si="16"/>
        <v>01/07/2021-31/07/2021</v>
      </c>
      <c r="B188" s="97">
        <f>'monitoring results'!B11</f>
        <v>132078</v>
      </c>
      <c r="C188" s="97">
        <f>'monitoring results'!C11</f>
        <v>95933</v>
      </c>
      <c r="D188" s="429"/>
      <c r="E188" s="453"/>
    </row>
    <row r="189" spans="1:5" x14ac:dyDescent="0.3">
      <c r="A189" s="98" t="str">
        <f t="shared" si="16"/>
        <v>01/08/2021-31/08/2021</v>
      </c>
      <c r="B189" s="97">
        <f>'monitoring results'!B12</f>
        <v>132078</v>
      </c>
      <c r="C189" s="97">
        <f>'monitoring results'!C12</f>
        <v>95959</v>
      </c>
      <c r="D189" s="429"/>
      <c r="E189" s="453"/>
    </row>
    <row r="190" spans="1:5" x14ac:dyDescent="0.3">
      <c r="A190" s="98" t="str">
        <f t="shared" si="16"/>
        <v>01/09/2021-30/09/2021</v>
      </c>
      <c r="B190" s="97">
        <f>'monitoring results'!B13</f>
        <v>132078</v>
      </c>
      <c r="C190" s="97">
        <f>'monitoring results'!C13</f>
        <v>95861</v>
      </c>
      <c r="D190" s="429"/>
      <c r="E190" s="453"/>
    </row>
    <row r="191" spans="1:5" x14ac:dyDescent="0.3">
      <c r="A191" s="98" t="str">
        <f t="shared" si="16"/>
        <v>01/10/2021-31/10/2021</v>
      </c>
      <c r="B191" s="97">
        <f>'monitoring results'!B14</f>
        <v>132078</v>
      </c>
      <c r="C191" s="97">
        <f>'monitoring results'!C14</f>
        <v>95835</v>
      </c>
      <c r="D191" s="429"/>
      <c r="E191" s="453"/>
    </row>
    <row r="192" spans="1:5" x14ac:dyDescent="0.3">
      <c r="A192" s="98" t="str">
        <f t="shared" si="16"/>
        <v>01/11/2021-30/11/2021</v>
      </c>
      <c r="B192" s="97">
        <f>'monitoring results'!B15</f>
        <v>132078</v>
      </c>
      <c r="C192" s="97">
        <f>'monitoring results'!C15</f>
        <v>95945</v>
      </c>
      <c r="D192" s="429"/>
      <c r="E192" s="453"/>
    </row>
    <row r="193" spans="1:5" x14ac:dyDescent="0.3">
      <c r="A193" s="98" t="str">
        <f t="shared" si="16"/>
        <v>01/12/2021-31/12/2021</v>
      </c>
      <c r="B193" s="97">
        <f>'monitoring results'!B16</f>
        <v>132078</v>
      </c>
      <c r="C193" s="97">
        <f>'monitoring results'!C16</f>
        <v>95942</v>
      </c>
      <c r="D193" s="429"/>
      <c r="E193" s="453"/>
    </row>
    <row r="194" spans="1:5" x14ac:dyDescent="0.3">
      <c r="A194" s="98" t="str">
        <f t="shared" si="16"/>
        <v>01/01/2022-31/01/2022</v>
      </c>
      <c r="B194" s="97">
        <f>'monitoring results'!B17</f>
        <v>132078</v>
      </c>
      <c r="C194" s="97">
        <f>'monitoring results'!C17</f>
        <v>95905</v>
      </c>
      <c r="D194" s="429"/>
      <c r="E194" s="453"/>
    </row>
    <row r="195" spans="1:5" x14ac:dyDescent="0.3">
      <c r="A195" s="98" t="str">
        <f t="shared" si="16"/>
        <v>01/02/2022-28/02/2022</v>
      </c>
      <c r="B195" s="97">
        <f>'monitoring results'!B18</f>
        <v>132078</v>
      </c>
      <c r="C195" s="97">
        <f>'monitoring results'!C18</f>
        <v>95944</v>
      </c>
      <c r="D195" s="429"/>
      <c r="E195" s="453"/>
    </row>
    <row r="196" spans="1:5" x14ac:dyDescent="0.3">
      <c r="A196" s="98" t="str">
        <f>A179</f>
        <v>01/03/2022-31/03/2022</v>
      </c>
      <c r="B196" s="97">
        <f>'monitoring results'!B19</f>
        <v>132078</v>
      </c>
      <c r="C196" s="97">
        <f>'monitoring results'!C19</f>
        <v>95875</v>
      </c>
      <c r="D196" s="430"/>
      <c r="E196" s="454"/>
    </row>
    <row r="197" spans="1:5" x14ac:dyDescent="0.3">
      <c r="A197" s="90" t="s">
        <v>217</v>
      </c>
      <c r="B197" s="95">
        <f>B72</f>
        <v>1</v>
      </c>
      <c r="C197" s="95">
        <f>C72</f>
        <v>1</v>
      </c>
      <c r="D197" s="30" t="str">
        <f>D72</f>
        <v>%</v>
      </c>
      <c r="E197" s="94" t="s">
        <v>27</v>
      </c>
    </row>
    <row r="198" spans="1:5" ht="15.5" x14ac:dyDescent="0.4">
      <c r="A198" s="126" t="s">
        <v>229</v>
      </c>
      <c r="B198" s="119"/>
      <c r="C198" s="119"/>
      <c r="D198" s="30"/>
      <c r="E198" s="127"/>
    </row>
    <row r="199" spans="1:5" ht="13" customHeight="1" x14ac:dyDescent="0.3">
      <c r="A199" s="98" t="str">
        <f>A181</f>
        <v>20/12/2020-31/12/2020</v>
      </c>
      <c r="B199" s="30">
        <f>ROUNDDOWN($B$125*B164*B181*$B$197,0)</f>
        <v>0</v>
      </c>
      <c r="C199" s="421">
        <f>ROUNDDOWN($C$125*C164*C181*$C$197,0)</f>
        <v>0</v>
      </c>
      <c r="D199" s="428" t="s">
        <v>230</v>
      </c>
      <c r="E199" s="443" t="s">
        <v>108</v>
      </c>
    </row>
    <row r="200" spans="1:5" ht="13" customHeight="1" x14ac:dyDescent="0.3">
      <c r="A200" s="98" t="str">
        <f t="shared" ref="A200:A214" si="17">A182</f>
        <v>01/01/2021-31/01/2021</v>
      </c>
      <c r="B200" s="30">
        <f t="shared" ref="B200:B214" si="18">ROUNDDOWN($B$125*B165*B182*$B$197,0)</f>
        <v>0</v>
      </c>
      <c r="C200" s="421">
        <f t="shared" ref="C200:C214" si="19">ROUNDDOWN($C$125*C165*C182*$C$197,0)</f>
        <v>0</v>
      </c>
      <c r="D200" s="429"/>
      <c r="E200" s="444"/>
    </row>
    <row r="201" spans="1:5" ht="13" customHeight="1" x14ac:dyDescent="0.3">
      <c r="A201" s="98" t="str">
        <f t="shared" si="17"/>
        <v>01/02/1021-28/02/2021</v>
      </c>
      <c r="B201" s="30">
        <f t="shared" si="18"/>
        <v>0</v>
      </c>
      <c r="C201" s="421">
        <f t="shared" si="19"/>
        <v>0</v>
      </c>
      <c r="D201" s="429"/>
      <c r="E201" s="444"/>
    </row>
    <row r="202" spans="1:5" ht="13" customHeight="1" x14ac:dyDescent="0.3">
      <c r="A202" s="98" t="str">
        <f t="shared" si="17"/>
        <v>01/03/2021-31/03/3021</v>
      </c>
      <c r="B202" s="30">
        <f t="shared" si="18"/>
        <v>0</v>
      </c>
      <c r="C202" s="421">
        <f t="shared" si="19"/>
        <v>0</v>
      </c>
      <c r="D202" s="429"/>
      <c r="E202" s="444"/>
    </row>
    <row r="203" spans="1:5" ht="13" customHeight="1" x14ac:dyDescent="0.3">
      <c r="A203" s="98" t="str">
        <f t="shared" si="17"/>
        <v>01/04/2021-30/04/2021</v>
      </c>
      <c r="B203" s="30">
        <f t="shared" si="18"/>
        <v>0</v>
      </c>
      <c r="C203" s="421">
        <f t="shared" si="19"/>
        <v>0</v>
      </c>
      <c r="D203" s="429"/>
      <c r="E203" s="444"/>
    </row>
    <row r="204" spans="1:5" ht="13" customHeight="1" x14ac:dyDescent="0.3">
      <c r="A204" s="98" t="str">
        <f t="shared" si="17"/>
        <v>01/05/2021-31/05/2021</v>
      </c>
      <c r="B204" s="30">
        <f t="shared" si="18"/>
        <v>0</v>
      </c>
      <c r="C204" s="421">
        <f t="shared" si="19"/>
        <v>0</v>
      </c>
      <c r="D204" s="429"/>
      <c r="E204" s="444"/>
    </row>
    <row r="205" spans="1:5" ht="13" customHeight="1" x14ac:dyDescent="0.3">
      <c r="A205" s="98" t="str">
        <f t="shared" si="17"/>
        <v>01/06/2021-30/06/2021</v>
      </c>
      <c r="B205" s="30">
        <f t="shared" si="18"/>
        <v>0</v>
      </c>
      <c r="C205" s="421">
        <f t="shared" si="19"/>
        <v>0</v>
      </c>
      <c r="D205" s="429"/>
      <c r="E205" s="444"/>
    </row>
    <row r="206" spans="1:5" ht="13" customHeight="1" x14ac:dyDescent="0.3">
      <c r="A206" s="98" t="str">
        <f t="shared" si="17"/>
        <v>01/07/2021-31/07/2021</v>
      </c>
      <c r="B206" s="30">
        <f t="shared" si="18"/>
        <v>0</v>
      </c>
      <c r="C206" s="421">
        <f t="shared" si="19"/>
        <v>0</v>
      </c>
      <c r="D206" s="429"/>
      <c r="E206" s="444"/>
    </row>
    <row r="207" spans="1:5" ht="13" customHeight="1" x14ac:dyDescent="0.3">
      <c r="A207" s="98" t="str">
        <f t="shared" si="17"/>
        <v>01/08/2021-31/08/2021</v>
      </c>
      <c r="B207" s="30">
        <f t="shared" si="18"/>
        <v>0</v>
      </c>
      <c r="C207" s="421">
        <f t="shared" si="19"/>
        <v>0</v>
      </c>
      <c r="D207" s="429"/>
      <c r="E207" s="444"/>
    </row>
    <row r="208" spans="1:5" ht="13" customHeight="1" x14ac:dyDescent="0.3">
      <c r="A208" s="98" t="str">
        <f t="shared" si="17"/>
        <v>01/09/2021-30/09/2021</v>
      </c>
      <c r="B208" s="30">
        <f t="shared" si="18"/>
        <v>0</v>
      </c>
      <c r="C208" s="421">
        <f t="shared" si="19"/>
        <v>0</v>
      </c>
      <c r="D208" s="429"/>
      <c r="E208" s="444"/>
    </row>
    <row r="209" spans="1:5" ht="13" customHeight="1" x14ac:dyDescent="0.3">
      <c r="A209" s="98" t="str">
        <f t="shared" si="17"/>
        <v>01/10/2021-31/10/2021</v>
      </c>
      <c r="B209" s="30">
        <f t="shared" si="18"/>
        <v>0</v>
      </c>
      <c r="C209" s="421">
        <f t="shared" si="19"/>
        <v>0</v>
      </c>
      <c r="D209" s="429"/>
      <c r="E209" s="444"/>
    </row>
    <row r="210" spans="1:5" ht="13" customHeight="1" x14ac:dyDescent="0.3">
      <c r="A210" s="98" t="str">
        <f t="shared" si="17"/>
        <v>01/11/2021-30/11/2021</v>
      </c>
      <c r="B210" s="30">
        <f t="shared" si="18"/>
        <v>0</v>
      </c>
      <c r="C210" s="421">
        <f t="shared" si="19"/>
        <v>0</v>
      </c>
      <c r="D210" s="429"/>
      <c r="E210" s="444"/>
    </row>
    <row r="211" spans="1:5" ht="13" customHeight="1" x14ac:dyDescent="0.3">
      <c r="A211" s="98" t="str">
        <f t="shared" si="17"/>
        <v>01/12/2021-31/12/2021</v>
      </c>
      <c r="B211" s="30">
        <f t="shared" si="18"/>
        <v>0</v>
      </c>
      <c r="C211" s="421">
        <f t="shared" si="19"/>
        <v>0</v>
      </c>
      <c r="D211" s="429"/>
      <c r="E211" s="444"/>
    </row>
    <row r="212" spans="1:5" ht="13" customHeight="1" x14ac:dyDescent="0.3">
      <c r="A212" s="98" t="str">
        <f t="shared" si="17"/>
        <v>01/01/2022-31/01/2022</v>
      </c>
      <c r="B212" s="30">
        <f t="shared" si="18"/>
        <v>0</v>
      </c>
      <c r="C212" s="421">
        <f t="shared" si="19"/>
        <v>0</v>
      </c>
      <c r="D212" s="429"/>
      <c r="E212" s="444"/>
    </row>
    <row r="213" spans="1:5" ht="13" customHeight="1" x14ac:dyDescent="0.3">
      <c r="A213" s="98" t="str">
        <f t="shared" si="17"/>
        <v>01/02/2022-28/02/2022</v>
      </c>
      <c r="B213" s="30">
        <f t="shared" si="18"/>
        <v>0</v>
      </c>
      <c r="C213" s="421">
        <f t="shared" si="19"/>
        <v>0</v>
      </c>
      <c r="D213" s="429"/>
      <c r="E213" s="444"/>
    </row>
    <row r="214" spans="1:5" ht="13" customHeight="1" x14ac:dyDescent="0.3">
      <c r="A214" s="98" t="str">
        <f t="shared" si="17"/>
        <v>01/03/2022-31/03/2022</v>
      </c>
      <c r="B214" s="30">
        <f t="shared" si="18"/>
        <v>0</v>
      </c>
      <c r="C214" s="421">
        <f t="shared" si="19"/>
        <v>0</v>
      </c>
      <c r="D214" s="430"/>
      <c r="E214" s="444"/>
    </row>
    <row r="215" spans="1:5" ht="13" customHeight="1" x14ac:dyDescent="0.4">
      <c r="A215" s="107" t="str">
        <f>A107</f>
        <v>20/12/2020-31/12/2020</v>
      </c>
      <c r="B215" s="455">
        <f>B199+C199</f>
        <v>0</v>
      </c>
      <c r="C215" s="427"/>
      <c r="D215" s="30" t="s">
        <v>230</v>
      </c>
      <c r="E215" s="444"/>
    </row>
    <row r="216" spans="1:5" ht="15.5" x14ac:dyDescent="0.4">
      <c r="A216" s="107" t="str">
        <f t="shared" ref="A216:A217" si="20">A108</f>
        <v>01/01/2021-31/12/2021</v>
      </c>
      <c r="B216" s="457">
        <f>SUM(B200:C211)</f>
        <v>0</v>
      </c>
      <c r="C216" s="457"/>
      <c r="D216" s="30" t="s">
        <v>230</v>
      </c>
      <c r="E216" s="444"/>
    </row>
    <row r="217" spans="1:5" ht="15.5" x14ac:dyDescent="0.4">
      <c r="A217" s="107" t="str">
        <f t="shared" si="20"/>
        <v>01/01/2022-31/03/2022</v>
      </c>
      <c r="B217" s="457">
        <f>SUM(B212:C214)</f>
        <v>0</v>
      </c>
      <c r="C217" s="457"/>
      <c r="D217" s="30" t="s">
        <v>230</v>
      </c>
      <c r="E217" s="444"/>
    </row>
    <row r="218" spans="1:5" ht="16" thickBot="1" x14ac:dyDescent="0.45">
      <c r="A218" s="128" t="s">
        <v>231</v>
      </c>
      <c r="B218" s="459">
        <f>B216+B217+B215</f>
        <v>0</v>
      </c>
      <c r="C218" s="459"/>
      <c r="D218" s="37" t="s">
        <v>232</v>
      </c>
      <c r="E218" s="445"/>
    </row>
    <row r="219" spans="1:5" x14ac:dyDescent="0.3">
      <c r="A219" s="80"/>
      <c r="B219" s="129"/>
      <c r="C219" s="129"/>
      <c r="D219" s="130"/>
      <c r="E219" s="131"/>
    </row>
    <row r="221" spans="1:5" x14ac:dyDescent="0.3">
      <c r="A221" s="80" t="s">
        <v>11</v>
      </c>
    </row>
    <row r="222" spans="1:5" x14ac:dyDescent="0.3">
      <c r="B222" s="114"/>
      <c r="C222" s="80"/>
      <c r="D222" s="80"/>
      <c r="E222" s="81"/>
    </row>
    <row r="223" spans="1:5" x14ac:dyDescent="0.3">
      <c r="B223" s="114"/>
      <c r="C223" s="80"/>
      <c r="D223" s="80"/>
      <c r="E223" s="81"/>
    </row>
    <row r="224" spans="1:5" ht="14" thickBot="1" x14ac:dyDescent="0.35">
      <c r="B224" s="80"/>
      <c r="C224" s="80"/>
    </row>
    <row r="225" spans="1:5" x14ac:dyDescent="0.3">
      <c r="A225" s="116" t="s">
        <v>3</v>
      </c>
      <c r="B225" s="117" t="s">
        <v>9</v>
      </c>
      <c r="C225" s="117"/>
      <c r="D225" s="117" t="s">
        <v>2</v>
      </c>
      <c r="E225" s="117" t="s">
        <v>4</v>
      </c>
    </row>
    <row r="226" spans="1:5" x14ac:dyDescent="0.3">
      <c r="A226" s="118"/>
      <c r="B226" s="119" t="str">
        <f>B124</f>
        <v>Market Swine</v>
      </c>
      <c r="C226" s="119" t="str">
        <f>C124</f>
        <v>Breeding Swine</v>
      </c>
      <c r="D226" s="119"/>
      <c r="E226" s="119"/>
    </row>
    <row r="227" spans="1:5" ht="15.5" x14ac:dyDescent="0.4">
      <c r="A227" s="101" t="s">
        <v>233</v>
      </c>
      <c r="B227" s="93">
        <v>0.01</v>
      </c>
      <c r="C227" s="132">
        <v>0.01</v>
      </c>
      <c r="D227" s="30" t="s">
        <v>234</v>
      </c>
      <c r="E227" s="30" t="s">
        <v>38</v>
      </c>
    </row>
    <row r="228" spans="1:5" ht="15.5" x14ac:dyDescent="0.4">
      <c r="A228" s="101" t="s">
        <v>235</v>
      </c>
      <c r="B228" s="95">
        <v>0.4</v>
      </c>
      <c r="C228" s="95">
        <v>0.4</v>
      </c>
      <c r="D228" s="30" t="s">
        <v>1</v>
      </c>
      <c r="E228" s="133" t="s">
        <v>67</v>
      </c>
    </row>
    <row r="229" spans="1:5" ht="15.5" x14ac:dyDescent="0.4">
      <c r="A229" s="32" t="s">
        <v>236</v>
      </c>
      <c r="B229" s="134"/>
      <c r="C229" s="134"/>
      <c r="D229" s="428" t="s">
        <v>121</v>
      </c>
      <c r="E229" s="428" t="s">
        <v>51</v>
      </c>
    </row>
    <row r="230" spans="1:5" x14ac:dyDescent="0.3">
      <c r="A230" s="98" t="str">
        <f>A199</f>
        <v>20/12/2020-31/12/2020</v>
      </c>
      <c r="B230" s="135">
        <f>B164</f>
        <v>0.30945599999999995</v>
      </c>
      <c r="C230" s="135">
        <f>C164</f>
        <v>0.21484799999999996</v>
      </c>
      <c r="D230" s="429"/>
      <c r="E230" s="429"/>
    </row>
    <row r="231" spans="1:5" x14ac:dyDescent="0.3">
      <c r="A231" s="98" t="str">
        <f t="shared" ref="A231:A245" si="21">A200</f>
        <v>01/01/2021-31/01/2021</v>
      </c>
      <c r="B231" s="135">
        <f t="shared" ref="B231:C245" si="22">B165</f>
        <v>0.8033340000000001</v>
      </c>
      <c r="C231" s="135">
        <f t="shared" si="22"/>
        <v>0.55502399999999996</v>
      </c>
      <c r="D231" s="429"/>
      <c r="E231" s="429"/>
    </row>
    <row r="232" spans="1:5" x14ac:dyDescent="0.3">
      <c r="A232" s="98" t="str">
        <f t="shared" si="21"/>
        <v>01/02/1021-28/02/2021</v>
      </c>
      <c r="B232" s="135">
        <f t="shared" si="22"/>
        <v>0.71971200000000013</v>
      </c>
      <c r="C232" s="135">
        <f t="shared" si="22"/>
        <v>0.48988799999999999</v>
      </c>
      <c r="D232" s="429"/>
      <c r="E232" s="429"/>
    </row>
    <row r="233" spans="1:5" x14ac:dyDescent="0.3">
      <c r="A233" s="98" t="str">
        <f t="shared" si="21"/>
        <v>01/03/2021-31/03/3021</v>
      </c>
      <c r="B233" s="135">
        <f t="shared" si="22"/>
        <v>0.786408</v>
      </c>
      <c r="C233" s="135">
        <f t="shared" si="22"/>
        <v>0.5438639999999999</v>
      </c>
      <c r="D233" s="429"/>
      <c r="E233" s="429"/>
    </row>
    <row r="234" spans="1:5" x14ac:dyDescent="0.3">
      <c r="A234" s="98" t="str">
        <f t="shared" si="21"/>
        <v>01/04/2021-30/04/2021</v>
      </c>
      <c r="B234" s="135">
        <f t="shared" si="22"/>
        <v>0.76355999999999991</v>
      </c>
      <c r="C234" s="135">
        <f t="shared" si="22"/>
        <v>0.53208</v>
      </c>
      <c r="D234" s="429"/>
      <c r="E234" s="429"/>
    </row>
    <row r="235" spans="1:5" x14ac:dyDescent="0.3">
      <c r="A235" s="98" t="str">
        <f t="shared" si="21"/>
        <v>01/05/2021-31/05/2021</v>
      </c>
      <c r="B235" s="135">
        <f t="shared" si="22"/>
        <v>0.7929179999999999</v>
      </c>
      <c r="C235" s="135">
        <f t="shared" si="22"/>
        <v>0.55279199999999995</v>
      </c>
      <c r="D235" s="429"/>
      <c r="E235" s="429"/>
    </row>
    <row r="236" spans="1:5" x14ac:dyDescent="0.3">
      <c r="A236" s="98" t="str">
        <f t="shared" si="21"/>
        <v>01/06/2021-30/06/2021</v>
      </c>
      <c r="B236" s="135">
        <f t="shared" si="22"/>
        <v>0.75222</v>
      </c>
      <c r="C236" s="135">
        <f t="shared" si="22"/>
        <v>0.52991999999999995</v>
      </c>
      <c r="D236" s="429"/>
      <c r="E236" s="429"/>
    </row>
    <row r="237" spans="1:5" x14ac:dyDescent="0.3">
      <c r="A237" s="98" t="str">
        <f t="shared" si="21"/>
        <v>01/07/2021-31/07/2021</v>
      </c>
      <c r="B237" s="135">
        <f t="shared" si="22"/>
        <v>0.79812599999999989</v>
      </c>
      <c r="C237" s="135">
        <f t="shared" si="22"/>
        <v>0.54907199999999989</v>
      </c>
      <c r="D237" s="429"/>
      <c r="E237" s="429"/>
    </row>
    <row r="238" spans="1:5" x14ac:dyDescent="0.3">
      <c r="A238" s="98" t="str">
        <f t="shared" si="21"/>
        <v>01/08/2021-31/08/2021</v>
      </c>
      <c r="B238" s="135">
        <f t="shared" si="22"/>
        <v>0.80203200000000008</v>
      </c>
      <c r="C238" s="135">
        <f t="shared" si="22"/>
        <v>0.54609599999999991</v>
      </c>
      <c r="D238" s="429"/>
      <c r="E238" s="429"/>
    </row>
    <row r="239" spans="1:5" x14ac:dyDescent="0.3">
      <c r="A239" s="98" t="str">
        <f t="shared" si="21"/>
        <v>01/09/2021-30/09/2021</v>
      </c>
      <c r="B239" s="135">
        <f t="shared" si="22"/>
        <v>0.75095999999999996</v>
      </c>
      <c r="C239" s="135">
        <f t="shared" si="22"/>
        <v>0.52991999999999995</v>
      </c>
      <c r="D239" s="429"/>
      <c r="E239" s="429"/>
    </row>
    <row r="240" spans="1:5" x14ac:dyDescent="0.3">
      <c r="A240" s="98" t="str">
        <f t="shared" si="21"/>
        <v>01/10/2021-31/10/2021</v>
      </c>
      <c r="B240" s="135">
        <f t="shared" si="22"/>
        <v>0.80463599999999991</v>
      </c>
      <c r="C240" s="135">
        <f t="shared" si="22"/>
        <v>0.55204799999999987</v>
      </c>
      <c r="D240" s="429"/>
      <c r="E240" s="429"/>
    </row>
    <row r="241" spans="1:5" x14ac:dyDescent="0.3">
      <c r="A241" s="98" t="str">
        <f t="shared" si="21"/>
        <v>01/11/2021-30/11/2021</v>
      </c>
      <c r="B241" s="135">
        <f t="shared" si="22"/>
        <v>0.76229999999999998</v>
      </c>
      <c r="C241" s="135">
        <f t="shared" si="22"/>
        <v>0.53568000000000005</v>
      </c>
      <c r="D241" s="429"/>
      <c r="E241" s="429"/>
    </row>
    <row r="242" spans="1:5" x14ac:dyDescent="0.3">
      <c r="A242" s="98" t="str">
        <f t="shared" si="21"/>
        <v>01/12/2021-31/12/2021</v>
      </c>
      <c r="B242" s="135">
        <f t="shared" si="22"/>
        <v>0.78770999999999991</v>
      </c>
      <c r="C242" s="135">
        <f t="shared" si="22"/>
        <v>0.55502399999999996</v>
      </c>
      <c r="D242" s="429"/>
      <c r="E242" s="429"/>
    </row>
    <row r="243" spans="1:5" x14ac:dyDescent="0.3">
      <c r="A243" s="98" t="str">
        <f t="shared" si="21"/>
        <v>01/01/2022-31/01/2022</v>
      </c>
      <c r="B243" s="135">
        <f t="shared" si="22"/>
        <v>0.80463599999999991</v>
      </c>
      <c r="C243" s="135">
        <f t="shared" si="22"/>
        <v>0.55279199999999995</v>
      </c>
      <c r="D243" s="429"/>
      <c r="E243" s="429"/>
    </row>
    <row r="244" spans="1:5" x14ac:dyDescent="0.3">
      <c r="A244" s="98" t="str">
        <f>A213</f>
        <v>01/02/2022-28/02/2022</v>
      </c>
      <c r="B244" s="135">
        <f t="shared" si="22"/>
        <v>0.71383200000000013</v>
      </c>
      <c r="C244" s="135">
        <f t="shared" si="22"/>
        <v>0.50534400000000002</v>
      </c>
      <c r="D244" s="429"/>
      <c r="E244" s="429"/>
    </row>
    <row r="245" spans="1:5" x14ac:dyDescent="0.3">
      <c r="A245" s="98" t="str">
        <f t="shared" si="21"/>
        <v>01/03/2022-31/03/2022</v>
      </c>
      <c r="B245" s="135">
        <f t="shared" si="22"/>
        <v>0.786408</v>
      </c>
      <c r="C245" s="135">
        <f t="shared" si="22"/>
        <v>0.55427999999999988</v>
      </c>
      <c r="D245" s="430"/>
      <c r="E245" s="430"/>
    </row>
    <row r="246" spans="1:5" ht="13.5" customHeight="1" x14ac:dyDescent="0.3">
      <c r="A246" s="32" t="s">
        <v>228</v>
      </c>
      <c r="B246" s="97"/>
      <c r="C246" s="97"/>
      <c r="D246" s="428" t="str">
        <f>D180</f>
        <v>No of heads</v>
      </c>
      <c r="E246" s="452" t="str">
        <f>E180</f>
        <v>Calculated as equatoin 4 or 5 in MR, of which NLT for marke swine and breeding swine is sourced from  "Export record form of Market swine" and " Breeding Pig stock record"</v>
      </c>
    </row>
    <row r="247" spans="1:5" x14ac:dyDescent="0.3">
      <c r="A247" s="98" t="str">
        <f>A230</f>
        <v>20/12/2020-31/12/2020</v>
      </c>
      <c r="B247" s="97">
        <f>B181</f>
        <v>132078</v>
      </c>
      <c r="C247" s="97">
        <f>C181</f>
        <v>95993</v>
      </c>
      <c r="D247" s="429"/>
      <c r="E247" s="453"/>
    </row>
    <row r="248" spans="1:5" x14ac:dyDescent="0.3">
      <c r="A248" s="98" t="str">
        <f t="shared" ref="A248:A262" si="23">A231</f>
        <v>01/01/2021-31/01/2021</v>
      </c>
      <c r="B248" s="97">
        <f t="shared" ref="B248:C262" si="24">B182</f>
        <v>132078</v>
      </c>
      <c r="C248" s="97">
        <f t="shared" si="24"/>
        <v>95900</v>
      </c>
      <c r="D248" s="429"/>
      <c r="E248" s="453"/>
    </row>
    <row r="249" spans="1:5" x14ac:dyDescent="0.3">
      <c r="A249" s="98" t="str">
        <f t="shared" si="23"/>
        <v>01/02/1021-28/02/2021</v>
      </c>
      <c r="B249" s="97">
        <f t="shared" si="24"/>
        <v>132078</v>
      </c>
      <c r="C249" s="97">
        <f t="shared" si="24"/>
        <v>95947</v>
      </c>
      <c r="D249" s="429"/>
      <c r="E249" s="453"/>
    </row>
    <row r="250" spans="1:5" x14ac:dyDescent="0.3">
      <c r="A250" s="98" t="str">
        <f t="shared" si="23"/>
        <v>01/03/2021-31/03/3021</v>
      </c>
      <c r="B250" s="97">
        <f t="shared" si="24"/>
        <v>132078</v>
      </c>
      <c r="C250" s="97">
        <f t="shared" si="24"/>
        <v>95778</v>
      </c>
      <c r="D250" s="429"/>
      <c r="E250" s="453"/>
    </row>
    <row r="251" spans="1:5" x14ac:dyDescent="0.3">
      <c r="A251" s="98" t="str">
        <f t="shared" si="23"/>
        <v>01/04/2021-30/04/2021</v>
      </c>
      <c r="B251" s="97">
        <f t="shared" si="24"/>
        <v>132078</v>
      </c>
      <c r="C251" s="97">
        <f t="shared" si="24"/>
        <v>95748</v>
      </c>
      <c r="D251" s="429"/>
      <c r="E251" s="453"/>
    </row>
    <row r="252" spans="1:5" x14ac:dyDescent="0.3">
      <c r="A252" s="98" t="str">
        <f t="shared" si="23"/>
        <v>01/05/2021-31/05/2021</v>
      </c>
      <c r="B252" s="97">
        <f t="shared" si="24"/>
        <v>132078</v>
      </c>
      <c r="C252" s="97">
        <f t="shared" si="24"/>
        <v>95839</v>
      </c>
      <c r="D252" s="429"/>
      <c r="E252" s="453"/>
    </row>
    <row r="253" spans="1:5" x14ac:dyDescent="0.3">
      <c r="A253" s="98" t="str">
        <f t="shared" si="23"/>
        <v>01/06/2021-30/06/2021</v>
      </c>
      <c r="B253" s="97">
        <f t="shared" si="24"/>
        <v>132078</v>
      </c>
      <c r="C253" s="97">
        <f t="shared" si="24"/>
        <v>95920</v>
      </c>
      <c r="D253" s="429"/>
      <c r="E253" s="453"/>
    </row>
    <row r="254" spans="1:5" x14ac:dyDescent="0.3">
      <c r="A254" s="98" t="str">
        <f t="shared" si="23"/>
        <v>01/07/2021-31/07/2021</v>
      </c>
      <c r="B254" s="97">
        <f t="shared" si="24"/>
        <v>132078</v>
      </c>
      <c r="C254" s="97">
        <f t="shared" si="24"/>
        <v>95933</v>
      </c>
      <c r="D254" s="429"/>
      <c r="E254" s="453"/>
    </row>
    <row r="255" spans="1:5" x14ac:dyDescent="0.3">
      <c r="A255" s="98" t="str">
        <f t="shared" si="23"/>
        <v>01/08/2021-31/08/2021</v>
      </c>
      <c r="B255" s="97">
        <f t="shared" si="24"/>
        <v>132078</v>
      </c>
      <c r="C255" s="97">
        <f t="shared" si="24"/>
        <v>95959</v>
      </c>
      <c r="D255" s="429"/>
      <c r="E255" s="453"/>
    </row>
    <row r="256" spans="1:5" x14ac:dyDescent="0.3">
      <c r="A256" s="98" t="str">
        <f t="shared" si="23"/>
        <v>01/09/2021-30/09/2021</v>
      </c>
      <c r="B256" s="97">
        <f t="shared" si="24"/>
        <v>132078</v>
      </c>
      <c r="C256" s="97">
        <f t="shared" si="24"/>
        <v>95861</v>
      </c>
      <c r="D256" s="429"/>
      <c r="E256" s="453"/>
    </row>
    <row r="257" spans="1:5" x14ac:dyDescent="0.3">
      <c r="A257" s="98" t="str">
        <f t="shared" si="23"/>
        <v>01/10/2021-31/10/2021</v>
      </c>
      <c r="B257" s="97">
        <f t="shared" si="24"/>
        <v>132078</v>
      </c>
      <c r="C257" s="97">
        <f t="shared" si="24"/>
        <v>95835</v>
      </c>
      <c r="D257" s="429"/>
      <c r="E257" s="453"/>
    </row>
    <row r="258" spans="1:5" x14ac:dyDescent="0.3">
      <c r="A258" s="98" t="str">
        <f t="shared" si="23"/>
        <v>01/11/2021-30/11/2021</v>
      </c>
      <c r="B258" s="97">
        <f t="shared" si="24"/>
        <v>132078</v>
      </c>
      <c r="C258" s="97">
        <f t="shared" si="24"/>
        <v>95945</v>
      </c>
      <c r="D258" s="429"/>
      <c r="E258" s="453"/>
    </row>
    <row r="259" spans="1:5" x14ac:dyDescent="0.3">
      <c r="A259" s="98" t="str">
        <f t="shared" si="23"/>
        <v>01/12/2021-31/12/2021</v>
      </c>
      <c r="B259" s="97">
        <f t="shared" si="24"/>
        <v>132078</v>
      </c>
      <c r="C259" s="97">
        <f t="shared" si="24"/>
        <v>95942</v>
      </c>
      <c r="D259" s="429"/>
      <c r="E259" s="453"/>
    </row>
    <row r="260" spans="1:5" x14ac:dyDescent="0.3">
      <c r="A260" s="98" t="str">
        <f t="shared" si="23"/>
        <v>01/01/2022-31/01/2022</v>
      </c>
      <c r="B260" s="97">
        <f t="shared" si="24"/>
        <v>132078</v>
      </c>
      <c r="C260" s="97">
        <f t="shared" si="24"/>
        <v>95905</v>
      </c>
      <c r="D260" s="429"/>
      <c r="E260" s="453"/>
    </row>
    <row r="261" spans="1:5" x14ac:dyDescent="0.3">
      <c r="A261" s="98" t="str">
        <f t="shared" si="23"/>
        <v>01/02/2022-28/02/2022</v>
      </c>
      <c r="B261" s="97">
        <f t="shared" si="24"/>
        <v>132078</v>
      </c>
      <c r="C261" s="97">
        <f t="shared" si="24"/>
        <v>95944</v>
      </c>
      <c r="D261" s="429"/>
      <c r="E261" s="453"/>
    </row>
    <row r="262" spans="1:5" x14ac:dyDescent="0.3">
      <c r="A262" s="98" t="str">
        <f t="shared" si="23"/>
        <v>01/03/2022-31/03/2022</v>
      </c>
      <c r="B262" s="97">
        <f t="shared" si="24"/>
        <v>132078</v>
      </c>
      <c r="C262" s="97">
        <f t="shared" si="24"/>
        <v>95875</v>
      </c>
      <c r="D262" s="430"/>
      <c r="E262" s="454"/>
    </row>
    <row r="263" spans="1:5" x14ac:dyDescent="0.3">
      <c r="A263" s="90" t="s">
        <v>217</v>
      </c>
      <c r="B263" s="95">
        <f>B197</f>
        <v>1</v>
      </c>
      <c r="C263" s="95">
        <f>C197</f>
        <v>1</v>
      </c>
      <c r="D263" s="30" t="str">
        <f>D197</f>
        <v>%</v>
      </c>
      <c r="E263" s="94" t="s">
        <v>106</v>
      </c>
    </row>
    <row r="264" spans="1:5" ht="15.5" x14ac:dyDescent="0.4">
      <c r="A264" s="32" t="s">
        <v>237</v>
      </c>
      <c r="B264" s="136">
        <v>298</v>
      </c>
      <c r="C264" s="136">
        <v>298</v>
      </c>
      <c r="D264" s="30" t="s">
        <v>238</v>
      </c>
      <c r="E264" s="92" t="s">
        <v>130</v>
      </c>
    </row>
    <row r="265" spans="1:5" ht="15.5" x14ac:dyDescent="0.4">
      <c r="A265" s="32" t="s">
        <v>237</v>
      </c>
      <c r="B265" s="136">
        <v>265</v>
      </c>
      <c r="C265" s="136">
        <v>265</v>
      </c>
      <c r="D265" s="30" t="s">
        <v>238</v>
      </c>
      <c r="E265" s="92" t="s">
        <v>119</v>
      </c>
    </row>
    <row r="266" spans="1:5" ht="15.5" x14ac:dyDescent="0.4">
      <c r="A266" s="32" t="s">
        <v>239</v>
      </c>
      <c r="B266" s="134">
        <f>44/28</f>
        <v>1.5714285714285714</v>
      </c>
      <c r="C266" s="134">
        <f>44/28</f>
        <v>1.5714285714285714</v>
      </c>
      <c r="D266" s="30" t="s">
        <v>240</v>
      </c>
      <c r="E266" s="94" t="s">
        <v>356</v>
      </c>
    </row>
    <row r="267" spans="1:5" ht="15.5" x14ac:dyDescent="0.4">
      <c r="A267" s="32" t="s">
        <v>241</v>
      </c>
      <c r="B267" s="134"/>
      <c r="C267" s="134"/>
      <c r="D267" s="30"/>
      <c r="E267" s="94"/>
    </row>
    <row r="268" spans="1:5" ht="13.5" customHeight="1" x14ac:dyDescent="0.3">
      <c r="A268" s="98" t="str">
        <f>A247</f>
        <v>20/12/2020-31/12/2020</v>
      </c>
      <c r="B268" s="137">
        <f>ROUNDDOWN($B$227*$B$228*B230*B247*$B$263,0)</f>
        <v>163</v>
      </c>
      <c r="C268" s="137">
        <f>ROUNDDOWN($C$227*$C$228*C230*C247*$C$263,0)</f>
        <v>82</v>
      </c>
      <c r="D268" s="428" t="s">
        <v>232</v>
      </c>
      <c r="E268" s="435" t="s">
        <v>108</v>
      </c>
    </row>
    <row r="269" spans="1:5" x14ac:dyDescent="0.3">
      <c r="A269" s="98" t="str">
        <f t="shared" ref="A269:A282" si="25">A248</f>
        <v>01/01/2021-31/01/2021</v>
      </c>
      <c r="B269" s="137">
        <f t="shared" ref="B269:B283" si="26">ROUNDDOWN($B$227*$B$228*B231*B248*$B$263,0)</f>
        <v>424</v>
      </c>
      <c r="C269" s="137">
        <f t="shared" ref="C269:C283" si="27">ROUNDDOWN($C$227*$C$228*C231*C248*$C$263,0)</f>
        <v>212</v>
      </c>
      <c r="D269" s="429"/>
      <c r="E269" s="436"/>
    </row>
    <row r="270" spans="1:5" x14ac:dyDescent="0.3">
      <c r="A270" s="98" t="str">
        <f t="shared" si="25"/>
        <v>01/02/1021-28/02/2021</v>
      </c>
      <c r="B270" s="137">
        <f t="shared" si="26"/>
        <v>380</v>
      </c>
      <c r="C270" s="137">
        <f t="shared" si="27"/>
        <v>188</v>
      </c>
      <c r="D270" s="429"/>
      <c r="E270" s="436"/>
    </row>
    <row r="271" spans="1:5" x14ac:dyDescent="0.3">
      <c r="A271" s="98" t="str">
        <f t="shared" si="25"/>
        <v>01/03/2021-31/03/3021</v>
      </c>
      <c r="B271" s="137">
        <f t="shared" si="26"/>
        <v>415</v>
      </c>
      <c r="C271" s="137">
        <f t="shared" si="27"/>
        <v>208</v>
      </c>
      <c r="D271" s="429"/>
      <c r="E271" s="436"/>
    </row>
    <row r="272" spans="1:5" x14ac:dyDescent="0.3">
      <c r="A272" s="98" t="str">
        <f t="shared" si="25"/>
        <v>01/04/2021-30/04/2021</v>
      </c>
      <c r="B272" s="137">
        <f t="shared" si="26"/>
        <v>403</v>
      </c>
      <c r="C272" s="137">
        <f t="shared" si="27"/>
        <v>203</v>
      </c>
      <c r="D272" s="429"/>
      <c r="E272" s="436"/>
    </row>
    <row r="273" spans="1:5" x14ac:dyDescent="0.3">
      <c r="A273" s="98" t="str">
        <f t="shared" si="25"/>
        <v>01/05/2021-31/05/2021</v>
      </c>
      <c r="B273" s="137">
        <f t="shared" si="26"/>
        <v>418</v>
      </c>
      <c r="C273" s="137">
        <f t="shared" si="27"/>
        <v>211</v>
      </c>
      <c r="D273" s="429"/>
      <c r="E273" s="436"/>
    </row>
    <row r="274" spans="1:5" x14ac:dyDescent="0.3">
      <c r="A274" s="98" t="str">
        <f t="shared" si="25"/>
        <v>01/06/2021-30/06/2021</v>
      </c>
      <c r="B274" s="137">
        <f t="shared" si="26"/>
        <v>397</v>
      </c>
      <c r="C274" s="137">
        <f t="shared" si="27"/>
        <v>203</v>
      </c>
      <c r="D274" s="429"/>
      <c r="E274" s="436"/>
    </row>
    <row r="275" spans="1:5" x14ac:dyDescent="0.3">
      <c r="A275" s="98" t="str">
        <f t="shared" si="25"/>
        <v>01/07/2021-31/07/2021</v>
      </c>
      <c r="B275" s="137">
        <f t="shared" si="26"/>
        <v>421</v>
      </c>
      <c r="C275" s="137">
        <f t="shared" si="27"/>
        <v>210</v>
      </c>
      <c r="D275" s="429"/>
      <c r="E275" s="436"/>
    </row>
    <row r="276" spans="1:5" x14ac:dyDescent="0.3">
      <c r="A276" s="98" t="str">
        <f t="shared" si="25"/>
        <v>01/08/2021-31/08/2021</v>
      </c>
      <c r="B276" s="137">
        <f t="shared" si="26"/>
        <v>423</v>
      </c>
      <c r="C276" s="137">
        <f t="shared" si="27"/>
        <v>209</v>
      </c>
      <c r="D276" s="429"/>
      <c r="E276" s="436"/>
    </row>
    <row r="277" spans="1:5" x14ac:dyDescent="0.3">
      <c r="A277" s="98" t="str">
        <f t="shared" si="25"/>
        <v>01/09/2021-30/09/2021</v>
      </c>
      <c r="B277" s="137">
        <f t="shared" si="26"/>
        <v>396</v>
      </c>
      <c r="C277" s="137">
        <f t="shared" si="27"/>
        <v>203</v>
      </c>
      <c r="D277" s="429"/>
      <c r="E277" s="436"/>
    </row>
    <row r="278" spans="1:5" x14ac:dyDescent="0.3">
      <c r="A278" s="98" t="str">
        <f t="shared" si="25"/>
        <v>01/10/2021-31/10/2021</v>
      </c>
      <c r="B278" s="137">
        <f t="shared" si="26"/>
        <v>425</v>
      </c>
      <c r="C278" s="137">
        <f t="shared" si="27"/>
        <v>211</v>
      </c>
      <c r="D278" s="429"/>
      <c r="E278" s="436"/>
    </row>
    <row r="279" spans="1:5" x14ac:dyDescent="0.3">
      <c r="A279" s="98" t="str">
        <f t="shared" si="25"/>
        <v>01/11/2021-30/11/2021</v>
      </c>
      <c r="B279" s="137">
        <f t="shared" si="26"/>
        <v>402</v>
      </c>
      <c r="C279" s="137">
        <f t="shared" si="27"/>
        <v>205</v>
      </c>
      <c r="D279" s="429"/>
      <c r="E279" s="436"/>
    </row>
    <row r="280" spans="1:5" x14ac:dyDescent="0.3">
      <c r="A280" s="98" t="str">
        <f t="shared" si="25"/>
        <v>01/12/2021-31/12/2021</v>
      </c>
      <c r="B280" s="137">
        <f t="shared" si="26"/>
        <v>416</v>
      </c>
      <c r="C280" s="137">
        <f t="shared" si="27"/>
        <v>213</v>
      </c>
      <c r="D280" s="429"/>
      <c r="E280" s="436"/>
    </row>
    <row r="281" spans="1:5" x14ac:dyDescent="0.3">
      <c r="A281" s="98" t="str">
        <f t="shared" si="25"/>
        <v>01/01/2022-31/01/2022</v>
      </c>
      <c r="B281" s="137">
        <f t="shared" si="26"/>
        <v>425</v>
      </c>
      <c r="C281" s="137">
        <f t="shared" si="27"/>
        <v>212</v>
      </c>
      <c r="D281" s="429"/>
      <c r="E281" s="436"/>
    </row>
    <row r="282" spans="1:5" x14ac:dyDescent="0.3">
      <c r="A282" s="98" t="str">
        <f t="shared" si="25"/>
        <v>01/02/2022-28/02/2022</v>
      </c>
      <c r="B282" s="137">
        <f t="shared" si="26"/>
        <v>377</v>
      </c>
      <c r="C282" s="137">
        <f t="shared" si="27"/>
        <v>193</v>
      </c>
      <c r="D282" s="429"/>
      <c r="E282" s="436"/>
    </row>
    <row r="283" spans="1:5" x14ac:dyDescent="0.3">
      <c r="A283" s="98" t="str">
        <f>A262</f>
        <v>01/03/2022-31/03/2022</v>
      </c>
      <c r="B283" s="137">
        <f t="shared" si="26"/>
        <v>415</v>
      </c>
      <c r="C283" s="137">
        <f t="shared" si="27"/>
        <v>212</v>
      </c>
      <c r="D283" s="430"/>
      <c r="E283" s="436"/>
    </row>
    <row r="284" spans="1:5" ht="15.5" x14ac:dyDescent="0.4">
      <c r="A284" s="107" t="str">
        <f>A215</f>
        <v>20/12/2020-31/12/2020</v>
      </c>
      <c r="B284" s="426">
        <f>B268+C268</f>
        <v>245</v>
      </c>
      <c r="C284" s="427"/>
      <c r="D284" s="30" t="s">
        <v>232</v>
      </c>
      <c r="E284" s="436"/>
    </row>
    <row r="285" spans="1:5" ht="15.5" x14ac:dyDescent="0.4">
      <c r="A285" s="107" t="str">
        <f t="shared" ref="A285:A286" si="28">A216</f>
        <v>01/01/2021-31/12/2021</v>
      </c>
      <c r="B285" s="442">
        <f>SUM(B269:C280)</f>
        <v>7396</v>
      </c>
      <c r="C285" s="457"/>
      <c r="D285" s="30" t="s">
        <v>232</v>
      </c>
      <c r="E285" s="436"/>
    </row>
    <row r="286" spans="1:5" ht="15.5" x14ac:dyDescent="0.4">
      <c r="A286" s="107" t="str">
        <f t="shared" si="28"/>
        <v>01/01/2022-31/03/2022</v>
      </c>
      <c r="B286" s="442">
        <f>SUM(B281:C283)</f>
        <v>1834</v>
      </c>
      <c r="C286" s="457"/>
      <c r="D286" s="30" t="s">
        <v>232</v>
      </c>
      <c r="E286" s="436"/>
    </row>
    <row r="287" spans="1:5" ht="16" thickBot="1" x14ac:dyDescent="0.45">
      <c r="A287" s="128" t="s">
        <v>242</v>
      </c>
      <c r="B287" s="458">
        <f>B285+B286+B284</f>
        <v>9475</v>
      </c>
      <c r="C287" s="458"/>
      <c r="D287" s="37" t="s">
        <v>230</v>
      </c>
      <c r="E287" s="456"/>
    </row>
    <row r="288" spans="1:5" x14ac:dyDescent="0.3">
      <c r="A288" s="80"/>
      <c r="B288" s="138"/>
      <c r="C288" s="138"/>
    </row>
    <row r="289" spans="1:6" ht="17.5" thickBot="1" x14ac:dyDescent="0.45">
      <c r="A289" s="438" t="s">
        <v>243</v>
      </c>
      <c r="B289" s="439"/>
      <c r="C289" s="439"/>
      <c r="D289" s="439"/>
      <c r="E289" s="139">
        <f>B290+B291+B292</f>
        <v>3956</v>
      </c>
      <c r="F289" s="139" t="s">
        <v>370</v>
      </c>
    </row>
    <row r="290" spans="1:6" s="80" customFormat="1" ht="15.5" x14ac:dyDescent="0.4">
      <c r="A290" s="140" t="str">
        <f>A284</f>
        <v>20/12/2020-31/12/2020</v>
      </c>
      <c r="B290" s="406">
        <f>INT(B264*B266/1000*(B284+B215))</f>
        <v>114</v>
      </c>
      <c r="C290" s="141" t="s">
        <v>306</v>
      </c>
      <c r="E290" s="142"/>
    </row>
    <row r="291" spans="1:6" s="80" customFormat="1" ht="15.5" x14ac:dyDescent="0.4">
      <c r="A291" s="107" t="str">
        <f t="shared" ref="A291:A292" si="29">A285</f>
        <v>01/01/2021-31/12/2021</v>
      </c>
      <c r="B291" s="407">
        <f>INT(B265*B266/1000*(B285+B216))</f>
        <v>3079</v>
      </c>
      <c r="C291" s="143" t="s">
        <v>306</v>
      </c>
    </row>
    <row r="292" spans="1:6" ht="16" thickBot="1" x14ac:dyDescent="0.45">
      <c r="A292" s="144" t="str">
        <f t="shared" si="29"/>
        <v>01/01/2022-31/03/2022</v>
      </c>
      <c r="B292" s="408">
        <f>INT(B266*B265/1000*(B286+B217))</f>
        <v>763</v>
      </c>
      <c r="C292" s="145" t="s">
        <v>306</v>
      </c>
    </row>
    <row r="293" spans="1:6" x14ac:dyDescent="0.3">
      <c r="A293" s="146"/>
      <c r="B293" s="147"/>
      <c r="D293" s="130"/>
    </row>
    <row r="294" spans="1:6" ht="17" x14ac:dyDescent="0.4">
      <c r="A294" s="148" t="s">
        <v>93</v>
      </c>
      <c r="B294" s="149"/>
      <c r="C294" s="150" t="s">
        <v>244</v>
      </c>
      <c r="D294" s="151"/>
      <c r="E294" s="139">
        <f>B296+B297+B298</f>
        <v>305258</v>
      </c>
      <c r="F294" s="139" t="s">
        <v>370</v>
      </c>
    </row>
    <row r="295" spans="1:6" ht="14" thickBot="1" x14ac:dyDescent="0.35">
      <c r="B295" s="152"/>
    </row>
    <row r="296" spans="1:6" ht="15.5" x14ac:dyDescent="0.4">
      <c r="A296" s="140" t="str">
        <f>A290</f>
        <v>20/12/2020-31/12/2020</v>
      </c>
      <c r="B296" s="409">
        <f>ROUNDDOWN(B290+B107,0)</f>
        <v>7106</v>
      </c>
      <c r="C296" s="153" t="s">
        <v>306</v>
      </c>
      <c r="D296" s="130"/>
    </row>
    <row r="297" spans="1:6" ht="15.5" x14ac:dyDescent="0.4">
      <c r="A297" s="107" t="str">
        <f t="shared" ref="A297:A298" si="30">A291</f>
        <v>01/01/2021-31/12/2021</v>
      </c>
      <c r="B297" s="410">
        <f t="shared" ref="B297:B298" si="31">ROUNDDOWN(B291+B108,0)</f>
        <v>238877</v>
      </c>
      <c r="C297" s="154" t="s">
        <v>306</v>
      </c>
      <c r="D297" s="155"/>
    </row>
    <row r="298" spans="1:6" ht="15.5" x14ac:dyDescent="0.4">
      <c r="A298" s="107" t="str">
        <f t="shared" si="30"/>
        <v>01/01/2022-31/03/2022</v>
      </c>
      <c r="B298" s="410">
        <f t="shared" si="31"/>
        <v>59275</v>
      </c>
      <c r="C298" s="154" t="s">
        <v>306</v>
      </c>
      <c r="D298" s="155"/>
    </row>
    <row r="299" spans="1:6" ht="16" thickBot="1" x14ac:dyDescent="0.45">
      <c r="A299" s="42" t="s">
        <v>122</v>
      </c>
      <c r="B299" s="411">
        <f>B296+B297+B298</f>
        <v>305258</v>
      </c>
      <c r="C299" s="412" t="s">
        <v>306</v>
      </c>
    </row>
    <row r="304" spans="1:6" x14ac:dyDescent="0.3">
      <c r="D304" s="156"/>
    </row>
  </sheetData>
  <mergeCells count="38">
    <mergeCell ref="A289:D289"/>
    <mergeCell ref="E180:E196"/>
    <mergeCell ref="B215:C215"/>
    <mergeCell ref="E268:E287"/>
    <mergeCell ref="D246:D262"/>
    <mergeCell ref="E246:E262"/>
    <mergeCell ref="D229:D245"/>
    <mergeCell ref="E229:E245"/>
    <mergeCell ref="B285:C285"/>
    <mergeCell ref="B286:C286"/>
    <mergeCell ref="B287:C287"/>
    <mergeCell ref="B216:C216"/>
    <mergeCell ref="B217:C217"/>
    <mergeCell ref="B218:C218"/>
    <mergeCell ref="D199:D214"/>
    <mergeCell ref="D180:D196"/>
    <mergeCell ref="D19:D35"/>
    <mergeCell ref="E19:E34"/>
    <mergeCell ref="D36:D52"/>
    <mergeCell ref="E36:E52"/>
    <mergeCell ref="D144:D160"/>
    <mergeCell ref="E144:E160"/>
    <mergeCell ref="B284:C284"/>
    <mergeCell ref="D268:D283"/>
    <mergeCell ref="B109:C109"/>
    <mergeCell ref="E55:E71"/>
    <mergeCell ref="D55:D71"/>
    <mergeCell ref="D127:D143"/>
    <mergeCell ref="E127:E143"/>
    <mergeCell ref="A113:D113"/>
    <mergeCell ref="D73:D89"/>
    <mergeCell ref="E73:E89"/>
    <mergeCell ref="E91:E110"/>
    <mergeCell ref="B107:C107"/>
    <mergeCell ref="B108:C108"/>
    <mergeCell ref="D164:D179"/>
    <mergeCell ref="E164:E179"/>
    <mergeCell ref="E199:E218"/>
  </mergeCells>
  <phoneticPr fontId="1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31"/>
  <sheetViews>
    <sheetView topLeftCell="A289" zoomScale="85" zoomScaleNormal="85" workbookViewId="0">
      <selection activeCell="B310" sqref="B310:C310"/>
    </sheetView>
  </sheetViews>
  <sheetFormatPr defaultColWidth="8.7265625" defaultRowHeight="13.5" x14ac:dyDescent="0.3"/>
  <cols>
    <col min="1" max="1" width="35.1796875" style="29" customWidth="1"/>
    <col min="2" max="2" width="22.08984375" style="29" customWidth="1"/>
    <col min="3" max="3" width="24.453125" style="29" customWidth="1"/>
    <col min="4" max="4" width="32.1796875" style="29" bestFit="1" customWidth="1"/>
    <col min="5" max="5" width="47" style="29" customWidth="1"/>
    <col min="6" max="6" width="8.7265625" style="29"/>
    <col min="7" max="7" width="11.7265625" style="29" bestFit="1" customWidth="1"/>
    <col min="8" max="10" width="13" style="29" bestFit="1" customWidth="1"/>
    <col min="11" max="16384" width="8.7265625" style="29"/>
  </cols>
  <sheetData>
    <row r="1" spans="1:5" x14ac:dyDescent="0.3">
      <c r="A1" s="80" t="s">
        <v>42</v>
      </c>
    </row>
    <row r="3" spans="1:5" x14ac:dyDescent="0.3">
      <c r="E3" s="112"/>
    </row>
    <row r="4" spans="1:5" x14ac:dyDescent="0.3">
      <c r="A4" s="231" t="s">
        <v>19</v>
      </c>
    </row>
    <row r="5" spans="1:5" x14ac:dyDescent="0.3">
      <c r="A5" s="231"/>
    </row>
    <row r="6" spans="1:5" ht="15.5" x14ac:dyDescent="0.4">
      <c r="A6" s="246" t="s">
        <v>373</v>
      </c>
      <c r="B6" s="246"/>
    </row>
    <row r="7" spans="1:5" x14ac:dyDescent="0.3">
      <c r="A7" s="80"/>
    </row>
    <row r="8" spans="1:5" x14ac:dyDescent="0.3">
      <c r="A8" s="247"/>
      <c r="B8" s="248"/>
      <c r="D8" s="249"/>
      <c r="E8" s="112"/>
    </row>
    <row r="9" spans="1:5" x14ac:dyDescent="0.3">
      <c r="A9" s="247"/>
      <c r="B9" s="248"/>
      <c r="C9" s="146"/>
      <c r="D9" s="146"/>
      <c r="E9" s="112"/>
    </row>
    <row r="10" spans="1:5" x14ac:dyDescent="0.3">
      <c r="A10" s="247"/>
      <c r="B10" s="248"/>
      <c r="C10" s="146"/>
      <c r="D10" s="146"/>
      <c r="E10" s="112"/>
    </row>
    <row r="11" spans="1:5" x14ac:dyDescent="0.3">
      <c r="B11" s="248"/>
      <c r="C11" s="146"/>
      <c r="D11" s="146"/>
      <c r="E11" s="112"/>
    </row>
    <row r="12" spans="1:5" ht="14" thickBot="1" x14ac:dyDescent="0.35">
      <c r="A12" s="247"/>
      <c r="B12" s="248"/>
      <c r="C12" s="146"/>
      <c r="D12" s="146"/>
    </row>
    <row r="13" spans="1:5" x14ac:dyDescent="0.3">
      <c r="A13" s="250" t="s">
        <v>61</v>
      </c>
      <c r="B13" s="117" t="s">
        <v>60</v>
      </c>
      <c r="C13" s="117" t="s">
        <v>58</v>
      </c>
      <c r="D13" s="498" t="s">
        <v>59</v>
      </c>
      <c r="E13" s="499"/>
    </row>
    <row r="14" spans="1:5" ht="15" customHeight="1" x14ac:dyDescent="0.4">
      <c r="A14" s="251" t="s">
        <v>290</v>
      </c>
      <c r="B14" s="41"/>
      <c r="C14" s="473" t="s">
        <v>107</v>
      </c>
      <c r="D14" s="476" t="s">
        <v>353</v>
      </c>
      <c r="E14" s="477"/>
    </row>
    <row r="15" spans="1:5" ht="15" customHeight="1" x14ac:dyDescent="0.3">
      <c r="A15" s="98" t="str">
        <f>'Baseline emission'!A268</f>
        <v>20/12/2020-31/12/2020</v>
      </c>
      <c r="B15" s="41">
        <f>'monitoring results'!B25</f>
        <v>2.11294</v>
      </c>
      <c r="C15" s="474"/>
      <c r="D15" s="478"/>
      <c r="E15" s="479"/>
    </row>
    <row r="16" spans="1:5" ht="15" customHeight="1" x14ac:dyDescent="0.3">
      <c r="A16" s="98" t="str">
        <f>'Baseline emission'!A269</f>
        <v>01/01/2021-31/01/2021</v>
      </c>
      <c r="B16" s="41">
        <f>'monitoring results'!B26</f>
        <v>5.4611399999999994</v>
      </c>
      <c r="C16" s="474"/>
      <c r="D16" s="478"/>
      <c r="E16" s="479"/>
    </row>
    <row r="17" spans="1:5" ht="15" customHeight="1" x14ac:dyDescent="0.3">
      <c r="A17" s="98" t="str">
        <f>'Baseline emission'!A270</f>
        <v>01/02/1021-28/02/2021</v>
      </c>
      <c r="B17" s="41">
        <f>'monitoring results'!B27</f>
        <v>5.458330000000001</v>
      </c>
      <c r="C17" s="474"/>
      <c r="D17" s="478"/>
      <c r="E17" s="479"/>
    </row>
    <row r="18" spans="1:5" ht="15" customHeight="1" x14ac:dyDescent="0.3">
      <c r="A18" s="98" t="str">
        <f>'Baseline emission'!A271</f>
        <v>01/03/2021-31/03/3021</v>
      </c>
      <c r="B18" s="41">
        <f>'monitoring results'!B28</f>
        <v>5.4543299999999997</v>
      </c>
      <c r="C18" s="474"/>
      <c r="D18" s="478"/>
      <c r="E18" s="479"/>
    </row>
    <row r="19" spans="1:5" ht="15" customHeight="1" x14ac:dyDescent="0.3">
      <c r="A19" s="98" t="str">
        <f>'Baseline emission'!A272</f>
        <v>01/04/2021-30/04/2021</v>
      </c>
      <c r="B19" s="41">
        <f>'monitoring results'!B29</f>
        <v>5.4562499999999998</v>
      </c>
      <c r="C19" s="474"/>
      <c r="D19" s="478"/>
      <c r="E19" s="479"/>
    </row>
    <row r="20" spans="1:5" ht="15" customHeight="1" x14ac:dyDescent="0.3">
      <c r="A20" s="98" t="str">
        <f>'Baseline emission'!A273</f>
        <v>01/05/2021-31/05/2021</v>
      </c>
      <c r="B20" s="41">
        <f>'monitoring results'!B30</f>
        <v>5.4542700000000002</v>
      </c>
      <c r="C20" s="474"/>
      <c r="D20" s="478"/>
      <c r="E20" s="479"/>
    </row>
    <row r="21" spans="1:5" ht="15" customHeight="1" x14ac:dyDescent="0.3">
      <c r="A21" s="98" t="str">
        <f>'Baseline emission'!A274</f>
        <v>01/06/2021-30/06/2021</v>
      </c>
      <c r="B21" s="41">
        <f>'monitoring results'!B31</f>
        <v>5.4568000000000012</v>
      </c>
      <c r="C21" s="474"/>
      <c r="D21" s="478"/>
      <c r="E21" s="479"/>
    </row>
    <row r="22" spans="1:5" ht="15" customHeight="1" x14ac:dyDescent="0.3">
      <c r="A22" s="98" t="str">
        <f>'Baseline emission'!A275</f>
        <v>01/07/2021-31/07/2021</v>
      </c>
      <c r="B22" s="41">
        <f>'monitoring results'!B32</f>
        <v>5.4556500000000012</v>
      </c>
      <c r="C22" s="474"/>
      <c r="D22" s="478"/>
      <c r="E22" s="479"/>
    </row>
    <row r="23" spans="1:5" ht="15" customHeight="1" x14ac:dyDescent="0.3">
      <c r="A23" s="98" t="str">
        <f>'Baseline emission'!A276</f>
        <v>01/08/2021-31/08/2021</v>
      </c>
      <c r="B23" s="41">
        <f>'monitoring results'!B33</f>
        <v>5.4584299999999999</v>
      </c>
      <c r="C23" s="474"/>
      <c r="D23" s="478"/>
      <c r="E23" s="479"/>
    </row>
    <row r="24" spans="1:5" ht="15" customHeight="1" x14ac:dyDescent="0.3">
      <c r="A24" s="98" t="str">
        <f>'Baseline emission'!A277</f>
        <v>01/09/2021-30/09/2021</v>
      </c>
      <c r="B24" s="41">
        <f>'monitoring results'!B34</f>
        <v>5.4533900000000006</v>
      </c>
      <c r="C24" s="474"/>
      <c r="D24" s="478"/>
      <c r="E24" s="479"/>
    </row>
    <row r="25" spans="1:5" ht="15" customHeight="1" x14ac:dyDescent="0.3">
      <c r="A25" s="98" t="str">
        <f>'Baseline emission'!A278</f>
        <v>01/10/2021-31/10/2021</v>
      </c>
      <c r="B25" s="41">
        <f>'monitoring results'!B35</f>
        <v>5.4551300000000014</v>
      </c>
      <c r="C25" s="474"/>
      <c r="D25" s="478"/>
      <c r="E25" s="479"/>
    </row>
    <row r="26" spans="1:5" ht="15" customHeight="1" x14ac:dyDescent="0.3">
      <c r="A26" s="98" t="str">
        <f>'Baseline emission'!A279</f>
        <v>01/11/2021-30/11/2021</v>
      </c>
      <c r="B26" s="41">
        <f>'monitoring results'!B36</f>
        <v>5.4600600000000004</v>
      </c>
      <c r="C26" s="474"/>
      <c r="D26" s="478"/>
      <c r="E26" s="479"/>
    </row>
    <row r="27" spans="1:5" ht="15" customHeight="1" x14ac:dyDescent="0.3">
      <c r="A27" s="98" t="str">
        <f>'Baseline emission'!A280</f>
        <v>01/12/2021-31/12/2021</v>
      </c>
      <c r="B27" s="41">
        <f>'monitoring results'!B37</f>
        <v>5.4601000000000006</v>
      </c>
      <c r="C27" s="474"/>
      <c r="D27" s="478"/>
      <c r="E27" s="479"/>
    </row>
    <row r="28" spans="1:5" ht="15" customHeight="1" x14ac:dyDescent="0.3">
      <c r="A28" s="98" t="str">
        <f>'Baseline emission'!A281</f>
        <v>01/01/2022-31/01/2022</v>
      </c>
      <c r="B28" s="41">
        <f>'monitoring results'!B38</f>
        <v>5.4565000000000001</v>
      </c>
      <c r="C28" s="474"/>
      <c r="D28" s="478"/>
      <c r="E28" s="479"/>
    </row>
    <row r="29" spans="1:5" ht="15" customHeight="1" x14ac:dyDescent="0.3">
      <c r="A29" s="98" t="str">
        <f>'Baseline emission'!A282</f>
        <v>01/02/2022-28/02/2022</v>
      </c>
      <c r="B29" s="41">
        <f>'monitoring results'!B39</f>
        <v>5.455000000000001</v>
      </c>
      <c r="C29" s="474"/>
      <c r="D29" s="478"/>
      <c r="E29" s="479"/>
    </row>
    <row r="30" spans="1:5" ht="15" customHeight="1" x14ac:dyDescent="0.3">
      <c r="A30" s="98" t="str">
        <f>'Baseline emission'!A283</f>
        <v>01/03/2022-31/03/2022</v>
      </c>
      <c r="B30" s="41">
        <f>'monitoring results'!B40</f>
        <v>5.4591500000000002</v>
      </c>
      <c r="C30" s="475"/>
      <c r="D30" s="480"/>
      <c r="E30" s="481"/>
    </row>
    <row r="31" spans="1:5" ht="28" customHeight="1" x14ac:dyDescent="0.4">
      <c r="A31" s="251" t="s">
        <v>291</v>
      </c>
      <c r="B31" s="252">
        <f>(0.8042*0.5+0.2135*0.5)</f>
        <v>0.50885000000000002</v>
      </c>
      <c r="C31" s="218" t="s">
        <v>292</v>
      </c>
      <c r="D31" s="500" t="s">
        <v>123</v>
      </c>
      <c r="E31" s="501"/>
    </row>
    <row r="32" spans="1:5" ht="28.5" customHeight="1" x14ac:dyDescent="0.4">
      <c r="A32" s="251" t="s">
        <v>293</v>
      </c>
      <c r="B32" s="253">
        <v>0.2</v>
      </c>
      <c r="C32" s="218" t="s">
        <v>92</v>
      </c>
      <c r="D32" s="500" t="s">
        <v>124</v>
      </c>
      <c r="E32" s="501"/>
    </row>
    <row r="33" spans="1:5" ht="15" customHeight="1" x14ac:dyDescent="0.4">
      <c r="A33" s="254" t="s">
        <v>294</v>
      </c>
      <c r="B33" s="255">
        <f>B34+B35+B36</f>
        <v>52</v>
      </c>
      <c r="C33" s="218"/>
      <c r="D33" s="488"/>
      <c r="E33" s="489"/>
    </row>
    <row r="34" spans="1:5" ht="15" customHeight="1" x14ac:dyDescent="0.3">
      <c r="A34" s="256" t="str">
        <f>'Baseline emission'!A284</f>
        <v>20/12/2020-31/12/2020</v>
      </c>
      <c r="B34" s="255">
        <f>ROUNDUP(B15*B31*(1+B32),0)</f>
        <v>2</v>
      </c>
      <c r="C34" s="218" t="s">
        <v>262</v>
      </c>
      <c r="D34" s="482" t="s">
        <v>108</v>
      </c>
      <c r="E34" s="483"/>
    </row>
    <row r="35" spans="1:5" ht="15" customHeight="1" x14ac:dyDescent="0.3">
      <c r="A35" s="256" t="str">
        <f>'Baseline emission'!A285</f>
        <v>01/01/2021-31/12/2021</v>
      </c>
      <c r="B35" s="255">
        <f>ROUNDUP(SUM(B16:B27)*B31*(1+B32),0)</f>
        <v>40</v>
      </c>
      <c r="C35" s="218" t="s">
        <v>262</v>
      </c>
      <c r="D35" s="484"/>
      <c r="E35" s="485"/>
    </row>
    <row r="36" spans="1:5" ht="15" customHeight="1" x14ac:dyDescent="0.3">
      <c r="A36" s="256" t="str">
        <f>'Baseline emission'!A286</f>
        <v>01/01/2022-31/03/2022</v>
      </c>
      <c r="B36" s="255">
        <f>ROUNDUP(SUM(B28:B30)*B31*(1+B32),0)</f>
        <v>10</v>
      </c>
      <c r="C36" s="218" t="s">
        <v>262</v>
      </c>
      <c r="D36" s="486"/>
      <c r="E36" s="487"/>
    </row>
    <row r="37" spans="1:5" ht="48" customHeight="1" thickBot="1" x14ac:dyDescent="0.45">
      <c r="A37" s="257" t="s">
        <v>295</v>
      </c>
      <c r="B37" s="258">
        <v>0</v>
      </c>
      <c r="C37" s="259" t="s">
        <v>262</v>
      </c>
      <c r="D37" s="492" t="s">
        <v>125</v>
      </c>
      <c r="E37" s="493"/>
    </row>
    <row r="38" spans="1:5" ht="23.5" customHeight="1" x14ac:dyDescent="0.3">
      <c r="A38" s="247"/>
      <c r="B38" s="260"/>
      <c r="C38" s="261"/>
      <c r="D38" s="262"/>
      <c r="E38" s="262"/>
    </row>
    <row r="39" spans="1:5" ht="23.5" customHeight="1" x14ac:dyDescent="0.3">
      <c r="A39" s="247"/>
      <c r="B39" s="260"/>
      <c r="C39" s="261"/>
      <c r="D39" s="262"/>
      <c r="E39" s="262"/>
    </row>
    <row r="40" spans="1:5" ht="15" customHeight="1" x14ac:dyDescent="0.3">
      <c r="A40" s="247"/>
      <c r="B40" s="248"/>
      <c r="C40" s="146"/>
      <c r="D40" s="146"/>
    </row>
    <row r="41" spans="1:5" ht="15" customHeight="1" x14ac:dyDescent="0.3">
      <c r="A41" s="247"/>
      <c r="B41" s="248"/>
      <c r="C41" s="146"/>
      <c r="D41" s="146"/>
    </row>
    <row r="42" spans="1:5" ht="14" thickBot="1" x14ac:dyDescent="0.35">
      <c r="A42" s="247"/>
      <c r="B42" s="248"/>
      <c r="C42" s="146"/>
      <c r="D42" s="146"/>
    </row>
    <row r="43" spans="1:5" ht="14" thickBot="1" x14ac:dyDescent="0.35">
      <c r="A43" s="263" t="s">
        <v>61</v>
      </c>
      <c r="B43" s="405" t="s">
        <v>126</v>
      </c>
      <c r="C43" s="264" t="s">
        <v>58</v>
      </c>
      <c r="D43" s="494" t="s">
        <v>4</v>
      </c>
      <c r="E43" s="495"/>
    </row>
    <row r="44" spans="1:5" ht="15.5" x14ac:dyDescent="0.4">
      <c r="A44" s="265" t="s">
        <v>296</v>
      </c>
      <c r="B44" s="266">
        <f>'Baseline emission'!B12</f>
        <v>25</v>
      </c>
      <c r="C44" s="267" t="s">
        <v>280</v>
      </c>
      <c r="D44" s="490" t="s">
        <v>131</v>
      </c>
      <c r="E44" s="491"/>
    </row>
    <row r="45" spans="1:5" ht="15.5" x14ac:dyDescent="0.4">
      <c r="A45" s="90" t="s">
        <v>296</v>
      </c>
      <c r="B45" s="93">
        <f>'Baseline emission'!B13</f>
        <v>28</v>
      </c>
      <c r="C45" s="30" t="s">
        <v>280</v>
      </c>
      <c r="D45" s="464" t="s">
        <v>127</v>
      </c>
      <c r="E45" s="465"/>
    </row>
    <row r="46" spans="1:5" ht="15.5" x14ac:dyDescent="0.4">
      <c r="A46" s="90" t="s">
        <v>297</v>
      </c>
      <c r="B46" s="268">
        <v>0.05</v>
      </c>
      <c r="C46" s="30" t="s">
        <v>298</v>
      </c>
      <c r="D46" s="464" t="s">
        <v>95</v>
      </c>
      <c r="E46" s="465"/>
    </row>
    <row r="47" spans="1:5" ht="15.5" customHeight="1" x14ac:dyDescent="0.3">
      <c r="A47" s="201" t="s">
        <v>299</v>
      </c>
      <c r="B47" s="269"/>
      <c r="C47" s="466" t="s">
        <v>100</v>
      </c>
      <c r="D47" s="476" t="s">
        <v>354</v>
      </c>
      <c r="E47" s="477"/>
    </row>
    <row r="48" spans="1:5" x14ac:dyDescent="0.3">
      <c r="A48" s="98" t="str">
        <f>A15</f>
        <v>20/12/2020-31/12/2020</v>
      </c>
      <c r="B48" s="270">
        <f>'monitoring results'!M47</f>
        <v>268.96580766846006</v>
      </c>
      <c r="C48" s="467"/>
      <c r="D48" s="478"/>
      <c r="E48" s="479"/>
    </row>
    <row r="49" spans="1:10" x14ac:dyDescent="0.3">
      <c r="A49" s="98" t="str">
        <f t="shared" ref="A49:A63" si="0">A16</f>
        <v>01/01/2021-31/01/2021</v>
      </c>
      <c r="B49" s="270">
        <f>'monitoring results'!M48</f>
        <v>689.4535659158696</v>
      </c>
      <c r="C49" s="467"/>
      <c r="D49" s="478"/>
      <c r="E49" s="479"/>
    </row>
    <row r="50" spans="1:10" x14ac:dyDescent="0.3">
      <c r="A50" s="98" t="str">
        <f t="shared" si="0"/>
        <v>01/02/1021-28/02/2021</v>
      </c>
      <c r="B50" s="270">
        <f>'monitoring results'!M49</f>
        <v>623.88597424040995</v>
      </c>
      <c r="C50" s="467"/>
      <c r="D50" s="478"/>
      <c r="E50" s="479"/>
    </row>
    <row r="51" spans="1:10" x14ac:dyDescent="0.3">
      <c r="A51" s="98" t="str">
        <f t="shared" si="0"/>
        <v>01/03/2021-31/03/3021</v>
      </c>
      <c r="B51" s="270">
        <f>'monitoring results'!M50</f>
        <v>683.96797250711825</v>
      </c>
      <c r="C51" s="467"/>
      <c r="D51" s="478"/>
      <c r="E51" s="479"/>
    </row>
    <row r="52" spans="1:10" x14ac:dyDescent="0.3">
      <c r="A52" s="98" t="str">
        <f t="shared" si="0"/>
        <v>01/04/2021-30/04/2021</v>
      </c>
      <c r="B52" s="270">
        <f>'monitoring results'!M51</f>
        <v>665.76757726079984</v>
      </c>
      <c r="C52" s="467"/>
      <c r="D52" s="478"/>
      <c r="E52" s="479"/>
    </row>
    <row r="53" spans="1:10" x14ac:dyDescent="0.3">
      <c r="A53" s="98" t="str">
        <f t="shared" si="0"/>
        <v>01/05/2021-31/05/2021</v>
      </c>
      <c r="B53" s="270">
        <f>'monitoring results'!M52</f>
        <v>683.26691516748042</v>
      </c>
      <c r="C53" s="467"/>
      <c r="D53" s="478"/>
      <c r="E53" s="479"/>
      <c r="G53" s="57"/>
      <c r="H53" s="57"/>
      <c r="I53" s="57"/>
      <c r="J53" s="57"/>
    </row>
    <row r="54" spans="1:10" x14ac:dyDescent="0.3">
      <c r="A54" s="98" t="str">
        <f t="shared" si="0"/>
        <v>01/06/2021-30/06/2021</v>
      </c>
      <c r="B54" s="270">
        <f>'monitoring results'!M53</f>
        <v>670.43515812713838</v>
      </c>
      <c r="C54" s="467"/>
      <c r="D54" s="478"/>
      <c r="E54" s="479"/>
    </row>
    <row r="55" spans="1:10" x14ac:dyDescent="0.3">
      <c r="A55" s="98" t="str">
        <f t="shared" si="0"/>
        <v>01/07/2021-31/07/2021</v>
      </c>
      <c r="B55" s="270">
        <f>'monitoring results'!M54</f>
        <v>691.92373100759903</v>
      </c>
      <c r="C55" s="467"/>
      <c r="D55" s="478"/>
      <c r="E55" s="479"/>
    </row>
    <row r="56" spans="1:10" x14ac:dyDescent="0.3">
      <c r="A56" s="98" t="str">
        <f t="shared" si="0"/>
        <v>01/08/2021-31/08/2021</v>
      </c>
      <c r="B56" s="270">
        <f>'monitoring results'!M55</f>
        <v>692.1226056238213</v>
      </c>
      <c r="C56" s="467"/>
      <c r="D56" s="478"/>
      <c r="E56" s="479"/>
    </row>
    <row r="57" spans="1:10" x14ac:dyDescent="0.3">
      <c r="A57" s="98" t="str">
        <f t="shared" si="0"/>
        <v>01/09/2021-30/09/2021</v>
      </c>
      <c r="B57" s="270">
        <f>'monitoring results'!M56</f>
        <v>663.1377291062995</v>
      </c>
      <c r="C57" s="467"/>
      <c r="D57" s="478"/>
      <c r="E57" s="479"/>
    </row>
    <row r="58" spans="1:10" x14ac:dyDescent="0.3">
      <c r="A58" s="98" t="str">
        <f t="shared" si="0"/>
        <v>01/10/2021-31/10/2021</v>
      </c>
      <c r="B58" s="270">
        <f>'monitoring results'!M57</f>
        <v>676.67903896950088</v>
      </c>
      <c r="C58" s="467"/>
      <c r="D58" s="478"/>
      <c r="E58" s="479"/>
    </row>
    <row r="59" spans="1:10" x14ac:dyDescent="0.3">
      <c r="A59" s="98" t="str">
        <f t="shared" si="0"/>
        <v>01/11/2021-30/11/2021</v>
      </c>
      <c r="B59" s="270">
        <f>'monitoring results'!M58</f>
        <v>668.11155342623999</v>
      </c>
      <c r="C59" s="467"/>
      <c r="D59" s="478"/>
      <c r="E59" s="479"/>
    </row>
    <row r="60" spans="1:10" x14ac:dyDescent="0.3">
      <c r="A60" s="98" t="str">
        <f t="shared" si="0"/>
        <v>01/12/2021-31/12/2021</v>
      </c>
      <c r="B60" s="270">
        <f>'monitoring results'!M59</f>
        <v>679.37799032018927</v>
      </c>
      <c r="C60" s="467"/>
      <c r="D60" s="478"/>
      <c r="E60" s="479"/>
    </row>
    <row r="61" spans="1:10" x14ac:dyDescent="0.3">
      <c r="A61" s="98" t="str">
        <f t="shared" si="0"/>
        <v>01/01/2022-31/01/2022</v>
      </c>
      <c r="B61" s="270">
        <f>'monitoring results'!M60</f>
        <v>693.64217997269884</v>
      </c>
      <c r="C61" s="467"/>
      <c r="D61" s="478"/>
      <c r="E61" s="479"/>
    </row>
    <row r="62" spans="1:10" x14ac:dyDescent="0.3">
      <c r="A62" s="98" t="str">
        <f t="shared" si="0"/>
        <v>01/02/2022-28/02/2022</v>
      </c>
      <c r="B62" s="270">
        <f>'monitoring results'!M61</f>
        <v>615.47466785805011</v>
      </c>
      <c r="C62" s="467"/>
      <c r="D62" s="478"/>
      <c r="E62" s="479"/>
    </row>
    <row r="63" spans="1:10" x14ac:dyDescent="0.3">
      <c r="A63" s="98" t="str">
        <f t="shared" si="0"/>
        <v>01/03/2022-31/03/2022</v>
      </c>
      <c r="B63" s="270">
        <f>'monitoring results'!M62</f>
        <v>682.91440308000028</v>
      </c>
      <c r="C63" s="468"/>
      <c r="D63" s="480"/>
      <c r="E63" s="481"/>
    </row>
    <row r="64" spans="1:10" ht="15" customHeight="1" x14ac:dyDescent="0.3">
      <c r="A64" s="271" t="s">
        <v>300</v>
      </c>
      <c r="B64" s="272">
        <f>B65+B66+B67</f>
        <v>14448</v>
      </c>
      <c r="C64" s="273" t="s">
        <v>262</v>
      </c>
      <c r="D64" s="476" t="s">
        <v>62</v>
      </c>
      <c r="E64" s="477"/>
    </row>
    <row r="65" spans="1:5" ht="15" customHeight="1" x14ac:dyDescent="0.3">
      <c r="A65" s="107" t="str">
        <f>A34</f>
        <v>20/12/2020-31/12/2020</v>
      </c>
      <c r="B65" s="272">
        <f>INT(SUM(B48)*B44*B46)</f>
        <v>336</v>
      </c>
      <c r="C65" s="273" t="s">
        <v>262</v>
      </c>
      <c r="D65" s="478"/>
      <c r="E65" s="479"/>
    </row>
    <row r="66" spans="1:5" ht="15" customHeight="1" x14ac:dyDescent="0.3">
      <c r="A66" s="107" t="str">
        <f t="shared" ref="A66:A67" si="1">A35</f>
        <v>01/01/2021-31/12/2021</v>
      </c>
      <c r="B66" s="272">
        <f>INT(SUM(B49:B60)*B45*B46)</f>
        <v>11323</v>
      </c>
      <c r="C66" s="273" t="s">
        <v>262</v>
      </c>
      <c r="D66" s="478"/>
      <c r="E66" s="479"/>
    </row>
    <row r="67" spans="1:5" ht="15" customHeight="1" thickBot="1" x14ac:dyDescent="0.35">
      <c r="A67" s="144" t="str">
        <f t="shared" si="1"/>
        <v>01/01/2022-31/03/2022</v>
      </c>
      <c r="B67" s="274">
        <f>ROUNDUP(SUM(B61:B63)*B45*B46,0)</f>
        <v>2789</v>
      </c>
      <c r="C67" s="275" t="s">
        <v>262</v>
      </c>
      <c r="D67" s="505"/>
      <c r="E67" s="506"/>
    </row>
    <row r="68" spans="1:5" x14ac:dyDescent="0.3">
      <c r="A68" s="276"/>
      <c r="B68" s="138"/>
      <c r="C68" s="80"/>
      <c r="D68" s="80"/>
      <c r="E68" s="80"/>
    </row>
    <row r="69" spans="1:5" x14ac:dyDescent="0.3">
      <c r="A69" s="276"/>
      <c r="B69" s="138"/>
      <c r="C69" s="80"/>
      <c r="D69" s="80"/>
      <c r="E69" s="80"/>
    </row>
    <row r="70" spans="1:5" x14ac:dyDescent="0.3">
      <c r="A70" s="276"/>
      <c r="B70" s="138"/>
      <c r="C70" s="80"/>
      <c r="D70" s="277"/>
      <c r="E70" s="80"/>
    </row>
    <row r="71" spans="1:5" x14ac:dyDescent="0.3">
      <c r="A71" s="276"/>
      <c r="B71" s="138"/>
      <c r="C71" s="80"/>
      <c r="D71" s="80"/>
      <c r="E71" s="80"/>
    </row>
    <row r="72" spans="1:5" x14ac:dyDescent="0.3">
      <c r="A72" s="276"/>
      <c r="B72" s="138"/>
      <c r="C72" s="80"/>
      <c r="D72" s="80"/>
      <c r="E72" s="80"/>
    </row>
    <row r="73" spans="1:5" x14ac:dyDescent="0.3">
      <c r="A73" s="276"/>
      <c r="B73" s="138"/>
      <c r="C73" s="80"/>
      <c r="D73" s="80"/>
      <c r="E73" s="80"/>
    </row>
    <row r="74" spans="1:5" ht="14" thickBot="1" x14ac:dyDescent="0.35">
      <c r="A74" s="276"/>
      <c r="B74" s="138"/>
      <c r="C74" s="80"/>
      <c r="D74" s="80"/>
      <c r="E74" s="80"/>
    </row>
    <row r="75" spans="1:5" x14ac:dyDescent="0.3">
      <c r="A75" s="116" t="s">
        <v>61</v>
      </c>
      <c r="B75" s="117" t="s">
        <v>112</v>
      </c>
      <c r="C75" s="117" t="s">
        <v>58</v>
      </c>
      <c r="D75" s="498" t="s">
        <v>4</v>
      </c>
      <c r="E75" s="499"/>
    </row>
    <row r="76" spans="1:5" x14ac:dyDescent="0.3">
      <c r="A76" s="118"/>
      <c r="B76" s="119"/>
      <c r="C76" s="119"/>
      <c r="D76" s="457"/>
      <c r="E76" s="504"/>
    </row>
    <row r="77" spans="1:5" ht="15.5" x14ac:dyDescent="0.4">
      <c r="A77" s="90" t="s">
        <v>296</v>
      </c>
      <c r="B77" s="93">
        <f>'Baseline emission'!B12</f>
        <v>25</v>
      </c>
      <c r="C77" s="30" t="s">
        <v>280</v>
      </c>
      <c r="D77" s="464" t="s">
        <v>131</v>
      </c>
      <c r="E77" s="465"/>
    </row>
    <row r="78" spans="1:5" ht="15.5" x14ac:dyDescent="0.4">
      <c r="A78" s="90" t="s">
        <v>296</v>
      </c>
      <c r="B78" s="93">
        <f>'Baseline emission'!B13</f>
        <v>28</v>
      </c>
      <c r="C78" s="30" t="s">
        <v>280</v>
      </c>
      <c r="D78" s="464" t="s">
        <v>127</v>
      </c>
      <c r="E78" s="465"/>
    </row>
    <row r="79" spans="1:5" ht="15.5" x14ac:dyDescent="0.3">
      <c r="A79" s="278" t="s">
        <v>301</v>
      </c>
      <c r="B79" s="93"/>
      <c r="C79" s="30"/>
      <c r="D79" s="464"/>
      <c r="E79" s="465"/>
    </row>
    <row r="80" spans="1:5" ht="12.5" customHeight="1" x14ac:dyDescent="0.3">
      <c r="A80" s="98" t="str">
        <f>A48</f>
        <v>20/12/2020-31/12/2020</v>
      </c>
      <c r="B80" s="279">
        <f>'monitoring results'!O47</f>
        <v>0</v>
      </c>
      <c r="C80" s="469" t="s">
        <v>113</v>
      </c>
      <c r="D80" s="507" t="str">
        <f>D47</f>
        <v>calculated, biogas flow, temperature and pressure is sourced from DCS system. CH4 is calculated as equation 16 in MR.</v>
      </c>
      <c r="E80" s="508"/>
    </row>
    <row r="81" spans="1:5" x14ac:dyDescent="0.3">
      <c r="A81" s="98" t="str">
        <f t="shared" ref="A81:A95" si="2">A49</f>
        <v>01/01/2021-31/01/2021</v>
      </c>
      <c r="B81" s="279">
        <f>'monitoring results'!O48</f>
        <v>0</v>
      </c>
      <c r="C81" s="469"/>
      <c r="D81" s="507"/>
      <c r="E81" s="508"/>
    </row>
    <row r="82" spans="1:5" x14ac:dyDescent="0.3">
      <c r="A82" s="98" t="str">
        <f t="shared" si="2"/>
        <v>01/02/1021-28/02/2021</v>
      </c>
      <c r="B82" s="279">
        <f>'monitoring results'!O49</f>
        <v>0</v>
      </c>
      <c r="C82" s="469"/>
      <c r="D82" s="507"/>
      <c r="E82" s="508"/>
    </row>
    <row r="83" spans="1:5" x14ac:dyDescent="0.3">
      <c r="A83" s="98" t="str">
        <f t="shared" si="2"/>
        <v>01/03/2021-31/03/3021</v>
      </c>
      <c r="B83" s="279">
        <f>'monitoring results'!O50</f>
        <v>0</v>
      </c>
      <c r="C83" s="469"/>
      <c r="D83" s="507"/>
      <c r="E83" s="508"/>
    </row>
    <row r="84" spans="1:5" x14ac:dyDescent="0.3">
      <c r="A84" s="98" t="str">
        <f t="shared" si="2"/>
        <v>01/04/2021-30/04/2021</v>
      </c>
      <c r="B84" s="279">
        <f>'monitoring results'!O51</f>
        <v>0</v>
      </c>
      <c r="C84" s="469"/>
      <c r="D84" s="507"/>
      <c r="E84" s="508"/>
    </row>
    <row r="85" spans="1:5" x14ac:dyDescent="0.3">
      <c r="A85" s="98" t="str">
        <f t="shared" si="2"/>
        <v>01/05/2021-31/05/2021</v>
      </c>
      <c r="B85" s="279">
        <f>'monitoring results'!O52</f>
        <v>0</v>
      </c>
      <c r="C85" s="469"/>
      <c r="D85" s="507"/>
      <c r="E85" s="508"/>
    </row>
    <row r="86" spans="1:5" x14ac:dyDescent="0.3">
      <c r="A86" s="98" t="str">
        <f t="shared" si="2"/>
        <v>01/06/2021-30/06/2021</v>
      </c>
      <c r="B86" s="279">
        <f>'monitoring results'!O53</f>
        <v>0</v>
      </c>
      <c r="C86" s="469"/>
      <c r="D86" s="507"/>
      <c r="E86" s="508"/>
    </row>
    <row r="87" spans="1:5" x14ac:dyDescent="0.3">
      <c r="A87" s="98" t="str">
        <f t="shared" si="2"/>
        <v>01/07/2021-31/07/2021</v>
      </c>
      <c r="B87" s="279">
        <f>'monitoring results'!O54</f>
        <v>0</v>
      </c>
      <c r="C87" s="469"/>
      <c r="D87" s="507"/>
      <c r="E87" s="508"/>
    </row>
    <row r="88" spans="1:5" x14ac:dyDescent="0.3">
      <c r="A88" s="98" t="str">
        <f t="shared" si="2"/>
        <v>01/08/2021-31/08/2021</v>
      </c>
      <c r="B88" s="279">
        <f>'monitoring results'!O55</f>
        <v>0</v>
      </c>
      <c r="C88" s="469"/>
      <c r="D88" s="507"/>
      <c r="E88" s="508"/>
    </row>
    <row r="89" spans="1:5" x14ac:dyDescent="0.3">
      <c r="A89" s="98" t="str">
        <f t="shared" si="2"/>
        <v>01/09/2021-30/09/2021</v>
      </c>
      <c r="B89" s="279">
        <f>'monitoring results'!O56</f>
        <v>0</v>
      </c>
      <c r="C89" s="469"/>
      <c r="D89" s="507"/>
      <c r="E89" s="508"/>
    </row>
    <row r="90" spans="1:5" x14ac:dyDescent="0.3">
      <c r="A90" s="98" t="str">
        <f t="shared" si="2"/>
        <v>01/10/2021-31/10/2021</v>
      </c>
      <c r="B90" s="279">
        <f>'monitoring results'!O57</f>
        <v>0</v>
      </c>
      <c r="C90" s="469"/>
      <c r="D90" s="507"/>
      <c r="E90" s="508"/>
    </row>
    <row r="91" spans="1:5" x14ac:dyDescent="0.3">
      <c r="A91" s="98" t="str">
        <f t="shared" si="2"/>
        <v>01/11/2021-30/11/2021</v>
      </c>
      <c r="B91" s="279">
        <f>'monitoring results'!O58</f>
        <v>0</v>
      </c>
      <c r="C91" s="469"/>
      <c r="D91" s="507"/>
      <c r="E91" s="508"/>
    </row>
    <row r="92" spans="1:5" x14ac:dyDescent="0.3">
      <c r="A92" s="98" t="str">
        <f t="shared" si="2"/>
        <v>01/12/2021-31/12/2021</v>
      </c>
      <c r="B92" s="279">
        <f>'monitoring results'!O59</f>
        <v>0</v>
      </c>
      <c r="C92" s="469"/>
      <c r="D92" s="507"/>
      <c r="E92" s="508"/>
    </row>
    <row r="93" spans="1:5" x14ac:dyDescent="0.3">
      <c r="A93" s="98" t="str">
        <f t="shared" si="2"/>
        <v>01/01/2022-31/01/2022</v>
      </c>
      <c r="B93" s="279">
        <f>'monitoring results'!O60</f>
        <v>0</v>
      </c>
      <c r="C93" s="469"/>
      <c r="D93" s="507"/>
      <c r="E93" s="508"/>
    </row>
    <row r="94" spans="1:5" x14ac:dyDescent="0.3">
      <c r="A94" s="98" t="str">
        <f t="shared" si="2"/>
        <v>01/02/2022-28/02/2022</v>
      </c>
      <c r="B94" s="279">
        <f>'monitoring results'!O61</f>
        <v>0</v>
      </c>
      <c r="C94" s="469"/>
      <c r="D94" s="507"/>
      <c r="E94" s="508"/>
    </row>
    <row r="95" spans="1:5" x14ac:dyDescent="0.3">
      <c r="A95" s="98" t="str">
        <f t="shared" si="2"/>
        <v>01/03/2022-31/03/2022</v>
      </c>
      <c r="B95" s="279">
        <f>'monitoring results'!O62</f>
        <v>0</v>
      </c>
      <c r="C95" s="469"/>
      <c r="D95" s="507"/>
      <c r="E95" s="508"/>
    </row>
    <row r="96" spans="1:5" ht="15.5" x14ac:dyDescent="0.4">
      <c r="A96" s="98" t="s">
        <v>302</v>
      </c>
      <c r="B96" s="281">
        <v>0</v>
      </c>
      <c r="C96" s="282" t="s">
        <v>92</v>
      </c>
      <c r="D96" s="512" t="s">
        <v>114</v>
      </c>
      <c r="E96" s="513"/>
    </row>
    <row r="97" spans="1:5" ht="15.5" x14ac:dyDescent="0.4">
      <c r="A97" s="98" t="s">
        <v>303</v>
      </c>
      <c r="B97" s="281"/>
      <c r="C97" s="282"/>
      <c r="D97" s="526"/>
      <c r="E97" s="527"/>
    </row>
    <row r="98" spans="1:5" x14ac:dyDescent="0.3">
      <c r="A98" s="107" t="str">
        <f>A65</f>
        <v>20/12/2020-31/12/2020</v>
      </c>
      <c r="B98" s="281">
        <f>ROUNDUP(B77*B80*(1-B96)/1000,0)</f>
        <v>0</v>
      </c>
      <c r="C98" s="469" t="s">
        <v>304</v>
      </c>
      <c r="D98" s="507" t="s">
        <v>105</v>
      </c>
      <c r="E98" s="508"/>
    </row>
    <row r="99" spans="1:5" x14ac:dyDescent="0.3">
      <c r="A99" s="107" t="str">
        <f t="shared" ref="A99:A100" si="3">A66</f>
        <v>01/01/2021-31/12/2021</v>
      </c>
      <c r="B99" s="281">
        <f>ROUNDUP(B78*SUM(B81:B92)*(1-B96)/1000,0)</f>
        <v>0</v>
      </c>
      <c r="C99" s="469"/>
      <c r="D99" s="507"/>
      <c r="E99" s="508"/>
    </row>
    <row r="100" spans="1:5" x14ac:dyDescent="0.3">
      <c r="A100" s="107" t="str">
        <f t="shared" si="3"/>
        <v>01/01/2022-31/03/2022</v>
      </c>
      <c r="B100" s="281">
        <f>ROUNDUP(SUM(B93:B95)*B78*(1-B96)/1000,0)</f>
        <v>0</v>
      </c>
      <c r="C100" s="469"/>
      <c r="D100" s="507"/>
      <c r="E100" s="508"/>
    </row>
    <row r="101" spans="1:5" ht="15.5" x14ac:dyDescent="0.3">
      <c r="A101" s="283" t="s">
        <v>305</v>
      </c>
      <c r="B101" s="281">
        <f>B102+B103+B104</f>
        <v>14500</v>
      </c>
      <c r="C101" s="524" t="s">
        <v>306</v>
      </c>
      <c r="D101" s="507"/>
      <c r="E101" s="508"/>
    </row>
    <row r="102" spans="1:5" x14ac:dyDescent="0.3">
      <c r="A102" s="284" t="str">
        <f>A98</f>
        <v>20/12/2020-31/12/2020</v>
      </c>
      <c r="B102" s="281">
        <f>B34+B65+B98</f>
        <v>338</v>
      </c>
      <c r="C102" s="524"/>
      <c r="D102" s="507"/>
      <c r="E102" s="508"/>
    </row>
    <row r="103" spans="1:5" x14ac:dyDescent="0.3">
      <c r="A103" s="284" t="str">
        <f t="shared" ref="A103:A104" si="4">A99</f>
        <v>01/01/2021-31/12/2021</v>
      </c>
      <c r="B103" s="281">
        <f t="shared" ref="B103:B104" si="5">B35+B66+B99</f>
        <v>11363</v>
      </c>
      <c r="C103" s="524"/>
      <c r="D103" s="507"/>
      <c r="E103" s="508"/>
    </row>
    <row r="104" spans="1:5" ht="14" thickBot="1" x14ac:dyDescent="0.35">
      <c r="A104" s="128" t="str">
        <f t="shared" si="4"/>
        <v>01/01/2022-31/03/2022</v>
      </c>
      <c r="B104" s="285">
        <f t="shared" si="5"/>
        <v>2799</v>
      </c>
      <c r="C104" s="525"/>
      <c r="D104" s="528"/>
      <c r="E104" s="529"/>
    </row>
    <row r="105" spans="1:5" x14ac:dyDescent="0.3">
      <c r="A105" s="227"/>
      <c r="B105" s="286"/>
      <c r="C105" s="287"/>
      <c r="D105" s="287"/>
      <c r="E105" s="287"/>
    </row>
    <row r="106" spans="1:5" x14ac:dyDescent="0.3">
      <c r="A106" s="227"/>
      <c r="B106" s="286"/>
      <c r="C106" s="287"/>
      <c r="D106" s="287"/>
      <c r="E106" s="287"/>
    </row>
    <row r="107" spans="1:5" x14ac:dyDescent="0.3">
      <c r="A107" s="287"/>
      <c r="B107" s="286"/>
      <c r="C107" s="287"/>
      <c r="D107" s="287"/>
      <c r="E107" s="287"/>
    </row>
    <row r="108" spans="1:5" ht="15.5" x14ac:dyDescent="0.3">
      <c r="A108" s="288" t="s">
        <v>307</v>
      </c>
      <c r="B108" s="289"/>
      <c r="C108" s="3"/>
      <c r="D108" s="3"/>
      <c r="E108" s="3"/>
    </row>
    <row r="109" spans="1:5" x14ac:dyDescent="0.3">
      <c r="A109" s="290"/>
      <c r="B109" s="3"/>
      <c r="C109" s="3"/>
      <c r="D109" s="3"/>
      <c r="E109" s="3"/>
    </row>
    <row r="110" spans="1:5" x14ac:dyDescent="0.3">
      <c r="A110" s="290"/>
      <c r="B110" s="3"/>
      <c r="C110" s="3"/>
      <c r="D110" s="3"/>
      <c r="E110" s="291"/>
    </row>
    <row r="111" spans="1:5" x14ac:dyDescent="0.3">
      <c r="A111" s="290"/>
      <c r="B111" s="3"/>
      <c r="C111" s="3"/>
      <c r="D111" s="3"/>
      <c r="E111" s="3"/>
    </row>
    <row r="112" spans="1:5" x14ac:dyDescent="0.3">
      <c r="A112" s="290"/>
      <c r="B112" s="3"/>
      <c r="C112" s="3"/>
      <c r="D112" s="3"/>
      <c r="E112" s="3"/>
    </row>
    <row r="113" spans="1:5" x14ac:dyDescent="0.3">
      <c r="A113" s="290"/>
      <c r="B113" s="3"/>
      <c r="C113" s="3"/>
      <c r="D113" s="3"/>
      <c r="E113" s="3"/>
    </row>
    <row r="114" spans="1:5" ht="14" thickBot="1" x14ac:dyDescent="0.35">
      <c r="A114" s="292"/>
      <c r="B114" s="293"/>
      <c r="C114" s="293"/>
      <c r="D114" s="3"/>
      <c r="E114" s="3"/>
    </row>
    <row r="115" spans="1:5" x14ac:dyDescent="0.3">
      <c r="A115" s="294" t="s">
        <v>3</v>
      </c>
      <c r="B115" s="295" t="s">
        <v>18</v>
      </c>
      <c r="C115" s="295"/>
      <c r="D115" s="43" t="s">
        <v>2</v>
      </c>
      <c r="E115" s="296" t="s">
        <v>4</v>
      </c>
    </row>
    <row r="116" spans="1:5" x14ac:dyDescent="0.3">
      <c r="A116" s="271"/>
      <c r="B116" s="297" t="s">
        <v>32</v>
      </c>
      <c r="C116" s="297" t="s">
        <v>33</v>
      </c>
      <c r="D116" s="41"/>
      <c r="E116" s="298"/>
    </row>
    <row r="117" spans="1:5" ht="15.5" x14ac:dyDescent="0.4">
      <c r="A117" s="201" t="s">
        <v>308</v>
      </c>
      <c r="B117" s="299">
        <f>'Baseline emission'!B12</f>
        <v>25</v>
      </c>
      <c r="C117" s="299">
        <f>B117</f>
        <v>25</v>
      </c>
      <c r="D117" s="30" t="s">
        <v>280</v>
      </c>
      <c r="E117" s="197" t="s">
        <v>131</v>
      </c>
    </row>
    <row r="118" spans="1:5" ht="15.5" x14ac:dyDescent="0.4">
      <c r="A118" s="201" t="s">
        <v>308</v>
      </c>
      <c r="B118" s="299">
        <f>'Baseline emission'!B13</f>
        <v>28</v>
      </c>
      <c r="C118" s="299">
        <f>B118</f>
        <v>28</v>
      </c>
      <c r="D118" s="30" t="s">
        <v>280</v>
      </c>
      <c r="E118" s="197" t="s">
        <v>127</v>
      </c>
    </row>
    <row r="119" spans="1:5" ht="15.5" x14ac:dyDescent="0.3">
      <c r="A119" s="201" t="s">
        <v>309</v>
      </c>
      <c r="B119" s="300">
        <f>'[3]Baseline Emission'!B13</f>
        <v>6.7000000000000002E-4</v>
      </c>
      <c r="C119" s="300">
        <f>'[3]Baseline Emission'!C13</f>
        <v>6.7000000000000002E-4</v>
      </c>
      <c r="D119" s="30" t="s">
        <v>273</v>
      </c>
      <c r="E119" s="301" t="s">
        <v>355</v>
      </c>
    </row>
    <row r="120" spans="1:5" x14ac:dyDescent="0.3">
      <c r="A120" s="201"/>
      <c r="B120" s="302">
        <v>1E-3</v>
      </c>
      <c r="C120" s="302">
        <v>1E-3</v>
      </c>
      <c r="D120" s="30" t="s">
        <v>92</v>
      </c>
      <c r="E120" s="301"/>
    </row>
    <row r="121" spans="1:5" ht="15.5" x14ac:dyDescent="0.3">
      <c r="A121" s="201" t="s">
        <v>310</v>
      </c>
      <c r="B121" s="303">
        <v>1</v>
      </c>
      <c r="C121" s="303">
        <v>1</v>
      </c>
      <c r="D121" s="30" t="s">
        <v>92</v>
      </c>
      <c r="E121" s="301"/>
    </row>
    <row r="122" spans="1:5" ht="15.5" x14ac:dyDescent="0.3">
      <c r="A122" s="201" t="s">
        <v>311</v>
      </c>
      <c r="B122" s="303">
        <f>(1-80%)</f>
        <v>0.19999999999999996</v>
      </c>
      <c r="C122" s="303">
        <f>(1-80%)</f>
        <v>0.19999999999999996</v>
      </c>
      <c r="D122" s="30" t="s">
        <v>92</v>
      </c>
      <c r="E122" s="197" t="s">
        <v>358</v>
      </c>
    </row>
    <row r="123" spans="1:5" ht="27" x14ac:dyDescent="0.3">
      <c r="A123" s="201" t="s">
        <v>312</v>
      </c>
      <c r="B123" s="299">
        <f>'[3]Baseline Emission'!B17</f>
        <v>0.28999999999999998</v>
      </c>
      <c r="C123" s="299">
        <f>'[3]Baseline Emission'!C17</f>
        <v>0.28999999999999998</v>
      </c>
      <c r="D123" s="399" t="s">
        <v>313</v>
      </c>
      <c r="E123" s="390" t="s">
        <v>96</v>
      </c>
    </row>
    <row r="124" spans="1:5" ht="15.5" x14ac:dyDescent="0.3">
      <c r="A124" s="201" t="s">
        <v>314</v>
      </c>
      <c r="B124" s="304"/>
      <c r="C124" s="304"/>
      <c r="D124" s="502" t="str">
        <f>'[3]Baseline Emission'!D18</f>
        <v>No of heads</v>
      </c>
      <c r="E124" s="509" t="s">
        <v>371</v>
      </c>
    </row>
    <row r="125" spans="1:5" x14ac:dyDescent="0.3">
      <c r="A125" s="98" t="str">
        <f>A80</f>
        <v>20/12/2020-31/12/2020</v>
      </c>
      <c r="B125" s="304">
        <f>'monitoring results'!B4</f>
        <v>132078</v>
      </c>
      <c r="C125" s="304">
        <f>'monitoring results'!C4</f>
        <v>95993</v>
      </c>
      <c r="D125" s="502"/>
      <c r="E125" s="510"/>
    </row>
    <row r="126" spans="1:5" x14ac:dyDescent="0.3">
      <c r="A126" s="98" t="str">
        <f t="shared" ref="A126:A140" si="6">A81</f>
        <v>01/01/2021-31/01/2021</v>
      </c>
      <c r="B126" s="304">
        <f>'monitoring results'!B5</f>
        <v>132078</v>
      </c>
      <c r="C126" s="304">
        <f>'monitoring results'!C5</f>
        <v>95900</v>
      </c>
      <c r="D126" s="502"/>
      <c r="E126" s="510"/>
    </row>
    <row r="127" spans="1:5" x14ac:dyDescent="0.3">
      <c r="A127" s="98" t="str">
        <f t="shared" si="6"/>
        <v>01/02/1021-28/02/2021</v>
      </c>
      <c r="B127" s="304">
        <f>'monitoring results'!B6</f>
        <v>132078</v>
      </c>
      <c r="C127" s="304">
        <f>'monitoring results'!C6</f>
        <v>95947</v>
      </c>
      <c r="D127" s="502"/>
      <c r="E127" s="510"/>
    </row>
    <row r="128" spans="1:5" x14ac:dyDescent="0.3">
      <c r="A128" s="98" t="str">
        <f t="shared" si="6"/>
        <v>01/03/2021-31/03/3021</v>
      </c>
      <c r="B128" s="304">
        <f>'monitoring results'!B7</f>
        <v>132078</v>
      </c>
      <c r="C128" s="304">
        <f>'monitoring results'!C7</f>
        <v>95778</v>
      </c>
      <c r="D128" s="502"/>
      <c r="E128" s="510"/>
    </row>
    <row r="129" spans="1:5" x14ac:dyDescent="0.3">
      <c r="A129" s="98" t="str">
        <f t="shared" si="6"/>
        <v>01/04/2021-30/04/2021</v>
      </c>
      <c r="B129" s="304">
        <f>'monitoring results'!B8</f>
        <v>132078</v>
      </c>
      <c r="C129" s="304">
        <f>'monitoring results'!C8</f>
        <v>95748</v>
      </c>
      <c r="D129" s="502"/>
      <c r="E129" s="510"/>
    </row>
    <row r="130" spans="1:5" x14ac:dyDescent="0.3">
      <c r="A130" s="98" t="str">
        <f t="shared" si="6"/>
        <v>01/05/2021-31/05/2021</v>
      </c>
      <c r="B130" s="304">
        <f>'monitoring results'!B9</f>
        <v>132078</v>
      </c>
      <c r="C130" s="304">
        <f>'monitoring results'!C9</f>
        <v>95839</v>
      </c>
      <c r="D130" s="502"/>
      <c r="E130" s="510"/>
    </row>
    <row r="131" spans="1:5" x14ac:dyDescent="0.3">
      <c r="A131" s="98" t="str">
        <f t="shared" si="6"/>
        <v>01/06/2021-30/06/2021</v>
      </c>
      <c r="B131" s="304">
        <f>'monitoring results'!B10</f>
        <v>132078</v>
      </c>
      <c r="C131" s="304">
        <f>'monitoring results'!C10</f>
        <v>95920</v>
      </c>
      <c r="D131" s="502"/>
      <c r="E131" s="510"/>
    </row>
    <row r="132" spans="1:5" x14ac:dyDescent="0.3">
      <c r="A132" s="98" t="str">
        <f t="shared" si="6"/>
        <v>01/07/2021-31/07/2021</v>
      </c>
      <c r="B132" s="304">
        <f>'monitoring results'!B11</f>
        <v>132078</v>
      </c>
      <c r="C132" s="304">
        <f>'monitoring results'!C11</f>
        <v>95933</v>
      </c>
      <c r="D132" s="502"/>
      <c r="E132" s="510"/>
    </row>
    <row r="133" spans="1:5" x14ac:dyDescent="0.3">
      <c r="A133" s="98" t="str">
        <f t="shared" si="6"/>
        <v>01/08/2021-31/08/2021</v>
      </c>
      <c r="B133" s="304">
        <f>'monitoring results'!B12</f>
        <v>132078</v>
      </c>
      <c r="C133" s="304">
        <f>'monitoring results'!C12</f>
        <v>95959</v>
      </c>
      <c r="D133" s="502"/>
      <c r="E133" s="510"/>
    </row>
    <row r="134" spans="1:5" x14ac:dyDescent="0.3">
      <c r="A134" s="98" t="str">
        <f t="shared" si="6"/>
        <v>01/09/2021-30/09/2021</v>
      </c>
      <c r="B134" s="304">
        <f>'monitoring results'!B13</f>
        <v>132078</v>
      </c>
      <c r="C134" s="304">
        <f>'monitoring results'!C13</f>
        <v>95861</v>
      </c>
      <c r="D134" s="502"/>
      <c r="E134" s="510"/>
    </row>
    <row r="135" spans="1:5" x14ac:dyDescent="0.3">
      <c r="A135" s="98" t="str">
        <f t="shared" si="6"/>
        <v>01/10/2021-31/10/2021</v>
      </c>
      <c r="B135" s="304">
        <f>'monitoring results'!B14</f>
        <v>132078</v>
      </c>
      <c r="C135" s="304">
        <f>'monitoring results'!C14</f>
        <v>95835</v>
      </c>
      <c r="D135" s="502"/>
      <c r="E135" s="510"/>
    </row>
    <row r="136" spans="1:5" x14ac:dyDescent="0.3">
      <c r="A136" s="98" t="str">
        <f t="shared" si="6"/>
        <v>01/11/2021-30/11/2021</v>
      </c>
      <c r="B136" s="304">
        <f>'monitoring results'!B15</f>
        <v>132078</v>
      </c>
      <c r="C136" s="304">
        <f>'monitoring results'!C15</f>
        <v>95945</v>
      </c>
      <c r="D136" s="502"/>
      <c r="E136" s="510"/>
    </row>
    <row r="137" spans="1:5" x14ac:dyDescent="0.3">
      <c r="A137" s="98" t="str">
        <f t="shared" si="6"/>
        <v>01/12/2021-31/12/2021</v>
      </c>
      <c r="B137" s="304">
        <f>'monitoring results'!B16</f>
        <v>132078</v>
      </c>
      <c r="C137" s="304">
        <f>'monitoring results'!C16</f>
        <v>95942</v>
      </c>
      <c r="D137" s="502"/>
      <c r="E137" s="510"/>
    </row>
    <row r="138" spans="1:5" x14ac:dyDescent="0.3">
      <c r="A138" s="98" t="str">
        <f t="shared" si="6"/>
        <v>01/01/2022-31/01/2022</v>
      </c>
      <c r="B138" s="304">
        <f>'monitoring results'!B17</f>
        <v>132078</v>
      </c>
      <c r="C138" s="304">
        <f>'monitoring results'!C17</f>
        <v>95905</v>
      </c>
      <c r="D138" s="502"/>
      <c r="E138" s="510"/>
    </row>
    <row r="139" spans="1:5" x14ac:dyDescent="0.3">
      <c r="A139" s="98" t="str">
        <f t="shared" si="6"/>
        <v>01/02/2022-28/02/2022</v>
      </c>
      <c r="B139" s="304">
        <f>'monitoring results'!B18</f>
        <v>132078</v>
      </c>
      <c r="C139" s="304">
        <f>'monitoring results'!C18</f>
        <v>95944</v>
      </c>
      <c r="D139" s="502"/>
      <c r="E139" s="510"/>
    </row>
    <row r="140" spans="1:5" x14ac:dyDescent="0.3">
      <c r="A140" s="98" t="str">
        <f t="shared" si="6"/>
        <v>01/03/2022-31/03/2022</v>
      </c>
      <c r="B140" s="304">
        <f>'monitoring results'!B19</f>
        <v>132078</v>
      </c>
      <c r="C140" s="304">
        <f>'monitoring results'!C19</f>
        <v>95875</v>
      </c>
      <c r="D140" s="502"/>
      <c r="E140" s="510"/>
    </row>
    <row r="141" spans="1:5" ht="15.5" x14ac:dyDescent="0.3">
      <c r="A141" s="201" t="s">
        <v>315</v>
      </c>
      <c r="B141" s="299"/>
      <c r="C141" s="299"/>
      <c r="D141" s="502" t="s">
        <v>94</v>
      </c>
      <c r="E141" s="503" t="s">
        <v>105</v>
      </c>
    </row>
    <row r="142" spans="1:5" x14ac:dyDescent="0.3">
      <c r="A142" s="98" t="str">
        <f>A125</f>
        <v>20/12/2020-31/12/2020</v>
      </c>
      <c r="B142" s="299">
        <f>'Baseline emission'!B56</f>
        <v>7.8942857142857132</v>
      </c>
      <c r="C142" s="299">
        <f>'Baseline emission'!C56</f>
        <v>9.5914285714285707</v>
      </c>
      <c r="D142" s="502"/>
      <c r="E142" s="503"/>
    </row>
    <row r="143" spans="1:5" x14ac:dyDescent="0.3">
      <c r="A143" s="98" t="str">
        <f t="shared" ref="A143:A157" si="7">A126</f>
        <v>01/01/2021-31/01/2021</v>
      </c>
      <c r="B143" s="299">
        <f>'Baseline emission'!B57</f>
        <v>20.493214285714288</v>
      </c>
      <c r="C143" s="299">
        <f>'Baseline emission'!C57</f>
        <v>24.777857142857144</v>
      </c>
      <c r="D143" s="502"/>
      <c r="E143" s="503"/>
    </row>
    <row r="144" spans="1:5" x14ac:dyDescent="0.3">
      <c r="A144" s="98" t="str">
        <f t="shared" si="7"/>
        <v>01/02/1021-28/02/2021</v>
      </c>
      <c r="B144" s="299">
        <f>'Baseline emission'!B58</f>
        <v>18.360000000000003</v>
      </c>
      <c r="C144" s="299">
        <f>'Baseline emission'!C58</f>
        <v>21.869999999999997</v>
      </c>
      <c r="D144" s="502"/>
      <c r="E144" s="503"/>
    </row>
    <row r="145" spans="1:5" x14ac:dyDescent="0.3">
      <c r="A145" s="98" t="str">
        <f t="shared" si="7"/>
        <v>01/03/2021-31/03/3021</v>
      </c>
      <c r="B145" s="299">
        <f>'Baseline emission'!B59</f>
        <v>20.061428571428571</v>
      </c>
      <c r="C145" s="299">
        <f>'Baseline emission'!C59</f>
        <v>24.27964285714285</v>
      </c>
      <c r="D145" s="502"/>
      <c r="E145" s="503"/>
    </row>
    <row r="146" spans="1:5" x14ac:dyDescent="0.3">
      <c r="A146" s="98" t="str">
        <f t="shared" si="7"/>
        <v>01/04/2021-30/04/2021</v>
      </c>
      <c r="B146" s="299">
        <f>'Baseline emission'!B60</f>
        <v>19.478571428571428</v>
      </c>
      <c r="C146" s="299">
        <f>'Baseline emission'!C60</f>
        <v>23.753571428571433</v>
      </c>
      <c r="D146" s="502"/>
      <c r="E146" s="503"/>
    </row>
    <row r="147" spans="1:5" x14ac:dyDescent="0.3">
      <c r="A147" s="98" t="str">
        <f t="shared" si="7"/>
        <v>01/05/2021-31/05/2021</v>
      </c>
      <c r="B147" s="299">
        <f>'Baseline emission'!B61</f>
        <v>20.227499999999999</v>
      </c>
      <c r="C147" s="299">
        <f>'Baseline emission'!C61</f>
        <v>24.678214285714283</v>
      </c>
      <c r="D147" s="502"/>
      <c r="E147" s="503"/>
    </row>
    <row r="148" spans="1:5" x14ac:dyDescent="0.3">
      <c r="A148" s="98" t="str">
        <f t="shared" si="7"/>
        <v>01/06/2021-30/06/2021</v>
      </c>
      <c r="B148" s="299">
        <f>'Baseline emission'!B62</f>
        <v>19.189285714285713</v>
      </c>
      <c r="C148" s="299">
        <f>'Baseline emission'!C62</f>
        <v>23.657142857142858</v>
      </c>
      <c r="D148" s="502"/>
      <c r="E148" s="503"/>
    </row>
    <row r="149" spans="1:5" x14ac:dyDescent="0.3">
      <c r="A149" s="98" t="str">
        <f t="shared" si="7"/>
        <v>01/07/2021-31/07/2021</v>
      </c>
      <c r="B149" s="299">
        <f>'Baseline emission'!B63</f>
        <v>20.36035714285714</v>
      </c>
      <c r="C149" s="299">
        <f>'Baseline emission'!C63</f>
        <v>24.512142857142855</v>
      </c>
      <c r="D149" s="502"/>
      <c r="E149" s="503"/>
    </row>
    <row r="150" spans="1:5" x14ac:dyDescent="0.3">
      <c r="A150" s="98" t="str">
        <f t="shared" si="7"/>
        <v>01/08/2021-31/08/2021</v>
      </c>
      <c r="B150" s="299">
        <f>'Baseline emission'!B64</f>
        <v>20.46</v>
      </c>
      <c r="C150" s="299">
        <f>'Baseline emission'!C64</f>
        <v>24.379285714285711</v>
      </c>
      <c r="D150" s="502"/>
      <c r="E150" s="503"/>
    </row>
    <row r="151" spans="1:5" x14ac:dyDescent="0.3">
      <c r="A151" s="98" t="str">
        <f t="shared" si="7"/>
        <v>01/09/2021-30/09/2021</v>
      </c>
      <c r="B151" s="299">
        <f>'Baseline emission'!B65</f>
        <v>19.157142857142858</v>
      </c>
      <c r="C151" s="299">
        <f>'Baseline emission'!C65</f>
        <v>23.657142857142858</v>
      </c>
      <c r="D151" s="502"/>
      <c r="E151" s="503"/>
    </row>
    <row r="152" spans="1:5" x14ac:dyDescent="0.3">
      <c r="A152" s="98" t="str">
        <f t="shared" si="7"/>
        <v>01/10/2021-31/10/2021</v>
      </c>
      <c r="B152" s="299">
        <f>'Baseline emission'!B66</f>
        <v>20.526428571428568</v>
      </c>
      <c r="C152" s="299">
        <f>'Baseline emission'!C66</f>
        <v>24.644999999999996</v>
      </c>
      <c r="D152" s="502"/>
      <c r="E152" s="503"/>
    </row>
    <row r="153" spans="1:5" x14ac:dyDescent="0.3">
      <c r="A153" s="98" t="str">
        <f t="shared" si="7"/>
        <v>01/11/2021-30/11/2021</v>
      </c>
      <c r="B153" s="299">
        <f>'Baseline emission'!B67</f>
        <v>19.446428571428569</v>
      </c>
      <c r="C153" s="299">
        <f>'Baseline emission'!C67</f>
        <v>23.914285714285718</v>
      </c>
      <c r="D153" s="502"/>
      <c r="E153" s="503"/>
    </row>
    <row r="154" spans="1:5" x14ac:dyDescent="0.3">
      <c r="A154" s="98" t="str">
        <f t="shared" si="7"/>
        <v>01/12/2021-31/12/2021</v>
      </c>
      <c r="B154" s="299">
        <f>'Baseline emission'!B68</f>
        <v>20.094642857142855</v>
      </c>
      <c r="C154" s="299">
        <f>'Baseline emission'!C68</f>
        <v>24.777857142857144</v>
      </c>
      <c r="D154" s="502"/>
      <c r="E154" s="503"/>
    </row>
    <row r="155" spans="1:5" x14ac:dyDescent="0.3">
      <c r="A155" s="98" t="str">
        <f t="shared" si="7"/>
        <v>01/01/2022-31/01/2022</v>
      </c>
      <c r="B155" s="299">
        <f>'Baseline emission'!B69</f>
        <v>20.526428571428568</v>
      </c>
      <c r="C155" s="299">
        <f>'Baseline emission'!C69</f>
        <v>24.678214285714283</v>
      </c>
      <c r="D155" s="502"/>
      <c r="E155" s="503"/>
    </row>
    <row r="156" spans="1:5" x14ac:dyDescent="0.3">
      <c r="A156" s="98" t="str">
        <f t="shared" si="7"/>
        <v>01/02/2022-28/02/2022</v>
      </c>
      <c r="B156" s="299">
        <f>'Baseline emission'!B70</f>
        <v>18.210000000000004</v>
      </c>
      <c r="C156" s="299">
        <f>'Baseline emission'!C70</f>
        <v>22.56</v>
      </c>
      <c r="D156" s="502"/>
      <c r="E156" s="503"/>
    </row>
    <row r="157" spans="1:5" x14ac:dyDescent="0.3">
      <c r="A157" s="98" t="str">
        <f t="shared" si="7"/>
        <v>01/03/2022-31/03/2022</v>
      </c>
      <c r="B157" s="299">
        <f>'Baseline emission'!B71</f>
        <v>20.061428571428571</v>
      </c>
      <c r="C157" s="299">
        <f>'Baseline emission'!C71</f>
        <v>24.744642857142857</v>
      </c>
      <c r="D157" s="502"/>
      <c r="E157" s="503"/>
    </row>
    <row r="158" spans="1:5" ht="15.5" x14ac:dyDescent="0.3">
      <c r="A158" s="201" t="s">
        <v>316</v>
      </c>
      <c r="B158" s="303">
        <v>1</v>
      </c>
      <c r="C158" s="303">
        <v>1</v>
      </c>
      <c r="D158" s="30" t="s">
        <v>92</v>
      </c>
      <c r="E158" s="301" t="s">
        <v>128</v>
      </c>
    </row>
    <row r="159" spans="1:5" ht="15.5" x14ac:dyDescent="0.3">
      <c r="A159" s="201" t="s">
        <v>317</v>
      </c>
      <c r="B159" s="303"/>
      <c r="C159" s="303"/>
      <c r="D159" s="30"/>
      <c r="E159" s="301"/>
    </row>
    <row r="160" spans="1:5" x14ac:dyDescent="0.3">
      <c r="A160" s="98" t="str">
        <f t="shared" ref="A160:A175" si="8">A142</f>
        <v>20/12/2020-31/12/2020</v>
      </c>
      <c r="B160" s="299">
        <f>ROUNDUP(B117*B119*B120*B121*B122*B123*B125*B142*B158,0)</f>
        <v>2</v>
      </c>
      <c r="C160" s="299">
        <f>ROUNDUP(C117*C119*C120*C121*C122*C123*C125*C142*C158,0)</f>
        <v>1</v>
      </c>
      <c r="D160" s="502" t="s">
        <v>262</v>
      </c>
      <c r="E160" s="503" t="s">
        <v>105</v>
      </c>
    </row>
    <row r="161" spans="1:5" x14ac:dyDescent="0.3">
      <c r="A161" s="98" t="str">
        <f t="shared" si="8"/>
        <v>01/01/2021-31/01/2021</v>
      </c>
      <c r="B161" s="299">
        <f t="shared" ref="B161:B175" si="9">ROUNDUP($B$118*$B$119*$B$120*$B$121*$B$122*$B$123*B126*B143*$B$158,0)</f>
        <v>3</v>
      </c>
      <c r="C161" s="299">
        <f>ROUNDUP($C$118*$C$119*$C$120*$C$121*$C$122*$C$123*C126*C143*$C$158,0)</f>
        <v>3</v>
      </c>
      <c r="D161" s="502"/>
      <c r="E161" s="503"/>
    </row>
    <row r="162" spans="1:5" x14ac:dyDescent="0.3">
      <c r="A162" s="98" t="str">
        <f t="shared" si="8"/>
        <v>01/02/1021-28/02/2021</v>
      </c>
      <c r="B162" s="299">
        <f t="shared" si="9"/>
        <v>3</v>
      </c>
      <c r="C162" s="299">
        <f t="shared" ref="C162:C175" si="10">ROUNDUP($C$118*$C$119*$C$120*$C$121*$C$122*$C$123*C127*C144*$C$158,0)</f>
        <v>3</v>
      </c>
      <c r="D162" s="502"/>
      <c r="E162" s="503"/>
    </row>
    <row r="163" spans="1:5" x14ac:dyDescent="0.3">
      <c r="A163" s="98" t="str">
        <f t="shared" si="8"/>
        <v>01/03/2021-31/03/3021</v>
      </c>
      <c r="B163" s="299">
        <f t="shared" si="9"/>
        <v>3</v>
      </c>
      <c r="C163" s="299">
        <f t="shared" si="10"/>
        <v>3</v>
      </c>
      <c r="D163" s="502"/>
      <c r="E163" s="503"/>
    </row>
    <row r="164" spans="1:5" x14ac:dyDescent="0.3">
      <c r="A164" s="98" t="str">
        <f t="shared" si="8"/>
        <v>01/04/2021-30/04/2021</v>
      </c>
      <c r="B164" s="299">
        <f t="shared" si="9"/>
        <v>3</v>
      </c>
      <c r="C164" s="299">
        <f t="shared" si="10"/>
        <v>3</v>
      </c>
      <c r="D164" s="502"/>
      <c r="E164" s="503"/>
    </row>
    <row r="165" spans="1:5" x14ac:dyDescent="0.3">
      <c r="A165" s="98" t="str">
        <f t="shared" si="8"/>
        <v>01/05/2021-31/05/2021</v>
      </c>
      <c r="B165" s="299">
        <f t="shared" si="9"/>
        <v>3</v>
      </c>
      <c r="C165" s="299">
        <f t="shared" si="10"/>
        <v>3</v>
      </c>
      <c r="D165" s="502"/>
      <c r="E165" s="503"/>
    </row>
    <row r="166" spans="1:5" x14ac:dyDescent="0.3">
      <c r="A166" s="98" t="str">
        <f t="shared" si="8"/>
        <v>01/06/2021-30/06/2021</v>
      </c>
      <c r="B166" s="299">
        <f t="shared" si="9"/>
        <v>3</v>
      </c>
      <c r="C166" s="299">
        <f t="shared" si="10"/>
        <v>3</v>
      </c>
      <c r="D166" s="502"/>
      <c r="E166" s="503"/>
    </row>
    <row r="167" spans="1:5" x14ac:dyDescent="0.3">
      <c r="A167" s="98" t="str">
        <f t="shared" si="8"/>
        <v>01/07/2021-31/07/2021</v>
      </c>
      <c r="B167" s="299">
        <f t="shared" si="9"/>
        <v>3</v>
      </c>
      <c r="C167" s="299">
        <f t="shared" si="10"/>
        <v>3</v>
      </c>
      <c r="D167" s="502"/>
      <c r="E167" s="503"/>
    </row>
    <row r="168" spans="1:5" x14ac:dyDescent="0.3">
      <c r="A168" s="98" t="str">
        <f t="shared" si="8"/>
        <v>01/08/2021-31/08/2021</v>
      </c>
      <c r="B168" s="299">
        <f t="shared" si="9"/>
        <v>3</v>
      </c>
      <c r="C168" s="299">
        <f t="shared" si="10"/>
        <v>3</v>
      </c>
      <c r="D168" s="502"/>
      <c r="E168" s="503"/>
    </row>
    <row r="169" spans="1:5" x14ac:dyDescent="0.3">
      <c r="A169" s="98" t="str">
        <f t="shared" si="8"/>
        <v>01/09/2021-30/09/2021</v>
      </c>
      <c r="B169" s="299">
        <f t="shared" si="9"/>
        <v>3</v>
      </c>
      <c r="C169" s="299">
        <f t="shared" si="10"/>
        <v>3</v>
      </c>
      <c r="D169" s="502"/>
      <c r="E169" s="503"/>
    </row>
    <row r="170" spans="1:5" x14ac:dyDescent="0.3">
      <c r="A170" s="98" t="str">
        <f t="shared" si="8"/>
        <v>01/10/2021-31/10/2021</v>
      </c>
      <c r="B170" s="299">
        <f t="shared" si="9"/>
        <v>3</v>
      </c>
      <c r="C170" s="299">
        <f t="shared" si="10"/>
        <v>3</v>
      </c>
      <c r="D170" s="502"/>
      <c r="E170" s="503"/>
    </row>
    <row r="171" spans="1:5" x14ac:dyDescent="0.3">
      <c r="A171" s="98" t="str">
        <f t="shared" si="8"/>
        <v>01/11/2021-30/11/2021</v>
      </c>
      <c r="B171" s="299">
        <f t="shared" si="9"/>
        <v>3</v>
      </c>
      <c r="C171" s="299">
        <f t="shared" si="10"/>
        <v>3</v>
      </c>
      <c r="D171" s="502"/>
      <c r="E171" s="503"/>
    </row>
    <row r="172" spans="1:5" x14ac:dyDescent="0.3">
      <c r="A172" s="98" t="str">
        <f t="shared" si="8"/>
        <v>01/12/2021-31/12/2021</v>
      </c>
      <c r="B172" s="299">
        <f t="shared" si="9"/>
        <v>3</v>
      </c>
      <c r="C172" s="299">
        <f t="shared" si="10"/>
        <v>3</v>
      </c>
      <c r="D172" s="502"/>
      <c r="E172" s="503"/>
    </row>
    <row r="173" spans="1:5" x14ac:dyDescent="0.3">
      <c r="A173" s="98" t="str">
        <f t="shared" si="8"/>
        <v>01/01/2022-31/01/2022</v>
      </c>
      <c r="B173" s="299">
        <f t="shared" si="9"/>
        <v>3</v>
      </c>
      <c r="C173" s="299">
        <f t="shared" si="10"/>
        <v>3</v>
      </c>
      <c r="D173" s="502"/>
      <c r="E173" s="503"/>
    </row>
    <row r="174" spans="1:5" x14ac:dyDescent="0.3">
      <c r="A174" s="98" t="str">
        <f t="shared" si="8"/>
        <v>01/02/2022-28/02/2022</v>
      </c>
      <c r="B174" s="299">
        <f t="shared" si="9"/>
        <v>3</v>
      </c>
      <c r="C174" s="299">
        <f t="shared" si="10"/>
        <v>3</v>
      </c>
      <c r="D174" s="502"/>
      <c r="E174" s="503"/>
    </row>
    <row r="175" spans="1:5" x14ac:dyDescent="0.3">
      <c r="A175" s="98" t="str">
        <f t="shared" si="8"/>
        <v>01/03/2022-31/03/2022</v>
      </c>
      <c r="B175" s="299">
        <f t="shared" si="9"/>
        <v>3</v>
      </c>
      <c r="C175" s="299">
        <f t="shared" si="10"/>
        <v>3</v>
      </c>
      <c r="D175" s="502"/>
      <c r="E175" s="503"/>
    </row>
    <row r="176" spans="1:5" ht="15.5" x14ac:dyDescent="0.4">
      <c r="A176" s="107" t="str">
        <f>A102</f>
        <v>20/12/2020-31/12/2020</v>
      </c>
      <c r="B176" s="470">
        <f>B160+C160</f>
        <v>3</v>
      </c>
      <c r="C176" s="470"/>
      <c r="D176" s="30" t="s">
        <v>262</v>
      </c>
      <c r="E176" s="31" t="s">
        <v>105</v>
      </c>
    </row>
    <row r="177" spans="1:9" ht="15.5" x14ac:dyDescent="0.4">
      <c r="A177" s="107" t="str">
        <f>A103</f>
        <v>01/01/2021-31/12/2021</v>
      </c>
      <c r="B177" s="470">
        <f>SUM(B161:C172)</f>
        <v>72</v>
      </c>
      <c r="C177" s="470"/>
      <c r="D177" s="30" t="s">
        <v>262</v>
      </c>
      <c r="E177" s="31" t="s">
        <v>105</v>
      </c>
    </row>
    <row r="178" spans="1:9" ht="15.5" x14ac:dyDescent="0.4">
      <c r="A178" s="107" t="str">
        <f>A104</f>
        <v>01/01/2022-31/03/2022</v>
      </c>
      <c r="B178" s="470">
        <f>SUM(B173:C175)</f>
        <v>18</v>
      </c>
      <c r="C178" s="470"/>
      <c r="D178" s="30" t="s">
        <v>262</v>
      </c>
      <c r="E178" s="31" t="s">
        <v>105</v>
      </c>
    </row>
    <row r="179" spans="1:9" ht="16" thickBot="1" x14ac:dyDescent="0.45">
      <c r="A179" s="305" t="s">
        <v>318</v>
      </c>
      <c r="B179" s="471">
        <f>B176+B177+B178</f>
        <v>93</v>
      </c>
      <c r="C179" s="471"/>
      <c r="D179" s="37" t="s">
        <v>262</v>
      </c>
      <c r="E179" s="306" t="s">
        <v>105</v>
      </c>
    </row>
    <row r="180" spans="1:9" x14ac:dyDescent="0.3">
      <c r="A180" s="248"/>
    </row>
    <row r="181" spans="1:9" x14ac:dyDescent="0.3">
      <c r="A181" s="307" t="s">
        <v>40</v>
      </c>
    </row>
    <row r="182" spans="1:9" x14ac:dyDescent="0.3">
      <c r="A182" s="248"/>
    </row>
    <row r="183" spans="1:9" x14ac:dyDescent="0.3">
      <c r="A183" s="248"/>
      <c r="D183" s="81"/>
    </row>
    <row r="184" spans="1:9" x14ac:dyDescent="0.3">
      <c r="A184" s="80"/>
      <c r="D184" s="81"/>
    </row>
    <row r="185" spans="1:9" x14ac:dyDescent="0.3">
      <c r="A185" s="80"/>
      <c r="D185" s="81"/>
    </row>
    <row r="186" spans="1:9" x14ac:dyDescent="0.3">
      <c r="A186" s="80"/>
      <c r="D186" s="81"/>
    </row>
    <row r="187" spans="1:9" x14ac:dyDescent="0.3">
      <c r="A187" s="80"/>
      <c r="D187" s="81"/>
    </row>
    <row r="188" spans="1:9" ht="15.5" x14ac:dyDescent="0.4">
      <c r="A188" s="308" t="s">
        <v>319</v>
      </c>
      <c r="B188" s="233"/>
    </row>
    <row r="189" spans="1:9" ht="14" thickBot="1" x14ac:dyDescent="0.35">
      <c r="A189" s="247"/>
    </row>
    <row r="190" spans="1:9" x14ac:dyDescent="0.3">
      <c r="A190" s="116" t="s">
        <v>3</v>
      </c>
      <c r="B190" s="117" t="s">
        <v>18</v>
      </c>
      <c r="C190" s="117"/>
      <c r="D190" s="117" t="s">
        <v>2</v>
      </c>
      <c r="E190" s="117" t="s">
        <v>4</v>
      </c>
    </row>
    <row r="191" spans="1:9" s="86" customFormat="1" x14ac:dyDescent="0.3">
      <c r="A191" s="118"/>
      <c r="B191" s="119" t="s">
        <v>32</v>
      </c>
      <c r="C191" s="119" t="s">
        <v>33</v>
      </c>
      <c r="D191" s="119"/>
      <c r="E191" s="119"/>
      <c r="F191" s="29"/>
      <c r="G191" s="29"/>
      <c r="H191" s="29"/>
      <c r="I191" s="29"/>
    </row>
    <row r="192" spans="1:9" ht="36.5" customHeight="1" x14ac:dyDescent="0.3">
      <c r="A192" s="391" t="s">
        <v>320</v>
      </c>
      <c r="B192" s="392">
        <v>0</v>
      </c>
      <c r="C192" s="392">
        <v>0</v>
      </c>
      <c r="D192" s="222" t="s">
        <v>223</v>
      </c>
      <c r="E192" s="309" t="s">
        <v>63</v>
      </c>
    </row>
    <row r="193" spans="1:5" ht="15.5" x14ac:dyDescent="0.3">
      <c r="A193" s="201" t="s">
        <v>321</v>
      </c>
      <c r="B193" s="310"/>
      <c r="C193" s="310"/>
      <c r="D193" s="428" t="s">
        <v>68</v>
      </c>
      <c r="E193" s="428" t="s">
        <v>108</v>
      </c>
    </row>
    <row r="194" spans="1:5" x14ac:dyDescent="0.3">
      <c r="A194" s="98" t="str">
        <f>A160</f>
        <v>20/12/2020-31/12/2020</v>
      </c>
      <c r="B194" s="310">
        <f>'Baseline emission'!B164</f>
        <v>0.30945599999999995</v>
      </c>
      <c r="C194" s="310">
        <f>'Baseline emission'!C164</f>
        <v>0.21484799999999996</v>
      </c>
      <c r="D194" s="429"/>
      <c r="E194" s="429"/>
    </row>
    <row r="195" spans="1:5" x14ac:dyDescent="0.3">
      <c r="A195" s="98" t="str">
        <f t="shared" ref="A195:A209" si="11">A161</f>
        <v>01/01/2021-31/01/2021</v>
      </c>
      <c r="B195" s="310">
        <f>'Baseline emission'!B165</f>
        <v>0.8033340000000001</v>
      </c>
      <c r="C195" s="310">
        <f>'Baseline emission'!C165</f>
        <v>0.55502399999999996</v>
      </c>
      <c r="D195" s="429"/>
      <c r="E195" s="429"/>
    </row>
    <row r="196" spans="1:5" x14ac:dyDescent="0.3">
      <c r="A196" s="98" t="str">
        <f t="shared" si="11"/>
        <v>01/02/1021-28/02/2021</v>
      </c>
      <c r="B196" s="310">
        <f>'Baseline emission'!B166</f>
        <v>0.71971200000000013</v>
      </c>
      <c r="C196" s="310">
        <f>'Baseline emission'!C166</f>
        <v>0.48988799999999999</v>
      </c>
      <c r="D196" s="429"/>
      <c r="E196" s="429"/>
    </row>
    <row r="197" spans="1:5" x14ac:dyDescent="0.3">
      <c r="A197" s="98" t="str">
        <f t="shared" si="11"/>
        <v>01/03/2021-31/03/3021</v>
      </c>
      <c r="B197" s="310">
        <f>'Baseline emission'!B167</f>
        <v>0.786408</v>
      </c>
      <c r="C197" s="310">
        <f>'Baseline emission'!C167</f>
        <v>0.5438639999999999</v>
      </c>
      <c r="D197" s="429"/>
      <c r="E197" s="429"/>
    </row>
    <row r="198" spans="1:5" x14ac:dyDescent="0.3">
      <c r="A198" s="98" t="str">
        <f t="shared" si="11"/>
        <v>01/04/2021-30/04/2021</v>
      </c>
      <c r="B198" s="310">
        <f>'Baseline emission'!B168</f>
        <v>0.76355999999999991</v>
      </c>
      <c r="C198" s="310">
        <f>'Baseline emission'!C168</f>
        <v>0.53208</v>
      </c>
      <c r="D198" s="429"/>
      <c r="E198" s="429"/>
    </row>
    <row r="199" spans="1:5" x14ac:dyDescent="0.3">
      <c r="A199" s="98" t="str">
        <f t="shared" si="11"/>
        <v>01/05/2021-31/05/2021</v>
      </c>
      <c r="B199" s="310">
        <f>'Baseline emission'!B169</f>
        <v>0.7929179999999999</v>
      </c>
      <c r="C199" s="310">
        <f>'Baseline emission'!C169</f>
        <v>0.55279199999999995</v>
      </c>
      <c r="D199" s="429"/>
      <c r="E199" s="429"/>
    </row>
    <row r="200" spans="1:5" x14ac:dyDescent="0.3">
      <c r="A200" s="98" t="str">
        <f t="shared" si="11"/>
        <v>01/06/2021-30/06/2021</v>
      </c>
      <c r="B200" s="310">
        <f>'Baseline emission'!B170</f>
        <v>0.75222</v>
      </c>
      <c r="C200" s="310">
        <f>'Baseline emission'!C170</f>
        <v>0.52991999999999995</v>
      </c>
      <c r="D200" s="429"/>
      <c r="E200" s="429"/>
    </row>
    <row r="201" spans="1:5" x14ac:dyDescent="0.3">
      <c r="A201" s="98" t="str">
        <f t="shared" si="11"/>
        <v>01/07/2021-31/07/2021</v>
      </c>
      <c r="B201" s="310">
        <f>'Baseline emission'!B171</f>
        <v>0.79812599999999989</v>
      </c>
      <c r="C201" s="310">
        <f>'Baseline emission'!C171</f>
        <v>0.54907199999999989</v>
      </c>
      <c r="D201" s="429"/>
      <c r="E201" s="429"/>
    </row>
    <row r="202" spans="1:5" x14ac:dyDescent="0.3">
      <c r="A202" s="98" t="str">
        <f t="shared" si="11"/>
        <v>01/08/2021-31/08/2021</v>
      </c>
      <c r="B202" s="310">
        <f>'Baseline emission'!B172</f>
        <v>0.80203200000000008</v>
      </c>
      <c r="C202" s="310">
        <f>'Baseline emission'!C172</f>
        <v>0.54609599999999991</v>
      </c>
      <c r="D202" s="429"/>
      <c r="E202" s="429"/>
    </row>
    <row r="203" spans="1:5" x14ac:dyDescent="0.3">
      <c r="A203" s="98" t="str">
        <f t="shared" si="11"/>
        <v>01/09/2021-30/09/2021</v>
      </c>
      <c r="B203" s="310">
        <f>'Baseline emission'!B173</f>
        <v>0.75095999999999996</v>
      </c>
      <c r="C203" s="310">
        <f>'Baseline emission'!C173</f>
        <v>0.52991999999999995</v>
      </c>
      <c r="D203" s="429"/>
      <c r="E203" s="429"/>
    </row>
    <row r="204" spans="1:5" x14ac:dyDescent="0.3">
      <c r="A204" s="98" t="str">
        <f t="shared" si="11"/>
        <v>01/10/2021-31/10/2021</v>
      </c>
      <c r="B204" s="310">
        <f>'Baseline emission'!B174</f>
        <v>0.80463599999999991</v>
      </c>
      <c r="C204" s="310">
        <f>'Baseline emission'!C174</f>
        <v>0.55204799999999987</v>
      </c>
      <c r="D204" s="429"/>
      <c r="E204" s="429"/>
    </row>
    <row r="205" spans="1:5" x14ac:dyDescent="0.3">
      <c r="A205" s="98" t="str">
        <f t="shared" si="11"/>
        <v>01/11/2021-30/11/2021</v>
      </c>
      <c r="B205" s="310">
        <f>'Baseline emission'!B175</f>
        <v>0.76229999999999998</v>
      </c>
      <c r="C205" s="310">
        <f>'Baseline emission'!C175</f>
        <v>0.53568000000000005</v>
      </c>
      <c r="D205" s="429"/>
      <c r="E205" s="429"/>
    </row>
    <row r="206" spans="1:5" x14ac:dyDescent="0.3">
      <c r="A206" s="98" t="str">
        <f t="shared" si="11"/>
        <v>01/12/2021-31/12/2021</v>
      </c>
      <c r="B206" s="310">
        <f>'Baseline emission'!B176</f>
        <v>0.78770999999999991</v>
      </c>
      <c r="C206" s="310">
        <f>'Baseline emission'!C176</f>
        <v>0.55502399999999996</v>
      </c>
      <c r="D206" s="429"/>
      <c r="E206" s="429"/>
    </row>
    <row r="207" spans="1:5" x14ac:dyDescent="0.3">
      <c r="A207" s="98" t="str">
        <f t="shared" si="11"/>
        <v>01/01/2022-31/01/2022</v>
      </c>
      <c r="B207" s="310">
        <f>'Baseline emission'!B177</f>
        <v>0.80463599999999991</v>
      </c>
      <c r="C207" s="310">
        <f>'Baseline emission'!C177</f>
        <v>0.55279199999999995</v>
      </c>
      <c r="D207" s="429"/>
      <c r="E207" s="429"/>
    </row>
    <row r="208" spans="1:5" x14ac:dyDescent="0.3">
      <c r="A208" s="98" t="str">
        <f t="shared" si="11"/>
        <v>01/02/2022-28/02/2022</v>
      </c>
      <c r="B208" s="310">
        <f>'Baseline emission'!B178</f>
        <v>0.71383200000000013</v>
      </c>
      <c r="C208" s="310">
        <f>'Baseline emission'!C178</f>
        <v>0.50534400000000002</v>
      </c>
      <c r="D208" s="429"/>
      <c r="E208" s="429"/>
    </row>
    <row r="209" spans="1:5" x14ac:dyDescent="0.3">
      <c r="A209" s="98" t="str">
        <f t="shared" si="11"/>
        <v>01/03/2022-31/03/2022</v>
      </c>
      <c r="B209" s="310">
        <f>'Baseline emission'!B179</f>
        <v>0.786408</v>
      </c>
      <c r="C209" s="310">
        <f>'Baseline emission'!C179</f>
        <v>0.55427999999999988</v>
      </c>
      <c r="D209" s="430"/>
      <c r="E209" s="430"/>
    </row>
    <row r="210" spans="1:5" x14ac:dyDescent="0.3">
      <c r="A210" s="201" t="s">
        <v>41</v>
      </c>
      <c r="B210" s="311">
        <v>1</v>
      </c>
      <c r="C210" s="311">
        <f>B210</f>
        <v>1</v>
      </c>
      <c r="D210" s="30" t="s">
        <v>92</v>
      </c>
      <c r="E210" s="94"/>
    </row>
    <row r="211" spans="1:5" ht="15.5" x14ac:dyDescent="0.3">
      <c r="A211" s="201" t="s">
        <v>322</v>
      </c>
      <c r="B211" s="311"/>
      <c r="C211" s="311"/>
      <c r="D211" s="30"/>
      <c r="E211" s="94"/>
    </row>
    <row r="212" spans="1:5" x14ac:dyDescent="0.3">
      <c r="A212" s="98" t="str">
        <f>A194</f>
        <v>20/12/2020-31/12/2020</v>
      </c>
      <c r="B212" s="312">
        <f>$B$192*B194*B125*$B$210</f>
        <v>0</v>
      </c>
      <c r="C212" s="312">
        <f>$C$192*C194*C125*$C$210</f>
        <v>0</v>
      </c>
      <c r="D212" s="428" t="s">
        <v>232</v>
      </c>
      <c r="E212" s="435" t="s">
        <v>105</v>
      </c>
    </row>
    <row r="213" spans="1:5" x14ac:dyDescent="0.3">
      <c r="A213" s="98" t="str">
        <f t="shared" ref="A213:A227" si="12">A195</f>
        <v>01/01/2021-31/01/2021</v>
      </c>
      <c r="B213" s="312">
        <f t="shared" ref="B213:B227" si="13">$B$192*B195*B126*$B$210</f>
        <v>0</v>
      </c>
      <c r="C213" s="312">
        <f t="shared" ref="C213:C227" si="14">$C$192*C195*C126*$C$210</f>
        <v>0</v>
      </c>
      <c r="D213" s="429"/>
      <c r="E213" s="436"/>
    </row>
    <row r="214" spans="1:5" x14ac:dyDescent="0.3">
      <c r="A214" s="98" t="str">
        <f t="shared" si="12"/>
        <v>01/02/1021-28/02/2021</v>
      </c>
      <c r="B214" s="312">
        <f t="shared" si="13"/>
        <v>0</v>
      </c>
      <c r="C214" s="312">
        <f t="shared" si="14"/>
        <v>0</v>
      </c>
      <c r="D214" s="429"/>
      <c r="E214" s="436"/>
    </row>
    <row r="215" spans="1:5" x14ac:dyDescent="0.3">
      <c r="A215" s="98" t="str">
        <f t="shared" si="12"/>
        <v>01/03/2021-31/03/3021</v>
      </c>
      <c r="B215" s="312">
        <f t="shared" si="13"/>
        <v>0</v>
      </c>
      <c r="C215" s="312">
        <f t="shared" si="14"/>
        <v>0</v>
      </c>
      <c r="D215" s="429"/>
      <c r="E215" s="436"/>
    </row>
    <row r="216" spans="1:5" x14ac:dyDescent="0.3">
      <c r="A216" s="98" t="str">
        <f t="shared" si="12"/>
        <v>01/04/2021-30/04/2021</v>
      </c>
      <c r="B216" s="312">
        <f t="shared" si="13"/>
        <v>0</v>
      </c>
      <c r="C216" s="312">
        <f t="shared" si="14"/>
        <v>0</v>
      </c>
      <c r="D216" s="429"/>
      <c r="E216" s="436"/>
    </row>
    <row r="217" spans="1:5" x14ac:dyDescent="0.3">
      <c r="A217" s="98" t="str">
        <f t="shared" si="12"/>
        <v>01/05/2021-31/05/2021</v>
      </c>
      <c r="B217" s="312">
        <f t="shared" si="13"/>
        <v>0</v>
      </c>
      <c r="C217" s="312">
        <f t="shared" si="14"/>
        <v>0</v>
      </c>
      <c r="D217" s="429"/>
      <c r="E217" s="436"/>
    </row>
    <row r="218" spans="1:5" x14ac:dyDescent="0.3">
      <c r="A218" s="98" t="str">
        <f t="shared" si="12"/>
        <v>01/06/2021-30/06/2021</v>
      </c>
      <c r="B218" s="312">
        <f t="shared" si="13"/>
        <v>0</v>
      </c>
      <c r="C218" s="312">
        <f t="shared" si="14"/>
        <v>0</v>
      </c>
      <c r="D218" s="429"/>
      <c r="E218" s="436"/>
    </row>
    <row r="219" spans="1:5" x14ac:dyDescent="0.3">
      <c r="A219" s="98" t="str">
        <f t="shared" si="12"/>
        <v>01/07/2021-31/07/2021</v>
      </c>
      <c r="B219" s="312">
        <f t="shared" si="13"/>
        <v>0</v>
      </c>
      <c r="C219" s="312">
        <f t="shared" si="14"/>
        <v>0</v>
      </c>
      <c r="D219" s="429"/>
      <c r="E219" s="436"/>
    </row>
    <row r="220" spans="1:5" x14ac:dyDescent="0.3">
      <c r="A220" s="98" t="str">
        <f t="shared" si="12"/>
        <v>01/08/2021-31/08/2021</v>
      </c>
      <c r="B220" s="312">
        <f t="shared" si="13"/>
        <v>0</v>
      </c>
      <c r="C220" s="312">
        <f t="shared" si="14"/>
        <v>0</v>
      </c>
      <c r="D220" s="429"/>
      <c r="E220" s="436"/>
    </row>
    <row r="221" spans="1:5" x14ac:dyDescent="0.3">
      <c r="A221" s="98" t="str">
        <f t="shared" si="12"/>
        <v>01/09/2021-30/09/2021</v>
      </c>
      <c r="B221" s="312">
        <f t="shared" si="13"/>
        <v>0</v>
      </c>
      <c r="C221" s="312">
        <f t="shared" si="14"/>
        <v>0</v>
      </c>
      <c r="D221" s="429"/>
      <c r="E221" s="436"/>
    </row>
    <row r="222" spans="1:5" x14ac:dyDescent="0.3">
      <c r="A222" s="98" t="str">
        <f t="shared" si="12"/>
        <v>01/10/2021-31/10/2021</v>
      </c>
      <c r="B222" s="312">
        <f t="shared" si="13"/>
        <v>0</v>
      </c>
      <c r="C222" s="312">
        <f t="shared" si="14"/>
        <v>0</v>
      </c>
      <c r="D222" s="429"/>
      <c r="E222" s="436"/>
    </row>
    <row r="223" spans="1:5" x14ac:dyDescent="0.3">
      <c r="A223" s="98" t="str">
        <f t="shared" si="12"/>
        <v>01/11/2021-30/11/2021</v>
      </c>
      <c r="B223" s="312">
        <f t="shared" si="13"/>
        <v>0</v>
      </c>
      <c r="C223" s="312">
        <f t="shared" si="14"/>
        <v>0</v>
      </c>
      <c r="D223" s="429"/>
      <c r="E223" s="436"/>
    </row>
    <row r="224" spans="1:5" x14ac:dyDescent="0.3">
      <c r="A224" s="98" t="str">
        <f t="shared" si="12"/>
        <v>01/12/2021-31/12/2021</v>
      </c>
      <c r="B224" s="312">
        <f t="shared" si="13"/>
        <v>0</v>
      </c>
      <c r="C224" s="312">
        <f t="shared" si="14"/>
        <v>0</v>
      </c>
      <c r="D224" s="429"/>
      <c r="E224" s="436"/>
    </row>
    <row r="225" spans="1:5" x14ac:dyDescent="0.3">
      <c r="A225" s="98" t="str">
        <f t="shared" si="12"/>
        <v>01/01/2022-31/01/2022</v>
      </c>
      <c r="B225" s="312">
        <f t="shared" si="13"/>
        <v>0</v>
      </c>
      <c r="C225" s="312">
        <f t="shared" si="14"/>
        <v>0</v>
      </c>
      <c r="D225" s="429"/>
      <c r="E225" s="436"/>
    </row>
    <row r="226" spans="1:5" x14ac:dyDescent="0.3">
      <c r="A226" s="98" t="str">
        <f t="shared" si="12"/>
        <v>01/02/2022-28/02/2022</v>
      </c>
      <c r="B226" s="312">
        <f t="shared" si="13"/>
        <v>0</v>
      </c>
      <c r="C226" s="312">
        <f t="shared" si="14"/>
        <v>0</v>
      </c>
      <c r="D226" s="429"/>
      <c r="E226" s="436"/>
    </row>
    <row r="227" spans="1:5" x14ac:dyDescent="0.3">
      <c r="A227" s="98" t="str">
        <f t="shared" si="12"/>
        <v>01/03/2022-31/03/2022</v>
      </c>
      <c r="B227" s="312">
        <f t="shared" si="13"/>
        <v>0</v>
      </c>
      <c r="C227" s="312">
        <f t="shared" si="14"/>
        <v>0</v>
      </c>
      <c r="D227" s="429"/>
      <c r="E227" s="436"/>
    </row>
    <row r="228" spans="1:5" x14ac:dyDescent="0.3">
      <c r="A228" s="107" t="str">
        <f>A176</f>
        <v>20/12/2020-31/12/2020</v>
      </c>
      <c r="B228" s="496">
        <f>B212+C212</f>
        <v>0</v>
      </c>
      <c r="C228" s="497"/>
      <c r="D228" s="429"/>
      <c r="E228" s="436"/>
    </row>
    <row r="229" spans="1:5" x14ac:dyDescent="0.3">
      <c r="A229" s="107" t="str">
        <f>A177</f>
        <v>01/01/2021-31/12/2021</v>
      </c>
      <c r="B229" s="472">
        <f>SUM(B213:C224)</f>
        <v>0</v>
      </c>
      <c r="C229" s="472"/>
      <c r="D229" s="429"/>
      <c r="E229" s="436"/>
    </row>
    <row r="230" spans="1:5" x14ac:dyDescent="0.3">
      <c r="A230" s="107" t="str">
        <f>A178</f>
        <v>01/01/2022-31/03/2022</v>
      </c>
      <c r="B230" s="472">
        <f>SUM(B225:C227)</f>
        <v>0</v>
      </c>
      <c r="C230" s="472"/>
      <c r="D230" s="429"/>
      <c r="E230" s="436"/>
    </row>
    <row r="231" spans="1:5" ht="15.5" x14ac:dyDescent="0.3">
      <c r="A231" s="271" t="s">
        <v>231</v>
      </c>
      <c r="B231" s="537">
        <f>B229+B230</f>
        <v>0</v>
      </c>
      <c r="C231" s="538"/>
      <c r="D231" s="430"/>
      <c r="E231" s="437"/>
    </row>
    <row r="232" spans="1:5" ht="27.5" customHeight="1" x14ac:dyDescent="0.3">
      <c r="A232" s="201" t="s">
        <v>320</v>
      </c>
      <c r="B232" s="313">
        <v>6.0000000000000001E-3</v>
      </c>
      <c r="C232" s="313">
        <v>6.0000000000000001E-3</v>
      </c>
      <c r="D232" s="133" t="s">
        <v>323</v>
      </c>
      <c r="E232" s="133"/>
    </row>
    <row r="233" spans="1:5" x14ac:dyDescent="0.3">
      <c r="A233" s="201" t="s">
        <v>41</v>
      </c>
      <c r="B233" s="303">
        <v>1</v>
      </c>
      <c r="C233" s="303">
        <v>1</v>
      </c>
      <c r="D233" s="30" t="s">
        <v>92</v>
      </c>
      <c r="E233" s="94"/>
    </row>
    <row r="234" spans="1:5" ht="15.5" x14ac:dyDescent="0.3">
      <c r="A234" s="201" t="s">
        <v>322</v>
      </c>
      <c r="B234" s="303"/>
      <c r="C234" s="303"/>
      <c r="D234" s="428" t="s">
        <v>232</v>
      </c>
      <c r="E234" s="435" t="s">
        <v>108</v>
      </c>
    </row>
    <row r="235" spans="1:5" x14ac:dyDescent="0.3">
      <c r="A235" s="98" t="str">
        <f>A212</f>
        <v>20/12/2020-31/12/2020</v>
      </c>
      <c r="B235" s="314">
        <f>$B$232*$B$233*B194*B125</f>
        <v>245.23397740799996</v>
      </c>
      <c r="C235" s="314">
        <f>$C$232*$C$233*C194*C125</f>
        <v>123.74342438399999</v>
      </c>
      <c r="D235" s="429"/>
      <c r="E235" s="436"/>
    </row>
    <row r="236" spans="1:5" x14ac:dyDescent="0.3">
      <c r="A236" s="98" t="str">
        <f t="shared" ref="A236:A250" si="15">A213</f>
        <v>01/01/2021-31/01/2021</v>
      </c>
      <c r="B236" s="314">
        <f t="shared" ref="B236:B250" si="16">$B$232*$B$233*B195*B126</f>
        <v>636.61648831200012</v>
      </c>
      <c r="C236" s="314">
        <f t="shared" ref="C236:C250" si="17">$C$232*$C$233*C195*C126</f>
        <v>319.36080959999998</v>
      </c>
      <c r="D236" s="429"/>
      <c r="E236" s="436"/>
    </row>
    <row r="237" spans="1:5" x14ac:dyDescent="0.3">
      <c r="A237" s="98" t="str">
        <f t="shared" si="15"/>
        <v>01/02/1021-28/02/2021</v>
      </c>
      <c r="B237" s="314">
        <f t="shared" si="16"/>
        <v>570.34872921600004</v>
      </c>
      <c r="C237" s="314">
        <f t="shared" si="17"/>
        <v>282.01970361600002</v>
      </c>
      <c r="D237" s="429"/>
      <c r="E237" s="436"/>
    </row>
    <row r="238" spans="1:5" x14ac:dyDescent="0.3">
      <c r="A238" s="98" t="str">
        <f t="shared" si="15"/>
        <v>01/03/2021-31/03/3021</v>
      </c>
      <c r="B238" s="314">
        <f t="shared" si="16"/>
        <v>623.20317494400001</v>
      </c>
      <c r="C238" s="314">
        <f t="shared" si="17"/>
        <v>312.54123715199995</v>
      </c>
      <c r="D238" s="429"/>
      <c r="E238" s="436"/>
    </row>
    <row r="239" spans="1:5" x14ac:dyDescent="0.3">
      <c r="A239" s="98" t="str">
        <f t="shared" si="15"/>
        <v>01/04/2021-30/04/2021</v>
      </c>
      <c r="B239" s="314">
        <f t="shared" si="16"/>
        <v>605.09686607999993</v>
      </c>
      <c r="C239" s="314">
        <f t="shared" si="17"/>
        <v>305.67357504</v>
      </c>
      <c r="D239" s="429"/>
      <c r="E239" s="436"/>
    </row>
    <row r="240" spans="1:5" x14ac:dyDescent="0.3">
      <c r="A240" s="98" t="str">
        <f t="shared" si="15"/>
        <v>01/05/2021-31/05/2021</v>
      </c>
      <c r="B240" s="314">
        <f t="shared" si="16"/>
        <v>628.36214162399995</v>
      </c>
      <c r="C240" s="314">
        <f t="shared" si="17"/>
        <v>317.87419492799995</v>
      </c>
      <c r="D240" s="429"/>
      <c r="E240" s="436"/>
    </row>
    <row r="241" spans="1:5" x14ac:dyDescent="0.3">
      <c r="A241" s="98" t="str">
        <f t="shared" si="15"/>
        <v>01/06/2021-30/06/2021</v>
      </c>
      <c r="B241" s="314">
        <f t="shared" si="16"/>
        <v>596.11027896000007</v>
      </c>
      <c r="C241" s="314">
        <f t="shared" si="17"/>
        <v>304.97955839999997</v>
      </c>
      <c r="D241" s="429"/>
      <c r="E241" s="436"/>
    </row>
    <row r="242" spans="1:5" x14ac:dyDescent="0.3">
      <c r="A242" s="98" t="str">
        <f t="shared" si="15"/>
        <v>01/07/2021-31/07/2021</v>
      </c>
      <c r="B242" s="314">
        <f t="shared" si="16"/>
        <v>632.48931496799992</v>
      </c>
      <c r="C242" s="314">
        <f t="shared" si="17"/>
        <v>316.04474505599995</v>
      </c>
      <c r="D242" s="429"/>
      <c r="E242" s="436"/>
    </row>
    <row r="243" spans="1:5" x14ac:dyDescent="0.3">
      <c r="A243" s="98" t="str">
        <f t="shared" si="15"/>
        <v>01/08/2021-31/08/2021</v>
      </c>
      <c r="B243" s="314">
        <f t="shared" si="16"/>
        <v>635.58469497600015</v>
      </c>
      <c r="C243" s="314">
        <f t="shared" si="17"/>
        <v>314.41695638399995</v>
      </c>
      <c r="D243" s="429"/>
      <c r="E243" s="436"/>
    </row>
    <row r="244" spans="1:5" x14ac:dyDescent="0.3">
      <c r="A244" s="98" t="str">
        <f t="shared" si="15"/>
        <v>01/09/2021-30/09/2021</v>
      </c>
      <c r="B244" s="314">
        <f t="shared" si="16"/>
        <v>595.11176927999998</v>
      </c>
      <c r="C244" s="314">
        <f t="shared" si="17"/>
        <v>304.79196672</v>
      </c>
      <c r="D244" s="429"/>
      <c r="E244" s="436"/>
    </row>
    <row r="245" spans="1:5" x14ac:dyDescent="0.3">
      <c r="A245" s="98" t="str">
        <f t="shared" si="15"/>
        <v>01/10/2021-31/10/2021</v>
      </c>
      <c r="B245" s="314">
        <f t="shared" si="16"/>
        <v>637.64828164799997</v>
      </c>
      <c r="C245" s="314">
        <f t="shared" si="17"/>
        <v>317.4331204799999</v>
      </c>
      <c r="D245" s="429"/>
      <c r="E245" s="436"/>
    </row>
    <row r="246" spans="1:5" x14ac:dyDescent="0.3">
      <c r="A246" s="98" t="str">
        <f t="shared" si="15"/>
        <v>01/11/2021-30/11/2021</v>
      </c>
      <c r="B246" s="314">
        <f t="shared" si="16"/>
        <v>604.09835640000006</v>
      </c>
      <c r="C246" s="314">
        <f t="shared" si="17"/>
        <v>308.37490560000003</v>
      </c>
      <c r="D246" s="429"/>
      <c r="E246" s="436"/>
    </row>
    <row r="247" spans="1:5" x14ac:dyDescent="0.3">
      <c r="A247" s="98" t="str">
        <f t="shared" si="15"/>
        <v>01/12/2021-31/12/2021</v>
      </c>
      <c r="B247" s="314">
        <f t="shared" si="16"/>
        <v>624.23496827999998</v>
      </c>
      <c r="C247" s="314">
        <f t="shared" si="17"/>
        <v>319.50067564799997</v>
      </c>
      <c r="D247" s="429"/>
      <c r="E247" s="436"/>
    </row>
    <row r="248" spans="1:5" x14ac:dyDescent="0.3">
      <c r="A248" s="98" t="str">
        <f t="shared" si="15"/>
        <v>01/01/2022-31/01/2022</v>
      </c>
      <c r="B248" s="314">
        <f t="shared" si="16"/>
        <v>637.64828164799997</v>
      </c>
      <c r="C248" s="314">
        <f t="shared" si="17"/>
        <v>318.09310055999998</v>
      </c>
      <c r="D248" s="429"/>
      <c r="E248" s="436"/>
    </row>
    <row r="249" spans="1:5" x14ac:dyDescent="0.3">
      <c r="A249" s="98" t="str">
        <f t="shared" si="15"/>
        <v>01/02/2022-28/02/2022</v>
      </c>
      <c r="B249" s="314">
        <f t="shared" si="16"/>
        <v>565.68901737600015</v>
      </c>
      <c r="C249" s="314">
        <f t="shared" si="17"/>
        <v>290.90834841600002</v>
      </c>
      <c r="D249" s="429"/>
      <c r="E249" s="436"/>
    </row>
    <row r="250" spans="1:5" x14ac:dyDescent="0.3">
      <c r="A250" s="98" t="str">
        <f t="shared" si="15"/>
        <v>01/03/2022-31/03/2022</v>
      </c>
      <c r="B250" s="314">
        <f t="shared" si="16"/>
        <v>623.20317494400001</v>
      </c>
      <c r="C250" s="314">
        <f t="shared" si="17"/>
        <v>318.84956999999991</v>
      </c>
      <c r="D250" s="430"/>
      <c r="E250" s="437"/>
    </row>
    <row r="251" spans="1:5" x14ac:dyDescent="0.3">
      <c r="A251" s="107" t="str">
        <f>A228</f>
        <v>20/12/2020-31/12/2020</v>
      </c>
      <c r="B251" s="533">
        <f>ROUNDUP(B235+C235,0)</f>
        <v>369</v>
      </c>
      <c r="C251" s="533"/>
      <c r="D251" s="428" t="s">
        <v>232</v>
      </c>
      <c r="E251" s="435" t="s">
        <v>109</v>
      </c>
    </row>
    <row r="252" spans="1:5" x14ac:dyDescent="0.3">
      <c r="A252" s="107" t="str">
        <f t="shared" ref="A252:A253" si="18">A229</f>
        <v>01/01/2021-31/12/2021</v>
      </c>
      <c r="B252" s="535">
        <f>ROUNDUP(SUM(B236:C247),0)</f>
        <v>11112</v>
      </c>
      <c r="C252" s="536"/>
      <c r="D252" s="429"/>
      <c r="E252" s="436"/>
    </row>
    <row r="253" spans="1:5" x14ac:dyDescent="0.3">
      <c r="A253" s="107" t="str">
        <f t="shared" si="18"/>
        <v>01/01/2022-31/03/2022</v>
      </c>
      <c r="B253" s="533">
        <f>ROUNDUP(SUM(B248:C250),0)</f>
        <v>2755</v>
      </c>
      <c r="C253" s="533"/>
      <c r="D253" s="429"/>
      <c r="E253" s="436"/>
    </row>
    <row r="254" spans="1:5" ht="16" thickBot="1" x14ac:dyDescent="0.35">
      <c r="A254" s="305" t="s">
        <v>231</v>
      </c>
      <c r="B254" s="534">
        <f>B251+B253+B252</f>
        <v>14236</v>
      </c>
      <c r="C254" s="534"/>
      <c r="D254" s="523"/>
      <c r="E254" s="456"/>
    </row>
    <row r="256" spans="1:5" x14ac:dyDescent="0.3">
      <c r="A256" s="231" t="s">
        <v>21</v>
      </c>
      <c r="B256" s="233"/>
      <c r="C256" s="233"/>
      <c r="D256" s="81"/>
      <c r="E256" s="233"/>
    </row>
    <row r="257" spans="1:9" x14ac:dyDescent="0.3">
      <c r="A257" s="231"/>
      <c r="B257" s="233"/>
      <c r="C257" s="233"/>
      <c r="D257" s="81"/>
      <c r="E257" s="233"/>
    </row>
    <row r="258" spans="1:9" ht="14" thickBot="1" x14ac:dyDescent="0.35">
      <c r="A258" s="231" t="s">
        <v>324</v>
      </c>
      <c r="B258" s="233"/>
      <c r="C258" s="233"/>
      <c r="D258" s="233"/>
      <c r="E258" s="233"/>
    </row>
    <row r="259" spans="1:9" x14ac:dyDescent="0.3">
      <c r="A259" s="315" t="s">
        <v>3</v>
      </c>
      <c r="B259" s="117" t="s">
        <v>18</v>
      </c>
      <c r="C259" s="117"/>
      <c r="D259" s="117" t="s">
        <v>2</v>
      </c>
      <c r="E259" s="191" t="s">
        <v>4</v>
      </c>
    </row>
    <row r="260" spans="1:9" x14ac:dyDescent="0.3">
      <c r="A260" s="118"/>
      <c r="B260" s="119" t="str">
        <f>B191</f>
        <v>Market Swine</v>
      </c>
      <c r="C260" s="119" t="str">
        <f>C191</f>
        <v>Breeding Swine</v>
      </c>
      <c r="D260" s="119"/>
      <c r="E260" s="192"/>
    </row>
    <row r="261" spans="1:9" s="86" customFormat="1" ht="27" x14ac:dyDescent="0.4">
      <c r="A261" s="201" t="s">
        <v>325</v>
      </c>
      <c r="B261" s="316">
        <v>0.01</v>
      </c>
      <c r="C261" s="316">
        <f>B261</f>
        <v>0.01</v>
      </c>
      <c r="D261" s="30" t="s">
        <v>323</v>
      </c>
      <c r="E261" s="197" t="s">
        <v>55</v>
      </c>
      <c r="F261" s="29"/>
      <c r="G261" s="29"/>
      <c r="H261" s="29"/>
      <c r="I261" s="29"/>
    </row>
    <row r="262" spans="1:9" ht="54" x14ac:dyDescent="0.3">
      <c r="A262" s="201" t="s">
        <v>326</v>
      </c>
      <c r="B262" s="317">
        <v>0.4</v>
      </c>
      <c r="C262" s="317">
        <v>0.4</v>
      </c>
      <c r="D262" s="133" t="s">
        <v>92</v>
      </c>
      <c r="E262" s="200" t="s">
        <v>56</v>
      </c>
    </row>
    <row r="263" spans="1:9" x14ac:dyDescent="0.3">
      <c r="A263" s="201" t="s">
        <v>41</v>
      </c>
      <c r="B263" s="318">
        <v>1</v>
      </c>
      <c r="C263" s="318">
        <f>B263</f>
        <v>1</v>
      </c>
      <c r="D263" s="30" t="s">
        <v>110</v>
      </c>
      <c r="E263" s="221"/>
    </row>
    <row r="264" spans="1:9" ht="15.5" x14ac:dyDescent="0.3">
      <c r="A264" s="201" t="s">
        <v>241</v>
      </c>
      <c r="B264" s="93"/>
      <c r="C264" s="93"/>
      <c r="D264" s="428" t="s">
        <v>232</v>
      </c>
      <c r="E264" s="516" t="s">
        <v>108</v>
      </c>
    </row>
    <row r="265" spans="1:9" x14ac:dyDescent="0.3">
      <c r="A265" s="98" t="str">
        <f>A235</f>
        <v>20/12/2020-31/12/2020</v>
      </c>
      <c r="B265" s="319">
        <f>ROUNDUP($B$261*$B$262*$B$263*B194*B125,0)</f>
        <v>164</v>
      </c>
      <c r="C265" s="319">
        <f>ROUNDUP($C$261*$C$262*$C$263*C194*C125,0)</f>
        <v>83</v>
      </c>
      <c r="D265" s="429"/>
      <c r="E265" s="517"/>
    </row>
    <row r="266" spans="1:9" x14ac:dyDescent="0.3">
      <c r="A266" s="98" t="str">
        <f t="shared" ref="A266:A279" si="19">A236</f>
        <v>01/01/2021-31/01/2021</v>
      </c>
      <c r="B266" s="319">
        <f t="shared" ref="B266:B280" si="20">ROUNDUP($B$261*$B$262*$B$263*B195*B126,0)</f>
        <v>425</v>
      </c>
      <c r="C266" s="319">
        <f t="shared" ref="C266:C280" si="21">ROUNDUP($C$261*$C$262*$C$263*C195*C126,0)</f>
        <v>213</v>
      </c>
      <c r="D266" s="429"/>
      <c r="E266" s="517"/>
    </row>
    <row r="267" spans="1:9" x14ac:dyDescent="0.3">
      <c r="A267" s="98" t="str">
        <f t="shared" si="19"/>
        <v>01/02/1021-28/02/2021</v>
      </c>
      <c r="B267" s="319">
        <f t="shared" si="20"/>
        <v>381</v>
      </c>
      <c r="C267" s="319">
        <f t="shared" si="21"/>
        <v>189</v>
      </c>
      <c r="D267" s="429"/>
      <c r="E267" s="517"/>
    </row>
    <row r="268" spans="1:9" x14ac:dyDescent="0.3">
      <c r="A268" s="98" t="str">
        <f t="shared" si="19"/>
        <v>01/03/2021-31/03/3021</v>
      </c>
      <c r="B268" s="319">
        <f t="shared" si="20"/>
        <v>416</v>
      </c>
      <c r="C268" s="319">
        <f t="shared" si="21"/>
        <v>209</v>
      </c>
      <c r="D268" s="429"/>
      <c r="E268" s="517"/>
    </row>
    <row r="269" spans="1:9" x14ac:dyDescent="0.3">
      <c r="A269" s="98" t="str">
        <f t="shared" si="19"/>
        <v>01/04/2021-30/04/2021</v>
      </c>
      <c r="B269" s="319">
        <f t="shared" si="20"/>
        <v>404</v>
      </c>
      <c r="C269" s="319">
        <f t="shared" si="21"/>
        <v>204</v>
      </c>
      <c r="D269" s="429"/>
      <c r="E269" s="517"/>
    </row>
    <row r="270" spans="1:9" x14ac:dyDescent="0.3">
      <c r="A270" s="98" t="str">
        <f t="shared" si="19"/>
        <v>01/05/2021-31/05/2021</v>
      </c>
      <c r="B270" s="319">
        <f t="shared" si="20"/>
        <v>419</v>
      </c>
      <c r="C270" s="319">
        <f t="shared" si="21"/>
        <v>212</v>
      </c>
      <c r="D270" s="429"/>
      <c r="E270" s="517"/>
    </row>
    <row r="271" spans="1:9" x14ac:dyDescent="0.3">
      <c r="A271" s="98" t="str">
        <f t="shared" si="19"/>
        <v>01/06/2021-30/06/2021</v>
      </c>
      <c r="B271" s="319">
        <f t="shared" si="20"/>
        <v>398</v>
      </c>
      <c r="C271" s="319">
        <f t="shared" si="21"/>
        <v>204</v>
      </c>
      <c r="D271" s="429"/>
      <c r="E271" s="517"/>
    </row>
    <row r="272" spans="1:9" x14ac:dyDescent="0.3">
      <c r="A272" s="98" t="str">
        <f t="shared" si="19"/>
        <v>01/07/2021-31/07/2021</v>
      </c>
      <c r="B272" s="319">
        <f t="shared" si="20"/>
        <v>422</v>
      </c>
      <c r="C272" s="319">
        <f t="shared" si="21"/>
        <v>211</v>
      </c>
      <c r="D272" s="429"/>
      <c r="E272" s="517"/>
    </row>
    <row r="273" spans="1:5" x14ac:dyDescent="0.3">
      <c r="A273" s="98" t="str">
        <f t="shared" si="19"/>
        <v>01/08/2021-31/08/2021</v>
      </c>
      <c r="B273" s="319">
        <f t="shared" si="20"/>
        <v>424</v>
      </c>
      <c r="C273" s="319">
        <f t="shared" si="21"/>
        <v>210</v>
      </c>
      <c r="D273" s="429"/>
      <c r="E273" s="517"/>
    </row>
    <row r="274" spans="1:5" x14ac:dyDescent="0.3">
      <c r="A274" s="98" t="str">
        <f t="shared" si="19"/>
        <v>01/09/2021-30/09/2021</v>
      </c>
      <c r="B274" s="319">
        <f t="shared" si="20"/>
        <v>397</v>
      </c>
      <c r="C274" s="319">
        <f t="shared" si="21"/>
        <v>204</v>
      </c>
      <c r="D274" s="429"/>
      <c r="E274" s="517"/>
    </row>
    <row r="275" spans="1:5" x14ac:dyDescent="0.3">
      <c r="A275" s="98" t="str">
        <f t="shared" si="19"/>
        <v>01/10/2021-31/10/2021</v>
      </c>
      <c r="B275" s="319">
        <f t="shared" si="20"/>
        <v>426</v>
      </c>
      <c r="C275" s="319">
        <f t="shared" si="21"/>
        <v>212</v>
      </c>
      <c r="D275" s="429"/>
      <c r="E275" s="517"/>
    </row>
    <row r="276" spans="1:5" x14ac:dyDescent="0.3">
      <c r="A276" s="98" t="str">
        <f t="shared" si="19"/>
        <v>01/11/2021-30/11/2021</v>
      </c>
      <c r="B276" s="319">
        <f t="shared" si="20"/>
        <v>403</v>
      </c>
      <c r="C276" s="319">
        <f t="shared" si="21"/>
        <v>206</v>
      </c>
      <c r="D276" s="429"/>
      <c r="E276" s="517"/>
    </row>
    <row r="277" spans="1:5" x14ac:dyDescent="0.3">
      <c r="A277" s="98" t="str">
        <f t="shared" si="19"/>
        <v>01/12/2021-31/12/2021</v>
      </c>
      <c r="B277" s="319">
        <f t="shared" si="20"/>
        <v>417</v>
      </c>
      <c r="C277" s="319">
        <f t="shared" si="21"/>
        <v>214</v>
      </c>
      <c r="D277" s="429"/>
      <c r="E277" s="517"/>
    </row>
    <row r="278" spans="1:5" x14ac:dyDescent="0.3">
      <c r="A278" s="98" t="str">
        <f t="shared" si="19"/>
        <v>01/01/2022-31/01/2022</v>
      </c>
      <c r="B278" s="319">
        <f t="shared" si="20"/>
        <v>426</v>
      </c>
      <c r="C278" s="319">
        <f t="shared" si="21"/>
        <v>213</v>
      </c>
      <c r="D278" s="429"/>
      <c r="E278" s="517"/>
    </row>
    <row r="279" spans="1:5" x14ac:dyDescent="0.3">
      <c r="A279" s="98" t="str">
        <f t="shared" si="19"/>
        <v>01/02/2022-28/02/2022</v>
      </c>
      <c r="B279" s="319">
        <f t="shared" si="20"/>
        <v>378</v>
      </c>
      <c r="C279" s="319">
        <f t="shared" si="21"/>
        <v>194</v>
      </c>
      <c r="D279" s="429"/>
      <c r="E279" s="517"/>
    </row>
    <row r="280" spans="1:5" x14ac:dyDescent="0.3">
      <c r="A280" s="98" t="str">
        <f>A250</f>
        <v>01/03/2022-31/03/2022</v>
      </c>
      <c r="B280" s="319">
        <f t="shared" si="20"/>
        <v>416</v>
      </c>
      <c r="C280" s="319">
        <f t="shared" si="21"/>
        <v>213</v>
      </c>
      <c r="D280" s="430"/>
      <c r="E280" s="518"/>
    </row>
    <row r="281" spans="1:5" x14ac:dyDescent="0.3">
      <c r="A281" s="107" t="str">
        <f>A251</f>
        <v>20/12/2020-31/12/2020</v>
      </c>
      <c r="B281" s="460">
        <f>B265+C265</f>
        <v>247</v>
      </c>
      <c r="C281" s="461"/>
      <c r="D281" s="320"/>
      <c r="E281" s="321"/>
    </row>
    <row r="282" spans="1:5" x14ac:dyDescent="0.3">
      <c r="A282" s="107" t="str">
        <f t="shared" ref="A282:A283" si="22">A252</f>
        <v>01/01/2021-31/12/2021</v>
      </c>
      <c r="B282" s="521">
        <f>SUM(B266:C277)</f>
        <v>7420</v>
      </c>
      <c r="C282" s="522"/>
      <c r="D282" s="428" t="s">
        <v>232</v>
      </c>
      <c r="E282" s="516" t="s">
        <v>108</v>
      </c>
    </row>
    <row r="283" spans="1:5" x14ac:dyDescent="0.3">
      <c r="A283" s="107" t="str">
        <f t="shared" si="22"/>
        <v>01/01/2022-31/03/2022</v>
      </c>
      <c r="B283" s="521">
        <f>SUM(B278:C280)</f>
        <v>1840</v>
      </c>
      <c r="C283" s="522"/>
      <c r="D283" s="429"/>
      <c r="E283" s="517"/>
    </row>
    <row r="284" spans="1:5" s="130" customFormat="1" ht="16" thickBot="1" x14ac:dyDescent="0.35">
      <c r="A284" s="322" t="s">
        <v>242</v>
      </c>
      <c r="B284" s="532">
        <f>B282+B283+B281</f>
        <v>9507</v>
      </c>
      <c r="C284" s="532"/>
      <c r="D284" s="523"/>
      <c r="E284" s="531"/>
    </row>
    <row r="285" spans="1:5" ht="14" thickBot="1" x14ac:dyDescent="0.35">
      <c r="A285" s="233"/>
      <c r="B285" s="233"/>
      <c r="C285" s="233"/>
      <c r="D285" s="233"/>
      <c r="E285" s="233"/>
    </row>
    <row r="286" spans="1:5" x14ac:dyDescent="0.3">
      <c r="A286" s="315" t="s">
        <v>3</v>
      </c>
      <c r="B286" s="117" t="s">
        <v>18</v>
      </c>
      <c r="C286" s="117"/>
      <c r="D286" s="117" t="s">
        <v>2</v>
      </c>
      <c r="E286" s="117" t="s">
        <v>4</v>
      </c>
    </row>
    <row r="287" spans="1:5" x14ac:dyDescent="0.3">
      <c r="A287" s="118"/>
      <c r="B287" s="119" t="s">
        <v>32</v>
      </c>
      <c r="C287" s="119" t="s">
        <v>33</v>
      </c>
      <c r="D287" s="119"/>
      <c r="E287" s="119"/>
    </row>
    <row r="288" spans="1:5" ht="27" x14ac:dyDescent="0.3">
      <c r="A288" s="391" t="s">
        <v>325</v>
      </c>
      <c r="B288" s="317">
        <v>0.01</v>
      </c>
      <c r="C288" s="317">
        <f>B288</f>
        <v>0.01</v>
      </c>
      <c r="D288" s="309" t="s">
        <v>323</v>
      </c>
      <c r="E288" s="309" t="s">
        <v>55</v>
      </c>
    </row>
    <row r="289" spans="1:5" ht="54" x14ac:dyDescent="0.3">
      <c r="A289" s="201" t="s">
        <v>326</v>
      </c>
      <c r="B289" s="317">
        <v>0.45</v>
      </c>
      <c r="C289" s="317">
        <v>0.45</v>
      </c>
      <c r="D289" s="30" t="s">
        <v>92</v>
      </c>
      <c r="E289" s="323" t="s">
        <v>56</v>
      </c>
    </row>
    <row r="290" spans="1:5" x14ac:dyDescent="0.3">
      <c r="A290" s="201" t="s">
        <v>41</v>
      </c>
      <c r="B290" s="95">
        <v>1</v>
      </c>
      <c r="C290" s="95">
        <f>B290</f>
        <v>1</v>
      </c>
      <c r="D290" s="30" t="s">
        <v>1</v>
      </c>
      <c r="E290" s="92"/>
    </row>
    <row r="291" spans="1:5" ht="15.5" x14ac:dyDescent="0.4">
      <c r="A291" s="201" t="s">
        <v>237</v>
      </c>
      <c r="B291" s="132">
        <f>'Baseline emission'!B264</f>
        <v>298</v>
      </c>
      <c r="C291" s="132">
        <f>B291</f>
        <v>298</v>
      </c>
      <c r="D291" s="30" t="s">
        <v>327</v>
      </c>
      <c r="E291" s="323" t="s">
        <v>131</v>
      </c>
    </row>
    <row r="292" spans="1:5" ht="15.5" x14ac:dyDescent="0.4">
      <c r="A292" s="201" t="s">
        <v>237</v>
      </c>
      <c r="B292" s="132">
        <f>'Baseline emission'!B265</f>
        <v>265</v>
      </c>
      <c r="C292" s="132">
        <f>B292</f>
        <v>265</v>
      </c>
      <c r="D292" s="30" t="s">
        <v>327</v>
      </c>
      <c r="E292" s="323" t="s">
        <v>127</v>
      </c>
    </row>
    <row r="293" spans="1:5" ht="15.5" x14ac:dyDescent="0.3">
      <c r="A293" s="201" t="s">
        <v>241</v>
      </c>
      <c r="B293" s="132"/>
      <c r="C293" s="132"/>
      <c r="D293" s="30"/>
      <c r="E293" s="323"/>
    </row>
    <row r="294" spans="1:5" x14ac:dyDescent="0.3">
      <c r="A294" s="98" t="str">
        <f>A265</f>
        <v>20/12/2020-31/12/2020</v>
      </c>
      <c r="B294" s="106">
        <f>ROUNDUP($B$288*$B$289*$B$290*B194*B125,0)</f>
        <v>184</v>
      </c>
      <c r="C294" s="106">
        <f>ROUNDUP($C$288*$C$289*$C$290*C194*C125,0)</f>
        <v>93</v>
      </c>
      <c r="D294" s="502" t="s">
        <v>232</v>
      </c>
      <c r="E294" s="507" t="s">
        <v>108</v>
      </c>
    </row>
    <row r="295" spans="1:5" x14ac:dyDescent="0.3">
      <c r="A295" s="98" t="str">
        <f t="shared" ref="A295:A309" si="23">A266</f>
        <v>01/01/2021-31/01/2021</v>
      </c>
      <c r="B295" s="106">
        <f t="shared" ref="B295:B309" si="24">ROUNDUP($B$288*$B$289*$B$290*B195*B126,0)</f>
        <v>478</v>
      </c>
      <c r="C295" s="106">
        <f t="shared" ref="C295:C309" si="25">ROUNDUP($C$288*$C$289*$C$290*C195*C126,0)</f>
        <v>240</v>
      </c>
      <c r="D295" s="502"/>
      <c r="E295" s="507"/>
    </row>
    <row r="296" spans="1:5" x14ac:dyDescent="0.3">
      <c r="A296" s="98" t="str">
        <f t="shared" si="23"/>
        <v>01/02/1021-28/02/2021</v>
      </c>
      <c r="B296" s="106">
        <f t="shared" si="24"/>
        <v>428</v>
      </c>
      <c r="C296" s="106">
        <f t="shared" si="25"/>
        <v>212</v>
      </c>
      <c r="D296" s="502"/>
      <c r="E296" s="507"/>
    </row>
    <row r="297" spans="1:5" x14ac:dyDescent="0.3">
      <c r="A297" s="98" t="str">
        <f t="shared" si="23"/>
        <v>01/03/2021-31/03/3021</v>
      </c>
      <c r="B297" s="106">
        <f t="shared" si="24"/>
        <v>468</v>
      </c>
      <c r="C297" s="106">
        <f t="shared" si="25"/>
        <v>235</v>
      </c>
      <c r="D297" s="502"/>
      <c r="E297" s="507"/>
    </row>
    <row r="298" spans="1:5" x14ac:dyDescent="0.3">
      <c r="A298" s="98" t="str">
        <f t="shared" si="23"/>
        <v>01/04/2021-30/04/2021</v>
      </c>
      <c r="B298" s="106">
        <f t="shared" si="24"/>
        <v>454</v>
      </c>
      <c r="C298" s="106">
        <f t="shared" si="25"/>
        <v>230</v>
      </c>
      <c r="D298" s="502"/>
      <c r="E298" s="507"/>
    </row>
    <row r="299" spans="1:5" x14ac:dyDescent="0.3">
      <c r="A299" s="98" t="str">
        <f t="shared" si="23"/>
        <v>01/05/2021-31/05/2021</v>
      </c>
      <c r="B299" s="106">
        <f t="shared" si="24"/>
        <v>472</v>
      </c>
      <c r="C299" s="106">
        <f t="shared" si="25"/>
        <v>239</v>
      </c>
      <c r="D299" s="502"/>
      <c r="E299" s="507"/>
    </row>
    <row r="300" spans="1:5" x14ac:dyDescent="0.3">
      <c r="A300" s="98" t="str">
        <f t="shared" si="23"/>
        <v>01/06/2021-30/06/2021</v>
      </c>
      <c r="B300" s="106">
        <f t="shared" si="24"/>
        <v>448</v>
      </c>
      <c r="C300" s="106">
        <f t="shared" si="25"/>
        <v>229</v>
      </c>
      <c r="D300" s="502"/>
      <c r="E300" s="507"/>
    </row>
    <row r="301" spans="1:5" x14ac:dyDescent="0.3">
      <c r="A301" s="98" t="str">
        <f t="shared" si="23"/>
        <v>01/07/2021-31/07/2021</v>
      </c>
      <c r="B301" s="106">
        <f t="shared" si="24"/>
        <v>475</v>
      </c>
      <c r="C301" s="106">
        <f t="shared" si="25"/>
        <v>238</v>
      </c>
      <c r="D301" s="502"/>
      <c r="E301" s="507"/>
    </row>
    <row r="302" spans="1:5" x14ac:dyDescent="0.3">
      <c r="A302" s="98" t="str">
        <f t="shared" si="23"/>
        <v>01/08/2021-31/08/2021</v>
      </c>
      <c r="B302" s="106">
        <f t="shared" si="24"/>
        <v>477</v>
      </c>
      <c r="C302" s="106">
        <f t="shared" si="25"/>
        <v>236</v>
      </c>
      <c r="D302" s="502"/>
      <c r="E302" s="507"/>
    </row>
    <row r="303" spans="1:5" x14ac:dyDescent="0.3">
      <c r="A303" s="98" t="str">
        <f t="shared" si="23"/>
        <v>01/09/2021-30/09/2021</v>
      </c>
      <c r="B303" s="106">
        <f t="shared" si="24"/>
        <v>447</v>
      </c>
      <c r="C303" s="106">
        <f t="shared" si="25"/>
        <v>229</v>
      </c>
      <c r="D303" s="502"/>
      <c r="E303" s="507"/>
    </row>
    <row r="304" spans="1:5" x14ac:dyDescent="0.3">
      <c r="A304" s="98" t="str">
        <f t="shared" si="23"/>
        <v>01/10/2021-31/10/2021</v>
      </c>
      <c r="B304" s="106">
        <f t="shared" si="24"/>
        <v>479</v>
      </c>
      <c r="C304" s="106">
        <f t="shared" si="25"/>
        <v>239</v>
      </c>
      <c r="D304" s="502"/>
      <c r="E304" s="507"/>
    </row>
    <row r="305" spans="1:5" x14ac:dyDescent="0.3">
      <c r="A305" s="98" t="str">
        <f t="shared" si="23"/>
        <v>01/11/2021-30/11/2021</v>
      </c>
      <c r="B305" s="106">
        <f t="shared" si="24"/>
        <v>454</v>
      </c>
      <c r="C305" s="106">
        <f t="shared" si="25"/>
        <v>232</v>
      </c>
      <c r="D305" s="502"/>
      <c r="E305" s="507"/>
    </row>
    <row r="306" spans="1:5" x14ac:dyDescent="0.3">
      <c r="A306" s="98" t="str">
        <f t="shared" si="23"/>
        <v>01/12/2021-31/12/2021</v>
      </c>
      <c r="B306" s="106">
        <f t="shared" si="24"/>
        <v>469</v>
      </c>
      <c r="C306" s="106">
        <f t="shared" si="25"/>
        <v>240</v>
      </c>
      <c r="D306" s="502"/>
      <c r="E306" s="507"/>
    </row>
    <row r="307" spans="1:5" x14ac:dyDescent="0.3">
      <c r="A307" s="98" t="str">
        <f t="shared" si="23"/>
        <v>01/01/2022-31/01/2022</v>
      </c>
      <c r="B307" s="106">
        <f t="shared" si="24"/>
        <v>479</v>
      </c>
      <c r="C307" s="106">
        <f t="shared" si="25"/>
        <v>239</v>
      </c>
      <c r="D307" s="502"/>
      <c r="E307" s="507"/>
    </row>
    <row r="308" spans="1:5" x14ac:dyDescent="0.3">
      <c r="A308" s="98" t="str">
        <f t="shared" si="23"/>
        <v>01/02/2022-28/02/2022</v>
      </c>
      <c r="B308" s="106">
        <f t="shared" si="24"/>
        <v>425</v>
      </c>
      <c r="C308" s="106">
        <f t="shared" si="25"/>
        <v>219</v>
      </c>
      <c r="D308" s="502"/>
      <c r="E308" s="507"/>
    </row>
    <row r="309" spans="1:5" x14ac:dyDescent="0.3">
      <c r="A309" s="98" t="str">
        <f t="shared" si="23"/>
        <v>01/03/2022-31/03/2022</v>
      </c>
      <c r="B309" s="106">
        <f t="shared" si="24"/>
        <v>468</v>
      </c>
      <c r="C309" s="106">
        <f t="shared" si="25"/>
        <v>240</v>
      </c>
      <c r="D309" s="502"/>
      <c r="E309" s="507"/>
    </row>
    <row r="310" spans="1:5" x14ac:dyDescent="0.3">
      <c r="A310" s="107" t="str">
        <f>A281</f>
        <v>20/12/2020-31/12/2020</v>
      </c>
      <c r="B310" s="462">
        <f>B294+C294</f>
        <v>277</v>
      </c>
      <c r="C310" s="463"/>
      <c r="D310" s="133"/>
      <c r="E310" s="324"/>
    </row>
    <row r="311" spans="1:5" x14ac:dyDescent="0.3">
      <c r="A311" s="107" t="str">
        <f t="shared" ref="A311:A312" si="26">A282</f>
        <v>01/01/2021-31/12/2021</v>
      </c>
      <c r="B311" s="514">
        <f>SUM(B295:C306)</f>
        <v>8348</v>
      </c>
      <c r="C311" s="514"/>
      <c r="D311" s="502" t="s">
        <v>232</v>
      </c>
      <c r="E311" s="452" t="s">
        <v>108</v>
      </c>
    </row>
    <row r="312" spans="1:5" x14ac:dyDescent="0.3">
      <c r="A312" s="107" t="str">
        <f t="shared" si="26"/>
        <v>01/01/2022-31/03/2022</v>
      </c>
      <c r="B312" s="514">
        <f>SUM(B307:C309)</f>
        <v>2070</v>
      </c>
      <c r="C312" s="514"/>
      <c r="D312" s="502"/>
      <c r="E312" s="453"/>
    </row>
    <row r="313" spans="1:5" ht="16" thickBot="1" x14ac:dyDescent="0.45">
      <c r="A313" s="42" t="s">
        <v>242</v>
      </c>
      <c r="B313" s="520">
        <f>B311+B312+B310</f>
        <v>10695</v>
      </c>
      <c r="C313" s="520"/>
      <c r="D313" s="515"/>
      <c r="E313" s="519"/>
    </row>
    <row r="314" spans="1:5" x14ac:dyDescent="0.3">
      <c r="A314" s="260"/>
      <c r="B314" s="325"/>
      <c r="C314" s="325"/>
      <c r="D314" s="233"/>
      <c r="E314" s="233"/>
    </row>
    <row r="315" spans="1:5" ht="16" thickBot="1" x14ac:dyDescent="0.45">
      <c r="A315" s="247" t="s">
        <v>328</v>
      </c>
      <c r="C315" s="326">
        <f>B316+B318+B317</f>
        <v>14386</v>
      </c>
      <c r="D315" s="326" t="s">
        <v>306</v>
      </c>
      <c r="E315" s="234"/>
    </row>
    <row r="316" spans="1:5" ht="15.5" x14ac:dyDescent="0.4">
      <c r="A316" s="327" t="str">
        <f>A310</f>
        <v>20/12/2020-31/12/2020</v>
      </c>
      <c r="B316" s="530">
        <f>INT(B291*44/28*1/1000*(B228+B251+B281+B310))</f>
        <v>418</v>
      </c>
      <c r="C316" s="530"/>
      <c r="D316" s="153" t="s">
        <v>306</v>
      </c>
      <c r="E316" s="234"/>
    </row>
    <row r="317" spans="1:5" ht="15.5" x14ac:dyDescent="0.4">
      <c r="A317" s="98" t="str">
        <f t="shared" ref="A317:A318" si="27">A311</f>
        <v>01/01/2021-31/12/2021</v>
      </c>
      <c r="B317" s="442">
        <f>INT(B292*44/28*1/1000*(B229+B252+B282+B311))</f>
        <v>11193</v>
      </c>
      <c r="C317" s="442"/>
      <c r="D317" s="154" t="s">
        <v>306</v>
      </c>
      <c r="E317" s="234"/>
    </row>
    <row r="318" spans="1:5" ht="16" thickBot="1" x14ac:dyDescent="0.45">
      <c r="A318" s="328" t="str">
        <f t="shared" si="27"/>
        <v>01/01/2022-31/03/2022</v>
      </c>
      <c r="B318" s="511">
        <f>INT(B292*44/28*1/1000*(B230+B253+B283+B312))</f>
        <v>2775</v>
      </c>
      <c r="C318" s="511"/>
      <c r="D318" s="412" t="s">
        <v>306</v>
      </c>
      <c r="E318" s="234"/>
    </row>
    <row r="319" spans="1:5" ht="27" customHeight="1" x14ac:dyDescent="0.3">
      <c r="A319" s="234"/>
      <c r="B319" s="234"/>
      <c r="C319" s="234"/>
      <c r="D319" s="234"/>
      <c r="E319" s="234"/>
    </row>
    <row r="320" spans="1:5" x14ac:dyDescent="0.3">
      <c r="D320" s="99"/>
    </row>
    <row r="322" spans="1:4" ht="16" thickBot="1" x14ac:dyDescent="0.45">
      <c r="A322" s="80" t="s">
        <v>329</v>
      </c>
      <c r="B322" s="329">
        <f>B323+B325+B324</f>
        <v>28979</v>
      </c>
      <c r="C322" s="326" t="s">
        <v>306</v>
      </c>
    </row>
    <row r="323" spans="1:4" ht="15.5" x14ac:dyDescent="0.4">
      <c r="A323" s="413" t="str">
        <f>A316</f>
        <v>20/12/2020-31/12/2020</v>
      </c>
      <c r="B323" s="414">
        <f>B316+B176+B102</f>
        <v>759</v>
      </c>
      <c r="C323" s="153" t="s">
        <v>306</v>
      </c>
    </row>
    <row r="324" spans="1:4" ht="15.5" x14ac:dyDescent="0.4">
      <c r="A324" s="330" t="str">
        <f>A317</f>
        <v>01/01/2021-31/12/2021</v>
      </c>
      <c r="B324" s="331">
        <f t="shared" ref="B324:B325" si="28">B317+B177+B103</f>
        <v>22628</v>
      </c>
      <c r="C324" s="154" t="s">
        <v>306</v>
      </c>
    </row>
    <row r="325" spans="1:4" ht="16" thickBot="1" x14ac:dyDescent="0.45">
      <c r="A325" s="415" t="str">
        <f>A318</f>
        <v>01/01/2022-31/03/2022</v>
      </c>
      <c r="B325" s="416">
        <f t="shared" si="28"/>
        <v>5592</v>
      </c>
      <c r="C325" s="412" t="s">
        <v>306</v>
      </c>
    </row>
    <row r="326" spans="1:4" x14ac:dyDescent="0.3">
      <c r="A326" s="332"/>
      <c r="B326" s="332"/>
      <c r="C326" s="332"/>
      <c r="D326" s="332"/>
    </row>
    <row r="329" spans="1:4" x14ac:dyDescent="0.3">
      <c r="C329" s="156"/>
    </row>
    <row r="330" spans="1:4" x14ac:dyDescent="0.3">
      <c r="C330" s="156"/>
    </row>
    <row r="331" spans="1:4" x14ac:dyDescent="0.3">
      <c r="D331" s="156"/>
    </row>
  </sheetData>
  <mergeCells count="72">
    <mergeCell ref="C98:C100"/>
    <mergeCell ref="C101:C104"/>
    <mergeCell ref="D97:E97"/>
    <mergeCell ref="D98:E104"/>
    <mergeCell ref="B316:C316"/>
    <mergeCell ref="E282:E284"/>
    <mergeCell ref="B283:C283"/>
    <mergeCell ref="B284:C284"/>
    <mergeCell ref="B251:C251"/>
    <mergeCell ref="D251:D254"/>
    <mergeCell ref="E251:E254"/>
    <mergeCell ref="B253:C253"/>
    <mergeCell ref="B254:C254"/>
    <mergeCell ref="B252:C252"/>
    <mergeCell ref="B230:C230"/>
    <mergeCell ref="B231:C231"/>
    <mergeCell ref="B318:C318"/>
    <mergeCell ref="D75:E75"/>
    <mergeCell ref="D77:E77"/>
    <mergeCell ref="D78:E78"/>
    <mergeCell ref="D96:E96"/>
    <mergeCell ref="D294:D309"/>
    <mergeCell ref="E294:E309"/>
    <mergeCell ref="B311:C311"/>
    <mergeCell ref="D311:D313"/>
    <mergeCell ref="D264:D280"/>
    <mergeCell ref="E264:E280"/>
    <mergeCell ref="E311:E313"/>
    <mergeCell ref="B312:C312"/>
    <mergeCell ref="B313:C313"/>
    <mergeCell ref="B282:C282"/>
    <mergeCell ref="D282:D284"/>
    <mergeCell ref="B228:C228"/>
    <mergeCell ref="D234:D250"/>
    <mergeCell ref="E234:E250"/>
    <mergeCell ref="D13:E13"/>
    <mergeCell ref="D31:E31"/>
    <mergeCell ref="D32:E32"/>
    <mergeCell ref="D160:D175"/>
    <mergeCell ref="E160:E175"/>
    <mergeCell ref="D76:E76"/>
    <mergeCell ref="D64:E67"/>
    <mergeCell ref="D47:E63"/>
    <mergeCell ref="D80:E95"/>
    <mergeCell ref="D124:D140"/>
    <mergeCell ref="E124:E140"/>
    <mergeCell ref="D141:D157"/>
    <mergeCell ref="E141:E157"/>
    <mergeCell ref="D79:E79"/>
    <mergeCell ref="C14:C30"/>
    <mergeCell ref="D14:E30"/>
    <mergeCell ref="D34:E36"/>
    <mergeCell ref="D33:E33"/>
    <mergeCell ref="D44:E44"/>
    <mergeCell ref="D37:E37"/>
    <mergeCell ref="D43:E43"/>
    <mergeCell ref="B281:C281"/>
    <mergeCell ref="B310:C310"/>
    <mergeCell ref="B317:C317"/>
    <mergeCell ref="D45:E45"/>
    <mergeCell ref="D46:E46"/>
    <mergeCell ref="C47:C63"/>
    <mergeCell ref="C80:C95"/>
    <mergeCell ref="B176:C176"/>
    <mergeCell ref="B177:C177"/>
    <mergeCell ref="B179:C179"/>
    <mergeCell ref="D193:D209"/>
    <mergeCell ref="E193:E209"/>
    <mergeCell ref="B178:C178"/>
    <mergeCell ref="D212:D231"/>
    <mergeCell ref="E212:E231"/>
    <mergeCell ref="B229:C229"/>
  </mergeCells>
  <phoneticPr fontId="11" type="noConversion"/>
  <pageMargins left="0.7" right="0.7" top="0.75" bottom="0.75" header="0.3" footer="0.3"/>
  <pageSetup paperSize="9" orientation="portrait" horizontalDpi="1200" verticalDpi="1200" r:id="rId1"/>
  <ignoredErrors>
    <ignoredError sqref="B99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8"/>
  <sheetViews>
    <sheetView topLeftCell="A329" zoomScaleNormal="100" workbookViewId="0">
      <selection activeCell="D350" sqref="D350"/>
    </sheetView>
  </sheetViews>
  <sheetFormatPr defaultColWidth="8.7265625" defaultRowHeight="13.5" x14ac:dyDescent="0.3"/>
  <cols>
    <col min="1" max="1" width="34.6328125" style="29" customWidth="1"/>
    <col min="2" max="2" width="19.1796875" style="130" customWidth="1"/>
    <col min="3" max="3" width="17.54296875" style="130" customWidth="1"/>
    <col min="4" max="4" width="23.36328125" style="29" customWidth="1"/>
    <col min="5" max="5" width="44" style="29" customWidth="1"/>
    <col min="6" max="6" width="38.81640625" style="29" bestFit="1" customWidth="1"/>
    <col min="7" max="16384" width="8.7265625" style="29"/>
  </cols>
  <sheetData>
    <row r="1" spans="1:4" ht="15" x14ac:dyDescent="0.3">
      <c r="A1" s="79" t="s">
        <v>22</v>
      </c>
    </row>
    <row r="2" spans="1:4" x14ac:dyDescent="0.3">
      <c r="A2" s="80"/>
      <c r="B2" s="83"/>
    </row>
    <row r="3" spans="1:4" x14ac:dyDescent="0.3">
      <c r="A3" s="80"/>
    </row>
    <row r="4" spans="1:4" ht="15.5" x14ac:dyDescent="0.4">
      <c r="A4" s="29" t="s">
        <v>359</v>
      </c>
    </row>
    <row r="5" spans="1:4" x14ac:dyDescent="0.3">
      <c r="A5" s="80"/>
      <c r="D5" s="112"/>
    </row>
    <row r="6" spans="1:4" x14ac:dyDescent="0.3">
      <c r="A6" s="80"/>
      <c r="D6" s="112"/>
    </row>
    <row r="7" spans="1:4" x14ac:dyDescent="0.3">
      <c r="A7" s="80"/>
      <c r="D7" s="112"/>
    </row>
    <row r="8" spans="1:4" x14ac:dyDescent="0.3">
      <c r="A8" s="80"/>
      <c r="D8" s="112"/>
    </row>
    <row r="9" spans="1:4" x14ac:dyDescent="0.3">
      <c r="A9" s="80"/>
      <c r="D9" s="112"/>
    </row>
    <row r="10" spans="1:4" x14ac:dyDescent="0.3">
      <c r="A10" s="80"/>
      <c r="D10" s="112"/>
    </row>
    <row r="11" spans="1:4" x14ac:dyDescent="0.3">
      <c r="A11" s="80"/>
      <c r="D11" s="112"/>
    </row>
    <row r="12" spans="1:4" x14ac:dyDescent="0.3">
      <c r="A12" s="80"/>
      <c r="D12" s="112"/>
    </row>
    <row r="13" spans="1:4" x14ac:dyDescent="0.3">
      <c r="A13" s="80"/>
      <c r="D13" s="112"/>
    </row>
    <row r="14" spans="1:4" x14ac:dyDescent="0.3">
      <c r="A14" s="80"/>
      <c r="D14" s="112"/>
    </row>
    <row r="15" spans="1:4" x14ac:dyDescent="0.3">
      <c r="A15" s="80"/>
      <c r="D15" s="112"/>
    </row>
    <row r="16" spans="1:4" x14ac:dyDescent="0.3">
      <c r="A16" s="80"/>
      <c r="D16" s="112"/>
    </row>
    <row r="17" spans="1:5" x14ac:dyDescent="0.3">
      <c r="A17" s="80"/>
      <c r="D17" s="112"/>
    </row>
    <row r="18" spans="1:5" x14ac:dyDescent="0.3">
      <c r="A18" s="80"/>
    </row>
    <row r="19" spans="1:5" x14ac:dyDescent="0.3">
      <c r="A19" s="80"/>
    </row>
    <row r="20" spans="1:5" ht="14" thickBot="1" x14ac:dyDescent="0.35">
      <c r="A20" s="80"/>
    </row>
    <row r="21" spans="1:5" x14ac:dyDescent="0.3">
      <c r="A21" s="116" t="s">
        <v>3</v>
      </c>
      <c r="B21" s="117" t="s">
        <v>18</v>
      </c>
      <c r="C21" s="117"/>
      <c r="D21" s="117" t="s">
        <v>2</v>
      </c>
      <c r="E21" s="191" t="s">
        <v>4</v>
      </c>
    </row>
    <row r="22" spans="1:5" x14ac:dyDescent="0.3">
      <c r="A22" s="118"/>
      <c r="B22" s="119" t="str">
        <f>B351</f>
        <v>Market Swine</v>
      </c>
      <c r="C22" s="119" t="str">
        <f>C351</f>
        <v>Breeding Swine</v>
      </c>
      <c r="D22" s="119"/>
      <c r="E22" s="192"/>
    </row>
    <row r="23" spans="1:5" s="86" customFormat="1" x14ac:dyDescent="0.3">
      <c r="A23" s="193" t="s">
        <v>250</v>
      </c>
      <c r="B23" s="194"/>
      <c r="C23" s="194"/>
      <c r="D23" s="428" t="s">
        <v>69</v>
      </c>
      <c r="E23" s="550" t="s">
        <v>372</v>
      </c>
    </row>
    <row r="24" spans="1:5" s="86" customFormat="1" x14ac:dyDescent="0.3">
      <c r="A24" s="98" t="str">
        <f>'Project emission'!A15</f>
        <v>20/12/2020-31/12/2020</v>
      </c>
      <c r="B24" s="194">
        <f>'monitoring results'!B4</f>
        <v>132078</v>
      </c>
      <c r="C24" s="194">
        <f>'monitoring results'!C4</f>
        <v>95993</v>
      </c>
      <c r="D24" s="429"/>
      <c r="E24" s="551"/>
    </row>
    <row r="25" spans="1:5" s="86" customFormat="1" x14ac:dyDescent="0.3">
      <c r="A25" s="98" t="str">
        <f>'Project emission'!A16</f>
        <v>01/01/2021-31/01/2021</v>
      </c>
      <c r="B25" s="194">
        <f>'monitoring results'!B5</f>
        <v>132078</v>
      </c>
      <c r="C25" s="194">
        <f>'monitoring results'!C5</f>
        <v>95900</v>
      </c>
      <c r="D25" s="429"/>
      <c r="E25" s="551"/>
    </row>
    <row r="26" spans="1:5" s="86" customFormat="1" x14ac:dyDescent="0.3">
      <c r="A26" s="98" t="str">
        <f>'Project emission'!A17</f>
        <v>01/02/1021-28/02/2021</v>
      </c>
      <c r="B26" s="194">
        <f>'monitoring results'!B6</f>
        <v>132078</v>
      </c>
      <c r="C26" s="194">
        <f>'monitoring results'!C6</f>
        <v>95947</v>
      </c>
      <c r="D26" s="429"/>
      <c r="E26" s="551"/>
    </row>
    <row r="27" spans="1:5" s="86" customFormat="1" x14ac:dyDescent="0.3">
      <c r="A27" s="98" t="str">
        <f>'Project emission'!A18</f>
        <v>01/03/2021-31/03/3021</v>
      </c>
      <c r="B27" s="194">
        <f>'monitoring results'!B7</f>
        <v>132078</v>
      </c>
      <c r="C27" s="194">
        <f>'monitoring results'!C7</f>
        <v>95778</v>
      </c>
      <c r="D27" s="429"/>
      <c r="E27" s="551"/>
    </row>
    <row r="28" spans="1:5" s="86" customFormat="1" x14ac:dyDescent="0.3">
      <c r="A28" s="98" t="str">
        <f>'Project emission'!A19</f>
        <v>01/04/2021-30/04/2021</v>
      </c>
      <c r="B28" s="194">
        <f>'monitoring results'!B8</f>
        <v>132078</v>
      </c>
      <c r="C28" s="194">
        <f>'monitoring results'!C8</f>
        <v>95748</v>
      </c>
      <c r="D28" s="429"/>
      <c r="E28" s="551"/>
    </row>
    <row r="29" spans="1:5" s="86" customFormat="1" x14ac:dyDescent="0.3">
      <c r="A29" s="98" t="str">
        <f>'Project emission'!A20</f>
        <v>01/05/2021-31/05/2021</v>
      </c>
      <c r="B29" s="194">
        <f>'monitoring results'!B9</f>
        <v>132078</v>
      </c>
      <c r="C29" s="194">
        <f>'monitoring results'!C9</f>
        <v>95839</v>
      </c>
      <c r="D29" s="429"/>
      <c r="E29" s="551"/>
    </row>
    <row r="30" spans="1:5" s="86" customFormat="1" x14ac:dyDescent="0.3">
      <c r="A30" s="98" t="str">
        <f>'Project emission'!A21</f>
        <v>01/06/2021-30/06/2021</v>
      </c>
      <c r="B30" s="194">
        <f>'monitoring results'!B10</f>
        <v>132078</v>
      </c>
      <c r="C30" s="194">
        <f>'monitoring results'!C10</f>
        <v>95920</v>
      </c>
      <c r="D30" s="429"/>
      <c r="E30" s="551"/>
    </row>
    <row r="31" spans="1:5" s="86" customFormat="1" x14ac:dyDescent="0.3">
      <c r="A31" s="98" t="str">
        <f>'Project emission'!A22</f>
        <v>01/07/2021-31/07/2021</v>
      </c>
      <c r="B31" s="194">
        <f>'monitoring results'!B11</f>
        <v>132078</v>
      </c>
      <c r="C31" s="194">
        <f>'monitoring results'!C11</f>
        <v>95933</v>
      </c>
      <c r="D31" s="429"/>
      <c r="E31" s="551"/>
    </row>
    <row r="32" spans="1:5" s="86" customFormat="1" x14ac:dyDescent="0.3">
      <c r="A32" s="98" t="str">
        <f>'Project emission'!A23</f>
        <v>01/08/2021-31/08/2021</v>
      </c>
      <c r="B32" s="194">
        <f>'monitoring results'!B12</f>
        <v>132078</v>
      </c>
      <c r="C32" s="194">
        <f>'monitoring results'!C12</f>
        <v>95959</v>
      </c>
      <c r="D32" s="429"/>
      <c r="E32" s="551"/>
    </row>
    <row r="33" spans="1:5" s="86" customFormat="1" x14ac:dyDescent="0.3">
      <c r="A33" s="98" t="str">
        <f>'Project emission'!A24</f>
        <v>01/09/2021-30/09/2021</v>
      </c>
      <c r="B33" s="194">
        <f>'monitoring results'!B13</f>
        <v>132078</v>
      </c>
      <c r="C33" s="194">
        <f>'monitoring results'!C13</f>
        <v>95861</v>
      </c>
      <c r="D33" s="429"/>
      <c r="E33" s="551"/>
    </row>
    <row r="34" spans="1:5" s="86" customFormat="1" x14ac:dyDescent="0.3">
      <c r="A34" s="98" t="str">
        <f>'Project emission'!A25</f>
        <v>01/10/2021-31/10/2021</v>
      </c>
      <c r="B34" s="194">
        <f>'monitoring results'!B14</f>
        <v>132078</v>
      </c>
      <c r="C34" s="194">
        <f>'monitoring results'!C14</f>
        <v>95835</v>
      </c>
      <c r="D34" s="429"/>
      <c r="E34" s="551"/>
    </row>
    <row r="35" spans="1:5" s="86" customFormat="1" x14ac:dyDescent="0.3">
      <c r="A35" s="98" t="str">
        <f>'Project emission'!A26</f>
        <v>01/11/2021-30/11/2021</v>
      </c>
      <c r="B35" s="194">
        <f>'monitoring results'!B15</f>
        <v>132078</v>
      </c>
      <c r="C35" s="194">
        <f>'monitoring results'!C15</f>
        <v>95945</v>
      </c>
      <c r="D35" s="429"/>
      <c r="E35" s="551"/>
    </row>
    <row r="36" spans="1:5" s="86" customFormat="1" x14ac:dyDescent="0.3">
      <c r="A36" s="98" t="str">
        <f>'Project emission'!A27</f>
        <v>01/12/2021-31/12/2021</v>
      </c>
      <c r="B36" s="194">
        <f>'monitoring results'!B16</f>
        <v>132078</v>
      </c>
      <c r="C36" s="194">
        <f>'monitoring results'!C16</f>
        <v>95942</v>
      </c>
      <c r="D36" s="429"/>
      <c r="E36" s="551"/>
    </row>
    <row r="37" spans="1:5" s="86" customFormat="1" x14ac:dyDescent="0.3">
      <c r="A37" s="98" t="str">
        <f>'Project emission'!A28</f>
        <v>01/01/2022-31/01/2022</v>
      </c>
      <c r="B37" s="194">
        <f>'monitoring results'!B17</f>
        <v>132078</v>
      </c>
      <c r="C37" s="194">
        <f>'monitoring results'!C17</f>
        <v>95905</v>
      </c>
      <c r="D37" s="429"/>
      <c r="E37" s="551"/>
    </row>
    <row r="38" spans="1:5" s="86" customFormat="1" x14ac:dyDescent="0.3">
      <c r="A38" s="98" t="str">
        <f>'Project emission'!A29</f>
        <v>01/02/2022-28/02/2022</v>
      </c>
      <c r="B38" s="194">
        <f>'monitoring results'!B18</f>
        <v>132078</v>
      </c>
      <c r="C38" s="194">
        <f>'monitoring results'!C18</f>
        <v>95944</v>
      </c>
      <c r="D38" s="429"/>
      <c r="E38" s="551"/>
    </row>
    <row r="39" spans="1:5" s="86" customFormat="1" x14ac:dyDescent="0.3">
      <c r="A39" s="98" t="str">
        <f>'Project emission'!A30</f>
        <v>01/03/2022-31/03/2022</v>
      </c>
      <c r="B39" s="194">
        <f>'monitoring results'!B19</f>
        <v>132078</v>
      </c>
      <c r="C39" s="194">
        <f>'monitoring results'!C19</f>
        <v>95875</v>
      </c>
      <c r="D39" s="430"/>
      <c r="E39" s="552"/>
    </row>
    <row r="40" spans="1:5" x14ac:dyDescent="0.3">
      <c r="A40" s="193" t="s">
        <v>251</v>
      </c>
      <c r="B40" s="195"/>
      <c r="C40" s="195"/>
      <c r="D40" s="428" t="s">
        <v>46</v>
      </c>
      <c r="E40" s="516" t="s">
        <v>28</v>
      </c>
    </row>
    <row r="41" spans="1:5" x14ac:dyDescent="0.3">
      <c r="A41" s="98" t="str">
        <f>A24</f>
        <v>20/12/2020-31/12/2020</v>
      </c>
      <c r="B41" s="195">
        <f>'Baseline emission'!B164</f>
        <v>0.30945599999999995</v>
      </c>
      <c r="C41" s="195">
        <f>'Baseline emission'!C164</f>
        <v>0.21484799999999996</v>
      </c>
      <c r="D41" s="429"/>
      <c r="E41" s="517"/>
    </row>
    <row r="42" spans="1:5" x14ac:dyDescent="0.3">
      <c r="A42" s="98" t="str">
        <f t="shared" ref="A42:A56" si="0">A25</f>
        <v>01/01/2021-31/01/2021</v>
      </c>
      <c r="B42" s="195">
        <f>'Baseline emission'!B165</f>
        <v>0.8033340000000001</v>
      </c>
      <c r="C42" s="195">
        <f>'Baseline emission'!C165</f>
        <v>0.55502399999999996</v>
      </c>
      <c r="D42" s="429"/>
      <c r="E42" s="517"/>
    </row>
    <row r="43" spans="1:5" x14ac:dyDescent="0.3">
      <c r="A43" s="98" t="str">
        <f t="shared" si="0"/>
        <v>01/02/1021-28/02/2021</v>
      </c>
      <c r="B43" s="195">
        <f>'Baseline emission'!B166</f>
        <v>0.71971200000000013</v>
      </c>
      <c r="C43" s="195">
        <f>'Baseline emission'!C166</f>
        <v>0.48988799999999999</v>
      </c>
      <c r="D43" s="429"/>
      <c r="E43" s="517"/>
    </row>
    <row r="44" spans="1:5" x14ac:dyDescent="0.3">
      <c r="A44" s="98" t="str">
        <f t="shared" si="0"/>
        <v>01/03/2021-31/03/3021</v>
      </c>
      <c r="B44" s="195">
        <f>'Baseline emission'!B167</f>
        <v>0.786408</v>
      </c>
      <c r="C44" s="195">
        <f>'Baseline emission'!C167</f>
        <v>0.5438639999999999</v>
      </c>
      <c r="D44" s="429"/>
      <c r="E44" s="517"/>
    </row>
    <row r="45" spans="1:5" x14ac:dyDescent="0.3">
      <c r="A45" s="98" t="str">
        <f t="shared" si="0"/>
        <v>01/04/2021-30/04/2021</v>
      </c>
      <c r="B45" s="195">
        <f>'Baseline emission'!B168</f>
        <v>0.76355999999999991</v>
      </c>
      <c r="C45" s="195">
        <f>'Baseline emission'!C168</f>
        <v>0.53208</v>
      </c>
      <c r="D45" s="429"/>
      <c r="E45" s="517"/>
    </row>
    <row r="46" spans="1:5" x14ac:dyDescent="0.3">
      <c r="A46" s="98" t="str">
        <f t="shared" si="0"/>
        <v>01/05/2021-31/05/2021</v>
      </c>
      <c r="B46" s="195">
        <f>'Baseline emission'!B169</f>
        <v>0.7929179999999999</v>
      </c>
      <c r="C46" s="195">
        <f>'Baseline emission'!C169</f>
        <v>0.55279199999999995</v>
      </c>
      <c r="D46" s="429"/>
      <c r="E46" s="517"/>
    </row>
    <row r="47" spans="1:5" x14ac:dyDescent="0.3">
      <c r="A47" s="98" t="str">
        <f t="shared" si="0"/>
        <v>01/06/2021-30/06/2021</v>
      </c>
      <c r="B47" s="195">
        <f>'Baseline emission'!B170</f>
        <v>0.75222</v>
      </c>
      <c r="C47" s="195">
        <f>'Baseline emission'!C170</f>
        <v>0.52991999999999995</v>
      </c>
      <c r="D47" s="429"/>
      <c r="E47" s="517"/>
    </row>
    <row r="48" spans="1:5" x14ac:dyDescent="0.3">
      <c r="A48" s="98" t="str">
        <f t="shared" si="0"/>
        <v>01/07/2021-31/07/2021</v>
      </c>
      <c r="B48" s="195">
        <f>'Baseline emission'!B171</f>
        <v>0.79812599999999989</v>
      </c>
      <c r="C48" s="195">
        <f>'Baseline emission'!C171</f>
        <v>0.54907199999999989</v>
      </c>
      <c r="D48" s="429"/>
      <c r="E48" s="517"/>
    </row>
    <row r="49" spans="1:6" x14ac:dyDescent="0.3">
      <c r="A49" s="98" t="str">
        <f t="shared" si="0"/>
        <v>01/08/2021-31/08/2021</v>
      </c>
      <c r="B49" s="195">
        <f>'Baseline emission'!B172</f>
        <v>0.80203200000000008</v>
      </c>
      <c r="C49" s="195">
        <f>'Baseline emission'!C172</f>
        <v>0.54609599999999991</v>
      </c>
      <c r="D49" s="429"/>
      <c r="E49" s="517"/>
    </row>
    <row r="50" spans="1:6" x14ac:dyDescent="0.3">
      <c r="A50" s="98" t="str">
        <f t="shared" si="0"/>
        <v>01/09/2021-30/09/2021</v>
      </c>
      <c r="B50" s="195">
        <f>'Baseline emission'!B173</f>
        <v>0.75095999999999996</v>
      </c>
      <c r="C50" s="195">
        <f>'Baseline emission'!C173</f>
        <v>0.52991999999999995</v>
      </c>
      <c r="D50" s="429"/>
      <c r="E50" s="517"/>
    </row>
    <row r="51" spans="1:6" x14ac:dyDescent="0.3">
      <c r="A51" s="98" t="str">
        <f t="shared" si="0"/>
        <v>01/10/2021-31/10/2021</v>
      </c>
      <c r="B51" s="195">
        <f>'Baseline emission'!B174</f>
        <v>0.80463599999999991</v>
      </c>
      <c r="C51" s="195">
        <f>'Baseline emission'!C174</f>
        <v>0.55204799999999987</v>
      </c>
      <c r="D51" s="429"/>
      <c r="E51" s="517"/>
    </row>
    <row r="52" spans="1:6" x14ac:dyDescent="0.3">
      <c r="A52" s="98" t="str">
        <f t="shared" si="0"/>
        <v>01/11/2021-30/11/2021</v>
      </c>
      <c r="B52" s="195">
        <f>'Baseline emission'!B175</f>
        <v>0.76229999999999998</v>
      </c>
      <c r="C52" s="195">
        <f>'Baseline emission'!C175</f>
        <v>0.53568000000000005</v>
      </c>
      <c r="D52" s="429"/>
      <c r="E52" s="517"/>
    </row>
    <row r="53" spans="1:6" x14ac:dyDescent="0.3">
      <c r="A53" s="98" t="str">
        <f t="shared" si="0"/>
        <v>01/12/2021-31/12/2021</v>
      </c>
      <c r="B53" s="195">
        <f>'Baseline emission'!B176</f>
        <v>0.78770999999999991</v>
      </c>
      <c r="C53" s="195">
        <f>'Baseline emission'!C176</f>
        <v>0.55502399999999996</v>
      </c>
      <c r="D53" s="429"/>
      <c r="E53" s="517"/>
    </row>
    <row r="54" spans="1:6" x14ac:dyDescent="0.3">
      <c r="A54" s="98" t="str">
        <f t="shared" si="0"/>
        <v>01/01/2022-31/01/2022</v>
      </c>
      <c r="B54" s="195">
        <f>'Baseline emission'!B177</f>
        <v>0.80463599999999991</v>
      </c>
      <c r="C54" s="195">
        <f>'Baseline emission'!C177</f>
        <v>0.55279199999999995</v>
      </c>
      <c r="D54" s="429"/>
      <c r="E54" s="517"/>
    </row>
    <row r="55" spans="1:6" x14ac:dyDescent="0.3">
      <c r="A55" s="98" t="str">
        <f t="shared" si="0"/>
        <v>01/02/2022-28/02/2022</v>
      </c>
      <c r="B55" s="195">
        <f>'Baseline emission'!B178</f>
        <v>0.71383200000000013</v>
      </c>
      <c r="C55" s="195">
        <f>'Baseline emission'!C178</f>
        <v>0.50534400000000002</v>
      </c>
      <c r="D55" s="429"/>
      <c r="E55" s="517"/>
    </row>
    <row r="56" spans="1:6" x14ac:dyDescent="0.3">
      <c r="A56" s="98" t="str">
        <f t="shared" si="0"/>
        <v>01/03/2022-31/03/2022</v>
      </c>
      <c r="B56" s="195">
        <f>'Baseline emission'!B179</f>
        <v>0.786408</v>
      </c>
      <c r="C56" s="195">
        <f>'Baseline emission'!C179</f>
        <v>0.55427999999999988</v>
      </c>
      <c r="D56" s="430"/>
      <c r="E56" s="518"/>
    </row>
    <row r="57" spans="1:6" s="86" customFormat="1" x14ac:dyDescent="0.3">
      <c r="A57" s="193" t="s">
        <v>252</v>
      </c>
      <c r="B57" s="196">
        <v>0.8</v>
      </c>
      <c r="C57" s="196">
        <v>0.8</v>
      </c>
      <c r="D57" s="133" t="s">
        <v>0</v>
      </c>
      <c r="E57" s="197" t="s">
        <v>360</v>
      </c>
      <c r="F57" s="198"/>
    </row>
    <row r="58" spans="1:6" ht="15.5" x14ac:dyDescent="0.4">
      <c r="A58" s="193" t="s">
        <v>13</v>
      </c>
      <c r="B58" s="199">
        <v>0.01</v>
      </c>
      <c r="C58" s="199">
        <v>0.01</v>
      </c>
      <c r="D58" s="30" t="s">
        <v>223</v>
      </c>
      <c r="E58" s="200" t="s">
        <v>44</v>
      </c>
    </row>
    <row r="59" spans="1:6" ht="15.5" x14ac:dyDescent="0.4">
      <c r="A59" s="193" t="s">
        <v>14</v>
      </c>
      <c r="B59" s="199">
        <v>7.4999999999999997E-3</v>
      </c>
      <c r="C59" s="199">
        <v>7.4999999999999997E-3</v>
      </c>
      <c r="D59" s="30" t="s">
        <v>223</v>
      </c>
      <c r="E59" s="200" t="s">
        <v>31</v>
      </c>
    </row>
    <row r="60" spans="1:6" ht="31" x14ac:dyDescent="0.3">
      <c r="A60" s="393" t="s">
        <v>12</v>
      </c>
      <c r="B60" s="223">
        <v>0.01</v>
      </c>
      <c r="C60" s="223">
        <v>0.01</v>
      </c>
      <c r="D60" s="309" t="s">
        <v>253</v>
      </c>
      <c r="E60" s="280" t="s">
        <v>31</v>
      </c>
      <c r="F60" s="198"/>
    </row>
    <row r="61" spans="1:6" ht="15.5" x14ac:dyDescent="0.3">
      <c r="A61" s="193" t="s">
        <v>254</v>
      </c>
      <c r="B61" s="199">
        <v>0.3</v>
      </c>
      <c r="C61" s="199">
        <v>0.3</v>
      </c>
      <c r="D61" s="30" t="s">
        <v>92</v>
      </c>
      <c r="E61" s="200" t="s">
        <v>31</v>
      </c>
    </row>
    <row r="62" spans="1:6" ht="27" x14ac:dyDescent="0.3">
      <c r="A62" s="193" t="s">
        <v>255</v>
      </c>
      <c r="B62" s="199">
        <v>0.2</v>
      </c>
      <c r="C62" s="199">
        <v>0.2</v>
      </c>
      <c r="D62" s="30" t="s">
        <v>92</v>
      </c>
      <c r="E62" s="200" t="s">
        <v>64</v>
      </c>
    </row>
    <row r="63" spans="1:6" ht="15.5" x14ac:dyDescent="0.4">
      <c r="A63" s="201" t="s">
        <v>237</v>
      </c>
      <c r="B63" s="44">
        <f>'Baseline emission'!B264</f>
        <v>298</v>
      </c>
      <c r="C63" s="44">
        <f>B63</f>
        <v>298</v>
      </c>
      <c r="D63" s="30" t="s">
        <v>256</v>
      </c>
      <c r="E63" s="197" t="s">
        <v>131</v>
      </c>
    </row>
    <row r="64" spans="1:6" ht="15.5" x14ac:dyDescent="0.4">
      <c r="A64" s="201" t="s">
        <v>237</v>
      </c>
      <c r="B64" s="44">
        <f>'Baseline emission'!B265</f>
        <v>265</v>
      </c>
      <c r="C64" s="44">
        <f>'Baseline emission'!C265</f>
        <v>265</v>
      </c>
      <c r="D64" s="30" t="s">
        <v>256</v>
      </c>
      <c r="E64" s="197" t="s">
        <v>127</v>
      </c>
    </row>
    <row r="65" spans="1:5" ht="15.5" x14ac:dyDescent="0.3">
      <c r="A65" s="202" t="s">
        <v>257</v>
      </c>
      <c r="B65" s="203"/>
      <c r="C65" s="203"/>
      <c r="D65" s="428" t="s">
        <v>258</v>
      </c>
      <c r="E65" s="516" t="s">
        <v>29</v>
      </c>
    </row>
    <row r="66" spans="1:5" x14ac:dyDescent="0.3">
      <c r="A66" s="98" t="str">
        <f>A41</f>
        <v>20/12/2020-31/12/2020</v>
      </c>
      <c r="B66" s="195">
        <f>ROUNDDOWN($B$58*(1-$B$57)*B41*B24,0)</f>
        <v>81</v>
      </c>
      <c r="C66" s="195">
        <f>ROUNDUP($C$58*(1-$C$57)*C41*C24,0)</f>
        <v>42</v>
      </c>
      <c r="D66" s="429"/>
      <c r="E66" s="517"/>
    </row>
    <row r="67" spans="1:5" x14ac:dyDescent="0.3">
      <c r="A67" s="98" t="str">
        <f t="shared" ref="A67:A81" si="1">A42</f>
        <v>01/01/2021-31/01/2021</v>
      </c>
      <c r="B67" s="195">
        <f t="shared" ref="B67:B81" si="2">ROUNDDOWN($B$58*(1-$B$57)*B42*B25,0)</f>
        <v>212</v>
      </c>
      <c r="C67" s="195">
        <f t="shared" ref="C67:C81" si="3">ROUNDUP($C$58*(1-$C$57)*C42*C25,0)</f>
        <v>107</v>
      </c>
      <c r="D67" s="429"/>
      <c r="E67" s="517"/>
    </row>
    <row r="68" spans="1:5" x14ac:dyDescent="0.3">
      <c r="A68" s="98" t="str">
        <f t="shared" si="1"/>
        <v>01/02/1021-28/02/2021</v>
      </c>
      <c r="B68" s="195">
        <f t="shared" si="2"/>
        <v>190</v>
      </c>
      <c r="C68" s="195">
        <f>ROUNDUP($C$58*(1-$C$57)*C43*C26,0)</f>
        <v>95</v>
      </c>
      <c r="D68" s="429"/>
      <c r="E68" s="517"/>
    </row>
    <row r="69" spans="1:5" x14ac:dyDescent="0.3">
      <c r="A69" s="98" t="str">
        <f t="shared" si="1"/>
        <v>01/03/2021-31/03/3021</v>
      </c>
      <c r="B69" s="195">
        <f t="shared" si="2"/>
        <v>207</v>
      </c>
      <c r="C69" s="195">
        <f t="shared" si="3"/>
        <v>105</v>
      </c>
      <c r="D69" s="429"/>
      <c r="E69" s="517"/>
    </row>
    <row r="70" spans="1:5" x14ac:dyDescent="0.3">
      <c r="A70" s="98" t="str">
        <f t="shared" si="1"/>
        <v>01/04/2021-30/04/2021</v>
      </c>
      <c r="B70" s="195">
        <f t="shared" si="2"/>
        <v>201</v>
      </c>
      <c r="C70" s="195">
        <f t="shared" si="3"/>
        <v>102</v>
      </c>
      <c r="D70" s="429"/>
      <c r="E70" s="517"/>
    </row>
    <row r="71" spans="1:5" x14ac:dyDescent="0.3">
      <c r="A71" s="98" t="str">
        <f t="shared" si="1"/>
        <v>01/05/2021-31/05/2021</v>
      </c>
      <c r="B71" s="195">
        <f t="shared" si="2"/>
        <v>209</v>
      </c>
      <c r="C71" s="195">
        <f t="shared" si="3"/>
        <v>106</v>
      </c>
      <c r="D71" s="429"/>
      <c r="E71" s="517"/>
    </row>
    <row r="72" spans="1:5" x14ac:dyDescent="0.3">
      <c r="A72" s="98" t="str">
        <f t="shared" si="1"/>
        <v>01/06/2021-30/06/2021</v>
      </c>
      <c r="B72" s="195">
        <f t="shared" si="2"/>
        <v>198</v>
      </c>
      <c r="C72" s="195">
        <f t="shared" si="3"/>
        <v>102</v>
      </c>
      <c r="D72" s="429"/>
      <c r="E72" s="517"/>
    </row>
    <row r="73" spans="1:5" x14ac:dyDescent="0.3">
      <c r="A73" s="98" t="str">
        <f t="shared" si="1"/>
        <v>01/07/2021-31/07/2021</v>
      </c>
      <c r="B73" s="195">
        <f t="shared" si="2"/>
        <v>210</v>
      </c>
      <c r="C73" s="195">
        <f t="shared" si="3"/>
        <v>106</v>
      </c>
      <c r="D73" s="429"/>
      <c r="E73" s="517"/>
    </row>
    <row r="74" spans="1:5" x14ac:dyDescent="0.3">
      <c r="A74" s="98" t="str">
        <f t="shared" si="1"/>
        <v>01/08/2021-31/08/2021</v>
      </c>
      <c r="B74" s="195">
        <f t="shared" si="2"/>
        <v>211</v>
      </c>
      <c r="C74" s="195">
        <f t="shared" si="3"/>
        <v>105</v>
      </c>
      <c r="D74" s="429"/>
      <c r="E74" s="517"/>
    </row>
    <row r="75" spans="1:5" x14ac:dyDescent="0.3">
      <c r="A75" s="98" t="str">
        <f t="shared" si="1"/>
        <v>01/09/2021-30/09/2021</v>
      </c>
      <c r="B75" s="195">
        <f t="shared" si="2"/>
        <v>198</v>
      </c>
      <c r="C75" s="195">
        <f t="shared" si="3"/>
        <v>102</v>
      </c>
      <c r="D75" s="429"/>
      <c r="E75" s="517"/>
    </row>
    <row r="76" spans="1:5" x14ac:dyDescent="0.3">
      <c r="A76" s="98" t="str">
        <f t="shared" si="1"/>
        <v>01/10/2021-31/10/2021</v>
      </c>
      <c r="B76" s="195">
        <f t="shared" si="2"/>
        <v>212</v>
      </c>
      <c r="C76" s="195">
        <f t="shared" si="3"/>
        <v>106</v>
      </c>
      <c r="D76" s="429"/>
      <c r="E76" s="517"/>
    </row>
    <row r="77" spans="1:5" x14ac:dyDescent="0.3">
      <c r="A77" s="98" t="str">
        <f t="shared" si="1"/>
        <v>01/11/2021-30/11/2021</v>
      </c>
      <c r="B77" s="195">
        <f t="shared" si="2"/>
        <v>201</v>
      </c>
      <c r="C77" s="195">
        <f t="shared" si="3"/>
        <v>103</v>
      </c>
      <c r="D77" s="429"/>
      <c r="E77" s="517"/>
    </row>
    <row r="78" spans="1:5" x14ac:dyDescent="0.3">
      <c r="A78" s="98" t="str">
        <f t="shared" si="1"/>
        <v>01/12/2021-31/12/2021</v>
      </c>
      <c r="B78" s="195">
        <f t="shared" si="2"/>
        <v>208</v>
      </c>
      <c r="C78" s="195">
        <f t="shared" si="3"/>
        <v>107</v>
      </c>
      <c r="D78" s="429"/>
      <c r="E78" s="517"/>
    </row>
    <row r="79" spans="1:5" x14ac:dyDescent="0.3">
      <c r="A79" s="98" t="str">
        <f t="shared" si="1"/>
        <v>01/01/2022-31/01/2022</v>
      </c>
      <c r="B79" s="195">
        <f t="shared" si="2"/>
        <v>212</v>
      </c>
      <c r="C79" s="195">
        <f t="shared" si="3"/>
        <v>107</v>
      </c>
      <c r="D79" s="429"/>
      <c r="E79" s="517"/>
    </row>
    <row r="80" spans="1:5" x14ac:dyDescent="0.3">
      <c r="A80" s="98" t="str">
        <f t="shared" si="1"/>
        <v>01/02/2022-28/02/2022</v>
      </c>
      <c r="B80" s="195">
        <f t="shared" si="2"/>
        <v>188</v>
      </c>
      <c r="C80" s="195">
        <f t="shared" si="3"/>
        <v>97</v>
      </c>
      <c r="D80" s="429"/>
      <c r="E80" s="517"/>
    </row>
    <row r="81" spans="1:5" x14ac:dyDescent="0.3">
      <c r="A81" s="98" t="str">
        <f t="shared" si="1"/>
        <v>01/03/2022-31/03/2022</v>
      </c>
      <c r="B81" s="195">
        <f t="shared" si="2"/>
        <v>207</v>
      </c>
      <c r="C81" s="195">
        <f t="shared" si="3"/>
        <v>107</v>
      </c>
      <c r="D81" s="429"/>
      <c r="E81" s="517"/>
    </row>
    <row r="82" spans="1:5" x14ac:dyDescent="0.3">
      <c r="A82" s="107" t="str">
        <f>'Project emission'!A34</f>
        <v>20/12/2020-31/12/2020</v>
      </c>
      <c r="B82" s="542">
        <f>B66+C66</f>
        <v>123</v>
      </c>
      <c r="C82" s="543"/>
      <c r="D82" s="429"/>
      <c r="E82" s="517"/>
    </row>
    <row r="83" spans="1:5" x14ac:dyDescent="0.3">
      <c r="A83" s="107" t="str">
        <f>'Project emission'!A35</f>
        <v>01/01/2021-31/12/2021</v>
      </c>
      <c r="B83" s="542">
        <f>SUM(B67:C78)</f>
        <v>3703</v>
      </c>
      <c r="C83" s="543"/>
      <c r="D83" s="429"/>
      <c r="E83" s="517"/>
    </row>
    <row r="84" spans="1:5" x14ac:dyDescent="0.3">
      <c r="A84" s="107" t="str">
        <f>'Project emission'!A36</f>
        <v>01/01/2022-31/03/2022</v>
      </c>
      <c r="B84" s="542">
        <f>SUM(B79:C81)</f>
        <v>918</v>
      </c>
      <c r="C84" s="543"/>
      <c r="D84" s="429"/>
      <c r="E84" s="517"/>
    </row>
    <row r="85" spans="1:5" x14ac:dyDescent="0.3">
      <c r="A85" s="202" t="s">
        <v>179</v>
      </c>
      <c r="B85" s="546">
        <f>B82+B83+B84</f>
        <v>4744</v>
      </c>
      <c r="C85" s="547"/>
      <c r="D85" s="430"/>
      <c r="E85" s="518"/>
    </row>
    <row r="86" spans="1:5" ht="15.5" x14ac:dyDescent="0.3">
      <c r="A86" s="202" t="s">
        <v>259</v>
      </c>
      <c r="B86" s="553"/>
      <c r="C86" s="554"/>
      <c r="D86" s="428" t="s">
        <v>260</v>
      </c>
      <c r="E86" s="516" t="s">
        <v>29</v>
      </c>
    </row>
    <row r="87" spans="1:5" x14ac:dyDescent="0.3">
      <c r="A87" s="98" t="str">
        <f>A66</f>
        <v>20/12/2020-31/12/2020</v>
      </c>
      <c r="B87" s="204">
        <f>ROUNDDOWN($B$59*$B$61*(1-$B$57)*B24*B41,0)</f>
        <v>18</v>
      </c>
      <c r="C87" s="204">
        <f>ROUNDDOWN($C$59*$C$61*(1-$C$57)*C24*C41,0)</f>
        <v>9</v>
      </c>
      <c r="D87" s="429"/>
      <c r="E87" s="517"/>
    </row>
    <row r="88" spans="1:5" x14ac:dyDescent="0.3">
      <c r="A88" s="98" t="str">
        <f t="shared" ref="A88:A105" si="4">A67</f>
        <v>01/01/2021-31/01/2021</v>
      </c>
      <c r="B88" s="204">
        <f t="shared" ref="B88:B102" si="5">ROUNDDOWN($B$59*$B$61*(1-$B$57)*B25*B42,0)</f>
        <v>47</v>
      </c>
      <c r="C88" s="204">
        <f t="shared" ref="C88:C102" si="6">ROUNDDOWN($C$59*$C$61*(1-$C$57)*C25*C42,0)</f>
        <v>23</v>
      </c>
      <c r="D88" s="429"/>
      <c r="E88" s="517"/>
    </row>
    <row r="89" spans="1:5" x14ac:dyDescent="0.3">
      <c r="A89" s="98" t="str">
        <f t="shared" si="4"/>
        <v>01/02/1021-28/02/2021</v>
      </c>
      <c r="B89" s="204">
        <f t="shared" si="5"/>
        <v>42</v>
      </c>
      <c r="C89" s="204">
        <f t="shared" si="6"/>
        <v>21</v>
      </c>
      <c r="D89" s="429"/>
      <c r="E89" s="517"/>
    </row>
    <row r="90" spans="1:5" x14ac:dyDescent="0.3">
      <c r="A90" s="98" t="str">
        <f t="shared" si="4"/>
        <v>01/03/2021-31/03/3021</v>
      </c>
      <c r="B90" s="204">
        <f t="shared" si="5"/>
        <v>46</v>
      </c>
      <c r="C90" s="204">
        <f t="shared" si="6"/>
        <v>23</v>
      </c>
      <c r="D90" s="429"/>
      <c r="E90" s="517"/>
    </row>
    <row r="91" spans="1:5" x14ac:dyDescent="0.3">
      <c r="A91" s="98" t="str">
        <f t="shared" si="4"/>
        <v>01/04/2021-30/04/2021</v>
      </c>
      <c r="B91" s="204">
        <f t="shared" si="5"/>
        <v>45</v>
      </c>
      <c r="C91" s="204">
        <f>ROUNDDOWN($C$59*$C$61*(1-$C$57)*C28*C45,0)</f>
        <v>22</v>
      </c>
      <c r="D91" s="429"/>
      <c r="E91" s="517"/>
    </row>
    <row r="92" spans="1:5" x14ac:dyDescent="0.3">
      <c r="A92" s="98" t="str">
        <f t="shared" si="4"/>
        <v>01/05/2021-31/05/2021</v>
      </c>
      <c r="B92" s="204">
        <f t="shared" si="5"/>
        <v>47</v>
      </c>
      <c r="C92" s="204">
        <f t="shared" si="6"/>
        <v>23</v>
      </c>
      <c r="D92" s="429"/>
      <c r="E92" s="517"/>
    </row>
    <row r="93" spans="1:5" x14ac:dyDescent="0.3">
      <c r="A93" s="98" t="str">
        <f t="shared" si="4"/>
        <v>01/06/2021-30/06/2021</v>
      </c>
      <c r="B93" s="204">
        <f t="shared" si="5"/>
        <v>44</v>
      </c>
      <c r="C93" s="204">
        <f t="shared" si="6"/>
        <v>22</v>
      </c>
      <c r="D93" s="429"/>
      <c r="E93" s="517"/>
    </row>
    <row r="94" spans="1:5" x14ac:dyDescent="0.3">
      <c r="A94" s="98" t="str">
        <f t="shared" si="4"/>
        <v>01/07/2021-31/07/2021</v>
      </c>
      <c r="B94" s="204">
        <f t="shared" si="5"/>
        <v>47</v>
      </c>
      <c r="C94" s="204">
        <f t="shared" si="6"/>
        <v>23</v>
      </c>
      <c r="D94" s="429"/>
      <c r="E94" s="517"/>
    </row>
    <row r="95" spans="1:5" x14ac:dyDescent="0.3">
      <c r="A95" s="98" t="str">
        <f t="shared" si="4"/>
        <v>01/08/2021-31/08/2021</v>
      </c>
      <c r="B95" s="204">
        <f t="shared" si="5"/>
        <v>47</v>
      </c>
      <c r="C95" s="204">
        <f t="shared" si="6"/>
        <v>23</v>
      </c>
      <c r="D95" s="429"/>
      <c r="E95" s="517"/>
    </row>
    <row r="96" spans="1:5" x14ac:dyDescent="0.3">
      <c r="A96" s="98" t="str">
        <f t="shared" si="4"/>
        <v>01/09/2021-30/09/2021</v>
      </c>
      <c r="B96" s="204">
        <f t="shared" si="5"/>
        <v>44</v>
      </c>
      <c r="C96" s="204">
        <f t="shared" si="6"/>
        <v>22</v>
      </c>
      <c r="D96" s="429"/>
      <c r="E96" s="517"/>
    </row>
    <row r="97" spans="1:5" x14ac:dyDescent="0.3">
      <c r="A97" s="98" t="str">
        <f t="shared" si="4"/>
        <v>01/10/2021-31/10/2021</v>
      </c>
      <c r="B97" s="204">
        <f t="shared" si="5"/>
        <v>47</v>
      </c>
      <c r="C97" s="204">
        <f t="shared" si="6"/>
        <v>23</v>
      </c>
      <c r="D97" s="429"/>
      <c r="E97" s="517"/>
    </row>
    <row r="98" spans="1:5" x14ac:dyDescent="0.3">
      <c r="A98" s="98" t="str">
        <f t="shared" si="4"/>
        <v>01/11/2021-30/11/2021</v>
      </c>
      <c r="B98" s="204">
        <f t="shared" si="5"/>
        <v>45</v>
      </c>
      <c r="C98" s="204">
        <f t="shared" si="6"/>
        <v>23</v>
      </c>
      <c r="D98" s="429"/>
      <c r="E98" s="517"/>
    </row>
    <row r="99" spans="1:5" x14ac:dyDescent="0.3">
      <c r="A99" s="98" t="str">
        <f t="shared" si="4"/>
        <v>01/12/2021-31/12/2021</v>
      </c>
      <c r="B99" s="204">
        <f t="shared" si="5"/>
        <v>46</v>
      </c>
      <c r="C99" s="204">
        <f t="shared" si="6"/>
        <v>23</v>
      </c>
      <c r="D99" s="429"/>
      <c r="E99" s="517"/>
    </row>
    <row r="100" spans="1:5" x14ac:dyDescent="0.3">
      <c r="A100" s="98" t="str">
        <f t="shared" si="4"/>
        <v>01/01/2022-31/01/2022</v>
      </c>
      <c r="B100" s="204">
        <f t="shared" si="5"/>
        <v>47</v>
      </c>
      <c r="C100" s="204">
        <f t="shared" si="6"/>
        <v>23</v>
      </c>
      <c r="D100" s="429"/>
      <c r="E100" s="517"/>
    </row>
    <row r="101" spans="1:5" x14ac:dyDescent="0.3">
      <c r="A101" s="98" t="str">
        <f t="shared" si="4"/>
        <v>01/02/2022-28/02/2022</v>
      </c>
      <c r="B101" s="204">
        <f t="shared" si="5"/>
        <v>42</v>
      </c>
      <c r="C101" s="204">
        <f t="shared" si="6"/>
        <v>21</v>
      </c>
      <c r="D101" s="429"/>
      <c r="E101" s="517"/>
    </row>
    <row r="102" spans="1:5" x14ac:dyDescent="0.3">
      <c r="A102" s="98" t="str">
        <f t="shared" si="4"/>
        <v>01/03/2022-31/03/2022</v>
      </c>
      <c r="B102" s="204">
        <f t="shared" si="5"/>
        <v>46</v>
      </c>
      <c r="C102" s="204">
        <f t="shared" si="6"/>
        <v>23</v>
      </c>
      <c r="D102" s="429"/>
      <c r="E102" s="517"/>
    </row>
    <row r="103" spans="1:5" x14ac:dyDescent="0.3">
      <c r="A103" s="107" t="str">
        <f t="shared" si="4"/>
        <v>20/12/2020-31/12/2020</v>
      </c>
      <c r="B103" s="544">
        <f>B87+C87</f>
        <v>27</v>
      </c>
      <c r="C103" s="545"/>
      <c r="D103" s="429"/>
      <c r="E103" s="517"/>
    </row>
    <row r="104" spans="1:5" x14ac:dyDescent="0.3">
      <c r="A104" s="107" t="str">
        <f t="shared" si="4"/>
        <v>01/01/2021-31/12/2021</v>
      </c>
      <c r="B104" s="544">
        <f>SUM(B88:C99)</f>
        <v>818</v>
      </c>
      <c r="C104" s="545"/>
      <c r="D104" s="429"/>
      <c r="E104" s="517"/>
    </row>
    <row r="105" spans="1:5" x14ac:dyDescent="0.3">
      <c r="A105" s="107" t="str">
        <f t="shared" si="4"/>
        <v>01/01/2022-31/03/2022</v>
      </c>
      <c r="B105" s="544">
        <f>SUM(B100:C102)</f>
        <v>202</v>
      </c>
      <c r="C105" s="545"/>
      <c r="D105" s="429"/>
      <c r="E105" s="517"/>
    </row>
    <row r="106" spans="1:5" x14ac:dyDescent="0.3">
      <c r="A106" s="202" t="s">
        <v>179</v>
      </c>
      <c r="B106" s="546">
        <f>B104+B105+B103</f>
        <v>1047</v>
      </c>
      <c r="C106" s="547"/>
      <c r="D106" s="430"/>
      <c r="E106" s="518"/>
    </row>
    <row r="107" spans="1:5" ht="15.5" x14ac:dyDescent="0.3">
      <c r="A107" s="202" t="s">
        <v>261</v>
      </c>
      <c r="B107" s="555"/>
      <c r="C107" s="556"/>
      <c r="D107" s="428" t="s">
        <v>260</v>
      </c>
      <c r="E107" s="516" t="s">
        <v>29</v>
      </c>
    </row>
    <row r="108" spans="1:5" x14ac:dyDescent="0.3">
      <c r="A108" s="98" t="str">
        <f>A87</f>
        <v>20/12/2020-31/12/2020</v>
      </c>
      <c r="B108" s="203">
        <f>ROUNDDOWN($B$60*(1-$B$57)*$B$62*B24*B41,0)</f>
        <v>16</v>
      </c>
      <c r="C108" s="203">
        <f>ROUNDDOWN($C$60*(1-$C$57)*$C$62*C24*C41,0)</f>
        <v>8</v>
      </c>
      <c r="D108" s="429"/>
      <c r="E108" s="517"/>
    </row>
    <row r="109" spans="1:5" x14ac:dyDescent="0.3">
      <c r="A109" s="98" t="str">
        <f t="shared" ref="A109:A126" si="7">A88</f>
        <v>01/01/2021-31/01/2021</v>
      </c>
      <c r="B109" s="203">
        <f t="shared" ref="B109:B123" si="8">ROUNDDOWN($B$60*(1-$B$57)*$B$62*B25*B42,0)</f>
        <v>42</v>
      </c>
      <c r="C109" s="203">
        <f t="shared" ref="C109:C123" si="9">ROUNDDOWN($C$60*(1-$C$57)*$C$62*C25*C42,0)</f>
        <v>21</v>
      </c>
      <c r="D109" s="429"/>
      <c r="E109" s="517"/>
    </row>
    <row r="110" spans="1:5" x14ac:dyDescent="0.3">
      <c r="A110" s="98" t="str">
        <f t="shared" si="7"/>
        <v>01/02/1021-28/02/2021</v>
      </c>
      <c r="B110" s="203">
        <f t="shared" si="8"/>
        <v>38</v>
      </c>
      <c r="C110" s="203">
        <f t="shared" si="9"/>
        <v>18</v>
      </c>
      <c r="D110" s="429"/>
      <c r="E110" s="517"/>
    </row>
    <row r="111" spans="1:5" x14ac:dyDescent="0.3">
      <c r="A111" s="98" t="str">
        <f t="shared" si="7"/>
        <v>01/03/2021-31/03/3021</v>
      </c>
      <c r="B111" s="203">
        <f t="shared" si="8"/>
        <v>41</v>
      </c>
      <c r="C111" s="203">
        <f t="shared" si="9"/>
        <v>20</v>
      </c>
      <c r="D111" s="429"/>
      <c r="E111" s="517"/>
    </row>
    <row r="112" spans="1:5" x14ac:dyDescent="0.3">
      <c r="A112" s="98" t="str">
        <f t="shared" si="7"/>
        <v>01/04/2021-30/04/2021</v>
      </c>
      <c r="B112" s="203">
        <f t="shared" si="8"/>
        <v>40</v>
      </c>
      <c r="C112" s="203">
        <f t="shared" si="9"/>
        <v>20</v>
      </c>
      <c r="D112" s="429"/>
      <c r="E112" s="517"/>
    </row>
    <row r="113" spans="1:5" x14ac:dyDescent="0.3">
      <c r="A113" s="98" t="str">
        <f t="shared" si="7"/>
        <v>01/05/2021-31/05/2021</v>
      </c>
      <c r="B113" s="203">
        <f t="shared" si="8"/>
        <v>41</v>
      </c>
      <c r="C113" s="203">
        <f>ROUNDDOWN($C$60*(1-$C$57)*$C$62*C29*C46,0)</f>
        <v>21</v>
      </c>
      <c r="D113" s="429"/>
      <c r="E113" s="517"/>
    </row>
    <row r="114" spans="1:5" x14ac:dyDescent="0.3">
      <c r="A114" s="98" t="str">
        <f t="shared" si="7"/>
        <v>01/06/2021-30/06/2021</v>
      </c>
      <c r="B114" s="203">
        <f t="shared" si="8"/>
        <v>39</v>
      </c>
      <c r="C114" s="203">
        <f t="shared" si="9"/>
        <v>20</v>
      </c>
      <c r="D114" s="429"/>
      <c r="E114" s="517"/>
    </row>
    <row r="115" spans="1:5" x14ac:dyDescent="0.3">
      <c r="A115" s="98" t="str">
        <f t="shared" si="7"/>
        <v>01/07/2021-31/07/2021</v>
      </c>
      <c r="B115" s="203">
        <f t="shared" si="8"/>
        <v>42</v>
      </c>
      <c r="C115" s="203">
        <f t="shared" si="9"/>
        <v>21</v>
      </c>
      <c r="D115" s="429"/>
      <c r="E115" s="517"/>
    </row>
    <row r="116" spans="1:5" x14ac:dyDescent="0.3">
      <c r="A116" s="98" t="str">
        <f t="shared" si="7"/>
        <v>01/08/2021-31/08/2021</v>
      </c>
      <c r="B116" s="203">
        <f t="shared" si="8"/>
        <v>42</v>
      </c>
      <c r="C116" s="203">
        <f t="shared" si="9"/>
        <v>20</v>
      </c>
      <c r="D116" s="429"/>
      <c r="E116" s="517"/>
    </row>
    <row r="117" spans="1:5" x14ac:dyDescent="0.3">
      <c r="A117" s="98" t="str">
        <f t="shared" si="7"/>
        <v>01/09/2021-30/09/2021</v>
      </c>
      <c r="B117" s="203">
        <f t="shared" si="8"/>
        <v>39</v>
      </c>
      <c r="C117" s="203">
        <f t="shared" si="9"/>
        <v>20</v>
      </c>
      <c r="D117" s="429"/>
      <c r="E117" s="517"/>
    </row>
    <row r="118" spans="1:5" x14ac:dyDescent="0.3">
      <c r="A118" s="98" t="str">
        <f t="shared" si="7"/>
        <v>01/10/2021-31/10/2021</v>
      </c>
      <c r="B118" s="203">
        <f t="shared" si="8"/>
        <v>42</v>
      </c>
      <c r="C118" s="203">
        <f t="shared" si="9"/>
        <v>21</v>
      </c>
      <c r="D118" s="429"/>
      <c r="E118" s="517"/>
    </row>
    <row r="119" spans="1:5" x14ac:dyDescent="0.3">
      <c r="A119" s="98" t="str">
        <f t="shared" si="7"/>
        <v>01/11/2021-30/11/2021</v>
      </c>
      <c r="B119" s="203">
        <f t="shared" si="8"/>
        <v>40</v>
      </c>
      <c r="C119" s="203">
        <f t="shared" si="9"/>
        <v>20</v>
      </c>
      <c r="D119" s="429"/>
      <c r="E119" s="517"/>
    </row>
    <row r="120" spans="1:5" x14ac:dyDescent="0.3">
      <c r="A120" s="98" t="str">
        <f t="shared" si="7"/>
        <v>01/12/2021-31/12/2021</v>
      </c>
      <c r="B120" s="203">
        <f t="shared" si="8"/>
        <v>41</v>
      </c>
      <c r="C120" s="203">
        <f t="shared" si="9"/>
        <v>21</v>
      </c>
      <c r="D120" s="429"/>
      <c r="E120" s="517"/>
    </row>
    <row r="121" spans="1:5" x14ac:dyDescent="0.3">
      <c r="A121" s="98" t="str">
        <f t="shared" si="7"/>
        <v>01/01/2022-31/01/2022</v>
      </c>
      <c r="B121" s="203">
        <f t="shared" si="8"/>
        <v>42</v>
      </c>
      <c r="C121" s="203">
        <f t="shared" si="9"/>
        <v>21</v>
      </c>
      <c r="D121" s="429"/>
      <c r="E121" s="517"/>
    </row>
    <row r="122" spans="1:5" x14ac:dyDescent="0.3">
      <c r="A122" s="98" t="str">
        <f t="shared" si="7"/>
        <v>01/02/2022-28/02/2022</v>
      </c>
      <c r="B122" s="203">
        <f t="shared" si="8"/>
        <v>37</v>
      </c>
      <c r="C122" s="203">
        <f t="shared" si="9"/>
        <v>19</v>
      </c>
      <c r="D122" s="429"/>
      <c r="E122" s="517"/>
    </row>
    <row r="123" spans="1:5" x14ac:dyDescent="0.3">
      <c r="A123" s="98" t="str">
        <f t="shared" si="7"/>
        <v>01/03/2022-31/03/2022</v>
      </c>
      <c r="B123" s="203">
        <f t="shared" si="8"/>
        <v>41</v>
      </c>
      <c r="C123" s="203">
        <f t="shared" si="9"/>
        <v>21</v>
      </c>
      <c r="D123" s="429"/>
      <c r="E123" s="517"/>
    </row>
    <row r="124" spans="1:5" x14ac:dyDescent="0.3">
      <c r="A124" s="107" t="str">
        <f t="shared" si="7"/>
        <v>20/12/2020-31/12/2020</v>
      </c>
      <c r="B124" s="544">
        <f>B108+C108</f>
        <v>24</v>
      </c>
      <c r="C124" s="545"/>
      <c r="D124" s="429"/>
      <c r="E124" s="517"/>
    </row>
    <row r="125" spans="1:5" x14ac:dyDescent="0.3">
      <c r="A125" s="107" t="str">
        <f t="shared" si="7"/>
        <v>01/01/2021-31/12/2021</v>
      </c>
      <c r="B125" s="544">
        <f>SUM(B109:C120)</f>
        <v>730</v>
      </c>
      <c r="C125" s="545"/>
      <c r="D125" s="429"/>
      <c r="E125" s="517"/>
    </row>
    <row r="126" spans="1:5" x14ac:dyDescent="0.3">
      <c r="A126" s="107" t="str">
        <f t="shared" si="7"/>
        <v>01/01/2022-31/03/2022</v>
      </c>
      <c r="B126" s="544">
        <f>SUM(B121:C123)</f>
        <v>181</v>
      </c>
      <c r="C126" s="545"/>
      <c r="D126" s="429"/>
      <c r="E126" s="517"/>
    </row>
    <row r="127" spans="1:5" x14ac:dyDescent="0.3">
      <c r="A127" s="98" t="s">
        <v>179</v>
      </c>
      <c r="B127" s="546">
        <f>B125+B126+B124</f>
        <v>935</v>
      </c>
      <c r="C127" s="547"/>
      <c r="D127" s="430"/>
      <c r="E127" s="518"/>
    </row>
    <row r="128" spans="1:5" ht="15.5" customHeight="1" x14ac:dyDescent="0.3">
      <c r="A128" s="107" t="str">
        <f>A124</f>
        <v>20/12/2020-31/12/2020</v>
      </c>
      <c r="B128" s="546">
        <f>ROUNDDOWN(B63*44/28*1/1000*(B82+B103+B124),0)</f>
        <v>81</v>
      </c>
      <c r="C128" s="547"/>
      <c r="D128" s="428" t="s">
        <v>262</v>
      </c>
      <c r="E128" s="516" t="s">
        <v>29</v>
      </c>
    </row>
    <row r="129" spans="1:5" ht="15.5" customHeight="1" x14ac:dyDescent="0.3">
      <c r="A129" s="107" t="str">
        <f t="shared" ref="A129:A130" si="10">A125</f>
        <v>01/01/2021-31/12/2021</v>
      </c>
      <c r="B129" s="546">
        <f>ROUNDDOWN(B64*44/28*1/1000*(B83+B104+B125),0)</f>
        <v>2186</v>
      </c>
      <c r="C129" s="547"/>
      <c r="D129" s="429"/>
      <c r="E129" s="517"/>
    </row>
    <row r="130" spans="1:5" x14ac:dyDescent="0.3">
      <c r="A130" s="107" t="str">
        <f t="shared" si="10"/>
        <v>01/01/2022-31/03/2022</v>
      </c>
      <c r="B130" s="546">
        <f>ROUNDDOWN(B64*44/28*1/1000*(B84+B105+B126),0)</f>
        <v>541</v>
      </c>
      <c r="C130" s="547"/>
      <c r="D130" s="429"/>
      <c r="E130" s="517"/>
    </row>
    <row r="131" spans="1:5" ht="16" thickBot="1" x14ac:dyDescent="0.35">
      <c r="A131" s="205" t="s">
        <v>263</v>
      </c>
      <c r="B131" s="548">
        <f>B129+B130+B128</f>
        <v>2808</v>
      </c>
      <c r="C131" s="549"/>
      <c r="D131" s="523"/>
      <c r="E131" s="531"/>
    </row>
    <row r="132" spans="1:5" x14ac:dyDescent="0.3">
      <c r="A132" s="206"/>
      <c r="B132" s="207"/>
      <c r="C132" s="207"/>
    </row>
    <row r="133" spans="1:5" x14ac:dyDescent="0.3">
      <c r="A133" s="206"/>
      <c r="B133" s="207"/>
      <c r="C133" s="207"/>
    </row>
    <row r="134" spans="1:5" x14ac:dyDescent="0.3">
      <c r="A134" s="206"/>
      <c r="B134" s="207"/>
      <c r="C134" s="207"/>
      <c r="D134" s="112"/>
    </row>
    <row r="135" spans="1:5" x14ac:dyDescent="0.3">
      <c r="A135" s="206"/>
      <c r="B135" s="207"/>
      <c r="C135" s="207"/>
      <c r="D135" s="112"/>
    </row>
    <row r="136" spans="1:5" x14ac:dyDescent="0.3">
      <c r="A136" s="206"/>
      <c r="B136" s="207"/>
      <c r="C136" s="207"/>
      <c r="D136" s="112"/>
    </row>
    <row r="137" spans="1:5" x14ac:dyDescent="0.3">
      <c r="A137" s="206"/>
      <c r="B137" s="207"/>
      <c r="C137" s="207"/>
      <c r="D137" s="112"/>
    </row>
    <row r="138" spans="1:5" x14ac:dyDescent="0.3">
      <c r="A138" s="206"/>
      <c r="B138" s="207"/>
      <c r="C138" s="207"/>
      <c r="D138" s="112"/>
    </row>
    <row r="139" spans="1:5" x14ac:dyDescent="0.3">
      <c r="A139" s="206"/>
      <c r="B139" s="207"/>
      <c r="C139" s="207"/>
      <c r="D139" s="112"/>
    </row>
    <row r="140" spans="1:5" x14ac:dyDescent="0.3">
      <c r="A140" s="206"/>
      <c r="B140" s="207"/>
      <c r="C140" s="207"/>
      <c r="D140" s="112"/>
    </row>
    <row r="141" spans="1:5" x14ac:dyDescent="0.3">
      <c r="A141" s="206"/>
      <c r="B141" s="207"/>
      <c r="C141" s="207"/>
      <c r="D141" s="112"/>
    </row>
    <row r="142" spans="1:5" x14ac:dyDescent="0.3">
      <c r="A142" s="206"/>
      <c r="B142" s="207"/>
      <c r="C142" s="207"/>
      <c r="D142" s="112"/>
    </row>
    <row r="143" spans="1:5" x14ac:dyDescent="0.3">
      <c r="A143" s="206"/>
      <c r="B143" s="207"/>
      <c r="C143" s="207"/>
      <c r="D143" s="112"/>
    </row>
    <row r="144" spans="1:5" x14ac:dyDescent="0.3">
      <c r="A144" s="206"/>
      <c r="B144" s="207"/>
      <c r="C144" s="207"/>
      <c r="D144" s="112"/>
    </row>
    <row r="145" spans="1:6" x14ac:dyDescent="0.3">
      <c r="A145" s="206"/>
      <c r="B145" s="207"/>
      <c r="C145" s="207"/>
      <c r="D145" s="112"/>
    </row>
    <row r="146" spans="1:6" x14ac:dyDescent="0.3">
      <c r="A146" s="206"/>
      <c r="B146" s="207"/>
      <c r="C146" s="207"/>
      <c r="D146" s="112"/>
    </row>
    <row r="147" spans="1:6" ht="14" thickBot="1" x14ac:dyDescent="0.35">
      <c r="A147" s="206"/>
      <c r="B147" s="207"/>
      <c r="C147" s="207"/>
    </row>
    <row r="148" spans="1:6" x14ac:dyDescent="0.3">
      <c r="A148" s="116" t="s">
        <v>3</v>
      </c>
      <c r="B148" s="117" t="s">
        <v>18</v>
      </c>
      <c r="C148" s="117"/>
      <c r="D148" s="117" t="s">
        <v>2</v>
      </c>
      <c r="E148" s="191" t="s">
        <v>4</v>
      </c>
    </row>
    <row r="149" spans="1:6" x14ac:dyDescent="0.3">
      <c r="A149" s="193" t="s">
        <v>264</v>
      </c>
      <c r="B149" s="196">
        <v>0.25</v>
      </c>
      <c r="C149" s="196">
        <f>B149</f>
        <v>0.25</v>
      </c>
      <c r="D149" s="133" t="s">
        <v>0</v>
      </c>
      <c r="E149" s="200" t="s">
        <v>361</v>
      </c>
      <c r="F149" s="208"/>
    </row>
    <row r="150" spans="1:6" x14ac:dyDescent="0.3">
      <c r="A150" s="193" t="s">
        <v>264</v>
      </c>
      <c r="B150" s="196">
        <v>0.05</v>
      </c>
      <c r="C150" s="196">
        <v>0.05</v>
      </c>
      <c r="D150" s="133"/>
      <c r="E150" s="200" t="s">
        <v>362</v>
      </c>
      <c r="F150" s="208"/>
    </row>
    <row r="151" spans="1:6" ht="15.5" x14ac:dyDescent="0.4">
      <c r="A151" s="193" t="s">
        <v>13</v>
      </c>
      <c r="B151" s="199">
        <v>0.01</v>
      </c>
      <c r="C151" s="199">
        <v>0.01</v>
      </c>
      <c r="D151" s="30" t="s">
        <v>265</v>
      </c>
      <c r="E151" s="200" t="s">
        <v>44</v>
      </c>
      <c r="F151" s="208"/>
    </row>
    <row r="152" spans="1:6" ht="15.5" x14ac:dyDescent="0.4">
      <c r="A152" s="193" t="s">
        <v>14</v>
      </c>
      <c r="B152" s="199">
        <v>7.4999999999999997E-3</v>
      </c>
      <c r="C152" s="199">
        <v>7.4999999999999997E-3</v>
      </c>
      <c r="D152" s="30" t="s">
        <v>265</v>
      </c>
      <c r="E152" s="200" t="s">
        <v>31</v>
      </c>
      <c r="F152" s="208"/>
    </row>
    <row r="153" spans="1:6" ht="31" x14ac:dyDescent="0.4">
      <c r="A153" s="193" t="s">
        <v>12</v>
      </c>
      <c r="B153" s="199">
        <v>0.01</v>
      </c>
      <c r="C153" s="199">
        <v>0.01</v>
      </c>
      <c r="D153" s="323" t="s">
        <v>253</v>
      </c>
      <c r="E153" s="400" t="s">
        <v>31</v>
      </c>
      <c r="F153" s="208"/>
    </row>
    <row r="154" spans="1:6" ht="15.5" x14ac:dyDescent="0.3">
      <c r="A154" s="193" t="s">
        <v>254</v>
      </c>
      <c r="B154" s="199">
        <v>0.3</v>
      </c>
      <c r="C154" s="199">
        <v>0.3</v>
      </c>
      <c r="D154" s="30" t="s">
        <v>92</v>
      </c>
      <c r="E154" s="200" t="s">
        <v>31</v>
      </c>
      <c r="F154" s="208"/>
    </row>
    <row r="155" spans="1:6" ht="54" x14ac:dyDescent="0.3">
      <c r="A155" s="193" t="s">
        <v>255</v>
      </c>
      <c r="B155" s="199">
        <v>0.2</v>
      </c>
      <c r="C155" s="199">
        <v>0.2</v>
      </c>
      <c r="D155" s="133" t="s">
        <v>92</v>
      </c>
      <c r="E155" s="200" t="s">
        <v>57</v>
      </c>
      <c r="F155" s="208"/>
    </row>
    <row r="156" spans="1:6" ht="15.5" x14ac:dyDescent="0.3">
      <c r="A156" s="202" t="s">
        <v>266</v>
      </c>
      <c r="B156" s="133"/>
      <c r="C156" s="133"/>
      <c r="D156" s="428" t="s">
        <v>158</v>
      </c>
      <c r="E156" s="517" t="s">
        <v>108</v>
      </c>
      <c r="F156" s="208"/>
    </row>
    <row r="157" spans="1:6" x14ac:dyDescent="0.3">
      <c r="A157" s="98" t="str">
        <f>A108</f>
        <v>20/12/2020-31/12/2020</v>
      </c>
      <c r="B157" s="204">
        <f>ROUNDUP($B$151*(1-$B$149)*(1-$B$150)*B24*B41,0)</f>
        <v>292</v>
      </c>
      <c r="C157" s="204">
        <f>ROUNDUP($C$151*(1-$C$149)*(1-$C$150)*C41*C24,0)</f>
        <v>147</v>
      </c>
      <c r="D157" s="429"/>
      <c r="E157" s="517"/>
      <c r="F157" s="208"/>
    </row>
    <row r="158" spans="1:6" x14ac:dyDescent="0.3">
      <c r="A158" s="98" t="str">
        <f t="shared" ref="A158:A172" si="11">A109</f>
        <v>01/01/2021-31/01/2021</v>
      </c>
      <c r="B158" s="204">
        <f t="shared" ref="B158:B172" si="12">ROUNDUP($B$151*(1-$B$149)*(1-$B$150)*B25*B42,0)</f>
        <v>756</v>
      </c>
      <c r="C158" s="204">
        <f t="shared" ref="C158:C172" si="13">ROUNDUP($C$151*(1-$C$149)*(1-$C$150)*C42*C25,0)</f>
        <v>380</v>
      </c>
      <c r="D158" s="429"/>
      <c r="E158" s="517"/>
      <c r="F158" s="208"/>
    </row>
    <row r="159" spans="1:6" x14ac:dyDescent="0.3">
      <c r="A159" s="98" t="str">
        <f t="shared" si="11"/>
        <v>01/02/1021-28/02/2021</v>
      </c>
      <c r="B159" s="204">
        <f t="shared" si="12"/>
        <v>678</v>
      </c>
      <c r="C159" s="204">
        <f t="shared" si="13"/>
        <v>335</v>
      </c>
      <c r="D159" s="429"/>
      <c r="E159" s="517"/>
      <c r="F159" s="208"/>
    </row>
    <row r="160" spans="1:6" x14ac:dyDescent="0.3">
      <c r="A160" s="98" t="str">
        <f t="shared" si="11"/>
        <v>01/03/2021-31/03/3021</v>
      </c>
      <c r="B160" s="204">
        <f t="shared" si="12"/>
        <v>741</v>
      </c>
      <c r="C160" s="204">
        <f t="shared" si="13"/>
        <v>372</v>
      </c>
      <c r="D160" s="429"/>
      <c r="E160" s="517"/>
      <c r="F160" s="208"/>
    </row>
    <row r="161" spans="1:6" x14ac:dyDescent="0.3">
      <c r="A161" s="98" t="str">
        <f t="shared" si="11"/>
        <v>01/04/2021-30/04/2021</v>
      </c>
      <c r="B161" s="204">
        <f t="shared" si="12"/>
        <v>719</v>
      </c>
      <c r="C161" s="204">
        <f t="shared" si="13"/>
        <v>363</v>
      </c>
      <c r="D161" s="429"/>
      <c r="E161" s="517"/>
      <c r="F161" s="208"/>
    </row>
    <row r="162" spans="1:6" x14ac:dyDescent="0.3">
      <c r="A162" s="98" t="str">
        <f t="shared" si="11"/>
        <v>01/05/2021-31/05/2021</v>
      </c>
      <c r="B162" s="204">
        <f t="shared" si="12"/>
        <v>747</v>
      </c>
      <c r="C162" s="204">
        <f t="shared" si="13"/>
        <v>378</v>
      </c>
      <c r="D162" s="429"/>
      <c r="E162" s="517"/>
      <c r="F162" s="208"/>
    </row>
    <row r="163" spans="1:6" x14ac:dyDescent="0.3">
      <c r="A163" s="98" t="str">
        <f t="shared" si="11"/>
        <v>01/06/2021-30/06/2021</v>
      </c>
      <c r="B163" s="204">
        <f t="shared" si="12"/>
        <v>708</v>
      </c>
      <c r="C163" s="204">
        <f t="shared" si="13"/>
        <v>363</v>
      </c>
      <c r="D163" s="429"/>
      <c r="E163" s="517"/>
      <c r="F163" s="208"/>
    </row>
    <row r="164" spans="1:6" x14ac:dyDescent="0.3">
      <c r="A164" s="98" t="str">
        <f t="shared" si="11"/>
        <v>01/07/2021-31/07/2021</v>
      </c>
      <c r="B164" s="204">
        <f t="shared" si="12"/>
        <v>752</v>
      </c>
      <c r="C164" s="204">
        <f t="shared" si="13"/>
        <v>376</v>
      </c>
      <c r="D164" s="429"/>
      <c r="E164" s="517"/>
      <c r="F164" s="208"/>
    </row>
    <row r="165" spans="1:6" x14ac:dyDescent="0.3">
      <c r="A165" s="98" t="str">
        <f t="shared" si="11"/>
        <v>01/08/2021-31/08/2021</v>
      </c>
      <c r="B165" s="204">
        <f t="shared" si="12"/>
        <v>755</v>
      </c>
      <c r="C165" s="204">
        <f t="shared" si="13"/>
        <v>374</v>
      </c>
      <c r="D165" s="429"/>
      <c r="E165" s="517"/>
      <c r="F165" s="208"/>
    </row>
    <row r="166" spans="1:6" x14ac:dyDescent="0.3">
      <c r="A166" s="98" t="str">
        <f t="shared" si="11"/>
        <v>01/09/2021-30/09/2021</v>
      </c>
      <c r="B166" s="204">
        <f t="shared" si="12"/>
        <v>707</v>
      </c>
      <c r="C166" s="204">
        <f t="shared" si="13"/>
        <v>362</v>
      </c>
      <c r="D166" s="429"/>
      <c r="E166" s="517"/>
      <c r="F166" s="208"/>
    </row>
    <row r="167" spans="1:6" x14ac:dyDescent="0.3">
      <c r="A167" s="98" t="str">
        <f t="shared" si="11"/>
        <v>01/10/2021-31/10/2021</v>
      </c>
      <c r="B167" s="204">
        <f t="shared" si="12"/>
        <v>758</v>
      </c>
      <c r="C167" s="204">
        <f t="shared" si="13"/>
        <v>377</v>
      </c>
      <c r="D167" s="429"/>
      <c r="E167" s="517"/>
      <c r="F167" s="208"/>
    </row>
    <row r="168" spans="1:6" x14ac:dyDescent="0.3">
      <c r="A168" s="98" t="str">
        <f t="shared" si="11"/>
        <v>01/11/2021-30/11/2021</v>
      </c>
      <c r="B168" s="204">
        <f t="shared" si="12"/>
        <v>718</v>
      </c>
      <c r="C168" s="204">
        <f t="shared" si="13"/>
        <v>367</v>
      </c>
      <c r="D168" s="429"/>
      <c r="E168" s="517"/>
      <c r="F168" s="208"/>
    </row>
    <row r="169" spans="1:6" x14ac:dyDescent="0.3">
      <c r="A169" s="98" t="str">
        <f t="shared" si="11"/>
        <v>01/12/2021-31/12/2021</v>
      </c>
      <c r="B169" s="204">
        <f t="shared" si="12"/>
        <v>742</v>
      </c>
      <c r="C169" s="204">
        <f t="shared" si="13"/>
        <v>380</v>
      </c>
      <c r="D169" s="429"/>
      <c r="E169" s="517"/>
      <c r="F169" s="208"/>
    </row>
    <row r="170" spans="1:6" x14ac:dyDescent="0.3">
      <c r="A170" s="98" t="str">
        <f t="shared" si="11"/>
        <v>01/01/2022-31/01/2022</v>
      </c>
      <c r="B170" s="204">
        <f t="shared" si="12"/>
        <v>758</v>
      </c>
      <c r="C170" s="204">
        <f t="shared" si="13"/>
        <v>378</v>
      </c>
      <c r="D170" s="429"/>
      <c r="E170" s="517"/>
      <c r="F170" s="208"/>
    </row>
    <row r="171" spans="1:6" x14ac:dyDescent="0.3">
      <c r="A171" s="98" t="str">
        <f t="shared" si="11"/>
        <v>01/02/2022-28/02/2022</v>
      </c>
      <c r="B171" s="204">
        <f t="shared" si="12"/>
        <v>672</v>
      </c>
      <c r="C171" s="204">
        <f t="shared" si="13"/>
        <v>346</v>
      </c>
      <c r="D171" s="429"/>
      <c r="E171" s="517"/>
      <c r="F171" s="208"/>
    </row>
    <row r="172" spans="1:6" x14ac:dyDescent="0.3">
      <c r="A172" s="98" t="str">
        <f t="shared" si="11"/>
        <v>01/03/2022-31/03/2022</v>
      </c>
      <c r="B172" s="204">
        <f t="shared" si="12"/>
        <v>741</v>
      </c>
      <c r="C172" s="204">
        <f t="shared" si="13"/>
        <v>379</v>
      </c>
      <c r="D172" s="429"/>
      <c r="E172" s="517"/>
      <c r="F172" s="208"/>
    </row>
    <row r="173" spans="1:6" x14ac:dyDescent="0.3">
      <c r="A173" s="107" t="str">
        <f>A124</f>
        <v>20/12/2020-31/12/2020</v>
      </c>
      <c r="B173" s="544">
        <f>B157+C157</f>
        <v>439</v>
      </c>
      <c r="C173" s="545"/>
      <c r="D173" s="429"/>
      <c r="E173" s="517"/>
      <c r="F173" s="208"/>
    </row>
    <row r="174" spans="1:6" x14ac:dyDescent="0.3">
      <c r="A174" s="107" t="str">
        <f t="shared" ref="A174:A175" si="14">A125</f>
        <v>01/01/2021-31/12/2021</v>
      </c>
      <c r="B174" s="559">
        <f>SUM(B158:C169)</f>
        <v>13208</v>
      </c>
      <c r="C174" s="559"/>
      <c r="D174" s="429"/>
      <c r="E174" s="517"/>
      <c r="F174" s="208"/>
    </row>
    <row r="175" spans="1:6" x14ac:dyDescent="0.3">
      <c r="A175" s="107" t="str">
        <f t="shared" si="14"/>
        <v>01/01/2022-31/03/2022</v>
      </c>
      <c r="B175" s="559">
        <f>SUM(B170:C172)</f>
        <v>3274</v>
      </c>
      <c r="C175" s="559"/>
      <c r="D175" s="429"/>
      <c r="E175" s="517"/>
      <c r="F175" s="208"/>
    </row>
    <row r="176" spans="1:6" x14ac:dyDescent="0.3">
      <c r="A176" s="29" t="s">
        <v>180</v>
      </c>
      <c r="B176" s="558">
        <f>B174+B175+B173</f>
        <v>16921</v>
      </c>
      <c r="C176" s="558"/>
      <c r="D176" s="429"/>
      <c r="E176" s="517"/>
      <c r="F176" s="208"/>
    </row>
    <row r="177" spans="1:6" ht="15.5" x14ac:dyDescent="0.4">
      <c r="A177" s="209" t="s">
        <v>267</v>
      </c>
      <c r="B177" s="203"/>
      <c r="C177" s="203"/>
      <c r="D177" s="429"/>
      <c r="E177" s="517"/>
      <c r="F177" s="208"/>
    </row>
    <row r="178" spans="1:6" x14ac:dyDescent="0.3">
      <c r="A178" s="98" t="str">
        <f>A157</f>
        <v>20/12/2020-31/12/2020</v>
      </c>
      <c r="B178" s="203">
        <f>ROUNDUP($B$152*$B$154*(1-$B$149)*(1-$B$150)*B41*B24,0)</f>
        <v>66</v>
      </c>
      <c r="C178" s="203">
        <f>ROUNDUP($C$152*$C$154*(1-$C$149)*(1-$C$150)*C41*C24,0)</f>
        <v>34</v>
      </c>
      <c r="D178" s="429"/>
      <c r="E178" s="517"/>
      <c r="F178" s="208"/>
    </row>
    <row r="179" spans="1:6" x14ac:dyDescent="0.3">
      <c r="A179" s="98" t="str">
        <f t="shared" ref="A179:A192" si="15">A158</f>
        <v>01/01/2021-31/01/2021</v>
      </c>
      <c r="B179" s="203">
        <f t="shared" ref="B179:B193" si="16">ROUNDUP($B$152*$B$154*(1-$B$149)*(1-$B$150)*B42*B25,0)</f>
        <v>171</v>
      </c>
      <c r="C179" s="203">
        <f t="shared" ref="C179:C193" si="17">ROUNDUP($C$152*$C$154*(1-$C$149)*(1-$C$150)*C42*C25,0)</f>
        <v>86</v>
      </c>
      <c r="D179" s="429"/>
      <c r="E179" s="517"/>
      <c r="F179" s="208"/>
    </row>
    <row r="180" spans="1:6" x14ac:dyDescent="0.3">
      <c r="A180" s="98" t="str">
        <f t="shared" si="15"/>
        <v>01/02/1021-28/02/2021</v>
      </c>
      <c r="B180" s="203">
        <f t="shared" si="16"/>
        <v>153</v>
      </c>
      <c r="C180" s="203">
        <f t="shared" si="17"/>
        <v>76</v>
      </c>
      <c r="D180" s="429"/>
      <c r="E180" s="517"/>
      <c r="F180" s="208"/>
    </row>
    <row r="181" spans="1:6" x14ac:dyDescent="0.3">
      <c r="A181" s="98" t="str">
        <f t="shared" si="15"/>
        <v>01/03/2021-31/03/3021</v>
      </c>
      <c r="B181" s="203">
        <f t="shared" si="16"/>
        <v>167</v>
      </c>
      <c r="C181" s="203">
        <f t="shared" si="17"/>
        <v>84</v>
      </c>
      <c r="D181" s="429"/>
      <c r="E181" s="517"/>
      <c r="F181" s="208"/>
    </row>
    <row r="182" spans="1:6" x14ac:dyDescent="0.3">
      <c r="A182" s="98" t="str">
        <f t="shared" si="15"/>
        <v>01/04/2021-30/04/2021</v>
      </c>
      <c r="B182" s="203">
        <f t="shared" si="16"/>
        <v>162</v>
      </c>
      <c r="C182" s="203">
        <f t="shared" si="17"/>
        <v>82</v>
      </c>
      <c r="D182" s="429"/>
      <c r="E182" s="517"/>
      <c r="F182" s="208"/>
    </row>
    <row r="183" spans="1:6" x14ac:dyDescent="0.3">
      <c r="A183" s="98" t="str">
        <f t="shared" si="15"/>
        <v>01/05/2021-31/05/2021</v>
      </c>
      <c r="B183" s="203">
        <f t="shared" si="16"/>
        <v>168</v>
      </c>
      <c r="C183" s="203">
        <f t="shared" si="17"/>
        <v>85</v>
      </c>
      <c r="D183" s="429"/>
      <c r="E183" s="517"/>
      <c r="F183" s="208"/>
    </row>
    <row r="184" spans="1:6" x14ac:dyDescent="0.3">
      <c r="A184" s="98" t="str">
        <f t="shared" si="15"/>
        <v>01/06/2021-30/06/2021</v>
      </c>
      <c r="B184" s="203">
        <f t="shared" si="16"/>
        <v>160</v>
      </c>
      <c r="C184" s="203">
        <f t="shared" si="17"/>
        <v>82</v>
      </c>
      <c r="D184" s="429"/>
      <c r="E184" s="517"/>
      <c r="F184" s="208"/>
    </row>
    <row r="185" spans="1:6" x14ac:dyDescent="0.3">
      <c r="A185" s="98" t="str">
        <f t="shared" si="15"/>
        <v>01/07/2021-31/07/2021</v>
      </c>
      <c r="B185" s="203">
        <f t="shared" si="16"/>
        <v>169</v>
      </c>
      <c r="C185" s="203">
        <f t="shared" si="17"/>
        <v>85</v>
      </c>
      <c r="D185" s="429"/>
      <c r="E185" s="517"/>
      <c r="F185" s="208"/>
    </row>
    <row r="186" spans="1:6" x14ac:dyDescent="0.3">
      <c r="A186" s="98" t="str">
        <f t="shared" si="15"/>
        <v>01/08/2021-31/08/2021</v>
      </c>
      <c r="B186" s="203">
        <f t="shared" si="16"/>
        <v>170</v>
      </c>
      <c r="C186" s="203">
        <f t="shared" si="17"/>
        <v>85</v>
      </c>
      <c r="D186" s="429"/>
      <c r="E186" s="517"/>
      <c r="F186" s="208"/>
    </row>
    <row r="187" spans="1:6" x14ac:dyDescent="0.3">
      <c r="A187" s="98" t="str">
        <f t="shared" si="15"/>
        <v>01/09/2021-30/09/2021</v>
      </c>
      <c r="B187" s="203">
        <f t="shared" si="16"/>
        <v>160</v>
      </c>
      <c r="C187" s="203">
        <f t="shared" si="17"/>
        <v>82</v>
      </c>
      <c r="D187" s="429"/>
      <c r="E187" s="517"/>
      <c r="F187" s="208"/>
    </row>
    <row r="188" spans="1:6" x14ac:dyDescent="0.3">
      <c r="A188" s="98" t="str">
        <f t="shared" si="15"/>
        <v>01/10/2021-31/10/2021</v>
      </c>
      <c r="B188" s="203">
        <f t="shared" si="16"/>
        <v>171</v>
      </c>
      <c r="C188" s="203">
        <f t="shared" si="17"/>
        <v>85</v>
      </c>
      <c r="D188" s="429"/>
      <c r="E188" s="517"/>
      <c r="F188" s="208"/>
    </row>
    <row r="189" spans="1:6" x14ac:dyDescent="0.3">
      <c r="A189" s="98" t="str">
        <f t="shared" si="15"/>
        <v>01/11/2021-30/11/2021</v>
      </c>
      <c r="B189" s="203">
        <f t="shared" si="16"/>
        <v>162</v>
      </c>
      <c r="C189" s="203">
        <f t="shared" si="17"/>
        <v>83</v>
      </c>
      <c r="D189" s="429"/>
      <c r="E189" s="517"/>
      <c r="F189" s="208"/>
    </row>
    <row r="190" spans="1:6" x14ac:dyDescent="0.3">
      <c r="A190" s="98" t="str">
        <f t="shared" si="15"/>
        <v>01/12/2021-31/12/2021</v>
      </c>
      <c r="B190" s="203">
        <f t="shared" si="16"/>
        <v>167</v>
      </c>
      <c r="C190" s="203">
        <f t="shared" si="17"/>
        <v>86</v>
      </c>
      <c r="D190" s="429"/>
      <c r="E190" s="517"/>
      <c r="F190" s="208"/>
    </row>
    <row r="191" spans="1:6" x14ac:dyDescent="0.3">
      <c r="A191" s="98" t="str">
        <f t="shared" si="15"/>
        <v>01/01/2022-31/01/2022</v>
      </c>
      <c r="B191" s="203">
        <f t="shared" si="16"/>
        <v>171</v>
      </c>
      <c r="C191" s="203">
        <f t="shared" si="17"/>
        <v>85</v>
      </c>
      <c r="D191" s="429"/>
      <c r="E191" s="517"/>
      <c r="F191" s="208"/>
    </row>
    <row r="192" spans="1:6" x14ac:dyDescent="0.3">
      <c r="A192" s="98" t="str">
        <f t="shared" si="15"/>
        <v>01/02/2022-28/02/2022</v>
      </c>
      <c r="B192" s="203">
        <f t="shared" si="16"/>
        <v>152</v>
      </c>
      <c r="C192" s="203">
        <f t="shared" si="17"/>
        <v>78</v>
      </c>
      <c r="D192" s="429"/>
      <c r="E192" s="517"/>
      <c r="F192" s="208"/>
    </row>
    <row r="193" spans="1:6" x14ac:dyDescent="0.3">
      <c r="A193" s="98" t="str">
        <f>A172</f>
        <v>01/03/2022-31/03/2022</v>
      </c>
      <c r="B193" s="203">
        <f t="shared" si="16"/>
        <v>167</v>
      </c>
      <c r="C193" s="203">
        <f t="shared" si="17"/>
        <v>86</v>
      </c>
      <c r="D193" s="429"/>
      <c r="E193" s="517"/>
      <c r="F193" s="208"/>
    </row>
    <row r="194" spans="1:6" x14ac:dyDescent="0.3">
      <c r="A194" s="107" t="str">
        <f>A173</f>
        <v>20/12/2020-31/12/2020</v>
      </c>
      <c r="B194" s="544">
        <f>B178+C178</f>
        <v>100</v>
      </c>
      <c r="C194" s="545"/>
      <c r="D194" s="429"/>
      <c r="E194" s="517"/>
      <c r="F194" s="208"/>
    </row>
    <row r="195" spans="1:6" x14ac:dyDescent="0.3">
      <c r="A195" s="107" t="str">
        <f t="shared" ref="A195:A196" si="18">A174</f>
        <v>01/01/2021-31/12/2021</v>
      </c>
      <c r="B195" s="544">
        <f>SUM(B179:C190)</f>
        <v>2981</v>
      </c>
      <c r="C195" s="545"/>
      <c r="D195" s="429"/>
      <c r="E195" s="517"/>
      <c r="F195" s="208"/>
    </row>
    <row r="196" spans="1:6" x14ac:dyDescent="0.3">
      <c r="A196" s="107" t="str">
        <f t="shared" si="18"/>
        <v>01/01/2022-31/03/2022</v>
      </c>
      <c r="B196" s="544">
        <f>SUM(B191:C193)</f>
        <v>739</v>
      </c>
      <c r="C196" s="545"/>
      <c r="D196" s="429"/>
      <c r="E196" s="517"/>
      <c r="F196" s="208"/>
    </row>
    <row r="197" spans="1:6" x14ac:dyDescent="0.3">
      <c r="A197" s="107" t="s">
        <v>179</v>
      </c>
      <c r="B197" s="544">
        <f>B194+B195+B196</f>
        <v>3820</v>
      </c>
      <c r="C197" s="545"/>
      <c r="D197" s="429"/>
      <c r="E197" s="517"/>
      <c r="F197" s="208"/>
    </row>
    <row r="198" spans="1:6" ht="15.5" x14ac:dyDescent="0.3">
      <c r="A198" s="202" t="s">
        <v>268</v>
      </c>
      <c r="B198" s="210"/>
      <c r="C198" s="211"/>
      <c r="D198" s="429"/>
      <c r="E198" s="517"/>
      <c r="F198" s="208"/>
    </row>
    <row r="199" spans="1:6" x14ac:dyDescent="0.3">
      <c r="A199" s="98" t="str">
        <f t="shared" ref="A199:A215" si="19">A178</f>
        <v>20/12/2020-31/12/2020</v>
      </c>
      <c r="B199" s="212">
        <f>ROUNDUP($B$153*(1-$B$149)*(1-$B$150)*$B$155*B41*B24,0)</f>
        <v>59</v>
      </c>
      <c r="C199" s="213">
        <f>ROUNDUP($C$153*$C$155*(1-$C$149)*(1-$C$150)*C41*C24,0)</f>
        <v>30</v>
      </c>
      <c r="D199" s="429"/>
      <c r="E199" s="517"/>
      <c r="F199" s="208"/>
    </row>
    <row r="200" spans="1:6" x14ac:dyDescent="0.3">
      <c r="A200" s="98" t="str">
        <f t="shared" si="19"/>
        <v>01/01/2021-31/01/2021</v>
      </c>
      <c r="B200" s="212">
        <f t="shared" ref="B200:B214" si="20">ROUNDUP($B$153*(1-$B$149)*(1-$B$150)*$B$155*B42*B25,0)</f>
        <v>152</v>
      </c>
      <c r="C200" s="213">
        <f t="shared" ref="C200:C214" si="21">ROUNDUP($C$153*$C$155*(1-$C$149)*(1-$C$150)*C42*C25,0)</f>
        <v>76</v>
      </c>
      <c r="D200" s="429"/>
      <c r="E200" s="517"/>
      <c r="F200" s="208"/>
    </row>
    <row r="201" spans="1:6" x14ac:dyDescent="0.3">
      <c r="A201" s="98" t="str">
        <f t="shared" si="19"/>
        <v>01/02/1021-28/02/2021</v>
      </c>
      <c r="B201" s="212">
        <f t="shared" si="20"/>
        <v>136</v>
      </c>
      <c r="C201" s="213">
        <f t="shared" si="21"/>
        <v>67</v>
      </c>
      <c r="D201" s="429"/>
      <c r="E201" s="517"/>
      <c r="F201" s="208"/>
    </row>
    <row r="202" spans="1:6" x14ac:dyDescent="0.3">
      <c r="A202" s="98" t="str">
        <f t="shared" si="19"/>
        <v>01/03/2021-31/03/3021</v>
      </c>
      <c r="B202" s="212">
        <f t="shared" si="20"/>
        <v>149</v>
      </c>
      <c r="C202" s="213">
        <f t="shared" si="21"/>
        <v>75</v>
      </c>
      <c r="D202" s="429"/>
      <c r="E202" s="517"/>
      <c r="F202" s="208"/>
    </row>
    <row r="203" spans="1:6" x14ac:dyDescent="0.3">
      <c r="A203" s="98" t="str">
        <f t="shared" si="19"/>
        <v>01/04/2021-30/04/2021</v>
      </c>
      <c r="B203" s="212">
        <f t="shared" si="20"/>
        <v>144</v>
      </c>
      <c r="C203" s="213">
        <f t="shared" si="21"/>
        <v>73</v>
      </c>
      <c r="D203" s="429"/>
      <c r="E203" s="517"/>
      <c r="F203" s="208"/>
    </row>
    <row r="204" spans="1:6" x14ac:dyDescent="0.3">
      <c r="A204" s="98" t="str">
        <f t="shared" si="19"/>
        <v>01/05/2021-31/05/2021</v>
      </c>
      <c r="B204" s="212">
        <f t="shared" si="20"/>
        <v>150</v>
      </c>
      <c r="C204" s="213">
        <f t="shared" si="21"/>
        <v>76</v>
      </c>
      <c r="D204" s="429"/>
      <c r="E204" s="517"/>
      <c r="F204" s="208"/>
    </row>
    <row r="205" spans="1:6" x14ac:dyDescent="0.3">
      <c r="A205" s="98" t="str">
        <f t="shared" si="19"/>
        <v>01/06/2021-30/06/2021</v>
      </c>
      <c r="B205" s="212">
        <f t="shared" si="20"/>
        <v>142</v>
      </c>
      <c r="C205" s="213">
        <f t="shared" si="21"/>
        <v>73</v>
      </c>
      <c r="D205" s="429"/>
      <c r="E205" s="517"/>
      <c r="F205" s="208"/>
    </row>
    <row r="206" spans="1:6" x14ac:dyDescent="0.3">
      <c r="A206" s="98" t="str">
        <f t="shared" si="19"/>
        <v>01/07/2021-31/07/2021</v>
      </c>
      <c r="B206" s="212">
        <f t="shared" si="20"/>
        <v>151</v>
      </c>
      <c r="C206" s="213">
        <f t="shared" si="21"/>
        <v>76</v>
      </c>
      <c r="D206" s="429"/>
      <c r="E206" s="517"/>
      <c r="F206" s="208"/>
    </row>
    <row r="207" spans="1:6" x14ac:dyDescent="0.3">
      <c r="A207" s="98" t="str">
        <f t="shared" si="19"/>
        <v>01/08/2021-31/08/2021</v>
      </c>
      <c r="B207" s="212">
        <f t="shared" si="20"/>
        <v>151</v>
      </c>
      <c r="C207" s="213">
        <f t="shared" si="21"/>
        <v>75</v>
      </c>
      <c r="D207" s="429"/>
      <c r="E207" s="517"/>
      <c r="F207" s="208"/>
    </row>
    <row r="208" spans="1:6" x14ac:dyDescent="0.3">
      <c r="A208" s="98" t="str">
        <f t="shared" si="19"/>
        <v>01/09/2021-30/09/2021</v>
      </c>
      <c r="B208" s="212">
        <f t="shared" si="20"/>
        <v>142</v>
      </c>
      <c r="C208" s="213">
        <f t="shared" si="21"/>
        <v>73</v>
      </c>
      <c r="D208" s="429"/>
      <c r="E208" s="517"/>
      <c r="F208" s="208"/>
    </row>
    <row r="209" spans="1:6" x14ac:dyDescent="0.3">
      <c r="A209" s="98" t="str">
        <f t="shared" si="19"/>
        <v>01/10/2021-31/10/2021</v>
      </c>
      <c r="B209" s="212">
        <f t="shared" si="20"/>
        <v>152</v>
      </c>
      <c r="C209" s="213">
        <f t="shared" si="21"/>
        <v>76</v>
      </c>
      <c r="D209" s="429"/>
      <c r="E209" s="517"/>
      <c r="F209" s="208"/>
    </row>
    <row r="210" spans="1:6" x14ac:dyDescent="0.3">
      <c r="A210" s="98" t="str">
        <f t="shared" si="19"/>
        <v>01/11/2021-30/11/2021</v>
      </c>
      <c r="B210" s="212">
        <f t="shared" si="20"/>
        <v>144</v>
      </c>
      <c r="C210" s="213">
        <f t="shared" si="21"/>
        <v>74</v>
      </c>
      <c r="D210" s="429"/>
      <c r="E210" s="517"/>
      <c r="F210" s="208"/>
    </row>
    <row r="211" spans="1:6" x14ac:dyDescent="0.3">
      <c r="A211" s="98" t="str">
        <f t="shared" si="19"/>
        <v>01/12/2021-31/12/2021</v>
      </c>
      <c r="B211" s="212">
        <f t="shared" si="20"/>
        <v>149</v>
      </c>
      <c r="C211" s="213">
        <f t="shared" si="21"/>
        <v>76</v>
      </c>
      <c r="D211" s="429"/>
      <c r="E211" s="517"/>
      <c r="F211" s="208"/>
    </row>
    <row r="212" spans="1:6" x14ac:dyDescent="0.3">
      <c r="A212" s="98" t="str">
        <f t="shared" si="19"/>
        <v>01/01/2022-31/01/2022</v>
      </c>
      <c r="B212" s="212">
        <f t="shared" si="20"/>
        <v>152</v>
      </c>
      <c r="C212" s="213">
        <f t="shared" si="21"/>
        <v>76</v>
      </c>
      <c r="D212" s="429"/>
      <c r="E212" s="517"/>
      <c r="F212" s="208"/>
    </row>
    <row r="213" spans="1:6" x14ac:dyDescent="0.3">
      <c r="A213" s="98" t="str">
        <f t="shared" si="19"/>
        <v>01/02/2022-28/02/2022</v>
      </c>
      <c r="B213" s="212">
        <f t="shared" si="20"/>
        <v>135</v>
      </c>
      <c r="C213" s="213">
        <f t="shared" si="21"/>
        <v>70</v>
      </c>
      <c r="D213" s="429"/>
      <c r="E213" s="517"/>
      <c r="F213" s="208"/>
    </row>
    <row r="214" spans="1:6" x14ac:dyDescent="0.3">
      <c r="A214" s="98" t="str">
        <f t="shared" si="19"/>
        <v>01/03/2022-31/03/2022</v>
      </c>
      <c r="B214" s="212">
        <f t="shared" si="20"/>
        <v>149</v>
      </c>
      <c r="C214" s="213">
        <f t="shared" si="21"/>
        <v>76</v>
      </c>
      <c r="D214" s="429"/>
      <c r="E214" s="517"/>
      <c r="F214" s="208"/>
    </row>
    <row r="215" spans="1:6" x14ac:dyDescent="0.3">
      <c r="A215" s="107" t="str">
        <f t="shared" si="19"/>
        <v>20/12/2020-31/12/2020</v>
      </c>
      <c r="B215" s="544">
        <f>B199+C199</f>
        <v>89</v>
      </c>
      <c r="C215" s="545"/>
      <c r="D215" s="429"/>
      <c r="E215" s="517"/>
      <c r="F215" s="208"/>
    </row>
    <row r="216" spans="1:6" x14ac:dyDescent="0.3">
      <c r="A216" s="107" t="str">
        <f t="shared" ref="A216:A217" si="22">A195</f>
        <v>01/01/2021-31/12/2021</v>
      </c>
      <c r="B216" s="544">
        <f>SUM(B200:C211)</f>
        <v>2652</v>
      </c>
      <c r="C216" s="545"/>
      <c r="D216" s="429"/>
      <c r="E216" s="517"/>
      <c r="F216" s="208"/>
    </row>
    <row r="217" spans="1:6" x14ac:dyDescent="0.3">
      <c r="A217" s="107" t="str">
        <f t="shared" si="22"/>
        <v>01/01/2022-31/03/2022</v>
      </c>
      <c r="B217" s="544">
        <f>SUM(B212:C214)</f>
        <v>658</v>
      </c>
      <c r="C217" s="545"/>
      <c r="D217" s="429"/>
      <c r="E217" s="517"/>
      <c r="F217" s="208"/>
    </row>
    <row r="218" spans="1:6" x14ac:dyDescent="0.3">
      <c r="A218" s="107" t="s">
        <v>179</v>
      </c>
      <c r="B218" s="544">
        <f>B215+B216+B217</f>
        <v>3399</v>
      </c>
      <c r="C218" s="545"/>
      <c r="D218" s="430"/>
      <c r="E218" s="517"/>
      <c r="F218" s="208"/>
    </row>
    <row r="219" spans="1:6" ht="15.5" customHeight="1" x14ac:dyDescent="0.3">
      <c r="A219" s="214" t="str">
        <f>A215</f>
        <v>20/12/2020-31/12/2020</v>
      </c>
      <c r="B219" s="558">
        <f>ROUNDUP(B63*44/28*1/1000*(B173+B194+B215),0)</f>
        <v>295</v>
      </c>
      <c r="C219" s="558"/>
      <c r="D219" s="428" t="s">
        <v>262</v>
      </c>
      <c r="E219" s="517"/>
      <c r="F219" s="208"/>
    </row>
    <row r="220" spans="1:6" x14ac:dyDescent="0.3">
      <c r="A220" s="214" t="str">
        <f t="shared" ref="A220:A221" si="23">A216</f>
        <v>01/01/2021-31/12/2021</v>
      </c>
      <c r="B220" s="558">
        <f>ROUNDUP(B64*44/28*1/1000*(B174+B195+B216),0)</f>
        <v>7846</v>
      </c>
      <c r="C220" s="558"/>
      <c r="D220" s="429"/>
      <c r="E220" s="517"/>
      <c r="F220" s="208"/>
    </row>
    <row r="221" spans="1:6" ht="13" customHeight="1" x14ac:dyDescent="0.3">
      <c r="A221" s="214" t="str">
        <f t="shared" si="23"/>
        <v>01/01/2022-31/03/2022</v>
      </c>
      <c r="B221" s="558">
        <f>ROUNDUP(B64*44/28*1/1000*(B175+B196+B217),0)</f>
        <v>1946</v>
      </c>
      <c r="C221" s="558"/>
      <c r="D221" s="429"/>
      <c r="E221" s="517"/>
      <c r="F221" s="208"/>
    </row>
    <row r="222" spans="1:6" ht="16" thickBot="1" x14ac:dyDescent="0.35">
      <c r="A222" s="205" t="s">
        <v>269</v>
      </c>
      <c r="B222" s="557">
        <f>B219+B220+B221</f>
        <v>10087</v>
      </c>
      <c r="C222" s="557"/>
      <c r="D222" s="523"/>
      <c r="E222" s="531"/>
      <c r="F222" s="208"/>
    </row>
    <row r="223" spans="1:6" x14ac:dyDescent="0.3">
      <c r="A223" s="206"/>
      <c r="B223" s="207"/>
      <c r="C223" s="207"/>
    </row>
    <row r="224" spans="1:6" x14ac:dyDescent="0.3">
      <c r="A224" s="206"/>
      <c r="B224" s="207"/>
      <c r="C224" s="207"/>
    </row>
    <row r="226" spans="1:5" x14ac:dyDescent="0.3">
      <c r="A226" s="29" t="s">
        <v>43</v>
      </c>
    </row>
    <row r="228" spans="1:5" x14ac:dyDescent="0.3">
      <c r="E228" s="112"/>
    </row>
    <row r="229" spans="1:5" x14ac:dyDescent="0.3">
      <c r="E229" s="112"/>
    </row>
    <row r="230" spans="1:5" x14ac:dyDescent="0.3">
      <c r="E230" s="112"/>
    </row>
    <row r="231" spans="1:5" x14ac:dyDescent="0.3">
      <c r="E231" s="112"/>
    </row>
    <row r="232" spans="1:5" x14ac:dyDescent="0.3">
      <c r="E232" s="112"/>
    </row>
    <row r="233" spans="1:5" x14ac:dyDescent="0.3">
      <c r="E233" s="112"/>
    </row>
    <row r="234" spans="1:5" x14ac:dyDescent="0.3">
      <c r="A234" s="80"/>
    </row>
    <row r="235" spans="1:5" ht="14" thickBot="1" x14ac:dyDescent="0.35">
      <c r="A235" s="80"/>
    </row>
    <row r="236" spans="1:5" x14ac:dyDescent="0.3">
      <c r="A236" s="116" t="s">
        <v>3</v>
      </c>
      <c r="B236" s="117" t="s">
        <v>18</v>
      </c>
      <c r="C236" s="117"/>
      <c r="D236" s="117" t="s">
        <v>2</v>
      </c>
      <c r="E236" s="191" t="s">
        <v>4</v>
      </c>
    </row>
    <row r="237" spans="1:5" ht="15.5" x14ac:dyDescent="0.4">
      <c r="A237" s="215" t="s">
        <v>270</v>
      </c>
      <c r="B237" s="30">
        <f>'Baseline emission'!B12</f>
        <v>25</v>
      </c>
      <c r="C237" s="30">
        <f>B237</f>
        <v>25</v>
      </c>
      <c r="D237" s="30" t="s">
        <v>271</v>
      </c>
      <c r="E237" s="200" t="s">
        <v>131</v>
      </c>
    </row>
    <row r="238" spans="1:5" ht="15.5" x14ac:dyDescent="0.4">
      <c r="A238" s="215" t="s">
        <v>270</v>
      </c>
      <c r="B238" s="30">
        <f>'Baseline emission'!B13</f>
        <v>28</v>
      </c>
      <c r="C238" s="30">
        <f>B238</f>
        <v>28</v>
      </c>
      <c r="D238" s="30" t="s">
        <v>271</v>
      </c>
      <c r="E238" s="200" t="s">
        <v>127</v>
      </c>
    </row>
    <row r="239" spans="1:5" ht="14.5" x14ac:dyDescent="0.3">
      <c r="A239" s="215" t="s">
        <v>272</v>
      </c>
      <c r="B239" s="30">
        <f>'[3]Baseline Emission'!B13</f>
        <v>6.7000000000000002E-4</v>
      </c>
      <c r="C239" s="30">
        <f>'[3]Baseline Emission'!C13</f>
        <v>6.7000000000000002E-4</v>
      </c>
      <c r="D239" s="30" t="s">
        <v>273</v>
      </c>
      <c r="E239" s="200" t="s">
        <v>363</v>
      </c>
    </row>
    <row r="240" spans="1:5" x14ac:dyDescent="0.3">
      <c r="A240" s="216" t="s">
        <v>23</v>
      </c>
      <c r="B240" s="199">
        <v>1</v>
      </c>
      <c r="C240" s="199">
        <v>1</v>
      </c>
      <c r="D240" s="30" t="s">
        <v>92</v>
      </c>
      <c r="E240" s="200" t="s">
        <v>363</v>
      </c>
    </row>
    <row r="241" spans="1:5" x14ac:dyDescent="0.3">
      <c r="A241" s="193" t="s">
        <v>274</v>
      </c>
      <c r="B241" s="217"/>
      <c r="C241" s="217"/>
      <c r="D241" s="539" t="s">
        <v>129</v>
      </c>
      <c r="E241" s="563" t="s">
        <v>108</v>
      </c>
    </row>
    <row r="242" spans="1:5" x14ac:dyDescent="0.3">
      <c r="A242" s="98" t="str">
        <f>A199</f>
        <v>20/12/2020-31/12/2020</v>
      </c>
      <c r="B242" s="217">
        <f>'Baseline emission'!B56</f>
        <v>7.8942857142857132</v>
      </c>
      <c r="C242" s="217">
        <f>'Baseline emission'!C56</f>
        <v>9.5914285714285707</v>
      </c>
      <c r="D242" s="539"/>
      <c r="E242" s="563"/>
    </row>
    <row r="243" spans="1:5" x14ac:dyDescent="0.3">
      <c r="A243" s="98" t="str">
        <f t="shared" ref="A243:A257" si="24">A200</f>
        <v>01/01/2021-31/01/2021</v>
      </c>
      <c r="B243" s="217">
        <f>'Baseline emission'!B57</f>
        <v>20.493214285714288</v>
      </c>
      <c r="C243" s="217">
        <f>'Baseline emission'!C57</f>
        <v>24.777857142857144</v>
      </c>
      <c r="D243" s="539"/>
      <c r="E243" s="563"/>
    </row>
    <row r="244" spans="1:5" x14ac:dyDescent="0.3">
      <c r="A244" s="98" t="str">
        <f t="shared" si="24"/>
        <v>01/02/1021-28/02/2021</v>
      </c>
      <c r="B244" s="217">
        <f>'Baseline emission'!B58</f>
        <v>18.360000000000003</v>
      </c>
      <c r="C244" s="217">
        <f>'Baseline emission'!C58</f>
        <v>21.869999999999997</v>
      </c>
      <c r="D244" s="539"/>
      <c r="E244" s="563"/>
    </row>
    <row r="245" spans="1:5" x14ac:dyDescent="0.3">
      <c r="A245" s="98" t="str">
        <f t="shared" si="24"/>
        <v>01/03/2021-31/03/3021</v>
      </c>
      <c r="B245" s="217">
        <f>'Baseline emission'!B59</f>
        <v>20.061428571428571</v>
      </c>
      <c r="C245" s="217">
        <f>'Baseline emission'!C59</f>
        <v>24.27964285714285</v>
      </c>
      <c r="D245" s="539"/>
      <c r="E245" s="563"/>
    </row>
    <row r="246" spans="1:5" x14ac:dyDescent="0.3">
      <c r="A246" s="98" t="str">
        <f t="shared" si="24"/>
        <v>01/04/2021-30/04/2021</v>
      </c>
      <c r="B246" s="217">
        <f>'Baseline emission'!B60</f>
        <v>19.478571428571428</v>
      </c>
      <c r="C246" s="217">
        <f>'Baseline emission'!C60</f>
        <v>23.753571428571433</v>
      </c>
      <c r="D246" s="539"/>
      <c r="E246" s="563"/>
    </row>
    <row r="247" spans="1:5" x14ac:dyDescent="0.3">
      <c r="A247" s="98" t="str">
        <f t="shared" si="24"/>
        <v>01/05/2021-31/05/2021</v>
      </c>
      <c r="B247" s="217">
        <f>'Baseline emission'!B61</f>
        <v>20.227499999999999</v>
      </c>
      <c r="C247" s="217">
        <f>'Baseline emission'!C61</f>
        <v>24.678214285714283</v>
      </c>
      <c r="D247" s="539"/>
      <c r="E247" s="563"/>
    </row>
    <row r="248" spans="1:5" x14ac:dyDescent="0.3">
      <c r="A248" s="98" t="str">
        <f t="shared" si="24"/>
        <v>01/06/2021-30/06/2021</v>
      </c>
      <c r="B248" s="217">
        <f>'Baseline emission'!B62</f>
        <v>19.189285714285713</v>
      </c>
      <c r="C248" s="217">
        <f>'Baseline emission'!C62</f>
        <v>23.657142857142858</v>
      </c>
      <c r="D248" s="539"/>
      <c r="E248" s="563"/>
    </row>
    <row r="249" spans="1:5" x14ac:dyDescent="0.3">
      <c r="A249" s="98" t="str">
        <f t="shared" si="24"/>
        <v>01/07/2021-31/07/2021</v>
      </c>
      <c r="B249" s="217">
        <f>'Baseline emission'!B63</f>
        <v>20.36035714285714</v>
      </c>
      <c r="C249" s="217">
        <f>'Baseline emission'!C63</f>
        <v>24.512142857142855</v>
      </c>
      <c r="D249" s="539"/>
      <c r="E249" s="563"/>
    </row>
    <row r="250" spans="1:5" x14ac:dyDescent="0.3">
      <c r="A250" s="98" t="str">
        <f t="shared" si="24"/>
        <v>01/08/2021-31/08/2021</v>
      </c>
      <c r="B250" s="217">
        <f>'Baseline emission'!B64</f>
        <v>20.46</v>
      </c>
      <c r="C250" s="217">
        <f>'Baseline emission'!C64</f>
        <v>24.379285714285711</v>
      </c>
      <c r="D250" s="539"/>
      <c r="E250" s="563"/>
    </row>
    <row r="251" spans="1:5" x14ac:dyDescent="0.3">
      <c r="A251" s="98" t="str">
        <f t="shared" si="24"/>
        <v>01/09/2021-30/09/2021</v>
      </c>
      <c r="B251" s="217">
        <f>'Baseline emission'!B65</f>
        <v>19.157142857142858</v>
      </c>
      <c r="C251" s="217">
        <f>'Baseline emission'!C65</f>
        <v>23.657142857142858</v>
      </c>
      <c r="D251" s="539"/>
      <c r="E251" s="563"/>
    </row>
    <row r="252" spans="1:5" x14ac:dyDescent="0.3">
      <c r="A252" s="98" t="str">
        <f t="shared" si="24"/>
        <v>01/10/2021-31/10/2021</v>
      </c>
      <c r="B252" s="217">
        <f>'Baseline emission'!B66</f>
        <v>20.526428571428568</v>
      </c>
      <c r="C252" s="217">
        <f>'Baseline emission'!C66</f>
        <v>24.644999999999996</v>
      </c>
      <c r="D252" s="539"/>
      <c r="E252" s="563"/>
    </row>
    <row r="253" spans="1:5" x14ac:dyDescent="0.3">
      <c r="A253" s="98" t="str">
        <f t="shared" si="24"/>
        <v>01/11/2021-30/11/2021</v>
      </c>
      <c r="B253" s="217">
        <f>'Baseline emission'!B67</f>
        <v>19.446428571428569</v>
      </c>
      <c r="C253" s="217">
        <f>'Baseline emission'!C67</f>
        <v>23.914285714285718</v>
      </c>
      <c r="D253" s="539"/>
      <c r="E253" s="563"/>
    </row>
    <row r="254" spans="1:5" x14ac:dyDescent="0.3">
      <c r="A254" s="98" t="str">
        <f t="shared" si="24"/>
        <v>01/12/2021-31/12/2021</v>
      </c>
      <c r="B254" s="217">
        <f>'Baseline emission'!B68</f>
        <v>20.094642857142855</v>
      </c>
      <c r="C254" s="217">
        <f>'Baseline emission'!C68</f>
        <v>24.777857142857144</v>
      </c>
      <c r="D254" s="539"/>
      <c r="E254" s="563"/>
    </row>
    <row r="255" spans="1:5" x14ac:dyDescent="0.3">
      <c r="A255" s="98" t="str">
        <f t="shared" si="24"/>
        <v>01/01/2022-31/01/2022</v>
      </c>
      <c r="B255" s="217">
        <f>'Baseline emission'!B69</f>
        <v>20.526428571428568</v>
      </c>
      <c r="C255" s="217">
        <f>'Baseline emission'!C69</f>
        <v>24.678214285714283</v>
      </c>
      <c r="D255" s="539"/>
      <c r="E255" s="563"/>
    </row>
    <row r="256" spans="1:5" x14ac:dyDescent="0.3">
      <c r="A256" s="98" t="str">
        <f t="shared" si="24"/>
        <v>01/02/2022-28/02/2022</v>
      </c>
      <c r="B256" s="217">
        <f>'Baseline emission'!B70</f>
        <v>18.210000000000004</v>
      </c>
      <c r="C256" s="217">
        <f>'Baseline emission'!C70</f>
        <v>22.56</v>
      </c>
      <c r="D256" s="539"/>
      <c r="E256" s="563"/>
    </row>
    <row r="257" spans="1:5" x14ac:dyDescent="0.3">
      <c r="A257" s="98" t="str">
        <f t="shared" si="24"/>
        <v>01/03/2022-31/03/2022</v>
      </c>
      <c r="B257" s="217">
        <f>'Baseline emission'!B71</f>
        <v>20.061428571428571</v>
      </c>
      <c r="C257" s="217">
        <f>'Baseline emission'!C71</f>
        <v>24.744642857142857</v>
      </c>
      <c r="D257" s="539"/>
      <c r="E257" s="563"/>
    </row>
    <row r="258" spans="1:5" ht="15.5" x14ac:dyDescent="0.3">
      <c r="A258" s="193" t="s">
        <v>275</v>
      </c>
      <c r="B258" s="218">
        <v>0.28999999999999998</v>
      </c>
      <c r="C258" s="199">
        <v>0.28999999999999998</v>
      </c>
      <c r="D258" s="30" t="s">
        <v>276</v>
      </c>
      <c r="E258" s="200" t="s">
        <v>7</v>
      </c>
    </row>
    <row r="259" spans="1:5" s="86" customFormat="1" ht="15.5" x14ac:dyDescent="0.3">
      <c r="A259" s="394" t="s">
        <v>277</v>
      </c>
      <c r="B259" s="196">
        <v>0.85</v>
      </c>
      <c r="C259" s="196">
        <v>0.85</v>
      </c>
      <c r="D259" s="219" t="s">
        <v>92</v>
      </c>
      <c r="E259" s="280" t="s">
        <v>364</v>
      </c>
    </row>
    <row r="260" spans="1:5" ht="15.5" customHeight="1" x14ac:dyDescent="0.3">
      <c r="A260" s="216" t="s">
        <v>41</v>
      </c>
      <c r="B260" s="220">
        <v>1</v>
      </c>
      <c r="C260" s="220">
        <f>B260</f>
        <v>1</v>
      </c>
      <c r="D260" s="199" t="s">
        <v>92</v>
      </c>
      <c r="E260" s="221"/>
    </row>
    <row r="261" spans="1:5" ht="15.5" customHeight="1" x14ac:dyDescent="0.3">
      <c r="A261" s="216" t="s">
        <v>278</v>
      </c>
      <c r="B261" s="220"/>
      <c r="C261" s="220"/>
      <c r="D261" s="199"/>
      <c r="E261" s="221"/>
    </row>
    <row r="262" spans="1:5" ht="15.5" customHeight="1" x14ac:dyDescent="0.3">
      <c r="A262" s="98" t="str">
        <f>A242</f>
        <v>20/12/2020-31/12/2020</v>
      </c>
      <c r="B262" s="194">
        <f>ROUNDDOWN(B237*$B$239*$B$240*(1-$B$259)*$B$258*$B$260*B242*B24,0)</f>
        <v>759</v>
      </c>
      <c r="C262" s="194">
        <f>ROUNDDOWN(C237*$C$239*$C$240*(1-$C$259)*$C$258*$C$260*C242*C24,0)</f>
        <v>670</v>
      </c>
      <c r="D262" s="502" t="s">
        <v>262</v>
      </c>
      <c r="E262" s="503" t="s">
        <v>28</v>
      </c>
    </row>
    <row r="263" spans="1:5" x14ac:dyDescent="0.3">
      <c r="A263" s="98" t="str">
        <f t="shared" ref="A263:A277" si="25">A243</f>
        <v>01/01/2021-31/01/2021</v>
      </c>
      <c r="B263" s="194">
        <f>ROUNDDOWN($B$238*$B$239*$B$240*(1-$B$259)*$B$258*$B$260*B243*B25,0)</f>
        <v>2208</v>
      </c>
      <c r="C263" s="194">
        <f>ROUNDDOWN($C$238*$C$239*$C$240*(1-$C$259)*$C$258*$C$260*C243*C25,0)</f>
        <v>1939</v>
      </c>
      <c r="D263" s="502"/>
      <c r="E263" s="503"/>
    </row>
    <row r="264" spans="1:5" x14ac:dyDescent="0.3">
      <c r="A264" s="98" t="str">
        <f t="shared" si="25"/>
        <v>01/02/1021-28/02/2021</v>
      </c>
      <c r="B264" s="194">
        <f t="shared" ref="B264:B277" si="26">ROUNDDOWN($B$238*$B$239*$B$240*(1-$B$259)*$B$258*$B$260*B244*B26,0)</f>
        <v>1978</v>
      </c>
      <c r="C264" s="194">
        <f t="shared" ref="C264:C277" si="27">ROUNDDOWN($C$238*$C$239*$C$240*(1-$C$259)*$C$258*$C$260*C244*C26,0)</f>
        <v>1712</v>
      </c>
      <c r="D264" s="502"/>
      <c r="E264" s="503"/>
    </row>
    <row r="265" spans="1:5" x14ac:dyDescent="0.3">
      <c r="A265" s="98" t="str">
        <f t="shared" si="25"/>
        <v>01/03/2021-31/03/3021</v>
      </c>
      <c r="B265" s="194">
        <f t="shared" si="26"/>
        <v>2162</v>
      </c>
      <c r="C265" s="194">
        <f t="shared" si="27"/>
        <v>1897</v>
      </c>
      <c r="D265" s="502"/>
      <c r="E265" s="503"/>
    </row>
    <row r="266" spans="1:5" x14ac:dyDescent="0.3">
      <c r="A266" s="98" t="str">
        <f t="shared" si="25"/>
        <v>01/04/2021-30/04/2021</v>
      </c>
      <c r="B266" s="194">
        <f t="shared" si="26"/>
        <v>2099</v>
      </c>
      <c r="C266" s="194">
        <f t="shared" si="27"/>
        <v>1856</v>
      </c>
      <c r="D266" s="502"/>
      <c r="E266" s="503"/>
    </row>
    <row r="267" spans="1:5" x14ac:dyDescent="0.3">
      <c r="A267" s="98" t="str">
        <f t="shared" si="25"/>
        <v>01/05/2021-31/05/2021</v>
      </c>
      <c r="B267" s="194">
        <f t="shared" si="26"/>
        <v>2180</v>
      </c>
      <c r="C267" s="194">
        <f t="shared" si="27"/>
        <v>1930</v>
      </c>
      <c r="D267" s="502"/>
      <c r="E267" s="503"/>
    </row>
    <row r="268" spans="1:5" x14ac:dyDescent="0.3">
      <c r="A268" s="98" t="str">
        <f t="shared" si="25"/>
        <v>01/06/2021-30/06/2021</v>
      </c>
      <c r="B268" s="194">
        <f t="shared" si="26"/>
        <v>2068</v>
      </c>
      <c r="C268" s="194">
        <f t="shared" si="27"/>
        <v>1851</v>
      </c>
      <c r="D268" s="502"/>
      <c r="E268" s="503"/>
    </row>
    <row r="269" spans="1:5" x14ac:dyDescent="0.3">
      <c r="A269" s="98" t="str">
        <f t="shared" si="25"/>
        <v>01/07/2021-31/07/2021</v>
      </c>
      <c r="B269" s="194">
        <f t="shared" si="26"/>
        <v>2194</v>
      </c>
      <c r="C269" s="194">
        <f t="shared" si="27"/>
        <v>1918</v>
      </c>
      <c r="D269" s="502"/>
      <c r="E269" s="503"/>
    </row>
    <row r="270" spans="1:5" x14ac:dyDescent="0.3">
      <c r="A270" s="98" t="str">
        <f t="shared" si="25"/>
        <v>01/08/2021-31/08/2021</v>
      </c>
      <c r="B270" s="194">
        <f t="shared" si="26"/>
        <v>2205</v>
      </c>
      <c r="C270" s="194">
        <f t="shared" si="27"/>
        <v>1909</v>
      </c>
      <c r="D270" s="502"/>
      <c r="E270" s="503"/>
    </row>
    <row r="271" spans="1:5" x14ac:dyDescent="0.3">
      <c r="A271" s="98" t="str">
        <f t="shared" si="25"/>
        <v>01/09/2021-30/09/2021</v>
      </c>
      <c r="B271" s="194">
        <f t="shared" si="26"/>
        <v>2064</v>
      </c>
      <c r="C271" s="194">
        <f t="shared" si="27"/>
        <v>1850</v>
      </c>
      <c r="D271" s="502"/>
      <c r="E271" s="503"/>
    </row>
    <row r="272" spans="1:5" x14ac:dyDescent="0.3">
      <c r="A272" s="98" t="str">
        <f t="shared" si="25"/>
        <v>01/10/2021-31/10/2021</v>
      </c>
      <c r="B272" s="194">
        <f t="shared" si="26"/>
        <v>2212</v>
      </c>
      <c r="C272" s="194">
        <f t="shared" si="27"/>
        <v>1927</v>
      </c>
      <c r="D272" s="502"/>
      <c r="E272" s="503"/>
    </row>
    <row r="273" spans="1:5" x14ac:dyDescent="0.3">
      <c r="A273" s="98" t="str">
        <f t="shared" si="25"/>
        <v>01/11/2021-30/11/2021</v>
      </c>
      <c r="B273" s="194">
        <f t="shared" si="26"/>
        <v>2096</v>
      </c>
      <c r="C273" s="194">
        <f t="shared" si="27"/>
        <v>1872</v>
      </c>
      <c r="D273" s="502"/>
      <c r="E273" s="503"/>
    </row>
    <row r="274" spans="1:5" x14ac:dyDescent="0.3">
      <c r="A274" s="98" t="str">
        <f t="shared" si="25"/>
        <v>01/12/2021-31/12/2021</v>
      </c>
      <c r="B274" s="194">
        <f t="shared" si="26"/>
        <v>2165</v>
      </c>
      <c r="C274" s="194">
        <f t="shared" si="27"/>
        <v>1939</v>
      </c>
      <c r="D274" s="502"/>
      <c r="E274" s="503"/>
    </row>
    <row r="275" spans="1:5" x14ac:dyDescent="0.3">
      <c r="A275" s="98" t="str">
        <f t="shared" si="25"/>
        <v>01/01/2022-31/01/2022</v>
      </c>
      <c r="B275" s="194">
        <f t="shared" si="26"/>
        <v>2212</v>
      </c>
      <c r="C275" s="194">
        <f t="shared" si="27"/>
        <v>1931</v>
      </c>
      <c r="D275" s="502"/>
      <c r="E275" s="503"/>
    </row>
    <row r="276" spans="1:5" x14ac:dyDescent="0.3">
      <c r="A276" s="98" t="str">
        <f t="shared" si="25"/>
        <v>01/02/2022-28/02/2022</v>
      </c>
      <c r="B276" s="194">
        <f t="shared" si="26"/>
        <v>1962</v>
      </c>
      <c r="C276" s="194">
        <f t="shared" si="27"/>
        <v>1766</v>
      </c>
      <c r="D276" s="502"/>
      <c r="E276" s="503"/>
    </row>
    <row r="277" spans="1:5" x14ac:dyDescent="0.3">
      <c r="A277" s="98" t="str">
        <f t="shared" si="25"/>
        <v>01/03/2022-31/03/2022</v>
      </c>
      <c r="B277" s="194">
        <f t="shared" si="26"/>
        <v>2162</v>
      </c>
      <c r="C277" s="194">
        <f t="shared" si="27"/>
        <v>1936</v>
      </c>
      <c r="D277" s="502"/>
      <c r="E277" s="503"/>
    </row>
    <row r="278" spans="1:5" x14ac:dyDescent="0.3">
      <c r="A278" s="107" t="str">
        <f>A219</f>
        <v>20/12/2020-31/12/2020</v>
      </c>
      <c r="B278" s="565">
        <f>B262+C262</f>
        <v>1429</v>
      </c>
      <c r="C278" s="566"/>
      <c r="D278" s="502"/>
      <c r="E278" s="503"/>
    </row>
    <row r="279" spans="1:5" x14ac:dyDescent="0.3">
      <c r="A279" s="107" t="str">
        <f t="shared" ref="A279:A280" si="28">A220</f>
        <v>01/01/2021-31/12/2021</v>
      </c>
      <c r="B279" s="562">
        <f>SUM(B263:C274)</f>
        <v>48231</v>
      </c>
      <c r="C279" s="562"/>
      <c r="D279" s="502"/>
      <c r="E279" s="503"/>
    </row>
    <row r="280" spans="1:5" x14ac:dyDescent="0.3">
      <c r="A280" s="107" t="str">
        <f t="shared" si="28"/>
        <v>01/01/2022-31/03/2022</v>
      </c>
      <c r="B280" s="562">
        <f>SUM(B275:C277)</f>
        <v>11969</v>
      </c>
      <c r="C280" s="562"/>
      <c r="D280" s="502"/>
      <c r="E280" s="503"/>
    </row>
    <row r="281" spans="1:5" ht="16" thickBot="1" x14ac:dyDescent="0.45">
      <c r="A281" s="128" t="s">
        <v>279</v>
      </c>
      <c r="B281" s="557">
        <f>B279+B280+B278</f>
        <v>61629</v>
      </c>
      <c r="C281" s="557"/>
      <c r="D281" s="515"/>
      <c r="E281" s="564"/>
    </row>
    <row r="282" spans="1:5" x14ac:dyDescent="0.3">
      <c r="A282" s="80"/>
    </row>
    <row r="283" spans="1:5" ht="14" thickBot="1" x14ac:dyDescent="0.35">
      <c r="A283" s="80"/>
    </row>
    <row r="284" spans="1:5" x14ac:dyDescent="0.3">
      <c r="A284" s="116" t="s">
        <v>3</v>
      </c>
      <c r="B284" s="117" t="s">
        <v>18</v>
      </c>
      <c r="C284" s="117"/>
      <c r="D284" s="117" t="s">
        <v>2</v>
      </c>
      <c r="E284" s="191" t="s">
        <v>4</v>
      </c>
    </row>
    <row r="285" spans="1:5" ht="15.5" x14ac:dyDescent="0.4">
      <c r="A285" s="215" t="s">
        <v>270</v>
      </c>
      <c r="B285" s="30">
        <f>B237</f>
        <v>25</v>
      </c>
      <c r="C285" s="30">
        <f>C237</f>
        <v>25</v>
      </c>
      <c r="D285" s="30" t="s">
        <v>280</v>
      </c>
      <c r="E285" s="31" t="s">
        <v>131</v>
      </c>
    </row>
    <row r="286" spans="1:5" ht="15.5" x14ac:dyDescent="0.4">
      <c r="A286" s="215" t="s">
        <v>270</v>
      </c>
      <c r="B286" s="30">
        <f>B238</f>
        <v>28</v>
      </c>
      <c r="C286" s="30">
        <f>C238</f>
        <v>28</v>
      </c>
      <c r="D286" s="30" t="s">
        <v>280</v>
      </c>
      <c r="E286" s="31" t="s">
        <v>127</v>
      </c>
    </row>
    <row r="287" spans="1:5" ht="14.5" x14ac:dyDescent="0.3">
      <c r="A287" s="215" t="s">
        <v>272</v>
      </c>
      <c r="B287" s="30">
        <f>'[3]Baseline Emission'!B13</f>
        <v>6.7000000000000002E-4</v>
      </c>
      <c r="C287" s="30">
        <f>'[3]Baseline Emission'!C13</f>
        <v>6.7000000000000002E-4</v>
      </c>
      <c r="D287" s="30" t="s">
        <v>273</v>
      </c>
      <c r="E287" s="31" t="s">
        <v>363</v>
      </c>
    </row>
    <row r="288" spans="1:5" x14ac:dyDescent="0.3">
      <c r="A288" s="216" t="s">
        <v>23</v>
      </c>
      <c r="B288" s="199">
        <v>1</v>
      </c>
      <c r="C288" s="199">
        <v>1</v>
      </c>
      <c r="D288" s="30" t="s">
        <v>92</v>
      </c>
      <c r="E288" s="31" t="s">
        <v>363</v>
      </c>
    </row>
    <row r="289" spans="1:5" ht="15.5" x14ac:dyDescent="0.3">
      <c r="A289" s="193" t="s">
        <v>281</v>
      </c>
      <c r="B289" s="218">
        <v>0.28999999999999998</v>
      </c>
      <c r="C289" s="199">
        <v>0.28999999999999998</v>
      </c>
      <c r="D289" s="30" t="s">
        <v>276</v>
      </c>
      <c r="E289" s="31" t="s">
        <v>7</v>
      </c>
    </row>
    <row r="290" spans="1:5" x14ac:dyDescent="0.3">
      <c r="A290" s="216" t="s">
        <v>282</v>
      </c>
      <c r="B290" s="196">
        <v>0.8</v>
      </c>
      <c r="C290" s="220">
        <v>0.8</v>
      </c>
      <c r="D290" s="30" t="s">
        <v>92</v>
      </c>
      <c r="E290" s="31" t="s">
        <v>365</v>
      </c>
    </row>
    <row r="291" spans="1:5" x14ac:dyDescent="0.3">
      <c r="A291" s="216" t="s">
        <v>282</v>
      </c>
      <c r="B291" s="196">
        <v>0.2</v>
      </c>
      <c r="C291" s="196">
        <v>0.2</v>
      </c>
      <c r="D291" s="199" t="s">
        <v>92</v>
      </c>
      <c r="E291" s="31" t="s">
        <v>365</v>
      </c>
    </row>
    <row r="292" spans="1:5" x14ac:dyDescent="0.3">
      <c r="A292" s="216" t="s">
        <v>41</v>
      </c>
      <c r="B292" s="196">
        <v>1</v>
      </c>
      <c r="C292" s="196">
        <v>1</v>
      </c>
      <c r="D292" s="199" t="s">
        <v>92</v>
      </c>
      <c r="E292" s="31"/>
    </row>
    <row r="293" spans="1:5" ht="15.5" x14ac:dyDescent="0.3">
      <c r="A293" s="216" t="s">
        <v>283</v>
      </c>
      <c r="B293" s="196"/>
      <c r="C293" s="196"/>
      <c r="D293" s="199"/>
      <c r="E293" s="31"/>
    </row>
    <row r="294" spans="1:5" ht="15.5" customHeight="1" x14ac:dyDescent="0.3">
      <c r="A294" s="98" t="str">
        <f>A262</f>
        <v>20/12/2020-31/12/2020</v>
      </c>
      <c r="B294" s="194">
        <f>ROUNDUP(B285*$B$287*$B$288*(1-$B$290)*(1-$B$291)*$B$289*$B$292*B242*B24,0)</f>
        <v>811</v>
      </c>
      <c r="C294" s="194">
        <f>ROUNDUP(C285*$C$287*$C$288*(1-$C$290)*(1-$C$291)*$C$289*$C$292*C242*C24,0)</f>
        <v>716</v>
      </c>
      <c r="D294" s="540" t="s">
        <v>262</v>
      </c>
      <c r="E294" s="560" t="s">
        <v>108</v>
      </c>
    </row>
    <row r="295" spans="1:5" ht="12.5" customHeight="1" x14ac:dyDescent="0.3">
      <c r="A295" s="98" t="str">
        <f t="shared" ref="A295:A309" si="29">A263</f>
        <v>01/01/2021-31/01/2021</v>
      </c>
      <c r="B295" s="194">
        <f>ROUNDUP($B$286*$B$287*$B$288*(1-$B$290)*(1-$B$291)*$B$289*$B$292*B243*B25,0)</f>
        <v>2357</v>
      </c>
      <c r="C295" s="194">
        <f>ROUNDUP($C$286*$C$287*$C$288*(1-$C$290)*(1-$C$291)*$C$289*$C$292*C243*C25,0)</f>
        <v>2069</v>
      </c>
      <c r="D295" s="540"/>
      <c r="E295" s="560"/>
    </row>
    <row r="296" spans="1:5" ht="12.5" customHeight="1" x14ac:dyDescent="0.3">
      <c r="A296" s="98" t="str">
        <f t="shared" si="29"/>
        <v>01/02/1021-28/02/2021</v>
      </c>
      <c r="B296" s="194">
        <f t="shared" ref="B296:B309" si="30">ROUNDUP($B$286*$B$287*$B$288*(1-$B$290)*(1-$B$291)*$B$289*$B$292*B244*B26,0)</f>
        <v>2111</v>
      </c>
      <c r="C296" s="194">
        <f t="shared" ref="C296:C309" si="31">ROUNDUP($C$286*$C$287*$C$288*(1-$C$290)*(1-$C$291)*$C$289*$C$292*C244*C26,0)</f>
        <v>1827</v>
      </c>
      <c r="D296" s="540"/>
      <c r="E296" s="560"/>
    </row>
    <row r="297" spans="1:5" ht="12.5" customHeight="1" x14ac:dyDescent="0.3">
      <c r="A297" s="98" t="str">
        <f t="shared" si="29"/>
        <v>01/03/2021-31/03/3021</v>
      </c>
      <c r="B297" s="194">
        <f t="shared" si="30"/>
        <v>2307</v>
      </c>
      <c r="C297" s="194">
        <f t="shared" si="31"/>
        <v>2025</v>
      </c>
      <c r="D297" s="540"/>
      <c r="E297" s="560"/>
    </row>
    <row r="298" spans="1:5" ht="12.5" customHeight="1" x14ac:dyDescent="0.3">
      <c r="A298" s="98" t="str">
        <f t="shared" si="29"/>
        <v>01/04/2021-30/04/2021</v>
      </c>
      <c r="B298" s="194">
        <f t="shared" si="30"/>
        <v>2240</v>
      </c>
      <c r="C298" s="194">
        <f t="shared" si="31"/>
        <v>1980</v>
      </c>
      <c r="D298" s="540"/>
      <c r="E298" s="560"/>
    </row>
    <row r="299" spans="1:5" ht="12.5" customHeight="1" x14ac:dyDescent="0.3">
      <c r="A299" s="98" t="str">
        <f t="shared" si="29"/>
        <v>01/05/2021-31/05/2021</v>
      </c>
      <c r="B299" s="194">
        <f t="shared" si="30"/>
        <v>2326</v>
      </c>
      <c r="C299" s="194">
        <f t="shared" si="31"/>
        <v>2059</v>
      </c>
      <c r="D299" s="540"/>
      <c r="E299" s="560"/>
    </row>
    <row r="300" spans="1:5" ht="12.5" customHeight="1" x14ac:dyDescent="0.3">
      <c r="A300" s="98" t="str">
        <f t="shared" si="29"/>
        <v>01/06/2021-30/06/2021</v>
      </c>
      <c r="B300" s="194">
        <f t="shared" si="30"/>
        <v>2207</v>
      </c>
      <c r="C300" s="194">
        <f t="shared" si="31"/>
        <v>1976</v>
      </c>
      <c r="D300" s="540"/>
      <c r="E300" s="560"/>
    </row>
    <row r="301" spans="1:5" ht="12.5" customHeight="1" x14ac:dyDescent="0.3">
      <c r="A301" s="98" t="str">
        <f t="shared" si="29"/>
        <v>01/07/2021-31/07/2021</v>
      </c>
      <c r="B301" s="194">
        <f t="shared" si="30"/>
        <v>2341</v>
      </c>
      <c r="C301" s="194">
        <f t="shared" si="31"/>
        <v>2047</v>
      </c>
      <c r="D301" s="540"/>
      <c r="E301" s="560"/>
    </row>
    <row r="302" spans="1:5" ht="12.5" customHeight="1" x14ac:dyDescent="0.3">
      <c r="A302" s="98" t="str">
        <f t="shared" si="29"/>
        <v>01/08/2021-31/08/2021</v>
      </c>
      <c r="B302" s="194">
        <f t="shared" si="30"/>
        <v>2353</v>
      </c>
      <c r="C302" s="194">
        <f t="shared" si="31"/>
        <v>2037</v>
      </c>
      <c r="D302" s="540"/>
      <c r="E302" s="560"/>
    </row>
    <row r="303" spans="1:5" ht="12.5" customHeight="1" x14ac:dyDescent="0.3">
      <c r="A303" s="98" t="str">
        <f t="shared" si="29"/>
        <v>01/09/2021-30/09/2021</v>
      </c>
      <c r="B303" s="194">
        <f t="shared" si="30"/>
        <v>2203</v>
      </c>
      <c r="C303" s="194">
        <f t="shared" si="31"/>
        <v>1975</v>
      </c>
      <c r="D303" s="540"/>
      <c r="E303" s="560"/>
    </row>
    <row r="304" spans="1:5" ht="12.5" customHeight="1" x14ac:dyDescent="0.3">
      <c r="A304" s="98" t="str">
        <f t="shared" si="29"/>
        <v>01/10/2021-31/10/2021</v>
      </c>
      <c r="B304" s="194">
        <f t="shared" si="30"/>
        <v>2360</v>
      </c>
      <c r="C304" s="194">
        <f t="shared" si="31"/>
        <v>2056</v>
      </c>
      <c r="D304" s="540"/>
      <c r="E304" s="560"/>
    </row>
    <row r="305" spans="1:6" ht="12.5" customHeight="1" x14ac:dyDescent="0.3">
      <c r="A305" s="98" t="str">
        <f t="shared" si="29"/>
        <v>01/11/2021-30/11/2021</v>
      </c>
      <c r="B305" s="194">
        <f t="shared" si="30"/>
        <v>2236</v>
      </c>
      <c r="C305" s="194">
        <f t="shared" si="31"/>
        <v>1998</v>
      </c>
      <c r="D305" s="540"/>
      <c r="E305" s="560"/>
    </row>
    <row r="306" spans="1:6" ht="12.5" customHeight="1" x14ac:dyDescent="0.3">
      <c r="A306" s="98" t="str">
        <f t="shared" si="29"/>
        <v>01/12/2021-31/12/2021</v>
      </c>
      <c r="B306" s="194">
        <f t="shared" si="30"/>
        <v>2311</v>
      </c>
      <c r="C306" s="194">
        <f t="shared" si="31"/>
        <v>2070</v>
      </c>
      <c r="D306" s="540"/>
      <c r="E306" s="560"/>
    </row>
    <row r="307" spans="1:6" ht="12.5" customHeight="1" x14ac:dyDescent="0.3">
      <c r="A307" s="98" t="str">
        <f t="shared" si="29"/>
        <v>01/01/2022-31/01/2022</v>
      </c>
      <c r="B307" s="194">
        <f t="shared" si="30"/>
        <v>2360</v>
      </c>
      <c r="C307" s="194">
        <f t="shared" si="31"/>
        <v>2061</v>
      </c>
      <c r="D307" s="540"/>
      <c r="E307" s="560"/>
    </row>
    <row r="308" spans="1:6" ht="12.5" customHeight="1" x14ac:dyDescent="0.3">
      <c r="A308" s="98" t="str">
        <f t="shared" si="29"/>
        <v>01/02/2022-28/02/2022</v>
      </c>
      <c r="B308" s="194">
        <f t="shared" si="30"/>
        <v>2094</v>
      </c>
      <c r="C308" s="194">
        <f t="shared" si="31"/>
        <v>1885</v>
      </c>
      <c r="D308" s="540"/>
      <c r="E308" s="560"/>
    </row>
    <row r="309" spans="1:6" ht="12.5" customHeight="1" x14ac:dyDescent="0.3">
      <c r="A309" s="98" t="str">
        <f t="shared" si="29"/>
        <v>01/03/2022-31/03/2022</v>
      </c>
      <c r="B309" s="194">
        <f t="shared" si="30"/>
        <v>2307</v>
      </c>
      <c r="C309" s="194">
        <f t="shared" si="31"/>
        <v>2066</v>
      </c>
      <c r="D309" s="540"/>
      <c r="E309" s="560"/>
    </row>
    <row r="310" spans="1:6" ht="12.5" customHeight="1" x14ac:dyDescent="0.3">
      <c r="A310" s="107" t="str">
        <f>A278</f>
        <v>20/12/2020-31/12/2020</v>
      </c>
      <c r="B310" s="565">
        <f>B294+C294</f>
        <v>1527</v>
      </c>
      <c r="C310" s="566"/>
      <c r="D310" s="540"/>
      <c r="E310" s="560"/>
    </row>
    <row r="311" spans="1:6" ht="12.5" customHeight="1" x14ac:dyDescent="0.3">
      <c r="A311" s="107" t="str">
        <f t="shared" ref="A311:A312" si="32">A279</f>
        <v>01/01/2021-31/12/2021</v>
      </c>
      <c r="B311" s="562">
        <f>SUM(B295:C306)</f>
        <v>51471</v>
      </c>
      <c r="C311" s="562"/>
      <c r="D311" s="540"/>
      <c r="E311" s="560"/>
    </row>
    <row r="312" spans="1:6" ht="12.5" customHeight="1" x14ac:dyDescent="0.3">
      <c r="A312" s="107" t="str">
        <f t="shared" si="32"/>
        <v>01/01/2022-31/03/2022</v>
      </c>
      <c r="B312" s="562">
        <f>SUM(B307:C309)</f>
        <v>12773</v>
      </c>
      <c r="C312" s="562"/>
      <c r="D312" s="540"/>
      <c r="E312" s="560"/>
    </row>
    <row r="313" spans="1:6" ht="16" thickBot="1" x14ac:dyDescent="0.45">
      <c r="A313" s="128" t="s">
        <v>284</v>
      </c>
      <c r="B313" s="557">
        <f>B311+B312+B310</f>
        <v>65771</v>
      </c>
      <c r="C313" s="557"/>
      <c r="D313" s="541"/>
      <c r="E313" s="561"/>
    </row>
    <row r="314" spans="1:6" x14ac:dyDescent="0.3">
      <c r="A314" s="80"/>
    </row>
    <row r="315" spans="1:6" ht="14" thickBot="1" x14ac:dyDescent="0.35"/>
    <row r="316" spans="1:6" ht="15.5" x14ac:dyDescent="0.4">
      <c r="A316" s="224" t="s">
        <v>279</v>
      </c>
      <c r="B316" s="402">
        <f>B318+B319+B317</f>
        <v>61629</v>
      </c>
      <c r="C316" s="153" t="s">
        <v>306</v>
      </c>
      <c r="D316" s="61"/>
    </row>
    <row r="317" spans="1:6" ht="15.5" x14ac:dyDescent="0.4">
      <c r="A317" s="126" t="str">
        <f>A310</f>
        <v>20/12/2020-31/12/2020</v>
      </c>
      <c r="B317" s="398">
        <f>B278</f>
        <v>1429</v>
      </c>
      <c r="C317" s="154" t="s">
        <v>306</v>
      </c>
      <c r="D317" s="61"/>
    </row>
    <row r="318" spans="1:6" ht="15.5" x14ac:dyDescent="0.4">
      <c r="A318" s="126" t="str">
        <f t="shared" ref="A318:A319" si="33">A311</f>
        <v>01/01/2021-31/12/2021</v>
      </c>
      <c r="B318" s="398">
        <f t="shared" ref="B318:B319" si="34">B279</f>
        <v>48231</v>
      </c>
      <c r="C318" s="154" t="s">
        <v>306</v>
      </c>
      <c r="D318" s="61"/>
    </row>
    <row r="319" spans="1:6" ht="15.5" x14ac:dyDescent="0.4">
      <c r="A319" s="126" t="str">
        <f t="shared" si="33"/>
        <v>01/01/2022-31/03/2022</v>
      </c>
      <c r="B319" s="398">
        <f t="shared" si="34"/>
        <v>11969</v>
      </c>
      <c r="C319" s="154" t="s">
        <v>306</v>
      </c>
      <c r="D319" s="61"/>
    </row>
    <row r="320" spans="1:6" ht="15.5" x14ac:dyDescent="0.4">
      <c r="A320" s="225" t="s">
        <v>285</v>
      </c>
      <c r="B320" s="398">
        <f>B322+B323+B321</f>
        <v>65771</v>
      </c>
      <c r="C320" s="154" t="s">
        <v>306</v>
      </c>
      <c r="D320" s="61"/>
      <c r="F320" s="51"/>
    </row>
    <row r="321" spans="1:6" ht="15.5" x14ac:dyDescent="0.4">
      <c r="A321" s="126" t="str">
        <f>A317</f>
        <v>20/12/2020-31/12/2020</v>
      </c>
      <c r="B321" s="398">
        <f>B310</f>
        <v>1527</v>
      </c>
      <c r="C321" s="154" t="s">
        <v>306</v>
      </c>
      <c r="D321" s="61"/>
      <c r="F321" s="51"/>
    </row>
    <row r="322" spans="1:6" ht="15.5" x14ac:dyDescent="0.4">
      <c r="A322" s="126" t="str">
        <f t="shared" ref="A322:A323" si="35">A318</f>
        <v>01/01/2021-31/12/2021</v>
      </c>
      <c r="B322" s="398">
        <f t="shared" ref="B322:B323" si="36">B311</f>
        <v>51471</v>
      </c>
      <c r="C322" s="154" t="s">
        <v>306</v>
      </c>
      <c r="D322" s="61"/>
      <c r="F322" s="51"/>
    </row>
    <row r="323" spans="1:6" ht="15.5" x14ac:dyDescent="0.4">
      <c r="A323" s="126" t="str">
        <f t="shared" si="35"/>
        <v>01/01/2022-31/03/2022</v>
      </c>
      <c r="B323" s="398">
        <f t="shared" si="36"/>
        <v>12773</v>
      </c>
      <c r="C323" s="154" t="s">
        <v>306</v>
      </c>
      <c r="D323" s="61"/>
      <c r="F323" s="51"/>
    </row>
    <row r="324" spans="1:6" ht="15.5" x14ac:dyDescent="0.4">
      <c r="A324" s="225" t="s">
        <v>263</v>
      </c>
      <c r="B324" s="398">
        <f>B326+B327+B325</f>
        <v>2808</v>
      </c>
      <c r="C324" s="154" t="s">
        <v>306</v>
      </c>
      <c r="D324" s="61"/>
      <c r="E324" s="226"/>
    </row>
    <row r="325" spans="1:6" ht="15.5" x14ac:dyDescent="0.4">
      <c r="A325" s="126" t="str">
        <f>A317</f>
        <v>20/12/2020-31/12/2020</v>
      </c>
      <c r="B325" s="398">
        <f>B128</f>
        <v>81</v>
      </c>
      <c r="C325" s="154" t="s">
        <v>306</v>
      </c>
      <c r="D325" s="61"/>
      <c r="E325" s="226"/>
    </row>
    <row r="326" spans="1:6" ht="15.5" x14ac:dyDescent="0.4">
      <c r="A326" s="126" t="str">
        <f t="shared" ref="A326:A327" si="37">A318</f>
        <v>01/01/2021-31/12/2021</v>
      </c>
      <c r="B326" s="398">
        <f t="shared" ref="B326:B327" si="38">B129</f>
        <v>2186</v>
      </c>
      <c r="C326" s="154" t="s">
        <v>306</v>
      </c>
      <c r="D326" s="61"/>
      <c r="E326" s="226"/>
    </row>
    <row r="327" spans="1:6" ht="15.5" x14ac:dyDescent="0.4">
      <c r="A327" s="126" t="str">
        <f t="shared" si="37"/>
        <v>01/01/2022-31/03/2022</v>
      </c>
      <c r="B327" s="398">
        <f t="shared" si="38"/>
        <v>541</v>
      </c>
      <c r="C327" s="154" t="s">
        <v>306</v>
      </c>
      <c r="D327" s="61"/>
      <c r="E327" s="226"/>
    </row>
    <row r="328" spans="1:6" ht="15.5" x14ac:dyDescent="0.4">
      <c r="A328" s="225" t="s">
        <v>269</v>
      </c>
      <c r="B328" s="398">
        <f>B330+B331+B329</f>
        <v>10087</v>
      </c>
      <c r="C328" s="154" t="s">
        <v>306</v>
      </c>
    </row>
    <row r="329" spans="1:6" ht="15.5" x14ac:dyDescent="0.4">
      <c r="A329" s="126" t="str">
        <f>A325</f>
        <v>20/12/2020-31/12/2020</v>
      </c>
      <c r="B329" s="398">
        <f>B219</f>
        <v>295</v>
      </c>
      <c r="C329" s="154" t="s">
        <v>306</v>
      </c>
    </row>
    <row r="330" spans="1:6" ht="15.5" x14ac:dyDescent="0.4">
      <c r="A330" s="126" t="str">
        <f t="shared" ref="A330:A331" si="39">A326</f>
        <v>01/01/2021-31/12/2021</v>
      </c>
      <c r="B330" s="398">
        <f t="shared" ref="B330:B331" si="40">B220</f>
        <v>7846</v>
      </c>
      <c r="C330" s="154" t="s">
        <v>306</v>
      </c>
    </row>
    <row r="331" spans="1:6" ht="16" thickBot="1" x14ac:dyDescent="0.45">
      <c r="A331" s="417" t="str">
        <f t="shared" si="39"/>
        <v>01/01/2022-31/03/2022</v>
      </c>
      <c r="B331" s="401">
        <f t="shared" si="40"/>
        <v>1946</v>
      </c>
      <c r="C331" s="412" t="s">
        <v>306</v>
      </c>
    </row>
    <row r="332" spans="1:6" x14ac:dyDescent="0.3">
      <c r="A332" s="227"/>
      <c r="B332" s="228"/>
      <c r="C332" s="229"/>
    </row>
    <row r="333" spans="1:6" x14ac:dyDescent="0.3">
      <c r="A333" s="227"/>
      <c r="B333" s="228"/>
      <c r="C333" s="229"/>
    </row>
    <row r="334" spans="1:6" s="3" customFormat="1" x14ac:dyDescent="0.3">
      <c r="A334" s="227"/>
      <c r="B334" s="228"/>
      <c r="C334" s="229"/>
    </row>
    <row r="335" spans="1:6" s="3" customFormat="1" x14ac:dyDescent="0.3">
      <c r="A335" s="227"/>
      <c r="B335" s="228"/>
      <c r="C335" s="229"/>
    </row>
    <row r="336" spans="1:6" s="3" customFormat="1" ht="14" thickBot="1" x14ac:dyDescent="0.35">
      <c r="B336" s="229"/>
      <c r="C336" s="229"/>
    </row>
    <row r="337" spans="1:5" ht="15.5" x14ac:dyDescent="0.4">
      <c r="A337" s="224" t="s">
        <v>111</v>
      </c>
      <c r="B337" s="418">
        <f>B339+B340+B338</f>
        <v>11421</v>
      </c>
      <c r="C337" s="153" t="s">
        <v>306</v>
      </c>
    </row>
    <row r="338" spans="1:5" ht="15.5" x14ac:dyDescent="0.4">
      <c r="A338" s="126" t="str">
        <f>A329</f>
        <v>20/12/2020-31/12/2020</v>
      </c>
      <c r="B338" s="419">
        <f>B329-B325+B321-B317</f>
        <v>312</v>
      </c>
      <c r="C338" s="154" t="s">
        <v>306</v>
      </c>
    </row>
    <row r="339" spans="1:5" ht="15.5" x14ac:dyDescent="0.4">
      <c r="A339" s="126" t="str">
        <f t="shared" ref="A339:A340" si="41">A330</f>
        <v>01/01/2021-31/12/2021</v>
      </c>
      <c r="B339" s="419">
        <f>B330-B326+B322-B318</f>
        <v>8900</v>
      </c>
      <c r="C339" s="154" t="s">
        <v>306</v>
      </c>
    </row>
    <row r="340" spans="1:5" ht="16" thickBot="1" x14ac:dyDescent="0.45">
      <c r="A340" s="417" t="str">
        <f t="shared" si="41"/>
        <v>01/01/2022-31/03/2022</v>
      </c>
      <c r="B340" s="420">
        <f t="shared" ref="B340" si="42">B331-B327+B323-B319</f>
        <v>2209</v>
      </c>
      <c r="C340" s="412" t="s">
        <v>306</v>
      </c>
    </row>
    <row r="341" spans="1:5" x14ac:dyDescent="0.3">
      <c r="A341" s="80"/>
      <c r="B341" s="230"/>
    </row>
    <row r="342" spans="1:5" x14ac:dyDescent="0.3">
      <c r="A342" s="80"/>
      <c r="B342" s="230"/>
    </row>
    <row r="343" spans="1:5" x14ac:dyDescent="0.3">
      <c r="A343" s="80"/>
      <c r="B343" s="230"/>
    </row>
    <row r="344" spans="1:5" x14ac:dyDescent="0.3">
      <c r="C344" s="155"/>
    </row>
    <row r="349" spans="1:5" x14ac:dyDescent="0.3">
      <c r="A349" s="231" t="s">
        <v>286</v>
      </c>
      <c r="B349" s="232"/>
      <c r="C349" s="232"/>
      <c r="D349" s="233"/>
      <c r="E349" s="233"/>
    </row>
    <row r="350" spans="1:5" x14ac:dyDescent="0.3">
      <c r="A350" s="234" t="s">
        <v>3</v>
      </c>
      <c r="B350" s="234" t="s">
        <v>18</v>
      </c>
      <c r="C350" s="234"/>
      <c r="D350" s="234" t="s">
        <v>2</v>
      </c>
      <c r="E350" s="234" t="s">
        <v>4</v>
      </c>
    </row>
    <row r="351" spans="1:5" x14ac:dyDescent="0.3">
      <c r="A351" s="234"/>
      <c r="B351" s="234" t="str">
        <f>'[3]Baseline Emission'!B10</f>
        <v>Market Swine</v>
      </c>
      <c r="C351" s="234" t="str">
        <f>'[3]Baseline Emission'!C10</f>
        <v>Breeding Swine</v>
      </c>
      <c r="D351" s="234"/>
      <c r="E351" s="234"/>
    </row>
    <row r="352" spans="1:5" x14ac:dyDescent="0.3">
      <c r="A352" s="235" t="s">
        <v>287</v>
      </c>
      <c r="B352" s="236">
        <v>0.01</v>
      </c>
      <c r="C352" s="237">
        <v>0.02</v>
      </c>
      <c r="D352" s="232" t="s">
        <v>15</v>
      </c>
      <c r="E352" s="238" t="s">
        <v>7</v>
      </c>
    </row>
    <row r="353" spans="1:5" ht="15.5" x14ac:dyDescent="0.3">
      <c r="A353" s="235" t="s">
        <v>288</v>
      </c>
      <c r="B353" s="239"/>
      <c r="C353" s="239"/>
      <c r="D353" s="232" t="s">
        <v>16</v>
      </c>
      <c r="E353" s="233" t="s">
        <v>26</v>
      </c>
    </row>
    <row r="354" spans="1:5" x14ac:dyDescent="0.3">
      <c r="A354" s="240" t="s">
        <v>23</v>
      </c>
      <c r="B354" s="239"/>
      <c r="C354" s="239"/>
      <c r="D354" s="232"/>
      <c r="E354" s="233" t="s">
        <v>7</v>
      </c>
    </row>
    <row r="355" spans="1:5" x14ac:dyDescent="0.3">
      <c r="A355" s="240" t="s">
        <v>289</v>
      </c>
      <c r="B355" s="241"/>
      <c r="C355" s="237"/>
      <c r="D355" s="232" t="s">
        <v>17</v>
      </c>
      <c r="E355" s="233" t="s">
        <v>7</v>
      </c>
    </row>
    <row r="356" spans="1:5" x14ac:dyDescent="0.3">
      <c r="A356" s="240" t="s">
        <v>24</v>
      </c>
      <c r="B356" s="242"/>
      <c r="C356" s="242"/>
      <c r="D356" s="232"/>
      <c r="E356" s="233" t="s">
        <v>30</v>
      </c>
    </row>
    <row r="357" spans="1:5" x14ac:dyDescent="0.3">
      <c r="A357" s="243" t="s">
        <v>20</v>
      </c>
      <c r="B357" s="244"/>
      <c r="C357" s="244"/>
      <c r="D357" s="231"/>
      <c r="E357" s="231" t="s">
        <v>28</v>
      </c>
    </row>
    <row r="358" spans="1:5" x14ac:dyDescent="0.3">
      <c r="A358" s="231" t="s">
        <v>25</v>
      </c>
      <c r="B358" s="245"/>
      <c r="C358" s="234"/>
      <c r="D358" s="231"/>
      <c r="E358" s="231"/>
    </row>
  </sheetData>
  <mergeCells count="63">
    <mergeCell ref="E156:E222"/>
    <mergeCell ref="B174:C174"/>
    <mergeCell ref="B175:C175"/>
    <mergeCell ref="E294:E313"/>
    <mergeCell ref="B311:C311"/>
    <mergeCell ref="B312:C312"/>
    <mergeCell ref="B313:C313"/>
    <mergeCell ref="E241:E257"/>
    <mergeCell ref="D262:D281"/>
    <mergeCell ref="E262:E281"/>
    <mergeCell ref="B279:C279"/>
    <mergeCell ref="B280:C280"/>
    <mergeCell ref="B281:C281"/>
    <mergeCell ref="B278:C278"/>
    <mergeCell ref="B310:C310"/>
    <mergeCell ref="B176:C176"/>
    <mergeCell ref="D219:D222"/>
    <mergeCell ref="B194:C194"/>
    <mergeCell ref="B218:C218"/>
    <mergeCell ref="B215:C215"/>
    <mergeCell ref="B216:C216"/>
    <mergeCell ref="B217:C217"/>
    <mergeCell ref="B197:C197"/>
    <mergeCell ref="B222:C222"/>
    <mergeCell ref="B195:C195"/>
    <mergeCell ref="B196:C196"/>
    <mergeCell ref="B219:C219"/>
    <mergeCell ref="B221:C221"/>
    <mergeCell ref="B220:C220"/>
    <mergeCell ref="E86:E106"/>
    <mergeCell ref="B104:C104"/>
    <mergeCell ref="B105:C105"/>
    <mergeCell ref="B106:C106"/>
    <mergeCell ref="B130:C130"/>
    <mergeCell ref="B86:C86"/>
    <mergeCell ref="E128:E131"/>
    <mergeCell ref="E107:E127"/>
    <mergeCell ref="B125:C125"/>
    <mergeCell ref="B126:C126"/>
    <mergeCell ref="B127:C127"/>
    <mergeCell ref="B107:C107"/>
    <mergeCell ref="D23:D39"/>
    <mergeCell ref="E23:E39"/>
    <mergeCell ref="D40:D56"/>
    <mergeCell ref="E40:E56"/>
    <mergeCell ref="D65:D85"/>
    <mergeCell ref="E65:E85"/>
    <mergeCell ref="D241:D257"/>
    <mergeCell ref="D294:D313"/>
    <mergeCell ref="B82:C82"/>
    <mergeCell ref="B103:C103"/>
    <mergeCell ref="B124:C124"/>
    <mergeCell ref="B128:C128"/>
    <mergeCell ref="B173:C173"/>
    <mergeCell ref="B83:C83"/>
    <mergeCell ref="B84:C84"/>
    <mergeCell ref="B85:C85"/>
    <mergeCell ref="B129:C129"/>
    <mergeCell ref="D86:D106"/>
    <mergeCell ref="B131:C131"/>
    <mergeCell ref="D107:D127"/>
    <mergeCell ref="D128:D131"/>
    <mergeCell ref="D156:D218"/>
  </mergeCells>
  <phoneticPr fontId="0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45C9-9E4A-4316-8D78-9C8B5BFAAC9D}">
  <dimension ref="B3:K17"/>
  <sheetViews>
    <sheetView workbookViewId="0">
      <selection activeCell="D14" sqref="D14"/>
    </sheetView>
  </sheetViews>
  <sheetFormatPr defaultColWidth="8.7265625" defaultRowHeight="13.5" x14ac:dyDescent="0.3"/>
  <cols>
    <col min="1" max="1" width="8.7265625" style="29"/>
    <col min="2" max="2" width="27.6328125" style="29" bestFit="1" customWidth="1"/>
    <col min="3" max="3" width="29.36328125" style="29" bestFit="1" customWidth="1"/>
    <col min="4" max="4" width="26.54296875" style="29" bestFit="1" customWidth="1"/>
    <col min="5" max="5" width="28.36328125" style="29" bestFit="1" customWidth="1"/>
    <col min="6" max="6" width="31.1796875" style="29" bestFit="1" customWidth="1"/>
    <col min="7" max="7" width="17.90625" style="29" customWidth="1"/>
    <col min="8" max="8" width="12.1796875" style="29" customWidth="1"/>
    <col min="9" max="9" width="10.7265625" style="29" customWidth="1"/>
    <col min="10" max="10" width="9.26953125" style="29" bestFit="1" customWidth="1"/>
    <col min="11" max="16384" width="8.7265625" style="29"/>
  </cols>
  <sheetData>
    <row r="3" spans="2:11" ht="14" thickBot="1" x14ac:dyDescent="0.35"/>
    <row r="4" spans="2:11" ht="15.5" x14ac:dyDescent="0.3">
      <c r="B4" s="175" t="s">
        <v>116</v>
      </c>
      <c r="C4" s="176" t="s">
        <v>246</v>
      </c>
      <c r="D4" s="176" t="s">
        <v>247</v>
      </c>
      <c r="E4" s="176" t="s">
        <v>248</v>
      </c>
      <c r="F4" s="177" t="s">
        <v>249</v>
      </c>
    </row>
    <row r="5" spans="2:11" x14ac:dyDescent="0.3">
      <c r="B5" s="178" t="str">
        <f>'monitoring results'!A4</f>
        <v>20/12/2020-31/12/2020</v>
      </c>
      <c r="C5" s="179">
        <f>'Baseline emission'!B296</f>
        <v>7106</v>
      </c>
      <c r="D5" s="180">
        <f>'Project emission'!B323</f>
        <v>759</v>
      </c>
      <c r="E5" s="181">
        <f>'Leakage emission'!B338</f>
        <v>312</v>
      </c>
      <c r="F5" s="182">
        <f>C5-D5-E5</f>
        <v>6035</v>
      </c>
    </row>
    <row r="6" spans="2:11" x14ac:dyDescent="0.3">
      <c r="B6" s="178" t="s">
        <v>156</v>
      </c>
      <c r="C6" s="179">
        <f>'Baseline emission'!B297</f>
        <v>238877</v>
      </c>
      <c r="D6" s="180">
        <f>'Project emission'!B324</f>
        <v>22628</v>
      </c>
      <c r="E6" s="181">
        <f>'Leakage emission'!B339</f>
        <v>8900</v>
      </c>
      <c r="F6" s="182">
        <f t="shared" ref="F6:F7" si="0">C6-D6-E6</f>
        <v>207349</v>
      </c>
    </row>
    <row r="7" spans="2:11" x14ac:dyDescent="0.3">
      <c r="B7" s="183" t="s">
        <v>133</v>
      </c>
      <c r="C7" s="179">
        <f>'Baseline emission'!B298</f>
        <v>59275</v>
      </c>
      <c r="D7" s="180">
        <f>'Project emission'!B325</f>
        <v>5592</v>
      </c>
      <c r="E7" s="181">
        <f>'Leakage emission'!B340</f>
        <v>2209</v>
      </c>
      <c r="F7" s="182">
        <f t="shared" si="0"/>
        <v>51474</v>
      </c>
    </row>
    <row r="8" spans="2:11" ht="14" thickBot="1" x14ac:dyDescent="0.35">
      <c r="B8" s="184" t="s">
        <v>157</v>
      </c>
      <c r="C8" s="185">
        <f>SUM(C5:C7)</f>
        <v>305258</v>
      </c>
      <c r="D8" s="185">
        <f t="shared" ref="D8:F8" si="1">SUM(D5:D7)</f>
        <v>28979</v>
      </c>
      <c r="E8" s="185">
        <f t="shared" si="1"/>
        <v>11421</v>
      </c>
      <c r="F8" s="186">
        <f t="shared" si="1"/>
        <v>264858</v>
      </c>
      <c r="G8" s="187"/>
    </row>
    <row r="11" spans="2:11" x14ac:dyDescent="0.3">
      <c r="F11" s="157"/>
    </row>
    <row r="12" spans="2:11" x14ac:dyDescent="0.3">
      <c r="E12" s="188"/>
      <c r="F12" s="567"/>
      <c r="J12" s="157"/>
    </row>
    <row r="13" spans="2:11" x14ac:dyDescent="0.3">
      <c r="E13" s="189"/>
      <c r="F13" s="567"/>
      <c r="J13" s="157"/>
    </row>
    <row r="14" spans="2:11" x14ac:dyDescent="0.3">
      <c r="E14" s="188"/>
      <c r="F14" s="567"/>
      <c r="G14" s="190"/>
      <c r="J14" s="157"/>
      <c r="K14" s="62"/>
    </row>
    <row r="17" spans="6:6" x14ac:dyDescent="0.3">
      <c r="F17" s="157"/>
    </row>
  </sheetData>
  <mergeCells count="1">
    <mergeCell ref="F12:F14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98"/>
  <sheetViews>
    <sheetView zoomScaleNormal="100" workbookViewId="0">
      <selection activeCell="H1" sqref="H1"/>
    </sheetView>
  </sheetViews>
  <sheetFormatPr defaultColWidth="8.7265625" defaultRowHeight="13.5" x14ac:dyDescent="0.3"/>
  <cols>
    <col min="1" max="1" width="25.6328125" style="29" bestFit="1" customWidth="1"/>
    <col min="2" max="2" width="18.90625" style="29" customWidth="1"/>
    <col min="3" max="3" width="17.08984375" style="29" customWidth="1"/>
    <col min="4" max="4" width="15.7265625" style="29" customWidth="1"/>
    <col min="5" max="5" width="19.1796875" style="29" customWidth="1"/>
    <col min="6" max="6" width="17.453125" style="29" customWidth="1"/>
    <col min="7" max="7" width="8.7265625" style="29"/>
    <col min="8" max="8" width="14.54296875" style="29" customWidth="1"/>
    <col min="9" max="9" width="8.7265625" style="29"/>
    <col min="10" max="10" width="16.08984375" style="29" customWidth="1"/>
    <col min="11" max="11" width="17.6328125" style="29" customWidth="1"/>
    <col min="12" max="12" width="18.08984375" style="29" bestFit="1" customWidth="1"/>
    <col min="13" max="13" width="18.6328125" style="29" bestFit="1" customWidth="1"/>
    <col min="14" max="14" width="13.26953125" style="29" customWidth="1"/>
    <col min="15" max="16" width="12.81640625" style="29" bestFit="1" customWidth="1"/>
    <col min="17" max="17" width="11.7265625" style="29" bestFit="1" customWidth="1"/>
    <col min="18" max="18" width="12.453125" style="29" bestFit="1" customWidth="1"/>
    <col min="19" max="16384" width="8.7265625" style="29"/>
  </cols>
  <sheetData>
    <row r="1" spans="1:11" ht="33.5" customHeight="1" x14ac:dyDescent="0.4">
      <c r="A1" s="568" t="s">
        <v>366</v>
      </c>
      <c r="B1" s="569"/>
      <c r="C1" s="569"/>
      <c r="D1" s="569"/>
      <c r="E1" s="570"/>
    </row>
    <row r="2" spans="1:11" ht="15.5" x14ac:dyDescent="0.4">
      <c r="A2" s="571" t="s">
        <v>138</v>
      </c>
      <c r="B2" s="526" t="s">
        <v>191</v>
      </c>
      <c r="C2" s="526"/>
      <c r="D2" s="526" t="s">
        <v>192</v>
      </c>
      <c r="E2" s="527"/>
    </row>
    <row r="3" spans="1:11" x14ac:dyDescent="0.3">
      <c r="A3" s="572"/>
      <c r="B3" s="30" t="s">
        <v>32</v>
      </c>
      <c r="C3" s="30" t="s">
        <v>102</v>
      </c>
      <c r="D3" s="30" t="s">
        <v>32</v>
      </c>
      <c r="E3" s="31" t="s">
        <v>102</v>
      </c>
      <c r="G3" s="3"/>
      <c r="H3" s="3"/>
      <c r="I3" s="3"/>
      <c r="J3" s="3"/>
      <c r="K3" s="3"/>
    </row>
    <row r="4" spans="1:11" x14ac:dyDescent="0.3">
      <c r="A4" s="32" t="s">
        <v>190</v>
      </c>
      <c r="B4" s="30">
        <f>'2020.12'!D138</f>
        <v>132078</v>
      </c>
      <c r="C4" s="30">
        <f>'2020.12'!E138</f>
        <v>95993</v>
      </c>
      <c r="D4" s="33">
        <f>'2020.12'!C142</f>
        <v>61.4</v>
      </c>
      <c r="E4" s="172">
        <f>'2020.12'!D142</f>
        <v>74.599999999999994</v>
      </c>
      <c r="G4" s="34"/>
      <c r="H4" s="35"/>
      <c r="I4" s="3"/>
      <c r="J4" s="3"/>
      <c r="K4" s="3"/>
    </row>
    <row r="5" spans="1:11" x14ac:dyDescent="0.3">
      <c r="A5" s="32" t="s">
        <v>139</v>
      </c>
      <c r="B5" s="30">
        <f>'2021.1'!D138</f>
        <v>132078</v>
      </c>
      <c r="C5" s="30">
        <f>'2021.1'!E138</f>
        <v>95900</v>
      </c>
      <c r="D5" s="33">
        <f>'2021.1'!C142</f>
        <v>61.7</v>
      </c>
      <c r="E5" s="172">
        <f>'2021.1'!D142</f>
        <v>74.599999999999994</v>
      </c>
      <c r="G5" s="34"/>
      <c r="H5" s="35"/>
      <c r="I5" s="3"/>
      <c r="J5" s="3"/>
      <c r="K5" s="3"/>
    </row>
    <row r="6" spans="1:11" x14ac:dyDescent="0.3">
      <c r="A6" s="32" t="s">
        <v>140</v>
      </c>
      <c r="B6" s="30">
        <f>'2021.2'!D138</f>
        <v>132078</v>
      </c>
      <c r="C6" s="30">
        <f>'2021.2'!E138</f>
        <v>95947</v>
      </c>
      <c r="D6" s="33">
        <f>'2021.2'!C142</f>
        <v>61.2</v>
      </c>
      <c r="E6" s="172">
        <f>'2021.2'!D142</f>
        <v>72.900000000000006</v>
      </c>
      <c r="G6" s="34"/>
      <c r="H6" s="35"/>
      <c r="I6" s="3"/>
      <c r="J6" s="3"/>
      <c r="K6" s="3"/>
    </row>
    <row r="7" spans="1:11" x14ac:dyDescent="0.3">
      <c r="A7" s="32" t="s">
        <v>141</v>
      </c>
      <c r="B7" s="30">
        <f>'2021.3'!D138</f>
        <v>132078</v>
      </c>
      <c r="C7" s="30">
        <f>'2021.3'!E138</f>
        <v>95778</v>
      </c>
      <c r="D7" s="33">
        <f>'2021.3'!C142</f>
        <v>60.4</v>
      </c>
      <c r="E7" s="172">
        <f>'2021.3'!D142</f>
        <v>73.099999999999994</v>
      </c>
      <c r="G7" s="34"/>
      <c r="H7" s="35"/>
      <c r="I7" s="3"/>
      <c r="J7" s="3"/>
      <c r="K7" s="3"/>
    </row>
    <row r="8" spans="1:11" x14ac:dyDescent="0.3">
      <c r="A8" s="32" t="s">
        <v>142</v>
      </c>
      <c r="B8" s="30">
        <f>'2021.4'!D138</f>
        <v>132078</v>
      </c>
      <c r="C8" s="30">
        <f>'2021.4'!E138</f>
        <v>95748</v>
      </c>
      <c r="D8" s="33">
        <f>'2021.4'!C142</f>
        <v>60.6</v>
      </c>
      <c r="E8" s="172">
        <f>'2021.4'!D142</f>
        <v>73.900000000000006</v>
      </c>
      <c r="G8" s="34"/>
      <c r="H8" s="35"/>
      <c r="I8" s="3"/>
      <c r="J8" s="3"/>
      <c r="K8" s="3"/>
    </row>
    <row r="9" spans="1:11" x14ac:dyDescent="0.3">
      <c r="A9" s="32" t="s">
        <v>143</v>
      </c>
      <c r="B9" s="30">
        <f>'2021.5'!D138</f>
        <v>132078</v>
      </c>
      <c r="C9" s="30">
        <f>'2021.5'!E138</f>
        <v>95839</v>
      </c>
      <c r="D9" s="33">
        <f>'2021.5'!C142</f>
        <v>60.9</v>
      </c>
      <c r="E9" s="172">
        <f>'2021.5'!D142</f>
        <v>74.3</v>
      </c>
      <c r="G9" s="34"/>
      <c r="H9" s="35"/>
      <c r="I9" s="3"/>
      <c r="J9" s="3"/>
      <c r="K9" s="3"/>
    </row>
    <row r="10" spans="1:11" x14ac:dyDescent="0.3">
      <c r="A10" s="32" t="s">
        <v>144</v>
      </c>
      <c r="B10" s="30">
        <f>'2021.6'!D138</f>
        <v>132078</v>
      </c>
      <c r="C10" s="30">
        <f>'2021.6'!E138</f>
        <v>95920</v>
      </c>
      <c r="D10" s="33">
        <f>'2021.6'!C142</f>
        <v>59.7</v>
      </c>
      <c r="E10" s="172">
        <f>'2021.6'!D142</f>
        <v>73.599999999999994</v>
      </c>
      <c r="G10" s="34"/>
      <c r="H10" s="35"/>
      <c r="I10" s="3"/>
      <c r="J10" s="3"/>
      <c r="K10" s="3"/>
    </row>
    <row r="11" spans="1:11" x14ac:dyDescent="0.3">
      <c r="A11" s="32" t="s">
        <v>146</v>
      </c>
      <c r="B11" s="30">
        <f>'2021.7'!D138</f>
        <v>132078</v>
      </c>
      <c r="C11" s="30">
        <f>'2021.7'!E138</f>
        <v>95933</v>
      </c>
      <c r="D11" s="33">
        <f>'2021.7'!C142</f>
        <v>61.3</v>
      </c>
      <c r="E11" s="172">
        <f>'2021.7'!D142</f>
        <v>73.8</v>
      </c>
      <c r="G11" s="34"/>
      <c r="H11" s="35"/>
      <c r="I11" s="3"/>
      <c r="J11" s="3"/>
      <c r="K11" s="3"/>
    </row>
    <row r="12" spans="1:11" x14ac:dyDescent="0.3">
      <c r="A12" s="32" t="s">
        <v>145</v>
      </c>
      <c r="B12" s="30">
        <f>'2021.8'!D138</f>
        <v>132078</v>
      </c>
      <c r="C12" s="30">
        <f>'2021.8'!E138</f>
        <v>95959</v>
      </c>
      <c r="D12" s="33">
        <f>'2021.8'!C142</f>
        <v>61.6</v>
      </c>
      <c r="E12" s="172">
        <f>'2021.8'!D142</f>
        <v>73.400000000000006</v>
      </c>
      <c r="G12" s="34"/>
      <c r="H12" s="35"/>
      <c r="I12" s="3"/>
      <c r="J12" s="3"/>
      <c r="K12" s="3"/>
    </row>
    <row r="13" spans="1:11" x14ac:dyDescent="0.3">
      <c r="A13" s="32" t="s">
        <v>147</v>
      </c>
      <c r="B13" s="30">
        <f>'2021.9'!D138</f>
        <v>132078</v>
      </c>
      <c r="C13" s="30">
        <f>'2021.9'!E138</f>
        <v>95861</v>
      </c>
      <c r="D13" s="33">
        <f>'2021.9'!C142</f>
        <v>59.6</v>
      </c>
      <c r="E13" s="172">
        <f>'2021.9'!D142</f>
        <v>73.599999999999994</v>
      </c>
      <c r="G13" s="34"/>
      <c r="H13" s="35"/>
      <c r="I13" s="3"/>
      <c r="J13" s="3"/>
      <c r="K13" s="3"/>
    </row>
    <row r="14" spans="1:11" x14ac:dyDescent="0.3">
      <c r="A14" s="32" t="s">
        <v>148</v>
      </c>
      <c r="B14" s="30">
        <f>'2021.10'!D138</f>
        <v>132078</v>
      </c>
      <c r="C14" s="30">
        <f>'2021.10'!E138</f>
        <v>95835</v>
      </c>
      <c r="D14" s="33">
        <f>'2021.10'!C142</f>
        <v>61.8</v>
      </c>
      <c r="E14" s="172">
        <f>'2021.10'!D142</f>
        <v>74.2</v>
      </c>
      <c r="G14" s="34"/>
      <c r="H14" s="35"/>
      <c r="I14" s="3"/>
      <c r="J14" s="3"/>
      <c r="K14" s="3"/>
    </row>
    <row r="15" spans="1:11" x14ac:dyDescent="0.3">
      <c r="A15" s="32" t="s">
        <v>149</v>
      </c>
      <c r="B15" s="30">
        <f>'2021.11'!D138</f>
        <v>132078</v>
      </c>
      <c r="C15" s="30">
        <f>'2021.11'!E138</f>
        <v>95945</v>
      </c>
      <c r="D15" s="33">
        <f>'2021.11'!C142</f>
        <v>60.5</v>
      </c>
      <c r="E15" s="172">
        <f>'2021.11'!D142</f>
        <v>74.400000000000006</v>
      </c>
      <c r="G15" s="34"/>
      <c r="H15" s="35"/>
      <c r="I15" s="3"/>
      <c r="J15" s="3"/>
      <c r="K15" s="3"/>
    </row>
    <row r="16" spans="1:11" x14ac:dyDescent="0.3">
      <c r="A16" s="32" t="s">
        <v>150</v>
      </c>
      <c r="B16" s="30">
        <f>'2021.12'!D138</f>
        <v>132078</v>
      </c>
      <c r="C16" s="30">
        <f>'2021.12'!E138</f>
        <v>95942</v>
      </c>
      <c r="D16" s="33">
        <f>'2021.12'!C142</f>
        <v>60.5</v>
      </c>
      <c r="E16" s="172">
        <f>'2021.12'!D142</f>
        <v>74.599999999999994</v>
      </c>
      <c r="G16" s="34"/>
      <c r="H16" s="35"/>
      <c r="I16" s="3"/>
      <c r="J16" s="3"/>
      <c r="K16" s="3"/>
    </row>
    <row r="17" spans="1:11" x14ac:dyDescent="0.3">
      <c r="A17" s="32" t="s">
        <v>155</v>
      </c>
      <c r="B17" s="30">
        <f>'2022.1'!D138</f>
        <v>132078</v>
      </c>
      <c r="C17" s="30">
        <f>'2022.1'!E138</f>
        <v>95905</v>
      </c>
      <c r="D17" s="33">
        <f>'2022.1'!C142</f>
        <v>61.8</v>
      </c>
      <c r="E17" s="172">
        <f>'2022.1'!D142</f>
        <v>74.3</v>
      </c>
      <c r="G17" s="34"/>
      <c r="H17" s="35"/>
      <c r="I17" s="3"/>
      <c r="J17" s="3"/>
      <c r="K17" s="3"/>
    </row>
    <row r="18" spans="1:11" x14ac:dyDescent="0.3">
      <c r="A18" s="32" t="s">
        <v>151</v>
      </c>
      <c r="B18" s="30">
        <f>'2022.2'!D138</f>
        <v>132078</v>
      </c>
      <c r="C18" s="30">
        <f>'2022.2'!E138</f>
        <v>95944</v>
      </c>
      <c r="D18" s="33">
        <f>'2022.2'!C142</f>
        <v>60.7</v>
      </c>
      <c r="E18" s="172">
        <f>'2022.2'!D142</f>
        <v>75.2</v>
      </c>
      <c r="G18" s="34"/>
      <c r="H18" s="35"/>
      <c r="I18" s="3"/>
      <c r="J18" s="3"/>
      <c r="K18" s="3"/>
    </row>
    <row r="19" spans="1:11" x14ac:dyDescent="0.3">
      <c r="A19" s="32" t="s">
        <v>152</v>
      </c>
      <c r="B19" s="30">
        <f>'2022.3'!D138</f>
        <v>132078</v>
      </c>
      <c r="C19" s="30">
        <f>'2022.3'!E138</f>
        <v>95875</v>
      </c>
      <c r="D19" s="33">
        <f>'2022.3'!C142</f>
        <v>60.4</v>
      </c>
      <c r="E19" s="172">
        <f>'2022.3'!D142</f>
        <v>74.5</v>
      </c>
      <c r="G19" s="34"/>
      <c r="H19" s="35"/>
      <c r="I19" s="3"/>
      <c r="J19" s="3"/>
      <c r="K19" s="3"/>
    </row>
    <row r="20" spans="1:11" ht="14" thickBot="1" x14ac:dyDescent="0.35">
      <c r="A20" s="36" t="s">
        <v>103</v>
      </c>
      <c r="B20" s="37">
        <f>AVERAGE(B4:B19)</f>
        <v>132078</v>
      </c>
      <c r="C20" s="174">
        <f>AVERAGE(C4:C19)</f>
        <v>95895.25</v>
      </c>
      <c r="D20" s="38">
        <f t="shared" ref="D20:E20" si="0">AVERAGE(D4:D19)</f>
        <v>60.881249999999994</v>
      </c>
      <c r="E20" s="173">
        <f t="shared" si="0"/>
        <v>74.0625</v>
      </c>
      <c r="G20" s="3"/>
      <c r="H20" s="3"/>
      <c r="I20" s="3"/>
      <c r="J20" s="3"/>
      <c r="K20" s="3"/>
    </row>
    <row r="21" spans="1:11" x14ac:dyDescent="0.3">
      <c r="E21" s="39"/>
    </row>
    <row r="22" spans="1:11" ht="14" thickBot="1" x14ac:dyDescent="0.35"/>
    <row r="23" spans="1:11" ht="26.5" customHeight="1" x14ac:dyDescent="0.3">
      <c r="A23" s="573" t="s">
        <v>115</v>
      </c>
      <c r="B23" s="574"/>
    </row>
    <row r="24" spans="1:11" ht="15.5" x14ac:dyDescent="0.4">
      <c r="A24" s="40" t="s">
        <v>138</v>
      </c>
      <c r="B24" s="41" t="s">
        <v>193</v>
      </c>
    </row>
    <row r="25" spans="1:11" x14ac:dyDescent="0.3">
      <c r="A25" s="32" t="str">
        <f>A4</f>
        <v>20/12/2020-31/12/2020</v>
      </c>
      <c r="B25" s="403">
        <v>2.11294</v>
      </c>
    </row>
    <row r="26" spans="1:11" x14ac:dyDescent="0.3">
      <c r="A26" s="32" t="str">
        <f t="shared" ref="A26:A40" si="1">A5</f>
        <v>01/01/2021-31/01/2021</v>
      </c>
      <c r="B26" s="403">
        <v>5.4611399999999994</v>
      </c>
    </row>
    <row r="27" spans="1:11" x14ac:dyDescent="0.3">
      <c r="A27" s="32" t="str">
        <f t="shared" si="1"/>
        <v>01/02/1021-28/02/2021</v>
      </c>
      <c r="B27" s="403">
        <v>5.458330000000001</v>
      </c>
    </row>
    <row r="28" spans="1:11" x14ac:dyDescent="0.3">
      <c r="A28" s="32" t="str">
        <f t="shared" si="1"/>
        <v>01/03/2021-31/03/3021</v>
      </c>
      <c r="B28" s="403">
        <v>5.4543299999999997</v>
      </c>
    </row>
    <row r="29" spans="1:11" x14ac:dyDescent="0.3">
      <c r="A29" s="32" t="str">
        <f t="shared" si="1"/>
        <v>01/04/2021-30/04/2021</v>
      </c>
      <c r="B29" s="403">
        <v>5.4562499999999998</v>
      </c>
    </row>
    <row r="30" spans="1:11" ht="13.5" customHeight="1" x14ac:dyDescent="0.3">
      <c r="A30" s="32" t="str">
        <f t="shared" si="1"/>
        <v>01/05/2021-31/05/2021</v>
      </c>
      <c r="B30" s="403">
        <v>5.4542700000000002</v>
      </c>
    </row>
    <row r="31" spans="1:11" ht="13.5" customHeight="1" x14ac:dyDescent="0.3">
      <c r="A31" s="32" t="str">
        <f t="shared" si="1"/>
        <v>01/06/2021-30/06/2021</v>
      </c>
      <c r="B31" s="403">
        <v>5.4568000000000012</v>
      </c>
    </row>
    <row r="32" spans="1:11" ht="13.5" customHeight="1" x14ac:dyDescent="0.3">
      <c r="A32" s="32" t="str">
        <f t="shared" si="1"/>
        <v>01/07/2021-31/07/2021</v>
      </c>
      <c r="B32" s="403">
        <v>5.4556500000000012</v>
      </c>
    </row>
    <row r="33" spans="1:16" ht="13.5" customHeight="1" x14ac:dyDescent="0.3">
      <c r="A33" s="32" t="str">
        <f t="shared" si="1"/>
        <v>01/08/2021-31/08/2021</v>
      </c>
      <c r="B33" s="403">
        <v>5.4584299999999999</v>
      </c>
    </row>
    <row r="34" spans="1:16" ht="13.5" customHeight="1" x14ac:dyDescent="0.3">
      <c r="A34" s="32" t="str">
        <f t="shared" si="1"/>
        <v>01/09/2021-30/09/2021</v>
      </c>
      <c r="B34" s="403">
        <v>5.4533900000000006</v>
      </c>
    </row>
    <row r="35" spans="1:16" ht="13.5" customHeight="1" x14ac:dyDescent="0.3">
      <c r="A35" s="32" t="str">
        <f t="shared" si="1"/>
        <v>01/10/2021-31/10/2021</v>
      </c>
      <c r="B35" s="403">
        <v>5.4551300000000014</v>
      </c>
    </row>
    <row r="36" spans="1:16" ht="13.5" customHeight="1" x14ac:dyDescent="0.3">
      <c r="A36" s="32" t="str">
        <f t="shared" si="1"/>
        <v>01/11/2021-30/11/2021</v>
      </c>
      <c r="B36" s="403">
        <v>5.4600600000000004</v>
      </c>
    </row>
    <row r="37" spans="1:16" x14ac:dyDescent="0.3">
      <c r="A37" s="32" t="str">
        <f t="shared" si="1"/>
        <v>01/12/2021-31/12/2021</v>
      </c>
      <c r="B37" s="403">
        <v>5.4601000000000006</v>
      </c>
    </row>
    <row r="38" spans="1:16" x14ac:dyDescent="0.3">
      <c r="A38" s="32" t="str">
        <f t="shared" si="1"/>
        <v>01/01/2022-31/01/2022</v>
      </c>
      <c r="B38" s="403">
        <v>5.4565000000000001</v>
      </c>
    </row>
    <row r="39" spans="1:16" x14ac:dyDescent="0.3">
      <c r="A39" s="32" t="str">
        <f t="shared" si="1"/>
        <v>01/02/2022-28/02/2022</v>
      </c>
      <c r="B39" s="403">
        <v>5.455000000000001</v>
      </c>
    </row>
    <row r="40" spans="1:16" x14ac:dyDescent="0.3">
      <c r="A40" s="32" t="str">
        <f t="shared" si="1"/>
        <v>01/03/2022-31/03/2022</v>
      </c>
      <c r="B40" s="403">
        <v>5.4591500000000002</v>
      </c>
    </row>
    <row r="41" spans="1:16" ht="14" thickBot="1" x14ac:dyDescent="0.35">
      <c r="A41" s="42" t="s">
        <v>70</v>
      </c>
      <c r="B41" s="404">
        <v>83.967470000000006</v>
      </c>
    </row>
    <row r="44" spans="1:16" x14ac:dyDescent="0.3">
      <c r="C44" s="51"/>
      <c r="D44" s="51"/>
    </row>
    <row r="45" spans="1:16" ht="14" thickBot="1" x14ac:dyDescent="0.35"/>
    <row r="46" spans="1:16" ht="17" x14ac:dyDescent="0.4">
      <c r="A46" s="64" t="str">
        <f>A24</f>
        <v>Time interval</v>
      </c>
      <c r="B46" s="65" t="s">
        <v>194</v>
      </c>
      <c r="C46" s="65" t="s">
        <v>195</v>
      </c>
      <c r="D46" s="65" t="s">
        <v>101</v>
      </c>
      <c r="E46" s="66" t="s">
        <v>196</v>
      </c>
      <c r="F46" s="66" t="s">
        <v>97</v>
      </c>
      <c r="G46" s="66" t="s">
        <v>197</v>
      </c>
      <c r="H46" s="66" t="s">
        <v>98</v>
      </c>
      <c r="I46" s="66" t="s">
        <v>99</v>
      </c>
      <c r="J46" s="65" t="s">
        <v>198</v>
      </c>
      <c r="K46" s="66" t="s">
        <v>199</v>
      </c>
      <c r="L46" s="66" t="s">
        <v>200</v>
      </c>
      <c r="M46" s="395" t="s">
        <v>201</v>
      </c>
    </row>
    <row r="47" spans="1:16" x14ac:dyDescent="0.3">
      <c r="A47" s="67" t="str">
        <f>A25</f>
        <v>20/12/2020-31/12/2020</v>
      </c>
      <c r="B47" s="68">
        <v>696005.63</v>
      </c>
      <c r="C47" s="68">
        <v>674296.55</v>
      </c>
      <c r="D47" s="69">
        <v>0</v>
      </c>
      <c r="E47" s="70">
        <v>36.729999999999997</v>
      </c>
      <c r="F47" s="70">
        <f>E47+273.15</f>
        <v>309.88</v>
      </c>
      <c r="G47" s="71">
        <f>101.325*1000</f>
        <v>101325</v>
      </c>
      <c r="H47" s="71">
        <v>16.04</v>
      </c>
      <c r="I47" s="72">
        <v>8314</v>
      </c>
      <c r="J47" s="73">
        <f>ROUND(G47*H47/F47/I47,2)/1000</f>
        <v>6.3000000000000003E-4</v>
      </c>
      <c r="K47" s="74">
        <v>61.34</v>
      </c>
      <c r="L47" s="70">
        <f>B47</f>
        <v>696005.63</v>
      </c>
      <c r="M47" s="396">
        <f>J47*K47*L47/100</f>
        <v>268.96580766846006</v>
      </c>
      <c r="N47" s="99"/>
      <c r="O47" s="389"/>
      <c r="P47" s="389"/>
    </row>
    <row r="48" spans="1:16" x14ac:dyDescent="0.3">
      <c r="A48" s="67" t="str">
        <f t="shared" ref="A48:A62" si="2">A26</f>
        <v>01/01/2021-31/01/2021</v>
      </c>
      <c r="B48" s="68">
        <v>1797291.4099999985</v>
      </c>
      <c r="C48" s="68">
        <v>1741035.1499999983</v>
      </c>
      <c r="D48" s="69">
        <v>0</v>
      </c>
      <c r="E48" s="70">
        <v>36.46</v>
      </c>
      <c r="F48" s="70">
        <f t="shared" ref="F48:F62" si="3">E48+273.15</f>
        <v>309.60999999999996</v>
      </c>
      <c r="G48" s="71">
        <f t="shared" ref="G48:G62" si="4">101.325*1000</f>
        <v>101325</v>
      </c>
      <c r="H48" s="71">
        <v>16.04</v>
      </c>
      <c r="I48" s="72">
        <v>8314</v>
      </c>
      <c r="J48" s="73">
        <f t="shared" ref="J48:J61" si="5">ROUND(G48*H48/F48/I48,2)/1000</f>
        <v>6.3000000000000003E-4</v>
      </c>
      <c r="K48" s="74">
        <v>60.89</v>
      </c>
      <c r="L48" s="70">
        <f t="shared" ref="L48:L62" si="6">B48</f>
        <v>1797291.4099999985</v>
      </c>
      <c r="M48" s="396">
        <f t="shared" ref="M48:M62" si="7">J48*K48*L48/100</f>
        <v>689.4535659158696</v>
      </c>
      <c r="N48" s="99"/>
      <c r="O48" s="389"/>
      <c r="P48" s="389"/>
    </row>
    <row r="49" spans="1:17" x14ac:dyDescent="0.3">
      <c r="A49" s="67" t="str">
        <f t="shared" si="2"/>
        <v>01/02/1021-28/02/2021</v>
      </c>
      <c r="B49" s="68">
        <v>1623700.9299999997</v>
      </c>
      <c r="C49" s="68">
        <v>1572845.2599999961</v>
      </c>
      <c r="D49" s="69">
        <v>0</v>
      </c>
      <c r="E49" s="70">
        <v>36.31</v>
      </c>
      <c r="F49" s="70">
        <f t="shared" si="3"/>
        <v>309.45999999999998</v>
      </c>
      <c r="G49" s="71">
        <f t="shared" si="4"/>
        <v>101325</v>
      </c>
      <c r="H49" s="71">
        <v>16.04</v>
      </c>
      <c r="I49" s="72">
        <v>8314</v>
      </c>
      <c r="J49" s="73">
        <f t="shared" si="5"/>
        <v>6.3000000000000003E-4</v>
      </c>
      <c r="K49" s="74">
        <v>60.99</v>
      </c>
      <c r="L49" s="70">
        <f t="shared" si="6"/>
        <v>1623700.9299999997</v>
      </c>
      <c r="M49" s="396">
        <f t="shared" si="7"/>
        <v>623.88597424040995</v>
      </c>
      <c r="N49" s="158"/>
      <c r="O49" s="389"/>
      <c r="P49" s="389"/>
    </row>
    <row r="50" spans="1:17" x14ac:dyDescent="0.3">
      <c r="A50" s="67" t="str">
        <f t="shared" si="2"/>
        <v>01/03/2021-31/03/3021</v>
      </c>
      <c r="B50" s="68">
        <v>1796266.4599999955</v>
      </c>
      <c r="C50" s="68">
        <v>1740195.4</v>
      </c>
      <c r="D50" s="69">
        <v>0</v>
      </c>
      <c r="E50" s="70">
        <v>36.33</v>
      </c>
      <c r="F50" s="70">
        <f t="shared" si="3"/>
        <v>309.47999999999996</v>
      </c>
      <c r="G50" s="71">
        <f t="shared" si="4"/>
        <v>101325</v>
      </c>
      <c r="H50" s="71">
        <v>16.04</v>
      </c>
      <c r="I50" s="72">
        <v>8314</v>
      </c>
      <c r="J50" s="73">
        <f t="shared" si="5"/>
        <v>6.3000000000000003E-4</v>
      </c>
      <c r="K50" s="74">
        <v>60.44</v>
      </c>
      <c r="L50" s="70">
        <f t="shared" si="6"/>
        <v>1796266.4599999955</v>
      </c>
      <c r="M50" s="396">
        <f>J50*K50*L50/100</f>
        <v>683.96797250711825</v>
      </c>
      <c r="O50" s="389"/>
      <c r="P50" s="389"/>
    </row>
    <row r="51" spans="1:17" x14ac:dyDescent="0.3">
      <c r="A51" s="67" t="str">
        <f t="shared" si="2"/>
        <v>01/04/2021-30/04/2021</v>
      </c>
      <c r="B51" s="68">
        <v>1738115.0199999998</v>
      </c>
      <c r="C51" s="68">
        <v>1684075.9899999986</v>
      </c>
      <c r="D51" s="69">
        <v>0</v>
      </c>
      <c r="E51" s="70">
        <v>36.880000000000003</v>
      </c>
      <c r="F51" s="70">
        <f t="shared" si="3"/>
        <v>310.02999999999997</v>
      </c>
      <c r="G51" s="71">
        <f t="shared" si="4"/>
        <v>101325</v>
      </c>
      <c r="H51" s="71">
        <v>16.04</v>
      </c>
      <c r="I51" s="72">
        <v>8314</v>
      </c>
      <c r="J51" s="73">
        <f t="shared" si="5"/>
        <v>6.3000000000000003E-4</v>
      </c>
      <c r="K51" s="74">
        <v>60.8</v>
      </c>
      <c r="L51" s="70">
        <f t="shared" si="6"/>
        <v>1738115.0199999998</v>
      </c>
      <c r="M51" s="396">
        <f t="shared" si="7"/>
        <v>665.76757726079984</v>
      </c>
      <c r="O51" s="389"/>
      <c r="P51" s="389"/>
    </row>
    <row r="52" spans="1:17" x14ac:dyDescent="0.3">
      <c r="A52" s="67" t="str">
        <f t="shared" si="2"/>
        <v>01/05/2021-31/05/2021</v>
      </c>
      <c r="B52" s="68">
        <v>1796803.6100000013</v>
      </c>
      <c r="C52" s="68">
        <v>1740315.4100000043</v>
      </c>
      <c r="D52" s="69">
        <v>0</v>
      </c>
      <c r="E52" s="70">
        <v>36.409999999999997</v>
      </c>
      <c r="F52" s="70">
        <f t="shared" si="3"/>
        <v>309.55999999999995</v>
      </c>
      <c r="G52" s="71">
        <f t="shared" si="4"/>
        <v>101325</v>
      </c>
      <c r="H52" s="71">
        <v>16.04</v>
      </c>
      <c r="I52" s="72">
        <v>8314</v>
      </c>
      <c r="J52" s="73">
        <f t="shared" si="5"/>
        <v>6.3000000000000003E-4</v>
      </c>
      <c r="K52" s="74">
        <v>60.36</v>
      </c>
      <c r="L52" s="70">
        <f t="shared" si="6"/>
        <v>1796803.6100000013</v>
      </c>
      <c r="M52" s="396">
        <f t="shared" si="7"/>
        <v>683.26691516748042</v>
      </c>
      <c r="O52" s="389"/>
      <c r="P52" s="389"/>
    </row>
    <row r="53" spans="1:17" x14ac:dyDescent="0.3">
      <c r="A53" s="67" t="str">
        <f t="shared" si="2"/>
        <v>01/06/2021-30/06/2021</v>
      </c>
      <c r="B53" s="68">
        <v>1739429.209999996</v>
      </c>
      <c r="C53" s="68">
        <v>1685218.14</v>
      </c>
      <c r="D53" s="69">
        <v>0</v>
      </c>
      <c r="E53" s="70">
        <v>37.03</v>
      </c>
      <c r="F53" s="70">
        <f t="shared" si="3"/>
        <v>310.17999999999995</v>
      </c>
      <c r="G53" s="71">
        <f t="shared" si="4"/>
        <v>101325</v>
      </c>
      <c r="H53" s="71">
        <v>16.04</v>
      </c>
      <c r="I53" s="72">
        <v>8314</v>
      </c>
      <c r="J53" s="73">
        <f t="shared" si="5"/>
        <v>6.3000000000000003E-4</v>
      </c>
      <c r="K53" s="74">
        <v>61.18</v>
      </c>
      <c r="L53" s="70">
        <f t="shared" si="6"/>
        <v>1739429.209999996</v>
      </c>
      <c r="M53" s="396">
        <f t="shared" si="7"/>
        <v>670.43515812713838</v>
      </c>
      <c r="O53" s="389"/>
      <c r="P53" s="389"/>
    </row>
    <row r="54" spans="1:17" x14ac:dyDescent="0.3">
      <c r="A54" s="67" t="str">
        <f t="shared" si="2"/>
        <v>01/07/2021-31/07/2021</v>
      </c>
      <c r="B54" s="68">
        <v>1797531.3199999973</v>
      </c>
      <c r="C54" s="68">
        <v>1741282.4900000014</v>
      </c>
      <c r="D54" s="69">
        <v>0</v>
      </c>
      <c r="E54" s="70">
        <v>36.14</v>
      </c>
      <c r="F54" s="70">
        <f t="shared" si="3"/>
        <v>309.28999999999996</v>
      </c>
      <c r="G54" s="71">
        <f t="shared" si="4"/>
        <v>101325</v>
      </c>
      <c r="H54" s="71">
        <v>16.04</v>
      </c>
      <c r="I54" s="72">
        <v>8314</v>
      </c>
      <c r="J54" s="73">
        <f t="shared" si="5"/>
        <v>6.3000000000000003E-4</v>
      </c>
      <c r="K54" s="74">
        <v>61.1</v>
      </c>
      <c r="L54" s="70">
        <f t="shared" si="6"/>
        <v>1797531.3199999973</v>
      </c>
      <c r="M54" s="396">
        <f t="shared" si="7"/>
        <v>691.92373100759903</v>
      </c>
      <c r="O54" s="389"/>
      <c r="P54" s="389"/>
    </row>
    <row r="55" spans="1:17" x14ac:dyDescent="0.3">
      <c r="A55" s="67" t="str">
        <f t="shared" si="2"/>
        <v>01/08/2021-31/08/2021</v>
      </c>
      <c r="B55" s="68">
        <v>1797753.7400000035</v>
      </c>
      <c r="C55" s="68">
        <v>1741515.4899999986</v>
      </c>
      <c r="D55" s="69">
        <v>0</v>
      </c>
      <c r="E55" s="70">
        <v>36.08</v>
      </c>
      <c r="F55" s="70">
        <f t="shared" si="3"/>
        <v>309.22999999999996</v>
      </c>
      <c r="G55" s="71">
        <f t="shared" si="4"/>
        <v>101325</v>
      </c>
      <c r="H55" s="71">
        <v>16.04</v>
      </c>
      <c r="I55" s="72">
        <v>8314</v>
      </c>
      <c r="J55" s="73">
        <f t="shared" si="5"/>
        <v>6.3000000000000003E-4</v>
      </c>
      <c r="K55" s="74">
        <v>61.11</v>
      </c>
      <c r="L55" s="70">
        <f t="shared" si="6"/>
        <v>1797753.7400000035</v>
      </c>
      <c r="M55" s="396">
        <f t="shared" si="7"/>
        <v>692.1226056238213</v>
      </c>
      <c r="O55" s="389"/>
      <c r="P55" s="389"/>
    </row>
    <row r="56" spans="1:17" x14ac:dyDescent="0.3">
      <c r="A56" s="67" t="str">
        <f t="shared" si="2"/>
        <v>01/09/2021-30/09/2021</v>
      </c>
      <c r="B56" s="68">
        <v>1738971.6999999986</v>
      </c>
      <c r="C56" s="68">
        <v>1684592.3700000006</v>
      </c>
      <c r="D56" s="69">
        <v>0</v>
      </c>
      <c r="E56" s="70">
        <v>36.590000000000003</v>
      </c>
      <c r="F56" s="70">
        <f t="shared" si="3"/>
        <v>309.74</v>
      </c>
      <c r="G56" s="71">
        <f t="shared" si="4"/>
        <v>101325</v>
      </c>
      <c r="H56" s="71">
        <v>16.04</v>
      </c>
      <c r="I56" s="72">
        <v>8314</v>
      </c>
      <c r="J56" s="73">
        <f t="shared" si="5"/>
        <v>6.3000000000000003E-4</v>
      </c>
      <c r="K56" s="74">
        <v>60.53</v>
      </c>
      <c r="L56" s="70">
        <f t="shared" si="6"/>
        <v>1738971.6999999986</v>
      </c>
      <c r="M56" s="396">
        <f t="shared" si="7"/>
        <v>663.1377291062995</v>
      </c>
      <c r="O56" s="389"/>
      <c r="P56" s="389"/>
    </row>
    <row r="57" spans="1:17" x14ac:dyDescent="0.3">
      <c r="A57" s="67" t="str">
        <f t="shared" si="2"/>
        <v>01/10/2021-31/10/2021</v>
      </c>
      <c r="B57" s="68">
        <v>1796744.2500000021</v>
      </c>
      <c r="C57" s="68">
        <v>1740170.8899999994</v>
      </c>
      <c r="D57" s="69">
        <v>0</v>
      </c>
      <c r="E57" s="70">
        <v>36.17</v>
      </c>
      <c r="F57" s="70">
        <f t="shared" si="3"/>
        <v>309.32</v>
      </c>
      <c r="G57" s="71">
        <f t="shared" si="4"/>
        <v>101325</v>
      </c>
      <c r="H57" s="71">
        <v>16.04</v>
      </c>
      <c r="I57" s="72">
        <v>8314</v>
      </c>
      <c r="J57" s="73">
        <f t="shared" si="5"/>
        <v>6.3000000000000003E-4</v>
      </c>
      <c r="K57" s="74">
        <v>59.78</v>
      </c>
      <c r="L57" s="70">
        <f t="shared" si="6"/>
        <v>1796744.2500000021</v>
      </c>
      <c r="M57" s="396">
        <f t="shared" si="7"/>
        <v>676.67903896950088</v>
      </c>
      <c r="O57" s="389"/>
      <c r="P57" s="389"/>
    </row>
    <row r="58" spans="1:17" x14ac:dyDescent="0.3">
      <c r="A58" s="67" t="str">
        <f t="shared" si="2"/>
        <v>01/11/2021-30/11/2021</v>
      </c>
      <c r="B58" s="68">
        <v>1739656.38</v>
      </c>
      <c r="C58" s="68">
        <v>1685442.0599999987</v>
      </c>
      <c r="D58" s="69">
        <v>0</v>
      </c>
      <c r="E58" s="70">
        <v>36.46</v>
      </c>
      <c r="F58" s="70">
        <f t="shared" si="3"/>
        <v>309.60999999999996</v>
      </c>
      <c r="G58" s="71">
        <f t="shared" si="4"/>
        <v>101325</v>
      </c>
      <c r="H58" s="71">
        <v>16.04</v>
      </c>
      <c r="I58" s="72">
        <v>8314</v>
      </c>
      <c r="J58" s="73">
        <f t="shared" si="5"/>
        <v>6.3000000000000003E-4</v>
      </c>
      <c r="K58" s="74">
        <v>60.96</v>
      </c>
      <c r="L58" s="70">
        <f t="shared" si="6"/>
        <v>1739656.38</v>
      </c>
      <c r="M58" s="396">
        <f t="shared" si="7"/>
        <v>668.11155342623999</v>
      </c>
      <c r="O58" s="389"/>
      <c r="P58" s="389"/>
    </row>
    <row r="59" spans="1:17" x14ac:dyDescent="0.3">
      <c r="A59" s="67" t="str">
        <f t="shared" si="2"/>
        <v>01/12/2021-31/12/2021</v>
      </c>
      <c r="B59" s="68">
        <v>1797595.869999998</v>
      </c>
      <c r="C59" s="68">
        <v>1741539.3500000003</v>
      </c>
      <c r="D59" s="69">
        <v>0</v>
      </c>
      <c r="E59" s="70">
        <v>36.35</v>
      </c>
      <c r="F59" s="70">
        <f t="shared" si="3"/>
        <v>309.5</v>
      </c>
      <c r="G59" s="71">
        <f t="shared" si="4"/>
        <v>101325</v>
      </c>
      <c r="H59" s="71">
        <v>16.04</v>
      </c>
      <c r="I59" s="72">
        <v>8314</v>
      </c>
      <c r="J59" s="73">
        <f t="shared" si="5"/>
        <v>6.3000000000000003E-4</v>
      </c>
      <c r="K59" s="74">
        <v>59.99</v>
      </c>
      <c r="L59" s="70">
        <f t="shared" si="6"/>
        <v>1797595.869999998</v>
      </c>
      <c r="M59" s="396">
        <f t="shared" si="7"/>
        <v>679.37799032018927</v>
      </c>
      <c r="N59" s="99"/>
      <c r="O59" s="389"/>
      <c r="P59" s="389"/>
    </row>
    <row r="60" spans="1:17" x14ac:dyDescent="0.3">
      <c r="A60" s="67" t="str">
        <f t="shared" si="2"/>
        <v>01/01/2022-31/01/2022</v>
      </c>
      <c r="B60" s="68">
        <v>1797289.1499999969</v>
      </c>
      <c r="C60" s="68">
        <v>1741517.97</v>
      </c>
      <c r="D60" s="69">
        <v>0</v>
      </c>
      <c r="E60" s="70">
        <v>36.82</v>
      </c>
      <c r="F60" s="70">
        <f t="shared" si="3"/>
        <v>309.96999999999997</v>
      </c>
      <c r="G60" s="71">
        <f t="shared" si="4"/>
        <v>101325</v>
      </c>
      <c r="H60" s="71">
        <v>16.04</v>
      </c>
      <c r="I60" s="72">
        <v>8314</v>
      </c>
      <c r="J60" s="73">
        <f t="shared" si="5"/>
        <v>6.3000000000000003E-4</v>
      </c>
      <c r="K60" s="74">
        <v>61.26</v>
      </c>
      <c r="L60" s="70">
        <f t="shared" si="6"/>
        <v>1797289.1499999969</v>
      </c>
      <c r="M60" s="396">
        <f t="shared" si="7"/>
        <v>693.64217997269884</v>
      </c>
      <c r="N60" s="158"/>
      <c r="O60" s="389"/>
      <c r="P60" s="389"/>
      <c r="Q60" s="3"/>
    </row>
    <row r="61" spans="1:17" x14ac:dyDescent="0.3">
      <c r="A61" s="67" t="str">
        <f t="shared" si="2"/>
        <v>01/02/2022-28/02/2022</v>
      </c>
      <c r="B61" s="68">
        <v>1623639.55</v>
      </c>
      <c r="C61" s="68">
        <v>1572761.9299999962</v>
      </c>
      <c r="D61" s="69">
        <v>0</v>
      </c>
      <c r="E61" s="70">
        <v>36.659999999999997</v>
      </c>
      <c r="F61" s="70">
        <f t="shared" si="3"/>
        <v>309.80999999999995</v>
      </c>
      <c r="G61" s="71">
        <f t="shared" si="4"/>
        <v>101325</v>
      </c>
      <c r="H61" s="71">
        <v>16.04</v>
      </c>
      <c r="I61" s="72">
        <v>8314</v>
      </c>
      <c r="J61" s="73">
        <f t="shared" si="5"/>
        <v>6.3000000000000003E-4</v>
      </c>
      <c r="K61" s="74">
        <v>60.17</v>
      </c>
      <c r="L61" s="70">
        <f t="shared" si="6"/>
        <v>1623639.55</v>
      </c>
      <c r="M61" s="396">
        <f t="shared" si="7"/>
        <v>615.47466785805011</v>
      </c>
      <c r="O61" s="389"/>
      <c r="P61" s="389"/>
      <c r="Q61" s="3"/>
    </row>
    <row r="62" spans="1:17" x14ac:dyDescent="0.3">
      <c r="A62" s="67" t="str">
        <f t="shared" si="2"/>
        <v>01/03/2022-31/03/2022</v>
      </c>
      <c r="B62" s="68">
        <v>1797067.5000000007</v>
      </c>
      <c r="C62" s="68">
        <v>1740642.9200000016</v>
      </c>
      <c r="D62" s="69">
        <v>0</v>
      </c>
      <c r="E62" s="70">
        <v>36.4</v>
      </c>
      <c r="F62" s="70">
        <f t="shared" si="3"/>
        <v>309.54999999999995</v>
      </c>
      <c r="G62" s="71">
        <f t="shared" si="4"/>
        <v>101325</v>
      </c>
      <c r="H62" s="71">
        <v>16.04</v>
      </c>
      <c r="I62" s="72">
        <v>8314</v>
      </c>
      <c r="J62" s="73">
        <f t="shared" ref="J62" si="8">ROUND(G62*H62/F62/I62,2)/1000</f>
        <v>6.3000000000000003E-4</v>
      </c>
      <c r="K62" s="74">
        <v>60.32</v>
      </c>
      <c r="L62" s="70">
        <f t="shared" si="6"/>
        <v>1797067.5000000007</v>
      </c>
      <c r="M62" s="396">
        <f t="shared" si="7"/>
        <v>682.91440308000028</v>
      </c>
      <c r="O62" s="389"/>
      <c r="P62" s="389"/>
      <c r="Q62" s="3"/>
    </row>
    <row r="63" spans="1:17" ht="14" thickBot="1" x14ac:dyDescent="0.35">
      <c r="A63" s="75" t="s">
        <v>70</v>
      </c>
      <c r="B63" s="76">
        <f>SUM(B47:B62)</f>
        <v>27073861.729999989</v>
      </c>
      <c r="C63" s="76">
        <f>SUM(C47:C62)</f>
        <v>26227447.369999994</v>
      </c>
      <c r="D63" s="76">
        <f>SUM(D47:D62)</f>
        <v>0</v>
      </c>
      <c r="E63" s="77"/>
      <c r="F63" s="77">
        <f>AVERAGE(F47:F62)</f>
        <v>309.63875000000002</v>
      </c>
      <c r="G63" s="77"/>
      <c r="H63" s="77"/>
      <c r="I63" s="77"/>
      <c r="J63" s="78">
        <f t="shared" ref="J63" si="9">AVERAGE(J47:J62)</f>
        <v>6.3000000000000013E-4</v>
      </c>
      <c r="K63" s="77">
        <f>AVERAGE(K47:K62)</f>
        <v>60.701250000000002</v>
      </c>
      <c r="L63" s="76">
        <f>SUM(L47:L62)</f>
        <v>27073861.729999989</v>
      </c>
      <c r="M63" s="397">
        <f>SUM(M47:M62)</f>
        <v>10349.126870251674</v>
      </c>
      <c r="O63" s="389"/>
      <c r="P63" s="389"/>
      <c r="Q63" s="45"/>
    </row>
    <row r="64" spans="1:17" x14ac:dyDescent="0.3">
      <c r="A64" s="3"/>
      <c r="B64" s="3"/>
      <c r="C64" s="3"/>
      <c r="D64" s="46"/>
      <c r="E64" s="3"/>
      <c r="M64" s="47"/>
      <c r="N64" s="47"/>
      <c r="O64" s="48"/>
      <c r="P64" s="49"/>
      <c r="Q64" s="50"/>
    </row>
    <row r="65" spans="2:18" x14ac:dyDescent="0.3">
      <c r="B65" s="51"/>
      <c r="C65" s="157"/>
      <c r="E65" s="3"/>
      <c r="L65" s="52"/>
      <c r="M65" s="53"/>
      <c r="N65" s="47"/>
      <c r="O65" s="54"/>
      <c r="P65" s="39"/>
      <c r="Q65" s="39"/>
      <c r="R65" s="51"/>
    </row>
    <row r="66" spans="2:18" x14ac:dyDescent="0.3">
      <c r="B66" s="52"/>
      <c r="C66" s="52"/>
      <c r="D66" s="52"/>
      <c r="E66" s="3"/>
      <c r="M66" s="47"/>
      <c r="N66" s="47"/>
      <c r="O66" s="55"/>
      <c r="P66" s="47"/>
      <c r="Q66" s="56"/>
    </row>
    <row r="67" spans="2:18" x14ac:dyDescent="0.3">
      <c r="B67" s="152"/>
      <c r="C67" s="52"/>
      <c r="D67" s="57"/>
      <c r="E67" s="58"/>
      <c r="F67" s="58"/>
      <c r="M67" s="47"/>
      <c r="N67" s="47"/>
      <c r="O67" s="54"/>
      <c r="P67" s="48"/>
      <c r="Q67" s="56"/>
    </row>
    <row r="68" spans="2:18" x14ac:dyDescent="0.3">
      <c r="B68" s="52"/>
      <c r="C68" s="52"/>
      <c r="D68" s="52"/>
      <c r="E68" s="58"/>
      <c r="F68" s="58"/>
      <c r="M68" s="47"/>
      <c r="N68" s="47"/>
      <c r="O68" s="59"/>
      <c r="P68" s="48"/>
      <c r="Q68" s="47"/>
    </row>
    <row r="69" spans="2:18" x14ac:dyDescent="0.3">
      <c r="B69" s="52"/>
      <c r="C69" s="52"/>
      <c r="D69" s="52"/>
      <c r="E69" s="58"/>
      <c r="F69" s="58"/>
      <c r="O69" s="60"/>
    </row>
    <row r="70" spans="2:18" x14ac:dyDescent="0.3">
      <c r="B70" s="52"/>
      <c r="C70" s="52"/>
      <c r="D70" s="52"/>
      <c r="E70" s="58"/>
      <c r="F70" s="58"/>
      <c r="O70" s="61"/>
    </row>
    <row r="71" spans="2:18" x14ac:dyDescent="0.3">
      <c r="B71" s="52"/>
      <c r="C71" s="52"/>
      <c r="D71" s="52"/>
      <c r="E71" s="3"/>
    </row>
    <row r="72" spans="2:18" x14ac:dyDescent="0.3">
      <c r="B72" s="52"/>
      <c r="C72" s="52"/>
      <c r="D72" s="52"/>
      <c r="E72" s="3"/>
    </row>
    <row r="73" spans="2:18" x14ac:dyDescent="0.3">
      <c r="B73" s="52"/>
      <c r="C73" s="52"/>
      <c r="D73" s="52"/>
      <c r="E73" s="3"/>
    </row>
    <row r="74" spans="2:18" x14ac:dyDescent="0.3">
      <c r="B74" s="52"/>
      <c r="C74" s="52"/>
      <c r="D74" s="52"/>
      <c r="E74" s="3"/>
    </row>
    <row r="75" spans="2:18" x14ac:dyDescent="0.3">
      <c r="B75" s="52"/>
      <c r="C75" s="52"/>
      <c r="D75" s="52"/>
      <c r="E75" s="3"/>
    </row>
    <row r="76" spans="2:18" x14ac:dyDescent="0.3">
      <c r="B76" s="52"/>
      <c r="C76" s="52"/>
      <c r="D76" s="52"/>
      <c r="E76" s="3"/>
    </row>
    <row r="77" spans="2:18" x14ac:dyDescent="0.3">
      <c r="B77" s="51"/>
      <c r="E77" s="3"/>
    </row>
    <row r="78" spans="2:18" x14ac:dyDescent="0.3">
      <c r="E78" s="3"/>
    </row>
    <row r="79" spans="2:18" x14ac:dyDescent="0.3">
      <c r="E79" s="3"/>
    </row>
    <row r="80" spans="2:18" x14ac:dyDescent="0.3">
      <c r="E80" s="3"/>
      <c r="L80" s="62"/>
    </row>
    <row r="81" spans="5:14" x14ac:dyDescent="0.3">
      <c r="E81" s="3"/>
    </row>
    <row r="82" spans="5:14" x14ac:dyDescent="0.3">
      <c r="E82" s="3"/>
    </row>
    <row r="83" spans="5:14" x14ac:dyDescent="0.3">
      <c r="E83" s="3"/>
    </row>
    <row r="84" spans="5:14" x14ac:dyDescent="0.3">
      <c r="E84" s="3"/>
    </row>
    <row r="85" spans="5:14" x14ac:dyDescent="0.3">
      <c r="E85" s="3"/>
    </row>
    <row r="86" spans="5:14" x14ac:dyDescent="0.3">
      <c r="E86" s="3"/>
    </row>
    <row r="87" spans="5:14" x14ac:dyDescent="0.3">
      <c r="E87" s="3"/>
    </row>
    <row r="88" spans="5:14" x14ac:dyDescent="0.3">
      <c r="E88" s="3"/>
    </row>
    <row r="89" spans="5:14" x14ac:dyDescent="0.3">
      <c r="E89" s="3"/>
    </row>
    <row r="90" spans="5:14" x14ac:dyDescent="0.3">
      <c r="E90" s="3"/>
    </row>
    <row r="91" spans="5:14" x14ac:dyDescent="0.3">
      <c r="E91" s="3"/>
    </row>
    <row r="92" spans="5:14" x14ac:dyDescent="0.3">
      <c r="E92" s="3"/>
      <c r="N92" s="63"/>
    </row>
    <row r="93" spans="5:14" x14ac:dyDescent="0.3">
      <c r="E93" s="3"/>
    </row>
    <row r="94" spans="5:14" x14ac:dyDescent="0.3">
      <c r="E94" s="3"/>
    </row>
    <row r="95" spans="5:14" x14ac:dyDescent="0.3">
      <c r="E95" s="3"/>
    </row>
    <row r="96" spans="5:14" x14ac:dyDescent="0.3">
      <c r="E96" s="3"/>
    </row>
    <row r="97" spans="5:5" x14ac:dyDescent="0.3">
      <c r="E97" s="3"/>
    </row>
    <row r="98" spans="5:5" x14ac:dyDescent="0.3">
      <c r="E98" s="3"/>
    </row>
  </sheetData>
  <mergeCells count="5">
    <mergeCell ref="A1:E1"/>
    <mergeCell ref="A2:A3"/>
    <mergeCell ref="B2:C2"/>
    <mergeCell ref="D2:E2"/>
    <mergeCell ref="A23:B23"/>
  </mergeCells>
  <phoneticPr fontId="11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73A2-5D64-4EB5-9408-BDABC9AF8E7C}">
  <dimension ref="A1:CG61"/>
  <sheetViews>
    <sheetView zoomScale="85" zoomScaleNormal="85" workbookViewId="0">
      <pane xSplit="1" ySplit="3" topLeftCell="B4" activePane="bottomRight" state="frozenSplit"/>
      <selection pane="topRight" activeCell="G1" sqref="G1"/>
      <selection pane="bottomLeft" activeCell="A7" sqref="A7"/>
      <selection pane="bottomRight" activeCell="I52" sqref="I52"/>
    </sheetView>
  </sheetViews>
  <sheetFormatPr defaultColWidth="8.54296875" defaultRowHeight="13.5" x14ac:dyDescent="0.25"/>
  <cols>
    <col min="1" max="1" width="29.1796875" style="335" bestFit="1" customWidth="1"/>
    <col min="2" max="2" width="18.1796875" style="335" customWidth="1"/>
    <col min="3" max="3" width="17" style="335" customWidth="1"/>
    <col min="4" max="4" width="11.54296875" style="335" customWidth="1"/>
    <col min="5" max="5" width="13.36328125" style="335" bestFit="1" customWidth="1"/>
    <col min="6" max="6" width="10.36328125" style="335" bestFit="1" customWidth="1"/>
    <col min="7" max="7" width="17.08984375" style="335" customWidth="1"/>
    <col min="8" max="8" width="9.81640625" style="335" customWidth="1"/>
    <col min="9" max="9" width="11" style="335" bestFit="1" customWidth="1"/>
    <col min="10" max="10" width="9.81640625" style="335" customWidth="1"/>
    <col min="11" max="11" width="18.453125" style="335" customWidth="1"/>
    <col min="12" max="12" width="9" style="335" customWidth="1"/>
    <col min="13" max="13" width="12.1796875" style="335" bestFit="1" customWidth="1"/>
    <col min="14" max="14" width="6.1796875" style="335" bestFit="1" customWidth="1"/>
    <col min="15" max="15" width="10" style="335" bestFit="1" customWidth="1"/>
    <col min="16" max="16" width="12.453125" style="335" customWidth="1"/>
    <col min="17" max="17" width="12.1796875" style="335" customWidth="1"/>
    <col min="18" max="18" width="11.453125" style="335" customWidth="1"/>
    <col min="19" max="19" width="10.453125" style="335" customWidth="1"/>
    <col min="20" max="20" width="14.6328125" style="335" customWidth="1"/>
    <col min="21" max="21" width="11.453125" style="335" customWidth="1"/>
    <col min="22" max="22" width="9.453125" style="335" customWidth="1"/>
    <col min="23" max="23" width="5.453125" style="335" customWidth="1"/>
    <col min="24" max="24" width="10.36328125" style="335" bestFit="1" customWidth="1"/>
    <col min="25" max="25" width="10" style="335" bestFit="1" customWidth="1"/>
    <col min="26" max="26" width="12.1796875" style="335" bestFit="1" customWidth="1"/>
    <col min="27" max="27" width="8.1796875" style="335" customWidth="1"/>
    <col min="28" max="28" width="11.1796875" style="335" customWidth="1"/>
    <col min="29" max="29" width="15" style="335" customWidth="1"/>
    <col min="30" max="30" width="11.453125" style="335" customWidth="1"/>
    <col min="31" max="31" width="14.453125" style="335" customWidth="1"/>
    <col min="32" max="32" width="4.54296875" style="335" customWidth="1"/>
    <col min="33" max="33" width="10.1796875" style="335" bestFit="1" customWidth="1"/>
    <col min="34" max="34" width="15.90625" style="335" bestFit="1" customWidth="1"/>
    <col min="35" max="35" width="9.54296875" style="335" customWidth="1"/>
    <col min="36" max="36" width="10.54296875" style="335" customWidth="1"/>
    <col min="37" max="37" width="9.1796875" style="335" bestFit="1" customWidth="1"/>
    <col min="38" max="38" width="15" style="335" customWidth="1"/>
    <col min="39" max="39" width="12.08984375" style="335" customWidth="1"/>
    <col min="40" max="40" width="9.81640625" style="335" customWidth="1"/>
    <col min="41" max="41" width="4.54296875" style="335" customWidth="1"/>
    <col min="42" max="42" width="7.1796875" style="335" customWidth="1"/>
    <col min="43" max="43" width="9.81640625" style="335" customWidth="1"/>
    <col min="44" max="44" width="11.453125" style="335" customWidth="1"/>
    <col min="45" max="45" width="9.453125" style="335" customWidth="1"/>
    <col min="46" max="46" width="10.1796875" style="335" customWidth="1"/>
    <col min="47" max="47" width="13.453125" style="335" customWidth="1"/>
    <col min="48" max="48" width="9.453125" style="335" customWidth="1"/>
    <col min="49" max="49" width="10.1796875" style="335" customWidth="1"/>
    <col min="50" max="50" width="4.54296875" style="335" customWidth="1"/>
    <col min="51" max="51" width="7.81640625" style="335" customWidth="1"/>
    <col min="52" max="52" width="9.1796875" style="335" customWidth="1"/>
    <col min="53" max="53" width="10.54296875" style="335" customWidth="1"/>
    <col min="54" max="54" width="9.81640625" style="335" customWidth="1"/>
    <col min="55" max="55" width="10.1796875" style="335" customWidth="1"/>
    <col min="56" max="56" width="19.26953125" style="335" customWidth="1"/>
    <col min="57" max="57" width="11.453125" style="335" customWidth="1"/>
    <col min="58" max="58" width="11.08984375" style="335" customWidth="1"/>
    <col min="59" max="59" width="4.81640625" style="335" customWidth="1"/>
    <col min="60" max="61" width="9.453125" style="335" customWidth="1"/>
    <col min="62" max="62" width="10.453125" style="335" customWidth="1"/>
    <col min="63" max="63" width="9.1796875" style="335" customWidth="1"/>
    <col min="64" max="64" width="11.453125" style="335" customWidth="1"/>
    <col min="65" max="65" width="19" style="335" customWidth="1"/>
    <col min="66" max="66" width="11.453125" style="335" customWidth="1"/>
    <col min="67" max="67" width="10.1796875" style="335" customWidth="1"/>
    <col min="68" max="68" width="4.81640625" style="335" customWidth="1"/>
    <col min="69" max="70" width="9.453125" style="335" customWidth="1"/>
    <col min="71" max="71" width="10.453125" style="335" customWidth="1"/>
    <col min="72" max="72" width="9.1796875" style="335" customWidth="1"/>
    <col min="73" max="73" width="11.453125" style="335" customWidth="1"/>
    <col min="74" max="74" width="19" style="335" customWidth="1"/>
    <col min="75" max="75" width="11.453125" style="335" customWidth="1"/>
    <col min="76" max="76" width="10.26953125" style="335" customWidth="1"/>
    <col min="77" max="77" width="4.81640625" style="335" customWidth="1"/>
    <col min="78" max="79" width="9.453125" style="335" customWidth="1"/>
    <col min="80" max="80" width="10.453125" style="335" customWidth="1"/>
    <col min="81" max="81" width="9.1796875" style="335" customWidth="1"/>
    <col min="82" max="82" width="11.453125" style="335" customWidth="1"/>
    <col min="83" max="83" width="19" style="335" customWidth="1"/>
    <col min="84" max="84" width="11.1796875" style="335" customWidth="1"/>
    <col min="85" max="85" width="13.453125" style="335" customWidth="1"/>
    <col min="86" max="16384" width="8.54296875" style="335"/>
  </cols>
  <sheetData>
    <row r="1" spans="1:85" x14ac:dyDescent="0.25">
      <c r="A1" s="579" t="s">
        <v>78</v>
      </c>
      <c r="B1" s="579"/>
      <c r="C1" s="579"/>
      <c r="D1" s="579"/>
      <c r="E1" s="579"/>
      <c r="F1" s="579"/>
      <c r="G1" s="333"/>
      <c r="H1" s="333"/>
      <c r="I1" s="333"/>
      <c r="J1" s="333"/>
      <c r="K1" s="333"/>
      <c r="L1" s="333"/>
      <c r="M1" s="333"/>
      <c r="N1" s="334"/>
      <c r="O1" s="334"/>
      <c r="P1" s="334"/>
      <c r="Q1" s="334"/>
      <c r="R1" s="334"/>
      <c r="S1" s="334"/>
      <c r="T1" s="334"/>
    </row>
    <row r="2" spans="1:85" ht="31.5" customHeight="1" x14ac:dyDescent="0.25">
      <c r="A2" s="586" t="s">
        <v>138</v>
      </c>
      <c r="B2" s="336" t="s">
        <v>79</v>
      </c>
      <c r="C2" s="580" t="s">
        <v>181</v>
      </c>
      <c r="D2" s="581"/>
      <c r="E2" s="581"/>
      <c r="F2" s="581"/>
      <c r="G2" s="581"/>
      <c r="H2" s="581"/>
      <c r="I2" s="581"/>
      <c r="J2" s="581"/>
      <c r="K2" s="582"/>
      <c r="L2" s="583" t="s">
        <v>182</v>
      </c>
      <c r="M2" s="584"/>
      <c r="N2" s="584"/>
      <c r="O2" s="584"/>
      <c r="P2" s="584"/>
      <c r="Q2" s="584"/>
      <c r="R2" s="584"/>
      <c r="S2" s="584"/>
      <c r="T2" s="585"/>
      <c r="U2" s="580" t="s">
        <v>183</v>
      </c>
      <c r="V2" s="581"/>
      <c r="W2" s="581"/>
      <c r="X2" s="581"/>
      <c r="Y2" s="581"/>
      <c r="Z2" s="581"/>
      <c r="AA2" s="581"/>
      <c r="AB2" s="581"/>
      <c r="AC2" s="582"/>
      <c r="AD2" s="583" t="s">
        <v>184</v>
      </c>
      <c r="AE2" s="584"/>
      <c r="AF2" s="584"/>
      <c r="AG2" s="584"/>
      <c r="AH2" s="584"/>
      <c r="AI2" s="584"/>
      <c r="AJ2" s="584"/>
      <c r="AK2" s="584"/>
      <c r="AL2" s="585"/>
      <c r="AM2" s="580" t="s">
        <v>185</v>
      </c>
      <c r="AN2" s="581"/>
      <c r="AO2" s="581"/>
      <c r="AP2" s="581"/>
      <c r="AQ2" s="581"/>
      <c r="AR2" s="581"/>
      <c r="AS2" s="581"/>
      <c r="AT2" s="581"/>
      <c r="AU2" s="582"/>
      <c r="AV2" s="583" t="s">
        <v>186</v>
      </c>
      <c r="AW2" s="584"/>
      <c r="AX2" s="584"/>
      <c r="AY2" s="584"/>
      <c r="AZ2" s="584"/>
      <c r="BA2" s="584"/>
      <c r="BB2" s="584"/>
      <c r="BC2" s="584"/>
      <c r="BD2" s="585"/>
      <c r="BE2" s="580" t="s">
        <v>187</v>
      </c>
      <c r="BF2" s="581"/>
      <c r="BG2" s="581"/>
      <c r="BH2" s="581"/>
      <c r="BI2" s="581"/>
      <c r="BJ2" s="581"/>
      <c r="BK2" s="581"/>
      <c r="BL2" s="581"/>
      <c r="BM2" s="582"/>
      <c r="BN2" s="583" t="s">
        <v>188</v>
      </c>
      <c r="BO2" s="584"/>
      <c r="BP2" s="584"/>
      <c r="BQ2" s="584"/>
      <c r="BR2" s="584"/>
      <c r="BS2" s="584"/>
      <c r="BT2" s="584"/>
      <c r="BU2" s="584"/>
      <c r="BV2" s="585"/>
      <c r="BW2" s="580" t="s">
        <v>189</v>
      </c>
      <c r="BX2" s="581"/>
      <c r="BY2" s="581"/>
      <c r="BZ2" s="581"/>
      <c r="CA2" s="581"/>
      <c r="CB2" s="581"/>
      <c r="CC2" s="581"/>
      <c r="CD2" s="581"/>
      <c r="CE2" s="582"/>
      <c r="CF2" s="575" t="s">
        <v>330</v>
      </c>
      <c r="CG2" s="577" t="s">
        <v>331</v>
      </c>
    </row>
    <row r="3" spans="1:85" ht="30.75" customHeight="1" x14ac:dyDescent="0.25">
      <c r="A3" s="587"/>
      <c r="B3" s="337" t="s">
        <v>80</v>
      </c>
      <c r="C3" s="338" t="s">
        <v>332</v>
      </c>
      <c r="D3" s="339" t="s">
        <v>333</v>
      </c>
      <c r="E3" s="339" t="s">
        <v>334</v>
      </c>
      <c r="F3" s="339" t="s">
        <v>335</v>
      </c>
      <c r="G3" s="339" t="s">
        <v>336</v>
      </c>
      <c r="H3" s="339" t="s">
        <v>337</v>
      </c>
      <c r="I3" s="339" t="s">
        <v>338</v>
      </c>
      <c r="J3" s="339" t="s">
        <v>339</v>
      </c>
      <c r="K3" s="339"/>
      <c r="L3" s="340" t="s">
        <v>332</v>
      </c>
      <c r="M3" s="341" t="s">
        <v>333</v>
      </c>
      <c r="N3" s="341" t="s">
        <v>334</v>
      </c>
      <c r="O3" s="341" t="s">
        <v>335</v>
      </c>
      <c r="P3" s="341" t="s">
        <v>336</v>
      </c>
      <c r="Q3" s="341" t="s">
        <v>337</v>
      </c>
      <c r="R3" s="341" t="s">
        <v>338</v>
      </c>
      <c r="S3" s="341" t="s">
        <v>339</v>
      </c>
      <c r="T3" s="341"/>
      <c r="U3" s="338" t="s">
        <v>332</v>
      </c>
      <c r="V3" s="339" t="s">
        <v>333</v>
      </c>
      <c r="W3" s="339" t="s">
        <v>334</v>
      </c>
      <c r="X3" s="339" t="s">
        <v>335</v>
      </c>
      <c r="Y3" s="339" t="s">
        <v>336</v>
      </c>
      <c r="Z3" s="339" t="s">
        <v>337</v>
      </c>
      <c r="AA3" s="339" t="s">
        <v>338</v>
      </c>
      <c r="AB3" s="339" t="s">
        <v>339</v>
      </c>
      <c r="AC3" s="339"/>
      <c r="AD3" s="340" t="s">
        <v>332</v>
      </c>
      <c r="AE3" s="341" t="s">
        <v>333</v>
      </c>
      <c r="AF3" s="341" t="s">
        <v>334</v>
      </c>
      <c r="AG3" s="341" t="s">
        <v>335</v>
      </c>
      <c r="AH3" s="341" t="s">
        <v>336</v>
      </c>
      <c r="AI3" s="341" t="s">
        <v>337</v>
      </c>
      <c r="AJ3" s="341" t="s">
        <v>338</v>
      </c>
      <c r="AK3" s="341" t="s">
        <v>339</v>
      </c>
      <c r="AL3" s="341"/>
      <c r="AM3" s="338" t="s">
        <v>332</v>
      </c>
      <c r="AN3" s="339" t="s">
        <v>333</v>
      </c>
      <c r="AO3" s="339" t="s">
        <v>334</v>
      </c>
      <c r="AP3" s="339" t="s">
        <v>335</v>
      </c>
      <c r="AQ3" s="339" t="s">
        <v>336</v>
      </c>
      <c r="AR3" s="339" t="s">
        <v>337</v>
      </c>
      <c r="AS3" s="339" t="s">
        <v>338</v>
      </c>
      <c r="AT3" s="339" t="s">
        <v>339</v>
      </c>
      <c r="AU3" s="339"/>
      <c r="AV3" s="340" t="s">
        <v>332</v>
      </c>
      <c r="AW3" s="341" t="s">
        <v>333</v>
      </c>
      <c r="AX3" s="341" t="s">
        <v>334</v>
      </c>
      <c r="AY3" s="341" t="s">
        <v>335</v>
      </c>
      <c r="AZ3" s="341" t="s">
        <v>336</v>
      </c>
      <c r="BA3" s="341" t="s">
        <v>337</v>
      </c>
      <c r="BB3" s="341" t="s">
        <v>338</v>
      </c>
      <c r="BC3" s="341" t="s">
        <v>339</v>
      </c>
      <c r="BD3" s="341"/>
      <c r="BE3" s="338" t="s">
        <v>332</v>
      </c>
      <c r="BF3" s="339" t="s">
        <v>333</v>
      </c>
      <c r="BG3" s="339" t="s">
        <v>334</v>
      </c>
      <c r="BH3" s="339" t="s">
        <v>335</v>
      </c>
      <c r="BI3" s="339" t="s">
        <v>336</v>
      </c>
      <c r="BJ3" s="339" t="s">
        <v>337</v>
      </c>
      <c r="BK3" s="339" t="s">
        <v>338</v>
      </c>
      <c r="BL3" s="339" t="s">
        <v>339</v>
      </c>
      <c r="BM3" s="339"/>
      <c r="BN3" s="340" t="s">
        <v>332</v>
      </c>
      <c r="BO3" s="341" t="s">
        <v>333</v>
      </c>
      <c r="BP3" s="341" t="s">
        <v>334</v>
      </c>
      <c r="BQ3" s="341" t="s">
        <v>335</v>
      </c>
      <c r="BR3" s="341" t="s">
        <v>336</v>
      </c>
      <c r="BS3" s="341" t="s">
        <v>337</v>
      </c>
      <c r="BT3" s="341" t="s">
        <v>338</v>
      </c>
      <c r="BU3" s="341" t="s">
        <v>339</v>
      </c>
      <c r="BV3" s="341"/>
      <c r="BW3" s="338" t="s">
        <v>332</v>
      </c>
      <c r="BX3" s="339" t="s">
        <v>333</v>
      </c>
      <c r="BY3" s="339" t="s">
        <v>334</v>
      </c>
      <c r="BZ3" s="339" t="s">
        <v>335</v>
      </c>
      <c r="CA3" s="339" t="s">
        <v>336</v>
      </c>
      <c r="CB3" s="339" t="s">
        <v>337</v>
      </c>
      <c r="CC3" s="339" t="s">
        <v>338</v>
      </c>
      <c r="CD3" s="339" t="s">
        <v>339</v>
      </c>
      <c r="CE3" s="339"/>
      <c r="CF3" s="576"/>
      <c r="CG3" s="578"/>
    </row>
    <row r="4" spans="1:85" x14ac:dyDescent="0.25">
      <c r="A4" s="342" t="str">
        <f>'monitoring results'!A4</f>
        <v>20/12/2020-31/12/2020</v>
      </c>
      <c r="B4" s="343">
        <f>F4+O4+X4+AG4+AP4+AY4+BH4+BQ4+BZ4</f>
        <v>228071</v>
      </c>
      <c r="C4" s="344">
        <f>AVERAGE('2020.12'!B5:G7)</f>
        <v>68.873333333333349</v>
      </c>
      <c r="D4" s="344">
        <f>_xlfn.STDEV.S('2020.12'!B5:G7)</f>
        <v>28.14306478047644</v>
      </c>
      <c r="E4" s="339">
        <f>COUNT('2020.12'!B5:G7)</f>
        <v>15</v>
      </c>
      <c r="F4" s="339">
        <f>'2020.12'!D129+'2020.12'!E129</f>
        <v>6523</v>
      </c>
      <c r="G4" s="345">
        <f>F4/B4</f>
        <v>2.8600742751160823E-2</v>
      </c>
      <c r="H4" s="345">
        <f t="shared" ref="H4:H19" si="0">F4*C4/B4</f>
        <v>1.9698284890816167</v>
      </c>
      <c r="I4" s="345">
        <f>1-(E4/F4)</f>
        <v>0.99770044458071439</v>
      </c>
      <c r="J4" s="345">
        <f t="shared" ref="J4:J19" si="1">D4*D4/E4</f>
        <v>52.802139682539554</v>
      </c>
      <c r="K4" s="346">
        <f t="shared" ref="K4:K19" si="2">G4*G4*I4*J4</f>
        <v>4.3092958477065485E-2</v>
      </c>
      <c r="L4" s="347">
        <f>AVERAGE('2020.12'!B11:G14)</f>
        <v>62.039999999999992</v>
      </c>
      <c r="M4" s="347">
        <f>_xlfn.STDEV.S('2020.12'!B11:G15)</f>
        <v>33.360473265087073</v>
      </c>
      <c r="N4" s="348">
        <f>COUNT('2020.12'!B11:G15)</f>
        <v>18</v>
      </c>
      <c r="O4" s="348">
        <f>'2020.12'!D130+'2020.12'!E130</f>
        <v>7883</v>
      </c>
      <c r="P4" s="349">
        <f t="shared" ref="P4:P19" si="3">O4/B4</f>
        <v>3.4563798115499124E-2</v>
      </c>
      <c r="Q4" s="350">
        <f t="shared" ref="Q4:Q19" si="4">O4*L4/B4</f>
        <v>2.1443380350855654</v>
      </c>
      <c r="R4" s="350">
        <f t="shared" ref="R4:R19" si="5">1-N4/O4</f>
        <v>0.99771660535329187</v>
      </c>
      <c r="S4" s="350">
        <f t="shared" ref="S4:S19" si="6">M4*M4/N4</f>
        <v>61.828954248366081</v>
      </c>
      <c r="T4" s="350">
        <f t="shared" ref="T4:T19" si="7">P4*P4*R4*S4</f>
        <v>7.3695678394880129E-2</v>
      </c>
      <c r="U4" s="351">
        <f>AVERAGE('2020.12'!B19:G33)</f>
        <v>67.994666666666689</v>
      </c>
      <c r="V4" s="351">
        <f>_xlfn.STDEV.S('2020.12'!B19:G33)</f>
        <v>25.75856138616215</v>
      </c>
      <c r="W4" s="339">
        <f>COUNT('2020.12'!B19:G33)</f>
        <v>75</v>
      </c>
      <c r="X4" s="339">
        <f>'2020.12'!D131+'2020.12'!E131</f>
        <v>39042</v>
      </c>
      <c r="Y4" s="345">
        <f t="shared" ref="Y4:Y19" si="8">X4/$B$4</f>
        <v>0.17118353495183516</v>
      </c>
      <c r="Z4" s="345">
        <f t="shared" ref="Z4:Z19" si="9">X4*U4/B4</f>
        <v>11.639567397871719</v>
      </c>
      <c r="AA4" s="345">
        <f t="shared" ref="AA4:AA19" si="10">1-W4/X4</f>
        <v>0.99807899185492543</v>
      </c>
      <c r="AB4" s="345">
        <f t="shared" ref="AB4:AB19" si="11">V4*V4/W4</f>
        <v>8.8467131291291157</v>
      </c>
      <c r="AC4" s="346">
        <f t="shared" ref="AC4:AC19" si="12">Y4*Y4*AA4*AB4</f>
        <v>0.25874432889825211</v>
      </c>
      <c r="AD4" s="352">
        <f>AVERAGE('2020.12'!B37:G55)</f>
        <v>64.05384615384618</v>
      </c>
      <c r="AE4" s="352">
        <f>_xlfn.STDEV.S('2020.12'!B37:G55)</f>
        <v>27.695654365428325</v>
      </c>
      <c r="AF4" s="341">
        <f>COUNT('2020.12'!B37:G55)</f>
        <v>78</v>
      </c>
      <c r="AG4" s="341">
        <f>'2020.12'!D132+'2020.12'!E132</f>
        <v>39684</v>
      </c>
      <c r="AH4" s="341">
        <f t="shared" ref="AH4:AH19" si="13">AG4/B4</f>
        <v>0.17399844785176546</v>
      </c>
      <c r="AI4" s="350">
        <f t="shared" ref="AI4:AI19" si="14">AG4*AD4/B4</f>
        <v>11.145269809705013</v>
      </c>
      <c r="AJ4" s="350">
        <f t="shared" ref="AJ4:AJ19" si="15">1-AF4/AG4</f>
        <v>0.99803447233141818</v>
      </c>
      <c r="AK4" s="350">
        <f t="shared" ref="AK4:AK19" si="16">AE4*AE4/AF4</f>
        <v>9.8339650093496029</v>
      </c>
      <c r="AL4" s="353">
        <f t="shared" ref="AL4:AL19" si="17">AH4*AH4*AJ4*AK4</f>
        <v>0.29714262060043189</v>
      </c>
      <c r="AM4" s="351">
        <f>AVERAGE('2020.12'!B59:G65)</f>
        <v>68.126190476190473</v>
      </c>
      <c r="AN4" s="354">
        <f>_xlfn.STDEV.S('2020.12'!B59:G65)</f>
        <v>27.232002868968678</v>
      </c>
      <c r="AO4" s="339">
        <f>COUNT('2020.12'!B59:G65)</f>
        <v>42</v>
      </c>
      <c r="AP4" s="339">
        <f>'2020.12'!D133+'2020.12'!E133</f>
        <v>21025</v>
      </c>
      <c r="AQ4" s="339">
        <f t="shared" ref="AQ4:AQ19" si="18">AP4/B4</f>
        <v>9.2186205172950522E-2</v>
      </c>
      <c r="AR4" s="345">
        <f t="shared" ref="AR4:AR19" si="19">AP4*AM4/$B$4</f>
        <v>6.2802949728896031</v>
      </c>
      <c r="AS4" s="345">
        <f t="shared" ref="AS4:AS19" si="20">1-AO4/AP4</f>
        <v>0.99800237812128423</v>
      </c>
      <c r="AT4" s="345">
        <f>AN4*AN4/AO4</f>
        <v>17.656713815607578</v>
      </c>
      <c r="AU4" s="346">
        <f t="shared" ref="AU4:AU19" si="21">AQ4*AQ4*AS4*AT4</f>
        <v>0.14975224074817411</v>
      </c>
      <c r="AV4" s="353">
        <f>AVERAGE('2020.12'!B69:G85)</f>
        <v>67.090625000000017</v>
      </c>
      <c r="AW4" s="350">
        <f>_xlfn.STDEV.S('2020.12'!B69:G85)</f>
        <v>27.427827122429711</v>
      </c>
      <c r="AX4" s="341">
        <f>COUNT('2020.12'!B69:G85)</f>
        <v>96</v>
      </c>
      <c r="AY4" s="341">
        <f>'2020.12'!D134+'2020.12'!E134</f>
        <v>49953</v>
      </c>
      <c r="AZ4" s="341">
        <f t="shared" ref="AZ4:AZ19" si="22">AY4/B4</f>
        <v>0.21902390045205222</v>
      </c>
      <c r="BA4" s="350">
        <f>AY4*AV4/B4</f>
        <v>14.694450371265971</v>
      </c>
      <c r="BB4" s="350">
        <f t="shared" ref="BB4:BB19" si="23">1-AX4/AY4</f>
        <v>0.99807819350189175</v>
      </c>
      <c r="BC4" s="350">
        <f t="shared" ref="BC4:BC19" si="24">AW4*AW4/AX4</f>
        <v>7.8363093818530301</v>
      </c>
      <c r="BD4" s="353">
        <f t="shared" ref="BD4:BD19" si="25">AZ4*AZ4*BB4*BC4</f>
        <v>0.37519682824449591</v>
      </c>
      <c r="BE4" s="344">
        <f>AVERAGE('2020.12'!B89:G106)</f>
        <v>66.027397260273972</v>
      </c>
      <c r="BF4" s="355">
        <f>_xlfn.STDEV.S('2020.12'!B89:G106)</f>
        <v>28.317992220661345</v>
      </c>
      <c r="BG4" s="339">
        <f>COUNT('2020.12'!B89:G106)</f>
        <v>73</v>
      </c>
      <c r="BH4" s="339">
        <f>'2020.12'!D135+'2020.12'!E135</f>
        <v>38238</v>
      </c>
      <c r="BI4" s="339">
        <f>BH4/B4</f>
        <v>0.16765831692762342</v>
      </c>
      <c r="BJ4" s="345">
        <f>BH4*BE4/B4</f>
        <v>11.070042295769108</v>
      </c>
      <c r="BK4" s="345">
        <f t="shared" ref="BK4:BK19" si="26">1-BG4/BH4</f>
        <v>0.99809090433600078</v>
      </c>
      <c r="BL4" s="345">
        <f t="shared" ref="BL4:BL19" si="27">BF4*BF4/BG4</f>
        <v>10.985050457663514</v>
      </c>
      <c r="BM4" s="346">
        <f t="shared" ref="BM4:BM19" si="28">BI4*BI4*BK4*BL4</f>
        <v>0.30819270748325123</v>
      </c>
      <c r="BN4" s="347">
        <f>AVERAGE('2020.12'!B110:G112)</f>
        <v>68.92</v>
      </c>
      <c r="BO4" s="349">
        <f>_xlfn.STDEV.S('2020.12'!B110:G112)</f>
        <v>29.573037913419903</v>
      </c>
      <c r="BP4" s="341">
        <f>COUNT('2020.12'!B110:G112)</f>
        <v>15</v>
      </c>
      <c r="BQ4" s="341">
        <f>'2020.12'!D136+'2020.12'!E136</f>
        <v>5864</v>
      </c>
      <c r="BR4" s="341">
        <f>BQ4/B4</f>
        <v>2.5711291659176308E-2</v>
      </c>
      <c r="BS4" s="350">
        <f>BQ4*BN4/B4</f>
        <v>1.7720222211504313</v>
      </c>
      <c r="BT4" s="350">
        <f t="shared" ref="BT4:BT19" si="29">1-BP4/BQ4</f>
        <v>0.99744201909959074</v>
      </c>
      <c r="BU4" s="350">
        <f t="shared" ref="BU4:BU19" si="30">BO4*BO4/BP4</f>
        <v>58.304304761904731</v>
      </c>
      <c r="BV4" s="353">
        <f t="shared" ref="BV4:BV19" si="31">BR4*BR4*BT4*BU4</f>
        <v>3.8444664081011895E-2</v>
      </c>
      <c r="BW4" s="344">
        <f>AVERAGE('2020.12'!B116:G124)</f>
        <v>70.358974358974365</v>
      </c>
      <c r="BX4" s="355">
        <f>_xlfn.STDEV.S('2020.12'!B116:G124)</f>
        <v>29.671789880454661</v>
      </c>
      <c r="BY4" s="339">
        <f>COUNT('2020.12'!B116:G124)</f>
        <v>39</v>
      </c>
      <c r="BZ4" s="339">
        <f>'2020.12'!D137+'2020.12'!E137</f>
        <v>19859</v>
      </c>
      <c r="CA4" s="339">
        <f>BZ4/B4</f>
        <v>8.7073762117936965E-2</v>
      </c>
      <c r="CB4" s="345">
        <f>BZ4*BW4/B4</f>
        <v>6.1264205961953602</v>
      </c>
      <c r="CC4" s="345">
        <f t="shared" ref="CC4:CC19" si="32">1-BY4/BZ4</f>
        <v>0.99803615489198849</v>
      </c>
      <c r="CD4" s="345">
        <f t="shared" ref="CD4:CD19" si="33">BX4*BX4/BY4</f>
        <v>22.574746531021837</v>
      </c>
      <c r="CE4" s="346">
        <f t="shared" ref="CE4:CE19" si="34">CA4*CA4*CC4*CD4</f>
        <v>0.17082198932184134</v>
      </c>
      <c r="CF4" s="356">
        <f>H4+Q4+Z4+AI4+AR4+BA4+BJ4+BS4+CB4</f>
        <v>66.842234189014391</v>
      </c>
      <c r="CG4" s="357">
        <f>SQRT(K4+T4+AC4+AL4+AU4+BD4+BM4+BV4+CE4)</f>
        <v>1.3096121625311075</v>
      </c>
    </row>
    <row r="5" spans="1:85" x14ac:dyDescent="0.25">
      <c r="A5" s="342" t="str">
        <f>'monitoring results'!A5</f>
        <v>01/01/2021-31/01/2021</v>
      </c>
      <c r="B5" s="343">
        <f t="shared" ref="B5:B19" si="35">F5+O5+X5+AG5+AP5+AY5+BH5+BQ5+BZ5</f>
        <v>227978</v>
      </c>
      <c r="C5" s="344">
        <f>AVERAGE('2021.1'!B5:G7)</f>
        <v>71.259999999999991</v>
      </c>
      <c r="D5" s="344">
        <f>_xlfn.STDEV.S('2021.1'!B5:G7)</f>
        <v>29.946733664005134</v>
      </c>
      <c r="E5" s="339">
        <f>E4</f>
        <v>15</v>
      </c>
      <c r="F5" s="339">
        <f>'2021.1'!D129+'2021.1'!E129</f>
        <v>6504</v>
      </c>
      <c r="G5" s="345">
        <f t="shared" ref="G5:G19" si="36">F5/B5</f>
        <v>2.8529068594338049E-2</v>
      </c>
      <c r="H5" s="345">
        <f t="shared" si="0"/>
        <v>2.0329814280325289</v>
      </c>
      <c r="I5" s="345">
        <f t="shared" ref="I5:I19" si="37">1-(E5/F5)</f>
        <v>0.99769372693726932</v>
      </c>
      <c r="J5" s="345">
        <f t="shared" si="1"/>
        <v>59.787123809523891</v>
      </c>
      <c r="K5" s="346">
        <f t="shared" si="2"/>
        <v>4.8548977686058099E-2</v>
      </c>
      <c r="L5" s="347">
        <f>AVERAGE('2021.1'!B11:G15)</f>
        <v>66.161111111111097</v>
      </c>
      <c r="M5" s="347">
        <f>_xlfn.STDEV.S('2021.1'!B11:G15)</f>
        <v>26.792561278632579</v>
      </c>
      <c r="N5" s="348">
        <f>N4</f>
        <v>18</v>
      </c>
      <c r="O5" s="348">
        <f>'2021.1'!D130+'2021.1'!E130</f>
        <v>7882</v>
      </c>
      <c r="P5" s="349">
        <f t="shared" si="3"/>
        <v>3.4573511479177817E-2</v>
      </c>
      <c r="Q5" s="350">
        <f t="shared" si="4"/>
        <v>2.2874219344751583</v>
      </c>
      <c r="R5" s="350">
        <f t="shared" si="5"/>
        <v>0.99771631565592489</v>
      </c>
      <c r="S5" s="350">
        <f t="shared" si="6"/>
        <v>39.880074437182323</v>
      </c>
      <c r="T5" s="350">
        <f t="shared" si="7"/>
        <v>4.7560894814465758E-2</v>
      </c>
      <c r="U5" s="351">
        <f>AVERAGE('2021.1'!B19:G33)</f>
        <v>65.225333333333339</v>
      </c>
      <c r="V5" s="351">
        <f>_xlfn.STDEV.S('2021.1'!B19:G33)</f>
        <v>26.814115349606137</v>
      </c>
      <c r="W5" s="339">
        <f>W4</f>
        <v>75</v>
      </c>
      <c r="X5" s="339">
        <f>'2021.1'!D131+'2021.1'!E131</f>
        <v>38965</v>
      </c>
      <c r="Y5" s="345">
        <f t="shared" si="8"/>
        <v>0.17084592078782485</v>
      </c>
      <c r="Z5" s="345">
        <f t="shared" si="9"/>
        <v>11.148027938368324</v>
      </c>
      <c r="AA5" s="345">
        <f t="shared" si="10"/>
        <v>0.99807519568843839</v>
      </c>
      <c r="AB5" s="345">
        <f t="shared" si="11"/>
        <v>9.5866237597597781</v>
      </c>
      <c r="AC5" s="346">
        <f t="shared" si="12"/>
        <v>0.27927893096377127</v>
      </c>
      <c r="AD5" s="352">
        <f>AVERAGE('2021.1'!B37:G55)</f>
        <v>64.211538461538439</v>
      </c>
      <c r="AE5" s="352">
        <f>_xlfn.STDEV.S('2021.1'!B37:G55)</f>
        <v>27.473132002339792</v>
      </c>
      <c r="AF5" s="341">
        <f>AF4</f>
        <v>78</v>
      </c>
      <c r="AG5" s="341">
        <f>'2021.1'!D132+'2021.1'!E132</f>
        <v>39643</v>
      </c>
      <c r="AH5" s="341">
        <f t="shared" si="13"/>
        <v>0.17388958583722991</v>
      </c>
      <c r="AI5" s="350">
        <f t="shared" si="14"/>
        <v>11.16571782904828</v>
      </c>
      <c r="AJ5" s="350">
        <f t="shared" si="15"/>
        <v>0.99803243952274046</v>
      </c>
      <c r="AK5" s="350">
        <f t="shared" si="16"/>
        <v>9.6765766925382923</v>
      </c>
      <c r="AL5" s="353">
        <f t="shared" si="17"/>
        <v>0.29202063889139912</v>
      </c>
      <c r="AM5" s="351">
        <f>AVERAGE('2021.1'!B59:G65)</f>
        <v>70.76666666666668</v>
      </c>
      <c r="AN5" s="354">
        <f>_xlfn.STDEV.S('2021.1'!B59:G65)</f>
        <v>26.210625909525792</v>
      </c>
      <c r="AO5" s="339">
        <f>AO4</f>
        <v>42</v>
      </c>
      <c r="AP5" s="339">
        <f>'2021.1'!D133+'2021.1'!E133</f>
        <v>21021</v>
      </c>
      <c r="AQ5" s="339">
        <f t="shared" si="18"/>
        <v>9.2206265516848115E-2</v>
      </c>
      <c r="AR5" s="345">
        <f>AP5*AM5/$B$4</f>
        <v>6.522469318764772</v>
      </c>
      <c r="AS5" s="345">
        <f t="shared" si="20"/>
        <v>0.99800199800199796</v>
      </c>
      <c r="AT5" s="345">
        <f>AN4*AN4/AO5</f>
        <v>17.656713815607578</v>
      </c>
      <c r="AU5" s="346">
        <f t="shared" si="21"/>
        <v>0.14981736498472742</v>
      </c>
      <c r="AV5" s="353">
        <f>AVERAGE('2021.1'!B69:G85)</f>
        <v>67.714583333333351</v>
      </c>
      <c r="AW5" s="350">
        <f>_xlfn.STDEV.S('2021.1'!B69:G85)</f>
        <v>26.419725402639518</v>
      </c>
      <c r="AX5" s="341">
        <f>AX4</f>
        <v>96</v>
      </c>
      <c r="AY5" s="341">
        <f>'2021.1'!D134+'2021.1'!E134</f>
        <v>49936</v>
      </c>
      <c r="AZ5" s="341">
        <f t="shared" si="22"/>
        <v>0.2190386791707972</v>
      </c>
      <c r="BA5" s="350">
        <f t="shared" ref="BA5:BA19" si="38">AY5*AV5/B5</f>
        <v>14.832112893934212</v>
      </c>
      <c r="BB5" s="350">
        <f t="shared" si="23"/>
        <v>0.99807753925024034</v>
      </c>
      <c r="BC5" s="350">
        <f t="shared" si="24"/>
        <v>7.2708530244882894</v>
      </c>
      <c r="BD5" s="353">
        <f t="shared" si="25"/>
        <v>0.34816993946598762</v>
      </c>
      <c r="BE5" s="344">
        <f>AVERAGE('2021.1'!B89:G106)</f>
        <v>67.045205479452051</v>
      </c>
      <c r="BF5" s="355">
        <f>_xlfn.STDEV.S('2021.1'!B89:G106)</f>
        <v>25.19126855510703</v>
      </c>
      <c r="BG5" s="339">
        <f>BG4</f>
        <v>73</v>
      </c>
      <c r="BH5" s="339">
        <f>'2021.1'!D135+'2021.1'!E135</f>
        <v>38264</v>
      </c>
      <c r="BI5" s="339">
        <f t="shared" ref="BI5:BI19" si="39">BH5/B5</f>
        <v>0.16784075656422989</v>
      </c>
      <c r="BJ5" s="345">
        <f t="shared" ref="BJ5:BJ19" si="40">BH5*BE5/B5</f>
        <v>11.252918011675483</v>
      </c>
      <c r="BK5" s="345">
        <f t="shared" si="26"/>
        <v>0.99809220154714617</v>
      </c>
      <c r="BL5" s="345">
        <f t="shared" si="27"/>
        <v>8.693150841308551</v>
      </c>
      <c r="BM5" s="346">
        <f t="shared" si="28"/>
        <v>0.24442337398662506</v>
      </c>
      <c r="BN5" s="347">
        <f>AVERAGE('2021.1'!B110:G112)</f>
        <v>68.446666666666673</v>
      </c>
      <c r="BO5" s="349">
        <f>_xlfn.STDEV.S('2021.1'!B110:G112)</f>
        <v>30.523734715011233</v>
      </c>
      <c r="BP5" s="341">
        <f>BP4</f>
        <v>15</v>
      </c>
      <c r="BQ5" s="341">
        <f>'2021.1'!D136+'2021.1'!E136</f>
        <v>5856</v>
      </c>
      <c r="BR5" s="341">
        <f t="shared" ref="BR5:BR19" si="41">BQ5/B5</f>
        <v>2.5686689066488872E-2</v>
      </c>
      <c r="BS5" s="350">
        <f t="shared" ref="BS5:BS19" si="42">BQ5*BN5/B5</f>
        <v>1.7581682443042752</v>
      </c>
      <c r="BT5" s="350">
        <f t="shared" si="29"/>
        <v>0.99743852459016391</v>
      </c>
      <c r="BU5" s="350">
        <f t="shared" si="30"/>
        <v>62.113225396825456</v>
      </c>
      <c r="BV5" s="353">
        <f t="shared" si="31"/>
        <v>4.0877702374738166E-2</v>
      </c>
      <c r="BW5" s="344">
        <f>AVERAGE('2021.1'!B116:G124)</f>
        <v>69.210256410256392</v>
      </c>
      <c r="BX5" s="355">
        <f>_xlfn.STDEV.S('2021.1'!B116:G124)</f>
        <v>28.60004411913971</v>
      </c>
      <c r="BY5" s="339">
        <f>BY4</f>
        <v>39</v>
      </c>
      <c r="BZ5" s="339">
        <f>'2021.1'!D137+'2021.1'!E137</f>
        <v>19907</v>
      </c>
      <c r="CA5" s="339">
        <f t="shared" ref="CA5:CA19" si="43">BZ5/B5</f>
        <v>8.7319829106317276E-2</v>
      </c>
      <c r="CB5" s="345">
        <f t="shared" ref="CB5:CB19" si="44">BZ5*BW5/B5</f>
        <v>6.0434277621479877</v>
      </c>
      <c r="CC5" s="345">
        <f t="shared" si="32"/>
        <v>0.99804089013914699</v>
      </c>
      <c r="CD5" s="345">
        <f t="shared" si="33"/>
        <v>20.973398041454818</v>
      </c>
      <c r="CE5" s="346">
        <f t="shared" si="34"/>
        <v>0.15960367539345002</v>
      </c>
      <c r="CF5" s="356">
        <f t="shared" ref="CF5:CF10" si="45">H5+Q5+Z5+AI5+AR5+BA5+BJ5+BS5+CB5</f>
        <v>67.043245360751015</v>
      </c>
      <c r="CG5" s="357">
        <f t="shared" ref="CG5:CG19" si="46">SQRT(K5+T5+AC5+AL5+AU5+BD5+BM5+BV5+CE5)</f>
        <v>1.2689765555601185</v>
      </c>
    </row>
    <row r="6" spans="1:85" x14ac:dyDescent="0.25">
      <c r="A6" s="342" t="str">
        <f>'monitoring results'!A6</f>
        <v>01/02/1021-28/02/2021</v>
      </c>
      <c r="B6" s="343">
        <f t="shared" si="35"/>
        <v>228025</v>
      </c>
      <c r="C6" s="344">
        <f>AVERAGE('2021.2'!B5:G7)</f>
        <v>71.14</v>
      </c>
      <c r="D6" s="344">
        <f>_xlfn.STDEV.S('2021.2'!B5:G7)</f>
        <v>25.77315325239482</v>
      </c>
      <c r="E6" s="339">
        <f t="shared" ref="E6:E19" si="47">E5</f>
        <v>15</v>
      </c>
      <c r="F6" s="339">
        <f>'2021.2'!D129+'2021.2'!E129</f>
        <v>6505</v>
      </c>
      <c r="G6" s="345">
        <f t="shared" si="36"/>
        <v>2.8527573730950554E-2</v>
      </c>
      <c r="H6" s="345">
        <f t="shared" si="0"/>
        <v>2.0294515952198227</v>
      </c>
      <c r="I6" s="345">
        <f t="shared" si="37"/>
        <v>0.99769408147578786</v>
      </c>
      <c r="J6" s="345">
        <f t="shared" si="1"/>
        <v>44.283695238095312</v>
      </c>
      <c r="K6" s="346">
        <f t="shared" si="2"/>
        <v>3.5955962778573686E-2</v>
      </c>
      <c r="L6" s="347">
        <f>AVERAGE('2021.2'!B11:G15)</f>
        <v>61.188888888888897</v>
      </c>
      <c r="M6" s="347">
        <f>_xlfn.STDEV.S('2021.2'!B11:G15)</f>
        <v>25.635083700660491</v>
      </c>
      <c r="N6" s="348">
        <f t="shared" ref="N6:N19" si="48">N5</f>
        <v>18</v>
      </c>
      <c r="O6" s="348">
        <f>'2021.2'!D130+'2021.2'!E130</f>
        <v>7873</v>
      </c>
      <c r="P6" s="349">
        <f t="shared" si="3"/>
        <v>3.4526915908343385E-2</v>
      </c>
      <c r="Q6" s="350">
        <f t="shared" si="4"/>
        <v>2.1126636211916336</v>
      </c>
      <c r="R6" s="350">
        <f t="shared" si="5"/>
        <v>0.99771370506795376</v>
      </c>
      <c r="S6" s="350">
        <f t="shared" si="6"/>
        <v>36.508750907770512</v>
      </c>
      <c r="T6" s="350">
        <f t="shared" si="7"/>
        <v>4.3422866207985314E-2</v>
      </c>
      <c r="U6" s="351">
        <f>AVERAGE('2021.2'!B19:G33)</f>
        <v>65.59333333333332</v>
      </c>
      <c r="V6" s="351">
        <f>_xlfn.STDEV.S('2021.2'!B19:G33)</f>
        <v>28.967513646270127</v>
      </c>
      <c r="W6" s="339">
        <f t="shared" ref="W6:W19" si="49">W5</f>
        <v>75</v>
      </c>
      <c r="X6" s="339">
        <f>'2021.2'!D131+'2021.2'!E131</f>
        <v>39027</v>
      </c>
      <c r="Y6" s="345">
        <f t="shared" si="8"/>
        <v>0.17111776595884615</v>
      </c>
      <c r="Z6" s="345">
        <f t="shared" si="9"/>
        <v>11.226448942001971</v>
      </c>
      <c r="AA6" s="345">
        <f t="shared" si="10"/>
        <v>0.99807825351679602</v>
      </c>
      <c r="AB6" s="345">
        <f t="shared" si="11"/>
        <v>11.188224624624615</v>
      </c>
      <c r="AC6" s="346">
        <f t="shared" si="12"/>
        <v>0.32697607287868297</v>
      </c>
      <c r="AD6" s="352">
        <f>AVERAGE('2021.2'!B37:G55)</f>
        <v>65</v>
      </c>
      <c r="AE6" s="352">
        <f>_xlfn.STDEV.S('2021.2'!B37:G55)</f>
        <v>26.749127913931023</v>
      </c>
      <c r="AF6" s="341">
        <f t="shared" ref="AF6:AF19" si="50">AF5</f>
        <v>78</v>
      </c>
      <c r="AG6" s="341">
        <f>'2021.2'!D132+'2021.2'!E132</f>
        <v>39646</v>
      </c>
      <c r="AH6" s="341">
        <f t="shared" si="13"/>
        <v>0.17386690055914922</v>
      </c>
      <c r="AI6" s="350">
        <f t="shared" si="14"/>
        <v>11.301348536344699</v>
      </c>
      <c r="AJ6" s="350">
        <f t="shared" si="15"/>
        <v>0.9980325884074055</v>
      </c>
      <c r="AK6" s="350">
        <f t="shared" si="16"/>
        <v>9.1732800532800489</v>
      </c>
      <c r="AL6" s="353">
        <f t="shared" si="17"/>
        <v>0.27675992181558351</v>
      </c>
      <c r="AM6" s="351">
        <f>AVERAGE('2021.2'!B59:G65)</f>
        <v>66.297619047619051</v>
      </c>
      <c r="AN6" s="354">
        <f>_xlfn.STDEV.S('2021.2'!B59:G65)</f>
        <v>25.896223362426852</v>
      </c>
      <c r="AO6" s="339">
        <f t="shared" ref="AO6:AO19" si="51">AO5</f>
        <v>42</v>
      </c>
      <c r="AP6" s="339">
        <f>'2021.2'!D133+'2021.2'!E133</f>
        <v>21058</v>
      </c>
      <c r="AQ6" s="339">
        <f t="shared" si="18"/>
        <v>9.2349523078609802E-2</v>
      </c>
      <c r="AR6" s="345">
        <f t="shared" ref="AR6:AR18" si="52">AP6*AM5/$B$4</f>
        <v>6.5339498080276188</v>
      </c>
      <c r="AS6" s="345">
        <f t="shared" si="20"/>
        <v>0.99800550859530823</v>
      </c>
      <c r="AT6" s="345">
        <f>AN5*AN5/AO6</f>
        <v>16.357069299264399</v>
      </c>
      <c r="AU6" s="346">
        <f t="shared" si="21"/>
        <v>0.13922196076986121</v>
      </c>
      <c r="AV6" s="353">
        <f>AVERAGE('2021.2'!B69:G85)</f>
        <v>67.144791666666649</v>
      </c>
      <c r="AW6" s="350">
        <f>_xlfn.STDEV.S('2021.2'!B69:G85)</f>
        <v>27.856961219364845</v>
      </c>
      <c r="AX6" s="341">
        <f t="shared" ref="AX6:AX19" si="53">AX5</f>
        <v>96</v>
      </c>
      <c r="AY6" s="341">
        <f>'2021.2'!D134+'2021.2'!E134</f>
        <v>49942</v>
      </c>
      <c r="AZ6" s="341">
        <f t="shared" si="22"/>
        <v>0.21901984431531629</v>
      </c>
      <c r="BA6" s="350">
        <f t="shared" si="38"/>
        <v>14.706041817417677</v>
      </c>
      <c r="BB6" s="350">
        <f t="shared" si="23"/>
        <v>0.99807777021344757</v>
      </c>
      <c r="BC6" s="350">
        <f t="shared" si="24"/>
        <v>8.0834405039291344</v>
      </c>
      <c r="BD6" s="353">
        <f t="shared" si="25"/>
        <v>0.38701478880607748</v>
      </c>
      <c r="BE6" s="344">
        <f>AVERAGE('2021.2'!B89:G106)</f>
        <v>63.849315068493176</v>
      </c>
      <c r="BF6" s="355">
        <f>_xlfn.STDEV.S('2021.2'!B89:G106)</f>
        <v>29.009864813004448</v>
      </c>
      <c r="BG6" s="339">
        <f t="shared" ref="BG6:BG19" si="54">BG5</f>
        <v>73</v>
      </c>
      <c r="BH6" s="339">
        <f>'2021.2'!D135+'2021.2'!E135</f>
        <v>38251</v>
      </c>
      <c r="BI6" s="339">
        <f t="shared" si="39"/>
        <v>0.16774915031246573</v>
      </c>
      <c r="BJ6" s="345">
        <f t="shared" si="40"/>
        <v>10.710668350772647</v>
      </c>
      <c r="BK6" s="345">
        <f t="shared" si="26"/>
        <v>0.99809155316200882</v>
      </c>
      <c r="BL6" s="345">
        <f t="shared" si="27"/>
        <v>11.528387074914981</v>
      </c>
      <c r="BM6" s="346">
        <f t="shared" si="28"/>
        <v>0.32378713434617812</v>
      </c>
      <c r="BN6" s="347">
        <f>AVERAGE('2021.2'!B110:G112)</f>
        <v>69.646666666666675</v>
      </c>
      <c r="BO6" s="349">
        <f>_xlfn.STDEV.S('2021.2'!B110:G112)</f>
        <v>29.557374392059589</v>
      </c>
      <c r="BP6" s="341">
        <f t="shared" ref="BP6:BP19" si="55">BP5</f>
        <v>15</v>
      </c>
      <c r="BQ6" s="341">
        <f>'2021.2'!D136+'2021.2'!E136</f>
        <v>5852</v>
      </c>
      <c r="BR6" s="341">
        <f t="shared" si="41"/>
        <v>2.5663852647735994E-2</v>
      </c>
      <c r="BS6" s="350">
        <f t="shared" si="42"/>
        <v>1.7874017907393198</v>
      </c>
      <c r="BT6" s="350">
        <f t="shared" si="29"/>
        <v>0.99743677375256323</v>
      </c>
      <c r="BU6" s="350">
        <f t="shared" si="30"/>
        <v>58.242558730158663</v>
      </c>
      <c r="BV6" s="353">
        <f t="shared" si="31"/>
        <v>3.8262163946583536E-2</v>
      </c>
      <c r="BW6" s="344">
        <f>AVERAGE('2021.2'!B116:G124)</f>
        <v>69.933333333333351</v>
      </c>
      <c r="BX6" s="355">
        <f>_xlfn.STDEV.S('2021.2'!B116:G124)</f>
        <v>28.441882879907663</v>
      </c>
      <c r="BY6" s="339">
        <f t="shared" ref="BY6:BY19" si="56">BY5</f>
        <v>39</v>
      </c>
      <c r="BZ6" s="339">
        <f>'2021.2'!D137+'2021.2'!E137</f>
        <v>19871</v>
      </c>
      <c r="CA6" s="339">
        <f t="shared" si="43"/>
        <v>8.7143953513869096E-2</v>
      </c>
      <c r="CB6" s="345">
        <f t="shared" si="44"/>
        <v>6.0942671490699141</v>
      </c>
      <c r="CC6" s="345">
        <f t="shared" si="32"/>
        <v>0.99803734084847262</v>
      </c>
      <c r="CD6" s="345">
        <f t="shared" si="33"/>
        <v>20.742069275753451</v>
      </c>
      <c r="CE6" s="346">
        <f t="shared" si="34"/>
        <v>0.15720754610357904</v>
      </c>
      <c r="CF6" s="356">
        <f t="shared" si="45"/>
        <v>66.502241610785305</v>
      </c>
      <c r="CG6" s="357">
        <f t="shared" si="46"/>
        <v>1.314765537140788</v>
      </c>
    </row>
    <row r="7" spans="1:85" x14ac:dyDescent="0.25">
      <c r="A7" s="342" t="str">
        <f>'monitoring results'!A7</f>
        <v>01/03/2021-31/03/3021</v>
      </c>
      <c r="B7" s="343">
        <f t="shared" si="35"/>
        <v>227856</v>
      </c>
      <c r="C7" s="344">
        <f>AVERAGE('2021.3'!B5:G7)</f>
        <v>66.459999999999994</v>
      </c>
      <c r="D7" s="344">
        <f>_xlfn.STDEV.S('2021.3'!B5:G7)</f>
        <v>30.443338469078228</v>
      </c>
      <c r="E7" s="339">
        <f t="shared" si="47"/>
        <v>15</v>
      </c>
      <c r="F7" s="339">
        <f>'2021.3'!D129+'2021.3'!E129</f>
        <v>6520</v>
      </c>
      <c r="G7" s="345">
        <f t="shared" si="36"/>
        <v>2.8614563584017975E-2</v>
      </c>
      <c r="H7" s="345">
        <f t="shared" si="0"/>
        <v>1.9017238957938345</v>
      </c>
      <c r="I7" s="345">
        <f t="shared" si="37"/>
        <v>0.99769938650306744</v>
      </c>
      <c r="J7" s="345">
        <f t="shared" si="1"/>
        <v>61.786457142857216</v>
      </c>
      <c r="K7" s="346">
        <f t="shared" si="2"/>
        <v>5.0473945189410889E-2</v>
      </c>
      <c r="L7" s="347">
        <f>AVERAGE('2021.3'!B11:G15)</f>
        <v>60.288888888888891</v>
      </c>
      <c r="M7" s="347">
        <f>_xlfn.STDEV.S('2021.3'!B11:G15)</f>
        <v>28.500668493478585</v>
      </c>
      <c r="N7" s="348">
        <f t="shared" si="48"/>
        <v>18</v>
      </c>
      <c r="O7" s="348">
        <f>'2021.3'!D130+'2021.3'!E130</f>
        <v>7875</v>
      </c>
      <c r="P7" s="349">
        <f t="shared" si="3"/>
        <v>3.456130187486834E-2</v>
      </c>
      <c r="Q7" s="350">
        <f t="shared" si="4"/>
        <v>2.0836624885892845</v>
      </c>
      <c r="R7" s="350">
        <f t="shared" si="5"/>
        <v>0.99771428571428566</v>
      </c>
      <c r="S7" s="350">
        <f t="shared" si="6"/>
        <v>45.127116920842383</v>
      </c>
      <c r="T7" s="350">
        <f t="shared" si="7"/>
        <v>5.3780392273750303E-2</v>
      </c>
      <c r="U7" s="351">
        <f>AVERAGE('2021.3'!B19:G33)</f>
        <v>65.195999999999998</v>
      </c>
      <c r="V7" s="351">
        <f>_xlfn.STDEV.S('2021.3'!B19:G33)</f>
        <v>26.575895601597807</v>
      </c>
      <c r="W7" s="339">
        <f t="shared" si="49"/>
        <v>75</v>
      </c>
      <c r="X7" s="339">
        <f>'2021.3'!D131+'2021.3'!E131</f>
        <v>38913</v>
      </c>
      <c r="Y7" s="345">
        <f t="shared" si="8"/>
        <v>0.17061792161212955</v>
      </c>
      <c r="Z7" s="345">
        <f t="shared" si="9"/>
        <v>11.134102011796923</v>
      </c>
      <c r="AA7" s="345">
        <f t="shared" si="10"/>
        <v>0.99807262354483073</v>
      </c>
      <c r="AB7" s="345">
        <f t="shared" si="11"/>
        <v>9.4170430270270078</v>
      </c>
      <c r="AC7" s="346">
        <f t="shared" si="12"/>
        <v>0.27360623669415185</v>
      </c>
      <c r="AD7" s="352">
        <f>AVERAGE('2021.3'!B37:G55)</f>
        <v>64.42051282051284</v>
      </c>
      <c r="AE7" s="352">
        <f>_xlfn.STDEV.S('2021.3'!B37:G55)</f>
        <v>28.376464360517591</v>
      </c>
      <c r="AF7" s="341">
        <f t="shared" si="50"/>
        <v>78</v>
      </c>
      <c r="AG7" s="341">
        <f>'2021.3'!D132+'2021.3'!E132</f>
        <v>39637</v>
      </c>
      <c r="AH7" s="341">
        <f t="shared" si="13"/>
        <v>0.17395635840179763</v>
      </c>
      <c r="AI7" s="350">
        <f t="shared" si="14"/>
        <v>11.206357816632732</v>
      </c>
      <c r="AJ7" s="350">
        <f t="shared" si="15"/>
        <v>0.99803214168579857</v>
      </c>
      <c r="AK7" s="350">
        <f t="shared" si="16"/>
        <v>10.323381148765705</v>
      </c>
      <c r="AL7" s="353">
        <f t="shared" si="17"/>
        <v>0.31177917630203439</v>
      </c>
      <c r="AM7" s="351">
        <f>AVERAGE('2021.3'!B59:G65)</f>
        <v>65.859523809523822</v>
      </c>
      <c r="AN7" s="354">
        <f>_xlfn.STDEV.S('2021.3'!B59:G65)</f>
        <v>24.165325486433495</v>
      </c>
      <c r="AO7" s="339">
        <f t="shared" si="51"/>
        <v>42</v>
      </c>
      <c r="AP7" s="339">
        <f>'2021.3'!D133+'2021.3'!E133</f>
        <v>21030</v>
      </c>
      <c r="AQ7" s="339">
        <f t="shared" si="18"/>
        <v>9.2295133768696025E-2</v>
      </c>
      <c r="AR7" s="345">
        <f t="shared" si="52"/>
        <v>6.1131793545493665</v>
      </c>
      <c r="AS7" s="345">
        <f t="shared" si="20"/>
        <v>0.99800285306704706</v>
      </c>
      <c r="AT7" s="345">
        <f t="shared" ref="AT7:AT19" si="57">AN7*AN7/AO7</f>
        <v>13.903879901554102</v>
      </c>
      <c r="AU7" s="346">
        <f t="shared" si="21"/>
        <v>0.11820215591561867</v>
      </c>
      <c r="AV7" s="353">
        <f>AVERAGE('2021.3'!B69:G85)</f>
        <v>65.695833333333312</v>
      </c>
      <c r="AW7" s="350">
        <f>_xlfn.STDEV.S('2021.3'!B69:G85)</f>
        <v>27.626916381889846</v>
      </c>
      <c r="AX7" s="341">
        <f t="shared" si="53"/>
        <v>96</v>
      </c>
      <c r="AY7" s="341">
        <f>'2021.3'!D134+'2021.3'!E134</f>
        <v>49956</v>
      </c>
      <c r="AZ7" s="341">
        <f t="shared" si="22"/>
        <v>0.21924373288392668</v>
      </c>
      <c r="BA7" s="350">
        <f t="shared" si="38"/>
        <v>14.403399734920296</v>
      </c>
      <c r="BB7" s="350">
        <f t="shared" si="23"/>
        <v>0.99807830891184246</v>
      </c>
      <c r="BC7" s="350">
        <f t="shared" si="24"/>
        <v>7.9504844663743066</v>
      </c>
      <c r="BD7" s="353">
        <f t="shared" si="25"/>
        <v>0.381428013689386</v>
      </c>
      <c r="BE7" s="344">
        <f>AVERAGE('2021.3'!B89:G106)</f>
        <v>66.417808219178085</v>
      </c>
      <c r="BF7" s="355">
        <f>_xlfn.STDEV.S('2021.3'!B89:G106)</f>
        <v>26.094136966342973</v>
      </c>
      <c r="BG7" s="339">
        <f t="shared" si="54"/>
        <v>73</v>
      </c>
      <c r="BH7" s="339">
        <f>'2021.3'!D135+'2021.3'!E135</f>
        <v>38199</v>
      </c>
      <c r="BI7" s="339">
        <f t="shared" si="39"/>
        <v>0.16764535496102803</v>
      </c>
      <c r="BJ7" s="345">
        <f t="shared" si="40"/>
        <v>11.134637034637594</v>
      </c>
      <c r="BK7" s="345">
        <f t="shared" si="26"/>
        <v>0.99808895520825147</v>
      </c>
      <c r="BL7" s="345">
        <f t="shared" si="27"/>
        <v>9.3274518358666683</v>
      </c>
      <c r="BM7" s="346">
        <f t="shared" si="28"/>
        <v>0.26164673174781883</v>
      </c>
      <c r="BN7" s="347">
        <f>AVERAGE('2021.3'!B110:G112)</f>
        <v>70.339999999999989</v>
      </c>
      <c r="BO7" s="349">
        <f>_xlfn.STDEV.S('2021.3'!B110:G112)</f>
        <v>24.490254621554527</v>
      </c>
      <c r="BP7" s="341">
        <f t="shared" si="55"/>
        <v>15</v>
      </c>
      <c r="BQ7" s="341">
        <f>'2021.3'!D136+'2021.3'!E136</f>
        <v>5866</v>
      </c>
      <c r="BR7" s="341">
        <f t="shared" si="41"/>
        <v>2.5744329752124148E-2</v>
      </c>
      <c r="BS7" s="350">
        <f t="shared" si="42"/>
        <v>1.8108561547644124</v>
      </c>
      <c r="BT7" s="350">
        <f t="shared" si="29"/>
        <v>0.99744289123764063</v>
      </c>
      <c r="BU7" s="350">
        <f t="shared" si="30"/>
        <v>39.984838095238189</v>
      </c>
      <c r="BV7" s="353">
        <f t="shared" si="31"/>
        <v>2.6433006356472021E-2</v>
      </c>
      <c r="BW7" s="344">
        <f>AVERAGE('2021.3'!B116:G124)</f>
        <v>67.946153846153848</v>
      </c>
      <c r="BX7" s="355">
        <f>_xlfn.STDEV.S('2021.3'!B116:G124)</f>
        <v>26.334026878924519</v>
      </c>
      <c r="BY7" s="339">
        <f t="shared" si="56"/>
        <v>39</v>
      </c>
      <c r="BZ7" s="339">
        <f>'2021.3'!D137+'2021.3'!E137</f>
        <v>19860</v>
      </c>
      <c r="CA7" s="339">
        <f t="shared" si="43"/>
        <v>8.7160311775858437E-2</v>
      </c>
      <c r="CB7" s="345">
        <f t="shared" si="44"/>
        <v>5.9222079532012124</v>
      </c>
      <c r="CC7" s="345">
        <f t="shared" si="32"/>
        <v>0.99803625377643501</v>
      </c>
      <c r="CD7" s="345">
        <f t="shared" si="33"/>
        <v>17.78156337589536</v>
      </c>
      <c r="CE7" s="346">
        <f t="shared" si="34"/>
        <v>0.13481984065078503</v>
      </c>
      <c r="CF7" s="356">
        <f t="shared" si="45"/>
        <v>65.71012644488566</v>
      </c>
      <c r="CG7" s="357">
        <f t="shared" si="46"/>
        <v>1.2697123685384135</v>
      </c>
    </row>
    <row r="8" spans="1:85" x14ac:dyDescent="0.25">
      <c r="A8" s="342" t="str">
        <f>'monitoring results'!A8</f>
        <v>01/04/2021-30/04/2021</v>
      </c>
      <c r="B8" s="343">
        <f t="shared" si="35"/>
        <v>227826</v>
      </c>
      <c r="C8" s="344">
        <f>AVERAGE('2021.4'!B5:G7)</f>
        <v>66.039999999999992</v>
      </c>
      <c r="D8" s="344">
        <f>_xlfn.STDEV.S('2021.4'!B5:G7)</f>
        <v>29.114277302676481</v>
      </c>
      <c r="E8" s="339">
        <f t="shared" si="47"/>
        <v>15</v>
      </c>
      <c r="F8" s="339">
        <f>'2021.4'!D129+'2021.4'!E129</f>
        <v>6490</v>
      </c>
      <c r="G8" s="345">
        <f t="shared" si="36"/>
        <v>2.8486652094142022E-2</v>
      </c>
      <c r="H8" s="345">
        <f t="shared" si="0"/>
        <v>1.881258504297139</v>
      </c>
      <c r="I8" s="345">
        <f t="shared" si="37"/>
        <v>0.99768875192604001</v>
      </c>
      <c r="J8" s="345">
        <f t="shared" si="1"/>
        <v>56.509409523809524</v>
      </c>
      <c r="K8" s="346">
        <f t="shared" si="2"/>
        <v>4.5750797460550024E-2</v>
      </c>
      <c r="L8" s="347">
        <f>AVERAGE('2021.4'!B11:G15)</f>
        <v>60.888888888888879</v>
      </c>
      <c r="M8" s="347">
        <f>_xlfn.STDEV.S('2021.4'!B11:G15)</f>
        <v>25.282216230313775</v>
      </c>
      <c r="N8" s="348">
        <f t="shared" si="48"/>
        <v>18</v>
      </c>
      <c r="O8" s="348">
        <f>'2021.4'!D130+'2021.4'!E130</f>
        <v>7886</v>
      </c>
      <c r="P8" s="349">
        <f t="shared" si="3"/>
        <v>3.4614135348906623E-2</v>
      </c>
      <c r="Q8" s="350">
        <f t="shared" si="4"/>
        <v>2.1076162412445361</v>
      </c>
      <c r="R8" s="350">
        <f t="shared" si="5"/>
        <v>0.99771747400456501</v>
      </c>
      <c r="S8" s="350">
        <f t="shared" si="6"/>
        <v>35.510580973130075</v>
      </c>
      <c r="T8" s="350">
        <f t="shared" si="7"/>
        <v>4.2449475764705195E-2</v>
      </c>
      <c r="U8" s="351">
        <f>AVERAGE('2021.4'!B19:G33)</f>
        <v>65.088000000000022</v>
      </c>
      <c r="V8" s="351">
        <f>_xlfn.STDEV.S('2021.4'!B19:G33)</f>
        <v>26.455551504465042</v>
      </c>
      <c r="W8" s="339">
        <f t="shared" si="49"/>
        <v>75</v>
      </c>
      <c r="X8" s="339">
        <f>'2021.4'!D131+'2021.4'!E131</f>
        <v>38896</v>
      </c>
      <c r="Y8" s="345">
        <f t="shared" si="8"/>
        <v>0.17054338342007533</v>
      </c>
      <c r="Z8" s="345">
        <f t="shared" si="9"/>
        <v>11.112264833688871</v>
      </c>
      <c r="AA8" s="345">
        <f t="shared" si="10"/>
        <v>0.99807178116001649</v>
      </c>
      <c r="AB8" s="345">
        <f t="shared" si="11"/>
        <v>9.331949405405366</v>
      </c>
      <c r="AC8" s="346">
        <f t="shared" si="12"/>
        <v>0.27089681676427019</v>
      </c>
      <c r="AD8" s="352">
        <f>AVERAGE('2021.4'!B37:G55)</f>
        <v>64.765384615384619</v>
      </c>
      <c r="AE8" s="352">
        <f>_xlfn.STDEV.S('2021.4'!B37:G55)</f>
        <v>26.711235181381682</v>
      </c>
      <c r="AF8" s="341">
        <f t="shared" si="50"/>
        <v>78</v>
      </c>
      <c r="AG8" s="341">
        <f>'2021.4'!D132+'2021.4'!E132</f>
        <v>39630</v>
      </c>
      <c r="AH8" s="341">
        <f t="shared" si="13"/>
        <v>0.17394853967501514</v>
      </c>
      <c r="AI8" s="350">
        <f t="shared" si="14"/>
        <v>11.265844075336847</v>
      </c>
      <c r="AJ8" s="350">
        <f t="shared" si="15"/>
        <v>0.99803179409538234</v>
      </c>
      <c r="AK8" s="350">
        <f t="shared" si="16"/>
        <v>9.1473087809625948</v>
      </c>
      <c r="AL8" s="353">
        <f t="shared" si="17"/>
        <v>0.27623537281180405</v>
      </c>
      <c r="AM8" s="351">
        <f>AVERAGE('2021.4'!B59:G65)</f>
        <v>68.459523809523802</v>
      </c>
      <c r="AN8" s="354">
        <f>_xlfn.STDEV.S('2021.4'!B59:G65)</f>
        <v>26.327858374675699</v>
      </c>
      <c r="AO8" s="339">
        <f t="shared" si="51"/>
        <v>42</v>
      </c>
      <c r="AP8" s="339">
        <f>'2021.4'!D133+'2021.4'!E133</f>
        <v>21033</v>
      </c>
      <c r="AQ8" s="339">
        <f t="shared" si="18"/>
        <v>9.232045508414316E-2</v>
      </c>
      <c r="AR8" s="345">
        <f t="shared" si="52"/>
        <v>6.0736497155960842</v>
      </c>
      <c r="AS8" s="345">
        <f t="shared" si="20"/>
        <v>0.99800313792611606</v>
      </c>
      <c r="AT8" s="345">
        <f t="shared" si="57"/>
        <v>16.503717299928127</v>
      </c>
      <c r="AU8" s="346">
        <f t="shared" si="21"/>
        <v>0.14038139566894139</v>
      </c>
      <c r="AV8" s="353">
        <f>AVERAGE('2021.4'!B69:G85)</f>
        <v>67.890624999999986</v>
      </c>
      <c r="AW8" s="350">
        <f>_xlfn.STDEV.S('2021.4'!B69:G85)</f>
        <v>26.465835288159749</v>
      </c>
      <c r="AX8" s="341">
        <f t="shared" si="53"/>
        <v>96</v>
      </c>
      <c r="AY8" s="341">
        <f>'2021.4'!D134+'2021.4'!E134</f>
        <v>49935</v>
      </c>
      <c r="AZ8" s="341">
        <f t="shared" si="22"/>
        <v>0.21918042716810196</v>
      </c>
      <c r="BA8" s="350">
        <f t="shared" si="38"/>
        <v>14.880296188209419</v>
      </c>
      <c r="BB8" s="350">
        <f t="shared" si="23"/>
        <v>0.99807750075097623</v>
      </c>
      <c r="BC8" s="350">
        <f t="shared" si="24"/>
        <v>7.2962545572916859</v>
      </c>
      <c r="BD8" s="353">
        <f t="shared" si="25"/>
        <v>0.34983864415402288</v>
      </c>
      <c r="BE8" s="344">
        <f>AVERAGE('2021.4'!B89:G106)</f>
        <v>64.779452054794504</v>
      </c>
      <c r="BF8" s="355">
        <f>_xlfn.STDEV.S('2021.4'!B89:G106)</f>
        <v>25.865517365490216</v>
      </c>
      <c r="BG8" s="339">
        <f t="shared" si="54"/>
        <v>73</v>
      </c>
      <c r="BH8" s="339">
        <f>'2021.4'!D135+'2021.4'!E135</f>
        <v>38217</v>
      </c>
      <c r="BI8" s="339">
        <f t="shared" si="39"/>
        <v>0.16774643807115958</v>
      </c>
      <c r="BJ8" s="345">
        <f t="shared" si="40"/>
        <v>10.866522342393237</v>
      </c>
      <c r="BK8" s="345">
        <f t="shared" si="26"/>
        <v>0.99808985529999739</v>
      </c>
      <c r="BL8" s="345">
        <f t="shared" si="27"/>
        <v>9.1647258710202184</v>
      </c>
      <c r="BM8" s="346">
        <f t="shared" si="28"/>
        <v>0.2573924091471349</v>
      </c>
      <c r="BN8" s="347">
        <f>AVERAGE('2021.4'!B110:G112)</f>
        <v>65.806666666666672</v>
      </c>
      <c r="BO8" s="349">
        <f>_xlfn.STDEV.S('2021.4'!B110:G112)</f>
        <v>29.078673251976916</v>
      </c>
      <c r="BP8" s="341">
        <f t="shared" si="55"/>
        <v>15</v>
      </c>
      <c r="BQ8" s="341">
        <f>'2021.4'!D136+'2021.4'!E136</f>
        <v>5858</v>
      </c>
      <c r="BR8" s="341">
        <f t="shared" si="41"/>
        <v>2.571260523381879E-2</v>
      </c>
      <c r="BS8" s="350">
        <f t="shared" si="42"/>
        <v>1.6920608417535021</v>
      </c>
      <c r="BT8" s="350">
        <f t="shared" si="29"/>
        <v>0.99743939911232504</v>
      </c>
      <c r="BU8" s="350">
        <f t="shared" si="30"/>
        <v>56.371282539682518</v>
      </c>
      <c r="BV8" s="353">
        <f t="shared" si="31"/>
        <v>3.717376927519337E-2</v>
      </c>
      <c r="BW8" s="344">
        <f>AVERAGE('2021.4'!B116:G124)</f>
        <v>68.876923076923077</v>
      </c>
      <c r="BX8" s="355">
        <f>_xlfn.STDEV.S('2021.4'!B116:G124)</f>
        <v>28.828918791804416</v>
      </c>
      <c r="BY8" s="339">
        <f t="shared" si="56"/>
        <v>39</v>
      </c>
      <c r="BZ8" s="339">
        <f>'2021.4'!D137+'2021.4'!E137</f>
        <v>19881</v>
      </c>
      <c r="CA8" s="339">
        <f t="shared" si="43"/>
        <v>8.7263964604566646E-2</v>
      </c>
      <c r="CB8" s="345">
        <f t="shared" si="44"/>
        <v>6.0104733774560755</v>
      </c>
      <c r="CC8" s="345">
        <f t="shared" si="32"/>
        <v>0.99803832805190884</v>
      </c>
      <c r="CD8" s="345">
        <f t="shared" si="33"/>
        <v>21.310424582165481</v>
      </c>
      <c r="CE8" s="346">
        <f t="shared" si="34"/>
        <v>0.16196053501957186</v>
      </c>
      <c r="CF8" s="356">
        <f t="shared" si="45"/>
        <v>65.889986119975717</v>
      </c>
      <c r="CG8" s="357">
        <f t="shared" si="46"/>
        <v>1.2578073048230376</v>
      </c>
    </row>
    <row r="9" spans="1:85" x14ac:dyDescent="0.25">
      <c r="A9" s="342" t="str">
        <f>'monitoring results'!A9</f>
        <v>01/05/2021-31/05/2021</v>
      </c>
      <c r="B9" s="343">
        <f t="shared" si="35"/>
        <v>227917</v>
      </c>
      <c r="C9" s="344">
        <f>AVERAGE('2021.5'!B5:G7)</f>
        <v>69.413333333333355</v>
      </c>
      <c r="D9" s="344">
        <f>_xlfn.STDEV.S('2021.5'!B5:G7)</f>
        <v>34.117232065475648</v>
      </c>
      <c r="E9" s="339">
        <f t="shared" si="47"/>
        <v>15</v>
      </c>
      <c r="F9" s="339">
        <f>'2021.5'!D129+'2021.5'!E129</f>
        <v>6517</v>
      </c>
      <c r="G9" s="345">
        <f t="shared" si="36"/>
        <v>2.8593742458877573E-2</v>
      </c>
      <c r="H9" s="345">
        <f t="shared" si="0"/>
        <v>1.9847869765455559</v>
      </c>
      <c r="I9" s="345">
        <f t="shared" si="37"/>
        <v>0.99769832745128129</v>
      </c>
      <c r="J9" s="345">
        <f t="shared" si="1"/>
        <v>77.599034920634651</v>
      </c>
      <c r="K9" s="346">
        <f t="shared" si="2"/>
        <v>6.3299104590252772E-2</v>
      </c>
      <c r="L9" s="347">
        <f>AVERAGE('2021.5'!B11:G15)</f>
        <v>61.277777777777793</v>
      </c>
      <c r="M9" s="347">
        <f>_xlfn.STDEV.S('2021.5'!B11:G15)</f>
        <v>25.038947439716537</v>
      </c>
      <c r="N9" s="348">
        <f t="shared" si="48"/>
        <v>18</v>
      </c>
      <c r="O9" s="348">
        <f>'2021.5'!D130+'2021.5'!E130</f>
        <v>7884</v>
      </c>
      <c r="P9" s="349">
        <f t="shared" si="3"/>
        <v>3.459153990268387E-2</v>
      </c>
      <c r="Q9" s="350">
        <f t="shared" si="4"/>
        <v>2.1196926951477955</v>
      </c>
      <c r="R9" s="350">
        <f t="shared" si="5"/>
        <v>0.99771689497716898</v>
      </c>
      <c r="S9" s="350">
        <f t="shared" si="6"/>
        <v>34.83049382716041</v>
      </c>
      <c r="T9" s="350">
        <f t="shared" si="7"/>
        <v>4.1582131743284644E-2</v>
      </c>
      <c r="U9" s="351">
        <f>AVERAGE('2021.5'!B19:G33)</f>
        <v>65.531999999999996</v>
      </c>
      <c r="V9" s="351">
        <f>_xlfn.STDEV.S('2021.5'!B19:G33)</f>
        <v>27.876761415685088</v>
      </c>
      <c r="W9" s="339">
        <f t="shared" si="49"/>
        <v>75</v>
      </c>
      <c r="X9" s="339">
        <f>'2021.5'!D131+'2021.5'!E131</f>
        <v>39040</v>
      </c>
      <c r="Y9" s="345">
        <f t="shared" si="8"/>
        <v>0.17117476575276996</v>
      </c>
      <c r="Z9" s="345">
        <f t="shared" si="9"/>
        <v>11.225004190121842</v>
      </c>
      <c r="AA9" s="345">
        <f t="shared" si="10"/>
        <v>0.99807889344262291</v>
      </c>
      <c r="AB9" s="345">
        <f t="shared" si="11"/>
        <v>10.361517693693719</v>
      </c>
      <c r="AC9" s="346">
        <f t="shared" si="12"/>
        <v>0.30301751268528132</v>
      </c>
      <c r="AD9" s="352">
        <f>AVERAGE('2021.5'!B37:G55)</f>
        <v>64.219230769230748</v>
      </c>
      <c r="AE9" s="352">
        <f>_xlfn.STDEV.S('2021.5'!B37:G55)</f>
        <v>27.407393341764781</v>
      </c>
      <c r="AF9" s="341">
        <f t="shared" si="50"/>
        <v>78</v>
      </c>
      <c r="AG9" s="341">
        <f>'2021.5'!D132+'2021.5'!E132</f>
        <v>39627</v>
      </c>
      <c r="AH9" s="341">
        <f t="shared" si="13"/>
        <v>0.17386592487616107</v>
      </c>
      <c r="AI9" s="350">
        <f t="shared" si="14"/>
        <v>11.165535952527925</v>
      </c>
      <c r="AJ9" s="350">
        <f t="shared" si="15"/>
        <v>0.9980316450904686</v>
      </c>
      <c r="AK9" s="350">
        <f t="shared" si="16"/>
        <v>9.6303232024386212</v>
      </c>
      <c r="AL9" s="353">
        <f t="shared" si="17"/>
        <v>0.29054548085566922</v>
      </c>
      <c r="AM9" s="351">
        <f>AVERAGE('2021.5'!B59:G65)</f>
        <v>66.854761904761887</v>
      </c>
      <c r="AN9" s="354">
        <f>_xlfn.STDEV.S('2021.5'!B59:G65)</f>
        <v>27.909393491508961</v>
      </c>
      <c r="AO9" s="339">
        <f t="shared" si="51"/>
        <v>42</v>
      </c>
      <c r="AP9" s="339">
        <f>'2021.5'!D133+'2021.5'!E133</f>
        <v>21003</v>
      </c>
      <c r="AQ9" s="339">
        <f t="shared" si="18"/>
        <v>9.2151967602241161E-2</v>
      </c>
      <c r="AR9" s="345">
        <f t="shared" si="52"/>
        <v>6.3044200208331107</v>
      </c>
      <c r="AS9" s="345">
        <f t="shared" si="20"/>
        <v>0.99800028567347521</v>
      </c>
      <c r="AT9" s="345">
        <f t="shared" si="57"/>
        <v>18.546053453901969</v>
      </c>
      <c r="AU9" s="346">
        <f t="shared" si="21"/>
        <v>0.15717786957680754</v>
      </c>
      <c r="AV9" s="353">
        <f>AVERAGE('2021.5'!B69:G85)</f>
        <v>68.596874999999997</v>
      </c>
      <c r="AW9" s="350">
        <f>_xlfn.STDEV.S('2021.5'!B69:G85)</f>
        <v>27.771281846445927</v>
      </c>
      <c r="AX9" s="341">
        <f t="shared" si="53"/>
        <v>96</v>
      </c>
      <c r="AY9" s="341">
        <f>'2021.5'!D134+'2021.5'!E134</f>
        <v>49932</v>
      </c>
      <c r="AZ9" s="341">
        <f t="shared" si="22"/>
        <v>0.21907975271699787</v>
      </c>
      <c r="BA9" s="350">
        <f t="shared" si="38"/>
        <v>15.02818641215881</v>
      </c>
      <c r="BB9" s="350">
        <f t="shared" si="23"/>
        <v>0.99807738524393175</v>
      </c>
      <c r="BC9" s="350">
        <f t="shared" si="24"/>
        <v>8.0337926603618453</v>
      </c>
      <c r="BD9" s="353">
        <f t="shared" si="25"/>
        <v>0.38484807493886702</v>
      </c>
      <c r="BE9" s="344">
        <f>AVERAGE('2021.5'!B89:G106)</f>
        <v>65.856164383561634</v>
      </c>
      <c r="BF9" s="355">
        <f>_xlfn.STDEV.S('2021.5'!B89:G106)</f>
        <v>25.826127953754817</v>
      </c>
      <c r="BG9" s="339">
        <f t="shared" si="54"/>
        <v>73</v>
      </c>
      <c r="BH9" s="339">
        <f>'2021.5'!D135+'2021.5'!E135</f>
        <v>38202</v>
      </c>
      <c r="BI9" s="339">
        <f t="shared" si="39"/>
        <v>0.16761364882830154</v>
      </c>
      <c r="BJ9" s="345">
        <f t="shared" si="40"/>
        <v>11.038392010165198</v>
      </c>
      <c r="BK9" s="345">
        <f t="shared" si="26"/>
        <v>0.99808910528244599</v>
      </c>
      <c r="BL9" s="345">
        <f t="shared" si="27"/>
        <v>9.1368340422426844</v>
      </c>
      <c r="BM9" s="346">
        <f t="shared" si="28"/>
        <v>0.25620276509071144</v>
      </c>
      <c r="BN9" s="347">
        <f>AVERAGE('2021.5'!B110:G112)</f>
        <v>65.186666666666653</v>
      </c>
      <c r="BO9" s="349">
        <f>_xlfn.STDEV.S('2021.5'!B110:G112)</f>
        <v>31.265838652859891</v>
      </c>
      <c r="BP9" s="341">
        <f t="shared" si="55"/>
        <v>15</v>
      </c>
      <c r="BQ9" s="341">
        <f>'2021.5'!D136+'2021.5'!E136</f>
        <v>5847</v>
      </c>
      <c r="BR9" s="341">
        <f t="shared" si="41"/>
        <v>2.5654075825848884E-2</v>
      </c>
      <c r="BS9" s="350">
        <f t="shared" si="42"/>
        <v>1.6723036895010024</v>
      </c>
      <c r="BT9" s="350">
        <f t="shared" si="29"/>
        <v>0.99743458183683942</v>
      </c>
      <c r="BU9" s="350">
        <f t="shared" si="30"/>
        <v>65.170177777777837</v>
      </c>
      <c r="BV9" s="353">
        <f t="shared" si="31"/>
        <v>4.2780521589637459E-2</v>
      </c>
      <c r="BW9" s="344">
        <f>AVERAGE('2021.5'!B116:G124)</f>
        <v>69.920512820512826</v>
      </c>
      <c r="BX9" s="355">
        <f>_xlfn.STDEV.S('2021.5'!B116:G124)</f>
        <v>30.404442018674445</v>
      </c>
      <c r="BY9" s="339">
        <f t="shared" si="56"/>
        <v>39</v>
      </c>
      <c r="BZ9" s="339">
        <f>'2021.5'!D137+'2021.5'!E137</f>
        <v>19865</v>
      </c>
      <c r="CA9" s="339">
        <f t="shared" si="43"/>
        <v>8.7158921888231239E-2</v>
      </c>
      <c r="CB9" s="345">
        <f t="shared" si="44"/>
        <v>6.0941965153081483</v>
      </c>
      <c r="CC9" s="345">
        <f t="shared" si="32"/>
        <v>0.99803674804933296</v>
      </c>
      <c r="CD9" s="345">
        <f t="shared" si="33"/>
        <v>23.703335755562463</v>
      </c>
      <c r="CE9" s="346">
        <f t="shared" si="34"/>
        <v>0.17971308520733281</v>
      </c>
      <c r="CF9" s="356">
        <f t="shared" si="45"/>
        <v>66.632518462309378</v>
      </c>
      <c r="CG9" s="357">
        <f t="shared" si="46"/>
        <v>1.3111699151055305</v>
      </c>
    </row>
    <row r="10" spans="1:85" x14ac:dyDescent="0.25">
      <c r="A10" s="342" t="str">
        <f>'monitoring results'!A10</f>
        <v>01/06/2021-30/06/2021</v>
      </c>
      <c r="B10" s="343">
        <f t="shared" si="35"/>
        <v>227998</v>
      </c>
      <c r="C10" s="344">
        <f>AVERAGE('2021.6'!B5:G7)</f>
        <v>63.7</v>
      </c>
      <c r="D10" s="344">
        <f>_xlfn.STDEV.S('2021.6'!B5:G7)</f>
        <v>27.943335520298934</v>
      </c>
      <c r="E10" s="339">
        <f t="shared" si="47"/>
        <v>15</v>
      </c>
      <c r="F10" s="339">
        <f>'2021.6'!D129+'2021.6'!E129</f>
        <v>6500</v>
      </c>
      <c r="G10" s="345">
        <f t="shared" si="36"/>
        <v>2.850902200896499E-2</v>
      </c>
      <c r="H10" s="345">
        <f t="shared" si="0"/>
        <v>1.81602470197107</v>
      </c>
      <c r="I10" s="345">
        <f t="shared" si="37"/>
        <v>0.99769230769230766</v>
      </c>
      <c r="J10" s="345">
        <f t="shared" si="1"/>
        <v>52.055333333333337</v>
      </c>
      <c r="K10" s="346">
        <f t="shared" si="2"/>
        <v>4.2211082923055455E-2</v>
      </c>
      <c r="L10" s="347">
        <f>AVERAGE('2021.6'!B11:G15)</f>
        <v>64.494444444444454</v>
      </c>
      <c r="M10" s="347">
        <f>_xlfn.STDEV.S('2021.6'!B11:G15)</f>
        <v>26.217360037201711</v>
      </c>
      <c r="N10" s="348">
        <f t="shared" si="48"/>
        <v>18</v>
      </c>
      <c r="O10" s="348">
        <f>'2021.6'!D130+'2021.6'!E130</f>
        <v>7885</v>
      </c>
      <c r="P10" s="349">
        <f t="shared" si="3"/>
        <v>3.4583636698567531E-2</v>
      </c>
      <c r="Q10" s="350">
        <f t="shared" si="4"/>
        <v>2.2304524357426141</v>
      </c>
      <c r="R10" s="350">
        <f t="shared" si="5"/>
        <v>0.99771718452758407</v>
      </c>
      <c r="S10" s="350">
        <f t="shared" si="6"/>
        <v>38.18610929557007</v>
      </c>
      <c r="T10" s="350">
        <f t="shared" si="7"/>
        <v>4.5567393195907871E-2</v>
      </c>
      <c r="U10" s="351">
        <f>AVERAGE('2021.6'!B19:G33)</f>
        <v>66.358666666666664</v>
      </c>
      <c r="V10" s="351">
        <f>_xlfn.STDEV.S('2021.6'!B19:G33)</f>
        <v>25.118724002136229</v>
      </c>
      <c r="W10" s="339">
        <f t="shared" si="49"/>
        <v>75</v>
      </c>
      <c r="X10" s="339">
        <f>'2021.6'!D131+'2021.6'!E131</f>
        <v>38992</v>
      </c>
      <c r="Y10" s="345">
        <f t="shared" si="8"/>
        <v>0.17096430497520509</v>
      </c>
      <c r="Z10" s="345">
        <f t="shared" si="9"/>
        <v>11.348595736219908</v>
      </c>
      <c r="AA10" s="345">
        <f t="shared" si="10"/>
        <v>0.99807652851867046</v>
      </c>
      <c r="AB10" s="345">
        <f t="shared" si="11"/>
        <v>8.4126706066065964</v>
      </c>
      <c r="AC10" s="346">
        <f t="shared" si="12"/>
        <v>0.24541924592210443</v>
      </c>
      <c r="AD10" s="352">
        <f>AVERAGE('2021.6'!B37:G55)</f>
        <v>64.538461538461561</v>
      </c>
      <c r="AE10" s="352">
        <f>_xlfn.STDEV.S('2021.6'!B37:G55)</f>
        <v>25.561157783104903</v>
      </c>
      <c r="AF10" s="341">
        <f t="shared" si="50"/>
        <v>78</v>
      </c>
      <c r="AG10" s="341">
        <f>'2021.6'!D132+'2021.6'!E132</f>
        <v>39663</v>
      </c>
      <c r="AH10" s="341">
        <f t="shared" si="13"/>
        <v>0.17396205229870437</v>
      </c>
      <c r="AI10" s="350">
        <f t="shared" si="14"/>
        <v>11.22724322143177</v>
      </c>
      <c r="AJ10" s="350">
        <f t="shared" si="15"/>
        <v>0.99803343166175029</v>
      </c>
      <c r="AK10" s="350">
        <f t="shared" si="16"/>
        <v>8.3765741950356976</v>
      </c>
      <c r="AL10" s="353">
        <f t="shared" si="17"/>
        <v>0.25300003079929556</v>
      </c>
      <c r="AM10" s="351">
        <f>AVERAGE('2021.6'!B59:G65)</f>
        <v>66.092857142857142</v>
      </c>
      <c r="AN10" s="354">
        <f>_xlfn.STDEV.S('2021.6'!B59:G65)</f>
        <v>25.916963018946429</v>
      </c>
      <c r="AO10" s="339">
        <f t="shared" si="51"/>
        <v>42</v>
      </c>
      <c r="AP10" s="339">
        <f>'2021.6'!D133+'2021.6'!E133</f>
        <v>21052</v>
      </c>
      <c r="AQ10" s="339">
        <f t="shared" si="18"/>
        <v>9.2334143281958617E-2</v>
      </c>
      <c r="AR10" s="345">
        <f t="shared" si="52"/>
        <v>6.1710013444017315</v>
      </c>
      <c r="AS10" s="345">
        <f t="shared" si="20"/>
        <v>0.9980049401482044</v>
      </c>
      <c r="AT10" s="345">
        <f t="shared" si="57"/>
        <v>15.992594574415163</v>
      </c>
      <c r="AU10" s="346">
        <f t="shared" si="21"/>
        <v>0.13607434943183555</v>
      </c>
      <c r="AV10" s="353">
        <f>AVERAGE('2021.6'!B69:G85)</f>
        <v>66.42083333333332</v>
      </c>
      <c r="AW10" s="350">
        <f>_xlfn.STDEV.S('2021.6'!B69:G85)</f>
        <v>27.107462234077378</v>
      </c>
      <c r="AX10" s="341">
        <f t="shared" si="53"/>
        <v>96</v>
      </c>
      <c r="AY10" s="341">
        <f>'2021.6'!D134+'2021.6'!E134</f>
        <v>49974</v>
      </c>
      <c r="AZ10" s="341">
        <f t="shared" si="22"/>
        <v>0.21918613321169483</v>
      </c>
      <c r="BA10" s="350">
        <f t="shared" si="38"/>
        <v>14.558525623031777</v>
      </c>
      <c r="BB10" s="350">
        <f t="shared" si="23"/>
        <v>0.99807900108056191</v>
      </c>
      <c r="BC10" s="350">
        <f t="shared" si="24"/>
        <v>7.6543177997076173</v>
      </c>
      <c r="BD10" s="353">
        <f t="shared" si="25"/>
        <v>0.36702661499407579</v>
      </c>
      <c r="BE10" s="344">
        <f>AVERAGE('2021.6'!B89:G106)</f>
        <v>62.738356164383582</v>
      </c>
      <c r="BF10" s="355">
        <f>_xlfn.STDEV.S('2021.6'!B89:G106)</f>
        <v>28.652669209269611</v>
      </c>
      <c r="BG10" s="339">
        <f t="shared" si="54"/>
        <v>73</v>
      </c>
      <c r="BH10" s="339">
        <f>'2021.6'!D135+'2021.6'!E135</f>
        <v>38208</v>
      </c>
      <c r="BI10" s="339">
        <f t="shared" si="39"/>
        <v>0.16758041737208221</v>
      </c>
      <c r="BJ10" s="345">
        <f t="shared" si="40"/>
        <v>10.513719911265747</v>
      </c>
      <c r="BK10" s="345">
        <f t="shared" si="26"/>
        <v>0.99808940536013402</v>
      </c>
      <c r="BL10" s="345">
        <f t="shared" si="27"/>
        <v>11.246239079668861</v>
      </c>
      <c r="BM10" s="346">
        <f t="shared" si="28"/>
        <v>0.31522691580651552</v>
      </c>
      <c r="BN10" s="347">
        <f>AVERAGE('2021.6'!B110:G112)</f>
        <v>63.533333333333331</v>
      </c>
      <c r="BO10" s="349">
        <f>_xlfn.STDEV.S('2021.6'!B110:G112)</f>
        <v>30.594062604804002</v>
      </c>
      <c r="BP10" s="341">
        <f t="shared" si="55"/>
        <v>15</v>
      </c>
      <c r="BQ10" s="341">
        <f>'2021.6'!D136+'2021.6'!E136</f>
        <v>5855</v>
      </c>
      <c r="BR10" s="341">
        <f t="shared" si="41"/>
        <v>2.5680049824998465E-2</v>
      </c>
      <c r="BS10" s="350">
        <f t="shared" si="42"/>
        <v>1.6315391655482356</v>
      </c>
      <c r="BT10" s="350">
        <f t="shared" si="29"/>
        <v>0.99743808710503845</v>
      </c>
      <c r="BU10" s="350">
        <f t="shared" si="30"/>
        <v>62.399777777777778</v>
      </c>
      <c r="BV10" s="353">
        <f t="shared" si="31"/>
        <v>4.1045042982958822E-2</v>
      </c>
      <c r="BW10" s="344">
        <f>AVERAGE('2021.6'!B116:G124)</f>
        <v>69.389743589743588</v>
      </c>
      <c r="BX10" s="355">
        <f>_xlfn.STDEV.S('2021.6'!B116:G124)</f>
        <v>27.15433274405078</v>
      </c>
      <c r="BY10" s="339">
        <f t="shared" si="56"/>
        <v>39</v>
      </c>
      <c r="BZ10" s="339">
        <f>'2021.6'!D137+'2021.6'!E137</f>
        <v>19869</v>
      </c>
      <c r="CA10" s="339">
        <f t="shared" si="43"/>
        <v>8.7145501276326989E-2</v>
      </c>
      <c r="CB10" s="345">
        <f t="shared" si="44"/>
        <v>6.0470039885640023</v>
      </c>
      <c r="CC10" s="345">
        <f t="shared" si="32"/>
        <v>0.99803714328853999</v>
      </c>
      <c r="CD10" s="345">
        <f t="shared" si="33"/>
        <v>18.906609917298162</v>
      </c>
      <c r="CE10" s="346">
        <f t="shared" si="34"/>
        <v>0.14330136033563037</v>
      </c>
      <c r="CF10" s="356">
        <f t="shared" si="45"/>
        <v>65.54410612817685</v>
      </c>
      <c r="CG10" s="357">
        <f t="shared" si="46"/>
        <v>1.2605046752754943</v>
      </c>
    </row>
    <row r="11" spans="1:85" x14ac:dyDescent="0.25">
      <c r="A11" s="342" t="str">
        <f>'monitoring results'!A11</f>
        <v>01/07/2021-31/07/2021</v>
      </c>
      <c r="B11" s="343">
        <f t="shared" si="35"/>
        <v>228011</v>
      </c>
      <c r="C11" s="344">
        <f>AVERAGE('2021.7'!B5:G7)</f>
        <v>67.626666666666665</v>
      </c>
      <c r="D11" s="344">
        <f>_xlfn.STDEV.S('2021.7'!B5:G7)</f>
        <v>27.36161196866534</v>
      </c>
      <c r="E11" s="339">
        <f t="shared" si="47"/>
        <v>15</v>
      </c>
      <c r="F11" s="339">
        <f>'2021.7'!D129+'2021.7'!E129</f>
        <v>6524</v>
      </c>
      <c r="G11" s="345">
        <f t="shared" si="36"/>
        <v>2.8612654652626409E-2</v>
      </c>
      <c r="H11" s="345">
        <f t="shared" si="0"/>
        <v>1.9349784586416152</v>
      </c>
      <c r="I11" s="345">
        <f t="shared" si="37"/>
        <v>0.99770079705702019</v>
      </c>
      <c r="J11" s="345">
        <f t="shared" si="1"/>
        <v>49.910520634920687</v>
      </c>
      <c r="K11" s="346">
        <f t="shared" si="2"/>
        <v>4.0766997383471157E-2</v>
      </c>
      <c r="L11" s="347">
        <f>AVERAGE('2021.7'!B11:G15)</f>
        <v>62.338888888888896</v>
      </c>
      <c r="M11" s="347">
        <f>_xlfn.STDEV.S('2021.7'!B11:G15)</f>
        <v>27.838507796573221</v>
      </c>
      <c r="N11" s="348">
        <f t="shared" si="48"/>
        <v>18</v>
      </c>
      <c r="O11" s="348">
        <f>'2021.7'!D130+'2021.7'!E130</f>
        <v>7883</v>
      </c>
      <c r="P11" s="349">
        <f t="shared" si="3"/>
        <v>3.4572893413037091E-2</v>
      </c>
      <c r="Q11" s="350">
        <f t="shared" si="4"/>
        <v>2.155235761042718</v>
      </c>
      <c r="R11" s="350">
        <f t="shared" si="5"/>
        <v>0.99771660535329187</v>
      </c>
      <c r="S11" s="350">
        <f t="shared" si="6"/>
        <v>43.054584241103782</v>
      </c>
      <c r="T11" s="350">
        <f t="shared" si="7"/>
        <v>5.13449877671453E-2</v>
      </c>
      <c r="U11" s="351">
        <f>AVERAGE('2021.7'!B19:G33)</f>
        <v>66.064000000000007</v>
      </c>
      <c r="V11" s="351">
        <f>_xlfn.STDEV.S('2021.7'!B19:G33)</f>
        <v>27.458162966839435</v>
      </c>
      <c r="W11" s="339">
        <f t="shared" si="49"/>
        <v>75</v>
      </c>
      <c r="X11" s="339">
        <f>'2021.7'!D131+'2021.7'!E131</f>
        <v>39024</v>
      </c>
      <c r="Y11" s="345">
        <f t="shared" si="8"/>
        <v>0.17110461216024833</v>
      </c>
      <c r="Z11" s="345">
        <f t="shared" si="9"/>
        <v>11.306829652955342</v>
      </c>
      <c r="AA11" s="345">
        <f t="shared" si="10"/>
        <v>0.99807810578105782</v>
      </c>
      <c r="AB11" s="345">
        <f t="shared" si="11"/>
        <v>10.052676180180168</v>
      </c>
      <c r="AC11" s="346">
        <f t="shared" si="12"/>
        <v>0.29374443957408602</v>
      </c>
      <c r="AD11" s="352">
        <f>AVERAGE('2021.7'!B37:G55)</f>
        <v>63.676923076923089</v>
      </c>
      <c r="AE11" s="352">
        <f>_xlfn.STDEV.S('2021.7'!B37:G55)</f>
        <v>27.019598096912532</v>
      </c>
      <c r="AF11" s="341">
        <f t="shared" si="50"/>
        <v>78</v>
      </c>
      <c r="AG11" s="341">
        <f>'2021.7'!D132+'2021.7'!E132</f>
        <v>39636</v>
      </c>
      <c r="AH11" s="341">
        <f t="shared" si="13"/>
        <v>0.1738337185486665</v>
      </c>
      <c r="AI11" s="350">
        <f t="shared" si="14"/>
        <v>11.069196324198936</v>
      </c>
      <c r="AJ11" s="350">
        <f t="shared" si="15"/>
        <v>0.99803209203754162</v>
      </c>
      <c r="AK11" s="350">
        <f t="shared" si="16"/>
        <v>9.359726683572811</v>
      </c>
      <c r="AL11" s="353">
        <f t="shared" si="17"/>
        <v>0.2822771436756803</v>
      </c>
      <c r="AM11" s="351">
        <f>AVERAGE('2021.7'!B59:G65)</f>
        <v>66.933333333333337</v>
      </c>
      <c r="AN11" s="354">
        <f>_xlfn.STDEV.S('2021.7'!B59:G65)</f>
        <v>28.502423231741204</v>
      </c>
      <c r="AO11" s="339">
        <f t="shared" si="51"/>
        <v>42</v>
      </c>
      <c r="AP11" s="339">
        <f>'2021.7'!D133+'2021.7'!E133</f>
        <v>21044</v>
      </c>
      <c r="AQ11" s="339">
        <f t="shared" si="18"/>
        <v>9.229379284332774E-2</v>
      </c>
      <c r="AR11" s="345">
        <f t="shared" si="52"/>
        <v>6.0983557125381385</v>
      </c>
      <c r="AS11" s="345">
        <f t="shared" si="20"/>
        <v>0.99800418171450289</v>
      </c>
      <c r="AT11" s="345">
        <f t="shared" si="57"/>
        <v>19.342574525745256</v>
      </c>
      <c r="AU11" s="346">
        <f t="shared" si="21"/>
        <v>0.16443400227262567</v>
      </c>
      <c r="AV11" s="353">
        <f>AVERAGE('2021.7'!B69:G85)</f>
        <v>68.536458333333329</v>
      </c>
      <c r="AW11" s="350">
        <f>_xlfn.STDEV.S('2021.7'!B69:G85)</f>
        <v>27.047506431585646</v>
      </c>
      <c r="AX11" s="341">
        <f t="shared" si="53"/>
        <v>96</v>
      </c>
      <c r="AY11" s="341">
        <f>'2021.7'!D134+'2021.7'!E134</f>
        <v>49962</v>
      </c>
      <c r="AZ11" s="341">
        <f t="shared" si="22"/>
        <v>0.21912100731982229</v>
      </c>
      <c r="BA11" s="350">
        <f t="shared" si="38"/>
        <v>15.017777788133026</v>
      </c>
      <c r="BB11" s="350">
        <f t="shared" si="23"/>
        <v>0.99807853969016458</v>
      </c>
      <c r="BC11" s="350">
        <f t="shared" si="24"/>
        <v>7.6204958767361139</v>
      </c>
      <c r="BD11" s="353">
        <f t="shared" si="25"/>
        <v>0.3651875655172559</v>
      </c>
      <c r="BE11" s="344">
        <f>AVERAGE('2021.7'!B89:G106)</f>
        <v>65.476712328767107</v>
      </c>
      <c r="BF11" s="355">
        <f>_xlfn.STDEV.S('2021.7'!B89:G106)</f>
        <v>25.170245443931684</v>
      </c>
      <c r="BG11" s="339">
        <f t="shared" si="54"/>
        <v>73</v>
      </c>
      <c r="BH11" s="339">
        <f>'2021.7'!D135+'2021.7'!E135</f>
        <v>38229</v>
      </c>
      <c r="BI11" s="339">
        <f t="shared" si="39"/>
        <v>0.16766296362894773</v>
      </c>
      <c r="BJ11" s="345">
        <f t="shared" si="40"/>
        <v>10.978019637721152</v>
      </c>
      <c r="BK11" s="345">
        <f t="shared" si="26"/>
        <v>0.9980904548902666</v>
      </c>
      <c r="BL11" s="345">
        <f t="shared" si="27"/>
        <v>8.6786473384625165</v>
      </c>
      <c r="BM11" s="346">
        <f t="shared" si="28"/>
        <v>0.24349846078709755</v>
      </c>
      <c r="BN11" s="347">
        <f>AVERAGE('2021.7'!B110:G112)</f>
        <v>68.086666666666659</v>
      </c>
      <c r="BO11" s="349">
        <f>_xlfn.STDEV.S('2021.7'!B110:G112)</f>
        <v>24.09267424718464</v>
      </c>
      <c r="BP11" s="341">
        <f t="shared" si="55"/>
        <v>15</v>
      </c>
      <c r="BQ11" s="341">
        <f>'2021.7'!D136+'2021.7'!E136</f>
        <v>5853</v>
      </c>
      <c r="BR11" s="341">
        <f t="shared" si="41"/>
        <v>2.5669814175631876E-2</v>
      </c>
      <c r="BS11" s="350">
        <f t="shared" si="42"/>
        <v>1.7477720811715223</v>
      </c>
      <c r="BT11" s="350">
        <f t="shared" si="29"/>
        <v>0.99743721168631472</v>
      </c>
      <c r="BU11" s="350">
        <f t="shared" si="30"/>
        <v>38.697130158730261</v>
      </c>
      <c r="BV11" s="353">
        <f t="shared" si="31"/>
        <v>2.5433713474787133E-2</v>
      </c>
      <c r="BW11" s="344">
        <f>AVERAGE('2021.7'!B116:G124)</f>
        <v>69.861538461538458</v>
      </c>
      <c r="BX11" s="355">
        <f>_xlfn.STDEV.S('2021.7'!B116:G124)</f>
        <v>26.990296651951134</v>
      </c>
      <c r="BY11" s="339">
        <f t="shared" si="56"/>
        <v>39</v>
      </c>
      <c r="BZ11" s="339">
        <f>'2021.7'!D137+'2021.7'!E137</f>
        <v>19856</v>
      </c>
      <c r="CA11" s="339">
        <f t="shared" si="43"/>
        <v>8.708351790045217E-2</v>
      </c>
      <c r="CB11" s="345">
        <f t="shared" si="44"/>
        <v>6.0837885351685124</v>
      </c>
      <c r="CC11" s="345">
        <f t="shared" si="32"/>
        <v>0.99803585817888796</v>
      </c>
      <c r="CD11" s="345">
        <f t="shared" si="33"/>
        <v>18.678874701546786</v>
      </c>
      <c r="CE11" s="346">
        <f t="shared" si="34"/>
        <v>0.14137375188386925</v>
      </c>
      <c r="CF11" s="356">
        <f t="shared" ref="CF11:CF19" si="58">H11+Q11+Z11+AI11+AR11+BA11+BJ11+BS11+CB11</f>
        <v>66.391953951570954</v>
      </c>
      <c r="CG11" s="357">
        <f t="shared" si="46"/>
        <v>1.2680934753936786</v>
      </c>
    </row>
    <row r="12" spans="1:85" x14ac:dyDescent="0.25">
      <c r="A12" s="342" t="str">
        <f>'monitoring results'!A12</f>
        <v>01/08/2021-31/08/2021</v>
      </c>
      <c r="B12" s="343">
        <f t="shared" si="35"/>
        <v>228037</v>
      </c>
      <c r="C12" s="344">
        <f>AVERAGE('2021.8'!B5:G7)</f>
        <v>66.899999999999991</v>
      </c>
      <c r="D12" s="344">
        <f>_xlfn.STDEV.S('2021.8'!B5:G7)</f>
        <v>29.85014955693574</v>
      </c>
      <c r="E12" s="339">
        <f t="shared" si="47"/>
        <v>15</v>
      </c>
      <c r="F12" s="339">
        <f>'2021.8'!D129+'2021.8'!E129</f>
        <v>6495</v>
      </c>
      <c r="G12" s="345">
        <f t="shared" si="36"/>
        <v>2.8482219990615558E-2</v>
      </c>
      <c r="H12" s="345">
        <f t="shared" si="0"/>
        <v>1.9054605173721806</v>
      </c>
      <c r="I12" s="345">
        <f t="shared" si="37"/>
        <v>0.99769053117782913</v>
      </c>
      <c r="J12" s="345">
        <f t="shared" si="1"/>
        <v>59.402095238095399</v>
      </c>
      <c r="K12" s="346">
        <f t="shared" si="2"/>
        <v>4.8077877573365492E-2</v>
      </c>
      <c r="L12" s="347">
        <f>AVERAGE('2021.8'!B11:G15)</f>
        <v>61.522222222222226</v>
      </c>
      <c r="M12" s="347">
        <f>_xlfn.STDEV.S('2021.8'!B11:G15)</f>
        <v>25.378558702772416</v>
      </c>
      <c r="N12" s="348">
        <f t="shared" si="48"/>
        <v>18</v>
      </c>
      <c r="O12" s="348">
        <f>'2021.8'!D130+'2021.8'!E130</f>
        <v>7881</v>
      </c>
      <c r="P12" s="349">
        <f t="shared" si="3"/>
        <v>3.4560181023254997E-2</v>
      </c>
      <c r="Q12" s="350">
        <f t="shared" si="4"/>
        <v>2.1262191369529213</v>
      </c>
      <c r="R12" s="350">
        <f t="shared" si="5"/>
        <v>0.99771602588503994</v>
      </c>
      <c r="S12" s="350">
        <f t="shared" si="6"/>
        <v>35.781735657225866</v>
      </c>
      <c r="T12" s="350">
        <f t="shared" si="7"/>
        <v>4.2640311468205579E-2</v>
      </c>
      <c r="U12" s="351">
        <f>AVERAGE('2021.8'!B19:G33)</f>
        <v>66.882666666666694</v>
      </c>
      <c r="V12" s="351">
        <f>_xlfn.STDEV.S('2021.8'!B19:G33)</f>
        <v>26.764465012164621</v>
      </c>
      <c r="W12" s="339">
        <f t="shared" si="49"/>
        <v>75</v>
      </c>
      <c r="X12" s="339">
        <f>'2021.8'!D131+'2021.8'!E131</f>
        <v>39010</v>
      </c>
      <c r="Y12" s="345">
        <f t="shared" si="8"/>
        <v>0.17104322776679193</v>
      </c>
      <c r="Z12" s="345">
        <f t="shared" si="9"/>
        <v>11.441532850663128</v>
      </c>
      <c r="AA12" s="345">
        <f t="shared" si="10"/>
        <v>0.99807741604716738</v>
      </c>
      <c r="AB12" s="345">
        <f t="shared" si="11"/>
        <v>9.5511544984984553</v>
      </c>
      <c r="AC12" s="346">
        <f t="shared" si="12"/>
        <v>0.27888930885314733</v>
      </c>
      <c r="AD12" s="352">
        <f>AVERAGE('2021.8'!B37:G55)</f>
        <v>64.919230769230808</v>
      </c>
      <c r="AE12" s="352">
        <f>_xlfn.STDEV.S('2021.8'!B37:G55)</f>
        <v>26.743714191399132</v>
      </c>
      <c r="AF12" s="341">
        <f t="shared" si="50"/>
        <v>78</v>
      </c>
      <c r="AG12" s="341">
        <f>'2021.8'!D132+'2021.8'!E132</f>
        <v>39635</v>
      </c>
      <c r="AH12" s="341">
        <f t="shared" si="13"/>
        <v>0.17380951336844461</v>
      </c>
      <c r="AI12" s="350">
        <f t="shared" si="14"/>
        <v>11.283579908253762</v>
      </c>
      <c r="AJ12" s="350">
        <f t="shared" si="15"/>
        <v>0.99803204238677934</v>
      </c>
      <c r="AK12" s="350">
        <f t="shared" si="16"/>
        <v>9.1695672916826076</v>
      </c>
      <c r="AL12" s="353">
        <f t="shared" si="17"/>
        <v>0.27646516286356532</v>
      </c>
      <c r="AM12" s="351">
        <f>AVERAGE('2021.8'!B59:G65)</f>
        <v>66.245238095238079</v>
      </c>
      <c r="AN12" s="354">
        <f>_xlfn.STDEV.S('2021.8'!B59:G65)</f>
        <v>26.514195023549313</v>
      </c>
      <c r="AO12" s="339">
        <f t="shared" si="51"/>
        <v>42</v>
      </c>
      <c r="AP12" s="339">
        <f>'2021.8'!D133+'2021.8'!E133</f>
        <v>21059</v>
      </c>
      <c r="AQ12" s="339">
        <f t="shared" si="18"/>
        <v>9.2349048619303015E-2</v>
      </c>
      <c r="AR12" s="345">
        <f t="shared" si="52"/>
        <v>6.1803081788858147</v>
      </c>
      <c r="AS12" s="345">
        <f t="shared" si="20"/>
        <v>0.99800560330500021</v>
      </c>
      <c r="AT12" s="345">
        <f t="shared" si="57"/>
        <v>16.738155660638263</v>
      </c>
      <c r="AU12" s="346">
        <f t="shared" si="21"/>
        <v>0.14246409821959582</v>
      </c>
      <c r="AV12" s="353">
        <f>AVERAGE('2021.8'!B69:G85)</f>
        <v>67.371875000000003</v>
      </c>
      <c r="AW12" s="350">
        <f>_xlfn.STDEV.S('2021.8'!B69:G85)</f>
        <v>26.671284393223509</v>
      </c>
      <c r="AX12" s="341">
        <f t="shared" si="53"/>
        <v>96</v>
      </c>
      <c r="AY12" s="341">
        <f>'2021.8'!D134+'2021.8'!E134</f>
        <v>49947</v>
      </c>
      <c r="AZ12" s="341">
        <f t="shared" si="22"/>
        <v>0.21903024509180527</v>
      </c>
      <c r="BA12" s="350">
        <f t="shared" si="38"/>
        <v>14.75647829354447</v>
      </c>
      <c r="BB12" s="350">
        <f t="shared" si="23"/>
        <v>0.99807796264039883</v>
      </c>
      <c r="BC12" s="350">
        <f t="shared" si="24"/>
        <v>7.409973033168832</v>
      </c>
      <c r="BD12" s="353">
        <f t="shared" si="25"/>
        <v>0.3548046249323778</v>
      </c>
      <c r="BE12" s="344">
        <f>AVERAGE('2021.8'!B89:G106)</f>
        <v>66.094520547945194</v>
      </c>
      <c r="BF12" s="355">
        <f>_xlfn.STDEV.S('2021.8'!B89:G106)</f>
        <v>26.091329394237498</v>
      </c>
      <c r="BG12" s="339">
        <f t="shared" si="54"/>
        <v>73</v>
      </c>
      <c r="BH12" s="339">
        <f>'2021.8'!D135+'2021.8'!E135</f>
        <v>38270</v>
      </c>
      <c r="BI12" s="339">
        <f t="shared" si="39"/>
        <v>0.16782364265448152</v>
      </c>
      <c r="BJ12" s="345">
        <f t="shared" si="40"/>
        <v>11.09222319785764</v>
      </c>
      <c r="BK12" s="345">
        <f t="shared" si="26"/>
        <v>0.99809250065325317</v>
      </c>
      <c r="BL12" s="345">
        <f t="shared" si="27"/>
        <v>9.3254447884739946</v>
      </c>
      <c r="BM12" s="346">
        <f t="shared" si="28"/>
        <v>0.26214805165767846</v>
      </c>
      <c r="BN12" s="347">
        <f>AVERAGE('2021.8'!B110:G112)</f>
        <v>67.08</v>
      </c>
      <c r="BO12" s="349">
        <f>_xlfn.STDEV.S('2021.8'!B110:G112)</f>
        <v>26.252080189686207</v>
      </c>
      <c r="BP12" s="341">
        <f t="shared" si="55"/>
        <v>15</v>
      </c>
      <c r="BQ12" s="341">
        <f>'2021.8'!D136+'2021.8'!E136</f>
        <v>5874</v>
      </c>
      <c r="BR12" s="341">
        <f t="shared" si="41"/>
        <v>2.5758977709757627E-2</v>
      </c>
      <c r="BS12" s="350">
        <f t="shared" si="42"/>
        <v>1.7279122247705416</v>
      </c>
      <c r="BT12" s="350">
        <f t="shared" si="29"/>
        <v>0.99744637385086821</v>
      </c>
      <c r="BU12" s="350">
        <f t="shared" si="30"/>
        <v>45.944780952381002</v>
      </c>
      <c r="BV12" s="353">
        <f t="shared" si="31"/>
        <v>3.0407659097530449E-2</v>
      </c>
      <c r="BW12" s="344">
        <f>AVERAGE('2021.8'!B116:G124)</f>
        <v>69.166666666666671</v>
      </c>
      <c r="BX12" s="355">
        <f>_xlfn.STDEV.S('2021.8'!B116:G124)</f>
        <v>28.195607471763271</v>
      </c>
      <c r="BY12" s="339">
        <f t="shared" si="56"/>
        <v>39</v>
      </c>
      <c r="BZ12" s="339">
        <f>'2021.8'!D137+'2021.8'!E137</f>
        <v>19866</v>
      </c>
      <c r="CA12" s="339">
        <f t="shared" si="43"/>
        <v>8.7117441467831971E-2</v>
      </c>
      <c r="CB12" s="345">
        <f t="shared" si="44"/>
        <v>6.0256230348583779</v>
      </c>
      <c r="CC12" s="345">
        <f t="shared" si="32"/>
        <v>0.99803684687405614</v>
      </c>
      <c r="CD12" s="345">
        <f t="shared" si="33"/>
        <v>20.384417453891096</v>
      </c>
      <c r="CE12" s="346">
        <f t="shared" si="34"/>
        <v>0.15440277614147629</v>
      </c>
      <c r="CF12" s="356">
        <f t="shared" si="58"/>
        <v>66.539337343158834</v>
      </c>
      <c r="CG12" s="357">
        <f t="shared" si="46"/>
        <v>1.2610709221954737</v>
      </c>
    </row>
    <row r="13" spans="1:85" x14ac:dyDescent="0.25">
      <c r="A13" s="342" t="str">
        <f>'monitoring results'!A13</f>
        <v>01/09/2021-30/09/2021</v>
      </c>
      <c r="B13" s="343">
        <f t="shared" si="35"/>
        <v>227939</v>
      </c>
      <c r="C13" s="344">
        <f>AVERAGE('2021.9'!B5:G7)</f>
        <v>68.653333333333336</v>
      </c>
      <c r="D13" s="344">
        <f>_xlfn.STDEV.S('2021.9'!B5:G7)</f>
        <v>30.247735846002183</v>
      </c>
      <c r="E13" s="339">
        <f t="shared" si="47"/>
        <v>15</v>
      </c>
      <c r="F13" s="339">
        <f>'2021.9'!D129+'2021.9'!E129</f>
        <v>6494</v>
      </c>
      <c r="G13" s="345">
        <f t="shared" si="36"/>
        <v>2.8490078485910703E-2</v>
      </c>
      <c r="H13" s="345">
        <f t="shared" si="0"/>
        <v>1.9559388549860564</v>
      </c>
      <c r="I13" s="345">
        <f t="shared" si="37"/>
        <v>0.99769017554665851</v>
      </c>
      <c r="J13" s="345">
        <f t="shared" si="1"/>
        <v>60.995034920635021</v>
      </c>
      <c r="K13" s="346">
        <f t="shared" si="2"/>
        <v>4.9394372349328017E-2</v>
      </c>
      <c r="L13" s="347">
        <f>AVERAGE('2021.9'!B11:G15)</f>
        <v>62.477777777777774</v>
      </c>
      <c r="M13" s="347">
        <f>_xlfn.STDEV.S('2021.9'!B11:G15)</f>
        <v>29.567540938065569</v>
      </c>
      <c r="N13" s="348">
        <f t="shared" si="48"/>
        <v>18</v>
      </c>
      <c r="O13" s="348">
        <f>'2021.9'!D130+'2021.9'!E130</f>
        <v>7876</v>
      </c>
      <c r="P13" s="349">
        <f t="shared" si="3"/>
        <v>3.4553104119961917E-2</v>
      </c>
      <c r="Q13" s="350">
        <f t="shared" si="4"/>
        <v>2.1588011607393987</v>
      </c>
      <c r="R13" s="350">
        <f t="shared" si="5"/>
        <v>0.99771457592686641</v>
      </c>
      <c r="S13" s="350">
        <f t="shared" si="6"/>
        <v>48.568859840232413</v>
      </c>
      <c r="T13" s="350">
        <f t="shared" si="7"/>
        <v>5.7854662329352886E-2</v>
      </c>
      <c r="U13" s="351">
        <f>AVERAGE('2021.9'!B19:G33)</f>
        <v>63.320000000000014</v>
      </c>
      <c r="V13" s="351">
        <f>_xlfn.STDEV.S('2021.9'!B19:G33)</f>
        <v>26.788677519490236</v>
      </c>
      <c r="W13" s="339">
        <f t="shared" si="49"/>
        <v>75</v>
      </c>
      <c r="X13" s="339">
        <f>'2021.9'!D131+'2021.9'!E131</f>
        <v>38997</v>
      </c>
      <c r="Y13" s="345">
        <f t="shared" si="8"/>
        <v>0.17098622797286811</v>
      </c>
      <c r="Z13" s="345">
        <f t="shared" si="9"/>
        <v>10.833117807834554</v>
      </c>
      <c r="AA13" s="345">
        <f t="shared" si="10"/>
        <v>0.99807677513654891</v>
      </c>
      <c r="AB13" s="345">
        <f t="shared" si="11"/>
        <v>9.5684432432432196</v>
      </c>
      <c r="AC13" s="346">
        <f t="shared" si="12"/>
        <v>0.27920776895908489</v>
      </c>
      <c r="AD13" s="352">
        <f>AVERAGE('2021.9'!B37:G55)</f>
        <v>63.933333333333358</v>
      </c>
      <c r="AE13" s="352">
        <f>_xlfn.STDEV.S('2021.9'!B37:G55)</f>
        <v>27.526745750301284</v>
      </c>
      <c r="AF13" s="341">
        <f t="shared" si="50"/>
        <v>78</v>
      </c>
      <c r="AG13" s="341">
        <f>'2021.9'!D132+'2021.9'!E132</f>
        <v>39632</v>
      </c>
      <c r="AH13" s="341">
        <f t="shared" si="13"/>
        <v>0.17387107954321113</v>
      </c>
      <c r="AI13" s="350">
        <f t="shared" si="14"/>
        <v>11.116157685462635</v>
      </c>
      <c r="AJ13" s="350">
        <f t="shared" si="15"/>
        <v>0.99803189341945897</v>
      </c>
      <c r="AK13" s="350">
        <f t="shared" si="16"/>
        <v>9.7143811743811526</v>
      </c>
      <c r="AL13" s="353">
        <f t="shared" si="17"/>
        <v>0.29309894928588659</v>
      </c>
      <c r="AM13" s="351">
        <f>AVERAGE('2021.9'!B59:G65)</f>
        <v>67.59285714285717</v>
      </c>
      <c r="AN13" s="354">
        <f>_xlfn.STDEV.S('2021.9'!B59:G65)</f>
        <v>26.692059592623508</v>
      </c>
      <c r="AO13" s="339">
        <f t="shared" si="51"/>
        <v>42</v>
      </c>
      <c r="AP13" s="339">
        <f>'2021.9'!D133+'2021.9'!E133</f>
        <v>21061</v>
      </c>
      <c r="AQ13" s="339">
        <f t="shared" si="18"/>
        <v>9.2397527408648802E-2</v>
      </c>
      <c r="AR13" s="345">
        <f t="shared" si="52"/>
        <v>6.1173536290181971</v>
      </c>
      <c r="AS13" s="345">
        <f t="shared" si="20"/>
        <v>0.99800579269740275</v>
      </c>
      <c r="AT13" s="345">
        <f t="shared" si="57"/>
        <v>16.963477268956304</v>
      </c>
      <c r="AU13" s="346">
        <f t="shared" si="21"/>
        <v>0.14453354080589184</v>
      </c>
      <c r="AV13" s="353">
        <f>AVERAGE('2021.9'!B69:G85)</f>
        <v>65.677083333333329</v>
      </c>
      <c r="AW13" s="350">
        <f>_xlfn.STDEV.S('2021.9'!B69:G85)</f>
        <v>26.747987545220976</v>
      </c>
      <c r="AX13" s="341">
        <f t="shared" si="53"/>
        <v>96</v>
      </c>
      <c r="AY13" s="341">
        <f>'2021.9'!D134+'2021.9'!E134</f>
        <v>49973</v>
      </c>
      <c r="AZ13" s="341">
        <f t="shared" si="22"/>
        <v>0.21923848047065222</v>
      </c>
      <c r="BA13" s="350">
        <f t="shared" si="38"/>
        <v>14.398943951744398</v>
      </c>
      <c r="BB13" s="350">
        <f t="shared" si="23"/>
        <v>0.99807896263982554</v>
      </c>
      <c r="BC13" s="350">
        <f t="shared" si="24"/>
        <v>7.452654559576005</v>
      </c>
      <c r="BD13" s="353">
        <f t="shared" si="25"/>
        <v>0.35752750643983272</v>
      </c>
      <c r="BE13" s="344">
        <f>AVERAGE('2021.9'!B89:G106)</f>
        <v>64.960273972602735</v>
      </c>
      <c r="BF13" s="355">
        <f>_xlfn.STDEV.S('2021.9'!B89:G106)</f>
        <v>26.734958074723629</v>
      </c>
      <c r="BG13" s="339">
        <f t="shared" si="54"/>
        <v>73</v>
      </c>
      <c r="BH13" s="339">
        <f>'2021.9'!D135+'2021.9'!E135</f>
        <v>38190</v>
      </c>
      <c r="BI13" s="339">
        <f t="shared" si="39"/>
        <v>0.16754482558930239</v>
      </c>
      <c r="BJ13" s="345">
        <f t="shared" si="40"/>
        <v>10.883757772973025</v>
      </c>
      <c r="BK13" s="345">
        <f t="shared" si="26"/>
        <v>0.99808850484420009</v>
      </c>
      <c r="BL13" s="345">
        <f t="shared" si="27"/>
        <v>9.7912052500990434</v>
      </c>
      <c r="BM13" s="346">
        <f t="shared" si="28"/>
        <v>0.27432617490375522</v>
      </c>
      <c r="BN13" s="347">
        <f>AVERAGE('2021.9'!B110:G112)</f>
        <v>69.59333333333332</v>
      </c>
      <c r="BO13" s="349">
        <f>_xlfn.STDEV.S('2021.9'!B110:G112)</f>
        <v>30.710386020429826</v>
      </c>
      <c r="BP13" s="341">
        <f t="shared" si="55"/>
        <v>15</v>
      </c>
      <c r="BQ13" s="341">
        <f>'2021.9'!D136+'2021.9'!E136</f>
        <v>5859</v>
      </c>
      <c r="BR13" s="341">
        <f t="shared" si="41"/>
        <v>2.5704245434085435E-2</v>
      </c>
      <c r="BS13" s="350">
        <f t="shared" si="42"/>
        <v>1.7888441205761187</v>
      </c>
      <c r="BT13" s="350">
        <f t="shared" si="29"/>
        <v>0.99743983614951359</v>
      </c>
      <c r="BU13" s="350">
        <f t="shared" si="30"/>
        <v>62.875187301587445</v>
      </c>
      <c r="BV13" s="353">
        <f t="shared" si="31"/>
        <v>4.1435799201939003E-2</v>
      </c>
      <c r="BW13" s="344">
        <f>AVERAGE('2021.9'!B116:G124)</f>
        <v>69.025641025641022</v>
      </c>
      <c r="BX13" s="355">
        <f>_xlfn.STDEV.S('2021.9'!B116:G124)</f>
        <v>29.4255055669014</v>
      </c>
      <c r="BY13" s="339">
        <f t="shared" si="56"/>
        <v>39</v>
      </c>
      <c r="BZ13" s="339">
        <f>'2021.9'!D137+'2021.9'!E137</f>
        <v>19857</v>
      </c>
      <c r="CA13" s="339">
        <f t="shared" si="43"/>
        <v>8.7115412456841526E-2</v>
      </c>
      <c r="CB13" s="345">
        <f t="shared" si="44"/>
        <v>6.0131971880465995</v>
      </c>
      <c r="CC13" s="345">
        <f t="shared" si="32"/>
        <v>0.99803595709321646</v>
      </c>
      <c r="CD13" s="345">
        <f t="shared" si="33"/>
        <v>22.201548150455007</v>
      </c>
      <c r="CE13" s="346">
        <f t="shared" si="34"/>
        <v>0.16815873908248424</v>
      </c>
      <c r="CF13" s="356">
        <f t="shared" si="58"/>
        <v>65.266112171380982</v>
      </c>
      <c r="CG13" s="357">
        <f t="shared" si="46"/>
        <v>1.2905570554444912</v>
      </c>
    </row>
    <row r="14" spans="1:85" x14ac:dyDescent="0.25">
      <c r="A14" s="342" t="str">
        <f>'monitoring results'!A14</f>
        <v>01/10/2021-31/10/2021</v>
      </c>
      <c r="B14" s="343">
        <f t="shared" si="35"/>
        <v>227913</v>
      </c>
      <c r="C14" s="344">
        <f>AVERAGE('2021.10'!B5:G7)</f>
        <v>68.493333333333339</v>
      </c>
      <c r="D14" s="344">
        <f>_xlfn.STDEV.S('2021.10'!B5:G7)</f>
        <v>29.737505579574719</v>
      </c>
      <c r="E14" s="339">
        <f t="shared" si="47"/>
        <v>15</v>
      </c>
      <c r="F14" s="339">
        <f>'2021.10'!D129+'2021.10'!E129</f>
        <v>6502</v>
      </c>
      <c r="G14" s="345">
        <f t="shared" si="36"/>
        <v>2.852842970782711E-2</v>
      </c>
      <c r="H14" s="345">
        <f t="shared" si="0"/>
        <v>1.9540072454547717</v>
      </c>
      <c r="I14" s="345">
        <f t="shared" si="37"/>
        <v>0.99769301753306672</v>
      </c>
      <c r="J14" s="345">
        <f t="shared" si="1"/>
        <v>58.95461587301584</v>
      </c>
      <c r="K14" s="346">
        <f t="shared" si="2"/>
        <v>4.7870777545646004E-2</v>
      </c>
      <c r="L14" s="347">
        <f>AVERAGE('2021.10'!B11:G15)</f>
        <v>61.533333333333317</v>
      </c>
      <c r="M14" s="347">
        <f>_xlfn.STDEV.S('2021.10'!B11:G15)</f>
        <v>26.255890095479234</v>
      </c>
      <c r="N14" s="348">
        <f t="shared" si="48"/>
        <v>18</v>
      </c>
      <c r="O14" s="348">
        <f>'2021.10'!D130+'2021.10'!E130</f>
        <v>7879</v>
      </c>
      <c r="P14" s="349">
        <f t="shared" si="3"/>
        <v>3.4570208807746819E-2</v>
      </c>
      <c r="Q14" s="350">
        <f t="shared" si="4"/>
        <v>2.1272201819700203</v>
      </c>
      <c r="R14" s="350">
        <f t="shared" si="5"/>
        <v>0.99771544612260443</v>
      </c>
      <c r="S14" s="350">
        <f t="shared" si="6"/>
        <v>38.298431372549139</v>
      </c>
      <c r="T14" s="350">
        <f t="shared" si="7"/>
        <v>4.5665864928709193E-2</v>
      </c>
      <c r="U14" s="351">
        <f>AVERAGE('2021.10'!B19:G33)</f>
        <v>65.448000000000008</v>
      </c>
      <c r="V14" s="351">
        <f>_xlfn.STDEV.S('2021.10'!B19:G33)</f>
        <v>27.767311911865193</v>
      </c>
      <c r="W14" s="339">
        <f t="shared" si="49"/>
        <v>75</v>
      </c>
      <c r="X14" s="339">
        <f>'2021.10'!D131+'2021.10'!E131</f>
        <v>38988</v>
      </c>
      <c r="Y14" s="345">
        <f t="shared" si="8"/>
        <v>0.17094676657707469</v>
      </c>
      <c r="Z14" s="345">
        <f t="shared" si="9"/>
        <v>11.195880112148059</v>
      </c>
      <c r="AA14" s="345">
        <f t="shared" si="10"/>
        <v>0.99807633117882422</v>
      </c>
      <c r="AB14" s="345">
        <f t="shared" si="11"/>
        <v>10.280314810810808</v>
      </c>
      <c r="AC14" s="346">
        <f t="shared" si="12"/>
        <v>0.29984164511779193</v>
      </c>
      <c r="AD14" s="352">
        <f>AVERAGE('2021.10'!B37:G55)</f>
        <v>65.488461538461522</v>
      </c>
      <c r="AE14" s="352">
        <f>_xlfn.STDEV.S('2021.10'!B37:G55)</f>
        <v>27.767910942702905</v>
      </c>
      <c r="AF14" s="341">
        <f t="shared" si="50"/>
        <v>78</v>
      </c>
      <c r="AG14" s="341">
        <f>'2021.10'!D132+'2021.10'!E132</f>
        <v>39642</v>
      </c>
      <c r="AH14" s="341">
        <f t="shared" si="13"/>
        <v>0.17393479090705663</v>
      </c>
      <c r="AI14" s="350">
        <f t="shared" si="14"/>
        <v>11.390721864517126</v>
      </c>
      <c r="AJ14" s="350">
        <f t="shared" si="15"/>
        <v>0.99803238988951115</v>
      </c>
      <c r="AK14" s="350">
        <f t="shared" si="16"/>
        <v>9.8853445913061488</v>
      </c>
      <c r="AL14" s="353">
        <f t="shared" si="17"/>
        <v>0.29847596693082501</v>
      </c>
      <c r="AM14" s="351">
        <f>AVERAGE('2021.10'!B59:G65)</f>
        <v>67.830952380952382</v>
      </c>
      <c r="AN14" s="354">
        <f>_xlfn.STDEV.S('2021.10'!B59:G65)</f>
        <v>27.478989651032972</v>
      </c>
      <c r="AO14" s="339">
        <f t="shared" si="51"/>
        <v>42</v>
      </c>
      <c r="AP14" s="339">
        <f>'2021.10'!D133+'2021.10'!E133</f>
        <v>21022</v>
      </c>
      <c r="AQ14" s="339">
        <f t="shared" si="18"/>
        <v>9.2236950064278914E-2</v>
      </c>
      <c r="AR14" s="345">
        <f t="shared" si="52"/>
        <v>6.230239893967858</v>
      </c>
      <c r="AS14" s="345">
        <f t="shared" si="20"/>
        <v>0.99800209304538101</v>
      </c>
      <c r="AT14" s="345">
        <f t="shared" si="57"/>
        <v>17.97844933908517</v>
      </c>
      <c r="AU14" s="346">
        <f t="shared" si="21"/>
        <v>0.15264885489503127</v>
      </c>
      <c r="AV14" s="353">
        <f>AVERAGE('2021.10'!B69:G85)</f>
        <v>68.271875000000009</v>
      </c>
      <c r="AW14" s="350">
        <f>_xlfn.STDEV.S('2021.10'!B69:G85)</f>
        <v>25.354035090981768</v>
      </c>
      <c r="AX14" s="341">
        <f t="shared" si="53"/>
        <v>96</v>
      </c>
      <c r="AY14" s="341">
        <f>'2021.10'!D134+'2021.10'!E134</f>
        <v>49950</v>
      </c>
      <c r="AZ14" s="341">
        <f t="shared" si="22"/>
        <v>0.21916257519316582</v>
      </c>
      <c r="BA14" s="350">
        <f t="shared" si="38"/>
        <v>14.962639938265919</v>
      </c>
      <c r="BB14" s="350">
        <f t="shared" si="23"/>
        <v>0.99807807807807802</v>
      </c>
      <c r="BC14" s="350">
        <f t="shared" si="24"/>
        <v>6.6961155770284888</v>
      </c>
      <c r="BD14" s="353">
        <f t="shared" si="25"/>
        <v>0.32101124615234089</v>
      </c>
      <c r="BE14" s="344">
        <f>AVERAGE('2021.10'!B89:G106)</f>
        <v>66.605479452054752</v>
      </c>
      <c r="BF14" s="355">
        <f>_xlfn.STDEV.S('2021.10'!B89:G106)</f>
        <v>28.261250908123987</v>
      </c>
      <c r="BG14" s="339">
        <f t="shared" si="54"/>
        <v>73</v>
      </c>
      <c r="BH14" s="339">
        <f>'2021.10'!D135+'2021.10'!E135</f>
        <v>38204</v>
      </c>
      <c r="BI14" s="339">
        <f t="shared" si="39"/>
        <v>0.16762536581941354</v>
      </c>
      <c r="BJ14" s="345">
        <f t="shared" si="40"/>
        <v>11.164767858728109</v>
      </c>
      <c r="BK14" s="345">
        <f t="shared" si="26"/>
        <v>0.99808920531881473</v>
      </c>
      <c r="BL14" s="345">
        <f t="shared" si="27"/>
        <v>10.941072642355326</v>
      </c>
      <c r="BM14" s="346">
        <f t="shared" si="28"/>
        <v>0.30683771319688485</v>
      </c>
      <c r="BN14" s="347">
        <f>AVERAGE('2021.10'!B110:G112)</f>
        <v>72.893333333333331</v>
      </c>
      <c r="BO14" s="349">
        <f>_xlfn.STDEV.S('2021.10'!B110:G112)</f>
        <v>29.535969999468868</v>
      </c>
      <c r="BP14" s="341">
        <f t="shared" si="55"/>
        <v>15</v>
      </c>
      <c r="BQ14" s="341">
        <f>'2021.10'!D136+'2021.10'!E136</f>
        <v>5862</v>
      </c>
      <c r="BR14" s="341">
        <f t="shared" si="41"/>
        <v>2.5720340656303062E-2</v>
      </c>
      <c r="BS14" s="350">
        <f t="shared" si="42"/>
        <v>1.8748413649067845</v>
      </c>
      <c r="BT14" s="350">
        <f t="shared" si="29"/>
        <v>0.99744114636642789</v>
      </c>
      <c r="BU14" s="350">
        <f t="shared" si="30"/>
        <v>58.158234920635003</v>
      </c>
      <c r="BV14" s="353">
        <f t="shared" si="31"/>
        <v>3.837531292118751E-2</v>
      </c>
      <c r="BW14" s="344">
        <f>AVERAGE('2021.10'!B116:G124)</f>
        <v>69.61282051282052</v>
      </c>
      <c r="BX14" s="355">
        <f>_xlfn.STDEV.S('2021.10'!B116:G124)</f>
        <v>24.443416716627933</v>
      </c>
      <c r="BY14" s="339">
        <f t="shared" si="56"/>
        <v>39</v>
      </c>
      <c r="BZ14" s="339">
        <f>'2021.10'!D137+'2021.10'!E137</f>
        <v>19864</v>
      </c>
      <c r="CA14" s="339">
        <f t="shared" si="43"/>
        <v>8.7156063936677589E-2</v>
      </c>
      <c r="CB14" s="345">
        <f t="shared" si="44"/>
        <v>6.067179435427847</v>
      </c>
      <c r="CC14" s="345">
        <f t="shared" si="32"/>
        <v>0.99803664921465973</v>
      </c>
      <c r="CD14" s="345">
        <f t="shared" si="33"/>
        <v>15.32001591750579</v>
      </c>
      <c r="CE14" s="346">
        <f t="shared" si="34"/>
        <v>0.11614510837972417</v>
      </c>
      <c r="CF14" s="356">
        <f t="shared" si="58"/>
        <v>66.967497895386501</v>
      </c>
      <c r="CG14" s="357">
        <f t="shared" si="46"/>
        <v>1.2754891179732348</v>
      </c>
    </row>
    <row r="15" spans="1:85" x14ac:dyDescent="0.25">
      <c r="A15" s="342" t="str">
        <f>'monitoring results'!A15</f>
        <v>01/11/2021-30/11/2021</v>
      </c>
      <c r="B15" s="343">
        <f t="shared" si="35"/>
        <v>228023</v>
      </c>
      <c r="C15" s="344">
        <f>AVERAGE('2021.11'!B5:G7)</f>
        <v>68.233333333333334</v>
      </c>
      <c r="D15" s="344">
        <f>_xlfn.STDEV.S('2021.11'!B5:G7)</f>
        <v>28.439928336926648</v>
      </c>
      <c r="E15" s="339">
        <f t="shared" si="47"/>
        <v>15</v>
      </c>
      <c r="F15" s="339">
        <f>'2021.11'!D129+'2021.11'!E129</f>
        <v>6493</v>
      </c>
      <c r="G15" s="345">
        <f t="shared" si="36"/>
        <v>2.8475197677427278E-2</v>
      </c>
      <c r="H15" s="345">
        <f t="shared" si="0"/>
        <v>1.9429576548564544</v>
      </c>
      <c r="I15" s="345">
        <f t="shared" si="37"/>
        <v>0.99768981980594484</v>
      </c>
      <c r="J15" s="345">
        <f t="shared" si="1"/>
        <v>53.921968253968224</v>
      </c>
      <c r="K15" s="346">
        <f t="shared" si="2"/>
        <v>4.3620915136657022E-2</v>
      </c>
      <c r="L15" s="347">
        <f>AVERAGE('2021.11'!B11:G15)</f>
        <v>60.727777777777774</v>
      </c>
      <c r="M15" s="347">
        <f>_xlfn.STDEV.S('2021.11'!B11:G15)</f>
        <v>27.725159641094645</v>
      </c>
      <c r="N15" s="348">
        <f t="shared" si="48"/>
        <v>18</v>
      </c>
      <c r="O15" s="348">
        <f>'2021.11'!D130+'2021.11'!E130</f>
        <v>7877</v>
      </c>
      <c r="P15" s="349">
        <f t="shared" si="3"/>
        <v>3.454476083552975E-2</v>
      </c>
      <c r="Q15" s="350">
        <f t="shared" si="4"/>
        <v>2.0978265594065313</v>
      </c>
      <c r="R15" s="350">
        <f t="shared" si="5"/>
        <v>0.9977148660657611</v>
      </c>
      <c r="S15" s="350">
        <f t="shared" si="6"/>
        <v>42.704693173565744</v>
      </c>
      <c r="T15" s="350">
        <f t="shared" si="7"/>
        <v>5.0844786695898488E-2</v>
      </c>
      <c r="U15" s="351">
        <f>AVERAGE('2021.11'!B19:G33)</f>
        <v>67.31466666666671</v>
      </c>
      <c r="V15" s="351">
        <f>_xlfn.STDEV.S('2021.11'!B19:G33)</f>
        <v>26.79643327079237</v>
      </c>
      <c r="W15" s="339">
        <f t="shared" si="49"/>
        <v>75</v>
      </c>
      <c r="X15" s="339">
        <f>'2021.11'!D131+'2021.11'!E131</f>
        <v>39013</v>
      </c>
      <c r="Y15" s="345">
        <f t="shared" si="8"/>
        <v>0.17105638156538971</v>
      </c>
      <c r="Z15" s="345">
        <f t="shared" si="9"/>
        <v>11.517027188777748</v>
      </c>
      <c r="AA15" s="345">
        <f t="shared" si="10"/>
        <v>0.99807756388896007</v>
      </c>
      <c r="AB15" s="345">
        <f t="shared" si="11"/>
        <v>9.5739844804803784</v>
      </c>
      <c r="AC15" s="346">
        <f t="shared" si="12"/>
        <v>0.27959897445332477</v>
      </c>
      <c r="AD15" s="352">
        <f>AVERAGE('2021.11'!B37:G55)</f>
        <v>62.896153846153844</v>
      </c>
      <c r="AE15" s="352">
        <f>_xlfn.STDEV.S('2021.11'!B37:G55)</f>
        <v>27.315955293315543</v>
      </c>
      <c r="AF15" s="341">
        <f t="shared" si="50"/>
        <v>78</v>
      </c>
      <c r="AG15" s="341">
        <f>'2021.11'!D132+'2021.11'!E132</f>
        <v>39662</v>
      </c>
      <c r="AH15" s="341">
        <f t="shared" si="13"/>
        <v>0.17393859391377187</v>
      </c>
      <c r="AI15" s="350">
        <f t="shared" si="14"/>
        <v>10.940068562584273</v>
      </c>
      <c r="AJ15" s="350">
        <f t="shared" si="15"/>
        <v>0.99803338207856385</v>
      </c>
      <c r="AK15" s="350">
        <f t="shared" si="16"/>
        <v>9.5661719690565832</v>
      </c>
      <c r="AL15" s="353">
        <f t="shared" si="17"/>
        <v>0.28885185543916464</v>
      </c>
      <c r="AM15" s="351">
        <f>AVERAGE('2021.11'!B59:G65)</f>
        <v>68.021428571428586</v>
      </c>
      <c r="AN15" s="354">
        <f>_xlfn.STDEV.S('2021.11'!B59:G65)</f>
        <v>28.536579312962793</v>
      </c>
      <c r="AO15" s="339">
        <f t="shared" si="51"/>
        <v>42</v>
      </c>
      <c r="AP15" s="339">
        <f>'2021.11'!D133+'2021.11'!E133</f>
        <v>21032</v>
      </c>
      <c r="AQ15" s="339">
        <f t="shared" si="18"/>
        <v>9.2236309495094787E-2</v>
      </c>
      <c r="AR15" s="345">
        <f t="shared" si="52"/>
        <v>6.2551599742018515</v>
      </c>
      <c r="AS15" s="345">
        <f t="shared" si="20"/>
        <v>0.9980030429821225</v>
      </c>
      <c r="AT15" s="345">
        <f t="shared" si="57"/>
        <v>19.388960925833715</v>
      </c>
      <c r="AU15" s="346">
        <f t="shared" si="21"/>
        <v>0.16462289573247443</v>
      </c>
      <c r="AV15" s="353">
        <f>AVERAGE('2021.11'!B69:G85)</f>
        <v>68.246874999999974</v>
      </c>
      <c r="AW15" s="350">
        <f>_xlfn.STDEV.S('2021.11'!B69:G85)</f>
        <v>27.09267896110455</v>
      </c>
      <c r="AX15" s="341">
        <f t="shared" si="53"/>
        <v>96</v>
      </c>
      <c r="AY15" s="341">
        <f>'2021.11'!D134+'2021.11'!E134</f>
        <v>49943</v>
      </c>
      <c r="AZ15" s="341">
        <f t="shared" si="22"/>
        <v>0.21902615087074551</v>
      </c>
      <c r="BA15" s="350">
        <f t="shared" si="38"/>
        <v>14.947850340206903</v>
      </c>
      <c r="BB15" s="350">
        <f t="shared" si="23"/>
        <v>0.9980778087019202</v>
      </c>
      <c r="BC15" s="350">
        <f t="shared" si="24"/>
        <v>7.645971388432053</v>
      </c>
      <c r="BD15" s="353">
        <f t="shared" si="25"/>
        <v>0.36609096445677008</v>
      </c>
      <c r="BE15" s="344">
        <f>AVERAGE('2021.11'!B89:G106)</f>
        <v>64.361643835616434</v>
      </c>
      <c r="BF15" s="355">
        <f>_xlfn.STDEV.S('2021.11'!B89:G106)</f>
        <v>27.934798241903071</v>
      </c>
      <c r="BG15" s="339">
        <f t="shared" si="54"/>
        <v>73</v>
      </c>
      <c r="BH15" s="339">
        <f>'2021.11'!D135+'2021.11'!E135</f>
        <v>38252</v>
      </c>
      <c r="BI15" s="339">
        <f t="shared" si="39"/>
        <v>0.16775500717032932</v>
      </c>
      <c r="BJ15" s="345">
        <f t="shared" si="40"/>
        <v>10.796988023138015</v>
      </c>
      <c r="BK15" s="345">
        <f t="shared" si="26"/>
        <v>0.99809160305343514</v>
      </c>
      <c r="BL15" s="345">
        <f t="shared" si="27"/>
        <v>10.68976647692919</v>
      </c>
      <c r="BM15" s="346">
        <f t="shared" si="28"/>
        <v>0.30025455435192439</v>
      </c>
      <c r="BN15" s="347">
        <f>AVERAGE('2021.11'!B110:G112)</f>
        <v>70.06</v>
      </c>
      <c r="BO15" s="349">
        <f>_xlfn.STDEV.S('2021.11'!B110:G112)</f>
        <v>31.785953771168423</v>
      </c>
      <c r="BP15" s="341">
        <f t="shared" si="55"/>
        <v>15</v>
      </c>
      <c r="BQ15" s="341">
        <f>'2021.11'!D136+'2021.11'!E136</f>
        <v>5867</v>
      </c>
      <c r="BR15" s="341">
        <f t="shared" si="41"/>
        <v>2.572986058423931E-2</v>
      </c>
      <c r="BS15" s="350">
        <f t="shared" si="42"/>
        <v>1.802634032531806</v>
      </c>
      <c r="BT15" s="350">
        <f t="shared" si="29"/>
        <v>0.99744332708368844</v>
      </c>
      <c r="BU15" s="350">
        <f t="shared" si="30"/>
        <v>67.356457142857067</v>
      </c>
      <c r="BV15" s="353">
        <f t="shared" si="31"/>
        <v>4.4477701008877976E-2</v>
      </c>
      <c r="BW15" s="344">
        <f>AVERAGE('2021.11'!B116:G124)</f>
        <v>68.400000000000006</v>
      </c>
      <c r="BX15" s="355">
        <f>_xlfn.STDEV.S('2021.11'!B116:G124)</f>
        <v>25.564088710121201</v>
      </c>
      <c r="BY15" s="339">
        <f t="shared" si="56"/>
        <v>39</v>
      </c>
      <c r="BZ15" s="339">
        <f>'2021.11'!D137+'2021.11'!E137</f>
        <v>19884</v>
      </c>
      <c r="CA15" s="339">
        <f t="shared" si="43"/>
        <v>8.7201729650079163E-2</v>
      </c>
      <c r="CB15" s="345">
        <f t="shared" si="44"/>
        <v>5.9645983080654146</v>
      </c>
      <c r="CC15" s="345">
        <f t="shared" si="32"/>
        <v>0.99803862401931198</v>
      </c>
      <c r="CD15" s="345">
        <f t="shared" si="33"/>
        <v>16.756990553306316</v>
      </c>
      <c r="CE15" s="346">
        <f t="shared" si="34"/>
        <v>0.12717260637203404</v>
      </c>
      <c r="CF15" s="356">
        <f t="shared" si="58"/>
        <v>66.265110643768992</v>
      </c>
      <c r="CG15" s="357">
        <f t="shared" si="46"/>
        <v>1.290556179965493</v>
      </c>
    </row>
    <row r="16" spans="1:85" x14ac:dyDescent="0.25">
      <c r="A16" s="342" t="str">
        <f>'monitoring results'!A16</f>
        <v>01/12/2021-31/12/2021</v>
      </c>
      <c r="B16" s="343">
        <f t="shared" si="35"/>
        <v>228020</v>
      </c>
      <c r="C16" s="344">
        <f>AVERAGE('2021.12'!B5:G7)</f>
        <v>73.446666666666673</v>
      </c>
      <c r="D16" s="344">
        <f>_xlfn.STDEV.S('2021.12'!B5:G7)</f>
        <v>27.79493444770792</v>
      </c>
      <c r="E16" s="339">
        <f t="shared" si="47"/>
        <v>15</v>
      </c>
      <c r="F16" s="339">
        <f>'2021.12'!D129+'2021.12'!E129</f>
        <v>6521</v>
      </c>
      <c r="G16" s="345">
        <f t="shared" si="36"/>
        <v>2.859836856416104E-2</v>
      </c>
      <c r="H16" s="345">
        <f t="shared" si="0"/>
        <v>2.1004548431424146</v>
      </c>
      <c r="I16" s="345">
        <f t="shared" si="37"/>
        <v>0.99769973930378775</v>
      </c>
      <c r="J16" s="345">
        <f t="shared" si="1"/>
        <v>51.503892063492025</v>
      </c>
      <c r="K16" s="346">
        <f t="shared" si="2"/>
        <v>4.2026422830934398E-2</v>
      </c>
      <c r="L16" s="347">
        <f>AVERAGE('2021.12'!B11:G15)</f>
        <v>59.705555555555556</v>
      </c>
      <c r="M16" s="347">
        <f>_xlfn.STDEV.S('2021.12'!B11:G15)</f>
        <v>27.572438758386379</v>
      </c>
      <c r="N16" s="348">
        <f t="shared" si="48"/>
        <v>18</v>
      </c>
      <c r="O16" s="348">
        <f>'2021.12'!D130+'2021.12'!E130</f>
        <v>7878</v>
      </c>
      <c r="P16" s="349">
        <f t="shared" si="3"/>
        <v>3.4549600912200683E-2</v>
      </c>
      <c r="Q16" s="350">
        <f t="shared" si="4"/>
        <v>2.0628031166856706</v>
      </c>
      <c r="R16" s="350">
        <f t="shared" si="5"/>
        <v>0.9977151561309977</v>
      </c>
      <c r="S16" s="350">
        <f t="shared" si="6"/>
        <v>42.235521060275971</v>
      </c>
      <c r="T16" s="350">
        <f t="shared" si="7"/>
        <v>5.0300290851845716E-2</v>
      </c>
      <c r="U16" s="351">
        <f>AVERAGE('2021.12'!B19:G33)</f>
        <v>65.35466666666666</v>
      </c>
      <c r="V16" s="351">
        <f>_xlfn.STDEV.S('2021.12'!B19:G33)</f>
        <v>27.056888483608283</v>
      </c>
      <c r="W16" s="339">
        <f t="shared" si="49"/>
        <v>75</v>
      </c>
      <c r="X16" s="339">
        <f>'2021.12'!D131+'2021.12'!E131</f>
        <v>38949</v>
      </c>
      <c r="Y16" s="345">
        <f t="shared" si="8"/>
        <v>0.17077576719530321</v>
      </c>
      <c r="Z16" s="345">
        <f t="shared" si="9"/>
        <v>11.163489658801858</v>
      </c>
      <c r="AA16" s="345">
        <f t="shared" si="10"/>
        <v>0.99807440499114231</v>
      </c>
      <c r="AB16" s="345">
        <f t="shared" si="11"/>
        <v>9.7610028588588609</v>
      </c>
      <c r="AC16" s="346">
        <f t="shared" si="12"/>
        <v>0.2841252615814403</v>
      </c>
      <c r="AD16" s="352">
        <f>AVERAGE('2021.12'!B37:G55)</f>
        <v>66.043589743589749</v>
      </c>
      <c r="AE16" s="352">
        <f>_xlfn.STDEV.S('2021.12'!B37:G55)</f>
        <v>27.229484543502224</v>
      </c>
      <c r="AF16" s="341">
        <f t="shared" si="50"/>
        <v>78</v>
      </c>
      <c r="AG16" s="341">
        <f>'2021.12'!D132+'2021.12'!E132</f>
        <v>39673</v>
      </c>
      <c r="AH16" s="341">
        <f t="shared" si="13"/>
        <v>0.17398912376107359</v>
      </c>
      <c r="AI16" s="350">
        <f t="shared" si="14"/>
        <v>11.490866309523007</v>
      </c>
      <c r="AJ16" s="350">
        <f t="shared" si="15"/>
        <v>0.99803392735613639</v>
      </c>
      <c r="AK16" s="350">
        <f t="shared" si="16"/>
        <v>9.5057029295490576</v>
      </c>
      <c r="AL16" s="353">
        <f t="shared" si="17"/>
        <v>0.28719293011059155</v>
      </c>
      <c r="AM16" s="351">
        <f>AVERAGE('2021.12'!B59:G65)</f>
        <v>66.783333333333331</v>
      </c>
      <c r="AN16" s="354">
        <f>_xlfn.STDEV.S('2021.12'!B59:G65)</f>
        <v>27.075962849502538</v>
      </c>
      <c r="AO16" s="339">
        <f t="shared" si="51"/>
        <v>42</v>
      </c>
      <c r="AP16" s="339">
        <f>'2021.12'!D133+'2021.12'!E133</f>
        <v>21047</v>
      </c>
      <c r="AQ16" s="339">
        <f t="shared" si="18"/>
        <v>9.230330672748005E-2</v>
      </c>
      <c r="AR16" s="345">
        <f t="shared" si="52"/>
        <v>6.2771987983691808</v>
      </c>
      <c r="AS16" s="345">
        <f t="shared" si="20"/>
        <v>0.99800446619470706</v>
      </c>
      <c r="AT16" s="345">
        <f t="shared" si="57"/>
        <v>17.454946767324799</v>
      </c>
      <c r="AU16" s="346">
        <f t="shared" si="21"/>
        <v>0.14841764388837578</v>
      </c>
      <c r="AV16" s="353">
        <f>AVERAGE('2021.12'!B69:G85)</f>
        <v>67.778125000000003</v>
      </c>
      <c r="AW16" s="350">
        <f>_xlfn.STDEV.S('2021.12'!B69:G85)</f>
        <v>27.304108821798788</v>
      </c>
      <c r="AX16" s="341">
        <f t="shared" si="53"/>
        <v>96</v>
      </c>
      <c r="AY16" s="341">
        <f>'2021.12'!D134+'2021.12'!E134</f>
        <v>49952</v>
      </c>
      <c r="AZ16" s="341">
        <f t="shared" si="22"/>
        <v>0.21906850276291553</v>
      </c>
      <c r="BA16" s="350">
        <f t="shared" si="38"/>
        <v>14.848052363827737</v>
      </c>
      <c r="BB16" s="350">
        <f t="shared" si="23"/>
        <v>0.99807815502882768</v>
      </c>
      <c r="BC16" s="350">
        <f t="shared" si="24"/>
        <v>7.7657745682565666</v>
      </c>
      <c r="BD16" s="353">
        <f t="shared" si="25"/>
        <v>0.3719711091204283</v>
      </c>
      <c r="BE16" s="344">
        <f>AVERAGE('2021.12'!B89:G106)</f>
        <v>63.627397260273987</v>
      </c>
      <c r="BF16" s="355">
        <f>_xlfn.STDEV.S('2021.12'!B89:G106)</f>
        <v>26.900274989682639</v>
      </c>
      <c r="BG16" s="339">
        <f t="shared" si="54"/>
        <v>73</v>
      </c>
      <c r="BH16" s="339">
        <f>'2021.12'!D135+'2021.12'!E135</f>
        <v>38258</v>
      </c>
      <c r="BI16" s="339">
        <f t="shared" si="39"/>
        <v>0.16778352776072275</v>
      </c>
      <c r="BJ16" s="345">
        <f t="shared" si="40"/>
        <v>10.675629174561715</v>
      </c>
      <c r="BK16" s="345">
        <f t="shared" si="26"/>
        <v>0.99809190234722145</v>
      </c>
      <c r="BL16" s="345">
        <f t="shared" si="27"/>
        <v>9.9126684180896625</v>
      </c>
      <c r="BM16" s="346">
        <f t="shared" si="28"/>
        <v>0.27852215978049261</v>
      </c>
      <c r="BN16" s="347">
        <f>AVERAGE('2021.12'!B110:G112)</f>
        <v>70.033333333333331</v>
      </c>
      <c r="BO16" s="349">
        <f>_xlfn.STDEV.S('2021.12'!B110:G112)</f>
        <v>27.114220482635194</v>
      </c>
      <c r="BP16" s="341">
        <f t="shared" si="55"/>
        <v>15</v>
      </c>
      <c r="BQ16" s="341">
        <f>'2021.12'!D136+'2021.12'!E136</f>
        <v>5872</v>
      </c>
      <c r="BR16" s="341">
        <f t="shared" si="41"/>
        <v>2.5752127006402947E-2</v>
      </c>
      <c r="BS16" s="350">
        <f t="shared" si="42"/>
        <v>1.803507294681753</v>
      </c>
      <c r="BT16" s="350">
        <f t="shared" si="29"/>
        <v>0.99744550408719346</v>
      </c>
      <c r="BU16" s="350">
        <f t="shared" si="30"/>
        <v>49.012063492063589</v>
      </c>
      <c r="BV16" s="353">
        <f t="shared" si="31"/>
        <v>3.242040051295618E-2</v>
      </c>
      <c r="BW16" s="344">
        <f>AVERAGE('2021.12'!B116:G124)</f>
        <v>69.066666666666691</v>
      </c>
      <c r="BX16" s="355">
        <f>_xlfn.STDEV.S('2021.12'!B116:G124)</f>
        <v>27.660948468471538</v>
      </c>
      <c r="BY16" s="339">
        <f t="shared" si="56"/>
        <v>39</v>
      </c>
      <c r="BZ16" s="339">
        <f>'2021.12'!D137+'2021.12'!E137</f>
        <v>19870</v>
      </c>
      <c r="CA16" s="339">
        <f t="shared" si="43"/>
        <v>8.7141478817647569E-2</v>
      </c>
      <c r="CB16" s="345">
        <f t="shared" si="44"/>
        <v>6.0185714703388618</v>
      </c>
      <c r="CC16" s="345">
        <f t="shared" si="32"/>
        <v>0.99803724207347766</v>
      </c>
      <c r="CD16" s="345">
        <f t="shared" si="33"/>
        <v>19.618668466036873</v>
      </c>
      <c r="CE16" s="346">
        <f t="shared" si="34"/>
        <v>0.14868464734680642</v>
      </c>
      <c r="CF16" s="356">
        <f t="shared" si="58"/>
        <v>66.440573029932196</v>
      </c>
      <c r="CG16" s="357">
        <f t="shared" si="46"/>
        <v>1.2820533787732362</v>
      </c>
    </row>
    <row r="17" spans="1:85" x14ac:dyDescent="0.25">
      <c r="A17" s="342" t="str">
        <f>'monitoring results'!A17</f>
        <v>01/01/2022-31/01/2022</v>
      </c>
      <c r="B17" s="343">
        <f t="shared" si="35"/>
        <v>227983</v>
      </c>
      <c r="C17" s="344">
        <f>AVERAGE('2022.1'!B5:G7)</f>
        <v>66.02</v>
      </c>
      <c r="D17" s="344">
        <f>_xlfn.STDEV.S('2022.1'!B5:G7)</f>
        <v>26.944153884867642</v>
      </c>
      <c r="E17" s="339">
        <f t="shared" si="47"/>
        <v>15</v>
      </c>
      <c r="F17" s="339">
        <f>'2022.1'!D129+'2022.1'!E129</f>
        <v>6529</v>
      </c>
      <c r="G17" s="345">
        <f t="shared" si="36"/>
        <v>2.8638100209226126E-2</v>
      </c>
      <c r="H17" s="345">
        <f t="shared" si="0"/>
        <v>1.8906873758131086</v>
      </c>
      <c r="I17" s="345">
        <f t="shared" si="37"/>
        <v>0.99770255781896156</v>
      </c>
      <c r="J17" s="345">
        <f t="shared" si="1"/>
        <v>48.399161904761868</v>
      </c>
      <c r="K17" s="346">
        <f t="shared" si="2"/>
        <v>3.9602931609127617E-2</v>
      </c>
      <c r="L17" s="347">
        <f>AVERAGE('2022.1'!B11:G15)</f>
        <v>63.916666666666664</v>
      </c>
      <c r="M17" s="347">
        <f>_xlfn.STDEV.S('2022.1'!B11:G15)</f>
        <v>22.926487378781154</v>
      </c>
      <c r="N17" s="348">
        <f t="shared" si="48"/>
        <v>18</v>
      </c>
      <c r="O17" s="348">
        <f>'2022.1'!D130+'2022.1'!E130</f>
        <v>7874</v>
      </c>
      <c r="P17" s="349">
        <f t="shared" si="3"/>
        <v>3.4537662895917677E-2</v>
      </c>
      <c r="Q17" s="350">
        <f t="shared" si="4"/>
        <v>2.2075322867640716</v>
      </c>
      <c r="R17" s="350">
        <f t="shared" si="5"/>
        <v>0.99771399542799089</v>
      </c>
      <c r="S17" s="350">
        <f t="shared" si="6"/>
        <v>29.201323529411752</v>
      </c>
      <c r="T17" s="350">
        <f t="shared" si="7"/>
        <v>3.4753175447163345E-2</v>
      </c>
      <c r="U17" s="351">
        <f>AVERAGE('2022.1'!B19:G33)</f>
        <v>68.304000000000016</v>
      </c>
      <c r="V17" s="351">
        <f>_xlfn.STDEV.S('2022.1'!B19:G33)</f>
        <v>27.749041570982378</v>
      </c>
      <c r="W17" s="339">
        <f t="shared" si="49"/>
        <v>75</v>
      </c>
      <c r="X17" s="339">
        <f>'2022.1'!D131+'2022.1'!E131</f>
        <v>38984</v>
      </c>
      <c r="Y17" s="345">
        <f t="shared" si="8"/>
        <v>0.17092922817894426</v>
      </c>
      <c r="Z17" s="345">
        <f t="shared" si="9"/>
        <v>11.679656535794336</v>
      </c>
      <c r="AA17" s="345">
        <f t="shared" si="10"/>
        <v>0.99807613379848148</v>
      </c>
      <c r="AB17" s="345">
        <f t="shared" si="11"/>
        <v>10.266790774774774</v>
      </c>
      <c r="AC17" s="346">
        <f t="shared" si="12"/>
        <v>0.29938569518517349</v>
      </c>
      <c r="AD17" s="352">
        <f>AVERAGE('2022.1'!B37:G55)</f>
        <v>65.041025641025641</v>
      </c>
      <c r="AE17" s="352">
        <f>_xlfn.STDEV.S('2022.1'!B37:G55)</f>
        <v>26.418069553515807</v>
      </c>
      <c r="AF17" s="341">
        <f t="shared" si="50"/>
        <v>78</v>
      </c>
      <c r="AG17" s="341">
        <f>'2022.1'!D132+'2022.1'!E132</f>
        <v>39655</v>
      </c>
      <c r="AH17" s="341">
        <f t="shared" si="13"/>
        <v>0.17393840768829255</v>
      </c>
      <c r="AI17" s="350">
        <f t="shared" si="14"/>
        <v>11.313132434413408</v>
      </c>
      <c r="AJ17" s="350">
        <f t="shared" si="15"/>
        <v>0.99803303492623885</v>
      </c>
      <c r="AK17" s="350">
        <f t="shared" si="16"/>
        <v>8.9476204991589601</v>
      </c>
      <c r="AL17" s="353">
        <f t="shared" si="17"/>
        <v>0.27017393771550136</v>
      </c>
      <c r="AM17" s="351">
        <f>AVERAGE('2022.1'!B59:G65)</f>
        <v>67.709523809523787</v>
      </c>
      <c r="AN17" s="354">
        <f>_xlfn.STDEV.S('2022.1'!B59:G65)</f>
        <v>29.07652484958767</v>
      </c>
      <c r="AO17" s="339">
        <f t="shared" si="51"/>
        <v>42</v>
      </c>
      <c r="AP17" s="339">
        <f>'2022.1'!D133+'2022.1'!E133</f>
        <v>21028</v>
      </c>
      <c r="AQ17" s="339">
        <f t="shared" si="18"/>
        <v>9.2234947342565016E-2</v>
      </c>
      <c r="AR17" s="345">
        <f t="shared" si="52"/>
        <v>6.1573805233165695</v>
      </c>
      <c r="AS17" s="345">
        <f t="shared" si="20"/>
        <v>0.99800266311584551</v>
      </c>
      <c r="AT17" s="345">
        <f t="shared" si="57"/>
        <v>20.129626126873557</v>
      </c>
      <c r="AU17" s="346">
        <f t="shared" si="21"/>
        <v>0.17090643579788864</v>
      </c>
      <c r="AV17" s="353">
        <f>AVERAGE('2022.1'!B69:G85)</f>
        <v>66.859375</v>
      </c>
      <c r="AW17" s="350">
        <f>_xlfn.STDEV.S('2022.1'!B69:G85)</f>
        <v>28.706187039418953</v>
      </c>
      <c r="AX17" s="341">
        <f t="shared" si="53"/>
        <v>96</v>
      </c>
      <c r="AY17" s="341">
        <f>'2022.1'!D134+'2022.1'!E134</f>
        <v>49964</v>
      </c>
      <c r="AZ17" s="341">
        <f t="shared" si="22"/>
        <v>0.21915669150770015</v>
      </c>
      <c r="BA17" s="350">
        <f t="shared" si="38"/>
        <v>14.652679421272639</v>
      </c>
      <c r="BB17" s="350">
        <f t="shared" si="23"/>
        <v>0.9980786166039548</v>
      </c>
      <c r="BC17" s="350">
        <f t="shared" si="24"/>
        <v>8.5838038993969246</v>
      </c>
      <c r="BD17" s="353">
        <f t="shared" si="25"/>
        <v>0.41148500113079234</v>
      </c>
      <c r="BE17" s="344">
        <f>AVERAGE('2022.1'!B89:G106)</f>
        <v>65.893150684931499</v>
      </c>
      <c r="BF17" s="355">
        <f>_xlfn.STDEV.S('2022.1'!B89:G106)</f>
        <v>27.675281433714666</v>
      </c>
      <c r="BG17" s="339">
        <f t="shared" si="54"/>
        <v>73</v>
      </c>
      <c r="BH17" s="339">
        <f>'2022.1'!D135+'2022.1'!E135</f>
        <v>38206</v>
      </c>
      <c r="BI17" s="339">
        <f t="shared" si="39"/>
        <v>0.16758267063772297</v>
      </c>
      <c r="BJ17" s="345">
        <f t="shared" si="40"/>
        <v>11.042550168514728</v>
      </c>
      <c r="BK17" s="345">
        <f t="shared" si="26"/>
        <v>0.9980893053447103</v>
      </c>
      <c r="BL17" s="345">
        <f t="shared" si="27"/>
        <v>10.492071266237145</v>
      </c>
      <c r="BM17" s="346">
        <f t="shared" si="28"/>
        <v>0.29409581752174502</v>
      </c>
      <c r="BN17" s="347">
        <f>AVERAGE('2022.1'!B110:G112)</f>
        <v>67.813333333333333</v>
      </c>
      <c r="BO17" s="349">
        <f>_xlfn.STDEV.S('2022.1'!B110:G112)</f>
        <v>30.66034821036698</v>
      </c>
      <c r="BP17" s="341">
        <f t="shared" si="55"/>
        <v>15</v>
      </c>
      <c r="BQ17" s="341">
        <f>'2022.1'!D136+'2022.1'!E136</f>
        <v>5870</v>
      </c>
      <c r="BR17" s="341">
        <f t="shared" si="41"/>
        <v>2.5747533807345284E-2</v>
      </c>
      <c r="BS17" s="350">
        <f t="shared" si="42"/>
        <v>1.7460260925887749</v>
      </c>
      <c r="BT17" s="350">
        <f t="shared" si="29"/>
        <v>0.99744463373083481</v>
      </c>
      <c r="BU17" s="350">
        <f t="shared" si="30"/>
        <v>62.670463492063583</v>
      </c>
      <c r="BV17" s="353">
        <f t="shared" si="31"/>
        <v>4.1440308411891523E-2</v>
      </c>
      <c r="BW17" s="344">
        <f>AVERAGE('2022.1'!B116:G124)</f>
        <v>71.051282051282058</v>
      </c>
      <c r="BX17" s="355">
        <f>_xlfn.STDEV.S('2022.1'!B116:G124)</f>
        <v>31.56258504351122</v>
      </c>
      <c r="BY17" s="339">
        <f t="shared" si="56"/>
        <v>39</v>
      </c>
      <c r="BZ17" s="339">
        <f>'2022.1'!D137+'2022.1'!E137</f>
        <v>19873</v>
      </c>
      <c r="CA17" s="339">
        <f t="shared" si="43"/>
        <v>8.7168780128342907E-2</v>
      </c>
      <c r="CB17" s="345">
        <f t="shared" si="44"/>
        <v>6.1934535829650814</v>
      </c>
      <c r="CC17" s="345">
        <f t="shared" si="32"/>
        <v>0.99803753836864084</v>
      </c>
      <c r="CD17" s="345">
        <f t="shared" si="33"/>
        <v>25.543507041766109</v>
      </c>
      <c r="CE17" s="346">
        <f t="shared" si="34"/>
        <v>0.1937087940182852</v>
      </c>
      <c r="CF17" s="356">
        <f t="shared" si="58"/>
        <v>66.883098421442725</v>
      </c>
      <c r="CG17" s="357">
        <f t="shared" si="46"/>
        <v>1.3249724890870633</v>
      </c>
    </row>
    <row r="18" spans="1:85" x14ac:dyDescent="0.25">
      <c r="A18" s="342" t="str">
        <f>'monitoring results'!A18</f>
        <v>01/02/2022-28/02/2022</v>
      </c>
      <c r="B18" s="343">
        <f t="shared" si="35"/>
        <v>228022</v>
      </c>
      <c r="C18" s="344">
        <f>AVERAGE('2022.2'!B5:G7)</f>
        <v>69.61999999999999</v>
      </c>
      <c r="D18" s="344">
        <f>_xlfn.STDEV.S('2022.2'!B5:G7)</f>
        <v>32.06516133482836</v>
      </c>
      <c r="E18" s="339">
        <f t="shared" si="47"/>
        <v>15</v>
      </c>
      <c r="F18" s="339">
        <f>'2022.2'!D129+'2022.2'!E129</f>
        <v>6514</v>
      </c>
      <c r="G18" s="345">
        <f t="shared" si="36"/>
        <v>2.8567418933260827E-2</v>
      </c>
      <c r="H18" s="345">
        <f t="shared" si="0"/>
        <v>1.9888637061336183</v>
      </c>
      <c r="I18" s="345">
        <f t="shared" si="37"/>
        <v>0.99769726742400977</v>
      </c>
      <c r="J18" s="345">
        <f t="shared" si="1"/>
        <v>68.544971428571444</v>
      </c>
      <c r="K18" s="346">
        <f t="shared" si="2"/>
        <v>5.581056122558347E-2</v>
      </c>
      <c r="L18" s="347">
        <f>AVERAGE('2022.2'!B11:G15)</f>
        <v>61.49444444444444</v>
      </c>
      <c r="M18" s="347">
        <f>_xlfn.STDEV.S('2022.2'!B11:G15)</f>
        <v>24.25709046667588</v>
      </c>
      <c r="N18" s="348">
        <f t="shared" si="48"/>
        <v>18</v>
      </c>
      <c r="O18" s="348">
        <f>'2022.2'!D130+'2022.2'!E130</f>
        <v>7880</v>
      </c>
      <c r="P18" s="349">
        <f t="shared" si="3"/>
        <v>3.4558068958258414E-2</v>
      </c>
      <c r="Q18" s="350">
        <f t="shared" si="4"/>
        <v>2.1251292516609022</v>
      </c>
      <c r="R18" s="350">
        <f t="shared" si="5"/>
        <v>0.99771573604060915</v>
      </c>
      <c r="S18" s="350">
        <f t="shared" si="6"/>
        <v>32.689246550472106</v>
      </c>
      <c r="T18" s="350">
        <f t="shared" si="7"/>
        <v>3.8950287398772557E-2</v>
      </c>
      <c r="U18" s="351">
        <f>AVERAGE('2022.2'!B19:G33)</f>
        <v>67.101333333333343</v>
      </c>
      <c r="V18" s="351">
        <f>_xlfn.STDEV.S('2022.2'!B19:G33)</f>
        <v>27.124161430970204</v>
      </c>
      <c r="W18" s="339">
        <f t="shared" si="49"/>
        <v>75</v>
      </c>
      <c r="X18" s="339">
        <f>'2022.2'!D131+'2022.2'!E131</f>
        <v>39032</v>
      </c>
      <c r="Y18" s="345">
        <f t="shared" si="8"/>
        <v>0.17113968895650916</v>
      </c>
      <c r="Z18" s="345">
        <f t="shared" si="9"/>
        <v>11.486169065558002</v>
      </c>
      <c r="AA18" s="345">
        <f t="shared" si="10"/>
        <v>0.99807849969255991</v>
      </c>
      <c r="AB18" s="345">
        <f t="shared" si="11"/>
        <v>9.8096017777777558</v>
      </c>
      <c r="AC18" s="346">
        <f t="shared" si="12"/>
        <v>0.28675932827906891</v>
      </c>
      <c r="AD18" s="352">
        <f>AVERAGE('2022.2'!B37:G55)</f>
        <v>65.910256410256423</v>
      </c>
      <c r="AE18" s="352">
        <f>_xlfn.STDEV.S('2022.2'!B37:G55)</f>
        <v>27.268599465621914</v>
      </c>
      <c r="AF18" s="341">
        <f t="shared" si="50"/>
        <v>78</v>
      </c>
      <c r="AG18" s="341">
        <f>'2022.2'!D132+'2022.2'!E132</f>
        <v>39652</v>
      </c>
      <c r="AH18" s="341">
        <f t="shared" si="13"/>
        <v>0.17389550131127698</v>
      </c>
      <c r="AI18" s="350">
        <f t="shared" si="14"/>
        <v>11.461497080016347</v>
      </c>
      <c r="AJ18" s="350">
        <f t="shared" si="15"/>
        <v>0.99803288610914964</v>
      </c>
      <c r="AK18" s="350">
        <f t="shared" si="16"/>
        <v>9.5330322668784078</v>
      </c>
      <c r="AL18" s="353">
        <f t="shared" si="17"/>
        <v>0.28770844434106418</v>
      </c>
      <c r="AM18" s="351">
        <f>AVERAGE('2022.2'!B59:G65)</f>
        <v>68.973809523809535</v>
      </c>
      <c r="AN18" s="354">
        <f>_xlfn.STDEV.S('2022.2'!B59:G65)</f>
        <v>25.958231548654549</v>
      </c>
      <c r="AO18" s="339">
        <f t="shared" si="51"/>
        <v>42</v>
      </c>
      <c r="AP18" s="339">
        <f>'2022.2'!D133+'2022.2'!E133</f>
        <v>21050</v>
      </c>
      <c r="AQ18" s="339">
        <f t="shared" si="18"/>
        <v>9.2315653752708074E-2</v>
      </c>
      <c r="AR18" s="345">
        <f t="shared" si="52"/>
        <v>6.2493060327287369</v>
      </c>
      <c r="AS18" s="345">
        <f t="shared" si="20"/>
        <v>0.99800475059382421</v>
      </c>
      <c r="AT18" s="345">
        <f t="shared" si="57"/>
        <v>16.043566312703913</v>
      </c>
      <c r="AU18" s="346">
        <f t="shared" si="21"/>
        <v>0.13645335601313627</v>
      </c>
      <c r="AV18" s="353">
        <f>AVERAGE('2022.2'!B69:G85)</f>
        <v>66.683333333333323</v>
      </c>
      <c r="AW18" s="350">
        <f>_xlfn.STDEV.S('2022.2'!B69:G85)</f>
        <v>28.828785565697757</v>
      </c>
      <c r="AX18" s="341">
        <f t="shared" si="53"/>
        <v>96</v>
      </c>
      <c r="AY18" s="341">
        <f>'2022.2'!D134+'2022.2'!E134</f>
        <v>49976</v>
      </c>
      <c r="AZ18" s="341">
        <f t="shared" si="22"/>
        <v>0.21917183429669068</v>
      </c>
      <c r="BA18" s="350">
        <f t="shared" si="38"/>
        <v>14.61510848368432</v>
      </c>
      <c r="BB18" s="350">
        <f t="shared" si="23"/>
        <v>0.99807907795741957</v>
      </c>
      <c r="BC18" s="350">
        <f t="shared" si="24"/>
        <v>8.6572799707602428</v>
      </c>
      <c r="BD18" s="353">
        <f t="shared" si="25"/>
        <v>0.41506479519007278</v>
      </c>
      <c r="BE18" s="344">
        <f>AVERAGE('2022.2'!B89:G106)</f>
        <v>65.169863013698645</v>
      </c>
      <c r="BF18" s="355">
        <f>_xlfn.STDEV.S('2022.2'!B89:G106)</f>
        <v>27.042721781837351</v>
      </c>
      <c r="BG18" s="339">
        <f t="shared" si="54"/>
        <v>73</v>
      </c>
      <c r="BH18" s="339">
        <f>'2022.2'!D135+'2022.2'!E135</f>
        <v>38188</v>
      </c>
      <c r="BI18" s="339">
        <f t="shared" si="39"/>
        <v>0.16747506819517416</v>
      </c>
      <c r="BJ18" s="345">
        <f t="shared" si="40"/>
        <v>10.914327252489338</v>
      </c>
      <c r="BK18" s="345">
        <f t="shared" si="26"/>
        <v>0.99808840473447158</v>
      </c>
      <c r="BL18" s="345">
        <f t="shared" si="27"/>
        <v>10.017928785888497</v>
      </c>
      <c r="BM18" s="346">
        <f t="shared" si="28"/>
        <v>0.28044472586293778</v>
      </c>
      <c r="BN18" s="347">
        <f>AVERAGE('2022.2'!B110:G112)</f>
        <v>71.5</v>
      </c>
      <c r="BO18" s="349">
        <f>_xlfn.STDEV.S('2022.2'!B110:G112)</f>
        <v>29.816079075367558</v>
      </c>
      <c r="BP18" s="341">
        <f t="shared" si="55"/>
        <v>15</v>
      </c>
      <c r="BQ18" s="341">
        <f>'2022.2'!D136+'2022.2'!E136</f>
        <v>5863</v>
      </c>
      <c r="BR18" s="341">
        <f t="shared" si="41"/>
        <v>2.5712431256633132E-2</v>
      </c>
      <c r="BS18" s="350">
        <f t="shared" si="42"/>
        <v>1.8384388348492688</v>
      </c>
      <c r="BT18" s="350">
        <f t="shared" si="29"/>
        <v>0.99744158280743644</v>
      </c>
      <c r="BU18" s="350">
        <f t="shared" si="30"/>
        <v>59.26657142857141</v>
      </c>
      <c r="BV18" s="353">
        <f t="shared" si="31"/>
        <v>3.9082610187624475E-2</v>
      </c>
      <c r="BW18" s="344">
        <f>AVERAGE('2022.2'!B116:G124)</f>
        <v>68.269230769230788</v>
      </c>
      <c r="BX18" s="355">
        <f>_xlfn.STDEV.S('2022.2'!B116:G124)</f>
        <v>28.998939670689527</v>
      </c>
      <c r="BY18" s="339">
        <f t="shared" si="56"/>
        <v>39</v>
      </c>
      <c r="BZ18" s="339">
        <f>'2022.2'!D137+'2022.2'!E137</f>
        <v>19867</v>
      </c>
      <c r="CA18" s="339">
        <f t="shared" si="43"/>
        <v>8.7127557867223343E-2</v>
      </c>
      <c r="CB18" s="345">
        <f t="shared" si="44"/>
        <v>5.9481313543969794</v>
      </c>
      <c r="CC18" s="345">
        <f t="shared" si="32"/>
        <v>0.99803694568883072</v>
      </c>
      <c r="CD18" s="345">
        <f t="shared" si="33"/>
        <v>21.562525692930535</v>
      </c>
      <c r="CE18" s="346">
        <f t="shared" si="34"/>
        <v>0.16336436565863441</v>
      </c>
      <c r="CF18" s="356">
        <f t="shared" si="58"/>
        <v>66.626971061517523</v>
      </c>
      <c r="CG18" s="357">
        <f t="shared" si="46"/>
        <v>1.3052350264059323</v>
      </c>
    </row>
    <row r="19" spans="1:85" x14ac:dyDescent="0.25">
      <c r="A19" s="342" t="str">
        <f>'monitoring results'!A19</f>
        <v>01/03/2022-31/03/2022</v>
      </c>
      <c r="B19" s="343">
        <f t="shared" si="35"/>
        <v>227953</v>
      </c>
      <c r="C19" s="344">
        <f>AVERAGE('2022.3'!B5:G7)</f>
        <v>66.533333333333346</v>
      </c>
      <c r="D19" s="344">
        <f>_xlfn.STDEV.S('2022.3'!B5:G7)</f>
        <v>29.551472447401391</v>
      </c>
      <c r="E19" s="339">
        <f t="shared" si="47"/>
        <v>15</v>
      </c>
      <c r="F19" s="339">
        <f>'2022.3'!D129+'2022.3'!E129</f>
        <v>6522</v>
      </c>
      <c r="G19" s="345">
        <f t="shared" si="36"/>
        <v>2.8611161072677263E-2</v>
      </c>
      <c r="H19" s="345">
        <f t="shared" si="0"/>
        <v>1.9035959167021275</v>
      </c>
      <c r="I19" s="345">
        <f t="shared" si="37"/>
        <v>0.99770009199632015</v>
      </c>
      <c r="J19" s="345">
        <f t="shared" si="1"/>
        <v>58.219301587301565</v>
      </c>
      <c r="K19" s="346">
        <f t="shared" si="2"/>
        <v>4.7548625601995416E-2</v>
      </c>
      <c r="L19" s="347">
        <f>AVERAGE('2022.3'!B11:G15)</f>
        <v>64.166666666666671</v>
      </c>
      <c r="M19" s="347">
        <f>_xlfn.STDEV.S('2022.3'!B11:G15)</f>
        <v>27.097666493847125</v>
      </c>
      <c r="N19" s="348">
        <f t="shared" si="48"/>
        <v>18</v>
      </c>
      <c r="O19" s="348">
        <f>'2022.3'!D130+'2022.3'!E130</f>
        <v>7876</v>
      </c>
      <c r="P19" s="349">
        <f t="shared" si="3"/>
        <v>3.4550982000675579E-2</v>
      </c>
      <c r="Q19" s="350">
        <f t="shared" si="4"/>
        <v>2.2170213450433498</v>
      </c>
      <c r="R19" s="350">
        <f t="shared" si="5"/>
        <v>0.99771457592686641</v>
      </c>
      <c r="S19" s="350">
        <f t="shared" si="6"/>
        <v>40.79352941176473</v>
      </c>
      <c r="T19" s="350">
        <f t="shared" si="7"/>
        <v>4.8586810353605424E-2</v>
      </c>
      <c r="U19" s="351">
        <f>AVERAGE('2022.3'!B19:G33)</f>
        <v>66.263999999999996</v>
      </c>
      <c r="V19" s="351">
        <f>_xlfn.STDEV.S('2022.3'!B19:G33)</f>
        <v>27.505280279307172</v>
      </c>
      <c r="W19" s="339">
        <f t="shared" si="49"/>
        <v>75</v>
      </c>
      <c r="X19" s="339">
        <f>'2022.3'!D131+'2022.3'!E131</f>
        <v>38930</v>
      </c>
      <c r="Y19" s="345">
        <f t="shared" si="8"/>
        <v>0.17069245980418379</v>
      </c>
      <c r="Z19" s="345">
        <f t="shared" si="9"/>
        <v>11.3166201804758</v>
      </c>
      <c r="AA19" s="345">
        <f t="shared" si="10"/>
        <v>0.9980734651939378</v>
      </c>
      <c r="AB19" s="345">
        <f t="shared" si="11"/>
        <v>10.087205909909921</v>
      </c>
      <c r="AC19" s="346">
        <f t="shared" si="12"/>
        <v>0.29333377384581399</v>
      </c>
      <c r="AD19" s="352">
        <f>AVERAGE('2022.3'!B37:G55)</f>
        <v>62.824358974358979</v>
      </c>
      <c r="AE19" s="352">
        <f>_xlfn.STDEV.S('2022.3'!B37:G55)</f>
        <v>26.367198167308892</v>
      </c>
      <c r="AF19" s="341">
        <f t="shared" si="50"/>
        <v>78</v>
      </c>
      <c r="AG19" s="341">
        <f>'2022.3'!D132+'2022.3'!E132</f>
        <v>39653</v>
      </c>
      <c r="AH19" s="341">
        <f t="shared" si="13"/>
        <v>0.17395252530126826</v>
      </c>
      <c r="AI19" s="350">
        <f t="shared" si="14"/>
        <v>10.92845589402314</v>
      </c>
      <c r="AJ19" s="350">
        <f t="shared" si="15"/>
        <v>0.99803293571734797</v>
      </c>
      <c r="AK19" s="350">
        <f t="shared" si="16"/>
        <v>8.9131940922325299</v>
      </c>
      <c r="AL19" s="353">
        <f t="shared" si="17"/>
        <v>0.26917809359784245</v>
      </c>
      <c r="AM19" s="351">
        <f>AVERAGE('2022.3'!B59:G65)</f>
        <v>68.088095238095235</v>
      </c>
      <c r="AN19" s="354">
        <f>_xlfn.STDEV.S('2022.3'!B59:G65)</f>
        <v>27.421330511393862</v>
      </c>
      <c r="AO19" s="339">
        <f t="shared" si="51"/>
        <v>42</v>
      </c>
      <c r="AP19" s="339">
        <f>'2022.3'!D133+'2022.3'!E133</f>
        <v>21038</v>
      </c>
      <c r="AQ19" s="339">
        <f t="shared" si="18"/>
        <v>9.2290954714349005E-2</v>
      </c>
      <c r="AR19" s="345">
        <f t="shared" si="19"/>
        <v>6.2806641248516808</v>
      </c>
      <c r="AS19" s="345">
        <f t="shared" si="20"/>
        <v>0.99800361251069492</v>
      </c>
      <c r="AT19" s="345">
        <f t="shared" si="57"/>
        <v>17.903080167026189</v>
      </c>
      <c r="AU19" s="346">
        <f t="shared" si="21"/>
        <v>0.15218720705735869</v>
      </c>
      <c r="AV19" s="353">
        <f>AVERAGE('2022.3'!B69:G85)</f>
        <v>67.855208333333323</v>
      </c>
      <c r="AW19" s="350">
        <f>_xlfn.STDEV.S('2022.3'!B69:G85)</f>
        <v>27.686663594748541</v>
      </c>
      <c r="AX19" s="341">
        <f t="shared" si="53"/>
        <v>96</v>
      </c>
      <c r="AY19" s="341">
        <f>'2022.3'!D134+'2022.3'!E134</f>
        <v>49939</v>
      </c>
      <c r="AZ19" s="341">
        <f t="shared" si="22"/>
        <v>0.21907586212947405</v>
      </c>
      <c r="BA19" s="350">
        <f t="shared" si="38"/>
        <v>14.865438265600071</v>
      </c>
      <c r="BB19" s="350">
        <f t="shared" si="23"/>
        <v>0.99807765473878129</v>
      </c>
      <c r="BC19" s="350">
        <f t="shared" si="24"/>
        <v>7.9849098021747311</v>
      </c>
      <c r="BD19" s="353">
        <f t="shared" si="25"/>
        <v>0.38249292481363562</v>
      </c>
      <c r="BE19" s="344">
        <f>AVERAGE('2022.3'!B89:G106)</f>
        <v>64.227397260273946</v>
      </c>
      <c r="BF19" s="355">
        <f>_xlfn.STDEV.S('2022.3'!B89:G106)</f>
        <v>26.180220800963792</v>
      </c>
      <c r="BG19" s="339">
        <f t="shared" si="54"/>
        <v>73</v>
      </c>
      <c r="BH19" s="339">
        <f>'2022.3'!D135+'2022.3'!E135</f>
        <v>38216</v>
      </c>
      <c r="BI19" s="339">
        <f t="shared" si="39"/>
        <v>0.16764859422775746</v>
      </c>
      <c r="BJ19" s="345">
        <f t="shared" si="40"/>
        <v>10.76763286159265</v>
      </c>
      <c r="BK19" s="345">
        <f t="shared" si="26"/>
        <v>0.99808980531714464</v>
      </c>
      <c r="BL19" s="345">
        <f t="shared" si="27"/>
        <v>9.3890953587290031</v>
      </c>
      <c r="BM19" s="346">
        <f t="shared" si="28"/>
        <v>0.26338631234402304</v>
      </c>
      <c r="BN19" s="347">
        <f>AVERAGE('2022.3'!B110:G112)</f>
        <v>69.426666666666662</v>
      </c>
      <c r="BO19" s="349">
        <f>_xlfn.STDEV.S('2022.3'!B110:G112)</f>
        <v>26.843181274811318</v>
      </c>
      <c r="BP19" s="341">
        <f t="shared" si="55"/>
        <v>15</v>
      </c>
      <c r="BQ19" s="341">
        <f>'2022.3'!D136+'2022.3'!E136</f>
        <v>5871</v>
      </c>
      <c r="BR19" s="341">
        <f t="shared" si="41"/>
        <v>2.5755309208477187E-2</v>
      </c>
      <c r="BS19" s="350">
        <f t="shared" si="42"/>
        <v>1.788105267313876</v>
      </c>
      <c r="BT19" s="350">
        <f t="shared" si="29"/>
        <v>0.99744506898313745</v>
      </c>
      <c r="BU19" s="350">
        <f t="shared" si="30"/>
        <v>48.037092063492068</v>
      </c>
      <c r="BV19" s="353">
        <f t="shared" si="31"/>
        <v>3.1783318028056978E-2</v>
      </c>
      <c r="BW19" s="344">
        <f>AVERAGE('2022.3'!B116:G124)</f>
        <v>70.3102564102564</v>
      </c>
      <c r="BX19" s="355">
        <f>_xlfn.STDEV.S('2022.3'!B116:G124)</f>
        <v>28.311879549347054</v>
      </c>
      <c r="BY19" s="339">
        <f t="shared" si="56"/>
        <v>39</v>
      </c>
      <c r="BZ19" s="339">
        <f>'2022.3'!D137+'2022.3'!E137</f>
        <v>19908</v>
      </c>
      <c r="CA19" s="339">
        <f t="shared" si="43"/>
        <v>8.7333792492312018E-2</v>
      </c>
      <c r="CB19" s="345">
        <f t="shared" si="44"/>
        <v>6.1404613434145832</v>
      </c>
      <c r="CC19" s="345">
        <f t="shared" si="32"/>
        <v>0.99804098854731771</v>
      </c>
      <c r="CD19" s="345">
        <f t="shared" si="33"/>
        <v>20.552885220941945</v>
      </c>
      <c r="CE19" s="346">
        <f t="shared" si="34"/>
        <v>0.15645369139681198</v>
      </c>
      <c r="CF19" s="356">
        <f t="shared" si="58"/>
        <v>66.207995199017276</v>
      </c>
      <c r="CG19" s="357">
        <f t="shared" si="46"/>
        <v>1.2825563367895942</v>
      </c>
    </row>
    <row r="20" spans="1:85" x14ac:dyDescent="0.25">
      <c r="P20" s="334"/>
    </row>
    <row r="21" spans="1:85" x14ac:dyDescent="0.25">
      <c r="D21" s="358"/>
      <c r="H21" s="358"/>
    </row>
    <row r="22" spans="1:85" x14ac:dyDescent="0.25">
      <c r="A22" s="579" t="s">
        <v>81</v>
      </c>
      <c r="B22" s="579"/>
      <c r="C22" s="579"/>
      <c r="D22" s="579"/>
      <c r="E22" s="579"/>
      <c r="F22" s="579"/>
      <c r="G22" s="359"/>
      <c r="H22" s="359"/>
      <c r="I22" s="359"/>
      <c r="J22" s="359"/>
      <c r="K22" s="360"/>
      <c r="L22" s="361"/>
      <c r="M22" s="359"/>
      <c r="N22" s="334"/>
      <c r="O22" s="334"/>
      <c r="P22" s="334"/>
      <c r="Q22" s="334"/>
      <c r="R22" s="334"/>
      <c r="S22" s="334"/>
      <c r="T22" s="334"/>
    </row>
    <row r="23" spans="1:85" ht="39" customHeight="1" x14ac:dyDescent="0.25">
      <c r="A23" s="590"/>
      <c r="B23" s="590"/>
      <c r="C23" s="590"/>
      <c r="D23" s="590"/>
      <c r="E23" s="590"/>
      <c r="F23" s="590"/>
      <c r="G23" s="362"/>
      <c r="H23" s="363"/>
      <c r="I23" s="363"/>
    </row>
    <row r="24" spans="1:85" ht="15.5" x14ac:dyDescent="0.25">
      <c r="A24" s="364" t="s">
        <v>340</v>
      </c>
      <c r="B24" s="592" t="s">
        <v>82</v>
      </c>
      <c r="C24" s="592"/>
      <c r="D24" s="592"/>
      <c r="E24" s="592"/>
      <c r="F24" s="592"/>
      <c r="G24" s="365"/>
      <c r="H24" s="366"/>
      <c r="I24" s="366"/>
    </row>
    <row r="25" spans="1:85" ht="15.5" x14ac:dyDescent="0.25">
      <c r="A25" s="364" t="s">
        <v>341</v>
      </c>
      <c r="B25" s="592" t="s">
        <v>342</v>
      </c>
      <c r="C25" s="592"/>
      <c r="D25" s="592"/>
      <c r="E25" s="592"/>
      <c r="F25" s="592"/>
      <c r="G25" s="365"/>
      <c r="H25" s="366"/>
      <c r="I25" s="366"/>
    </row>
    <row r="26" spans="1:85" x14ac:dyDescent="0.25">
      <c r="A26" s="364" t="s">
        <v>83</v>
      </c>
      <c r="B26" s="592" t="s">
        <v>79</v>
      </c>
      <c r="C26" s="592"/>
      <c r="D26" s="592"/>
      <c r="E26" s="592"/>
      <c r="F26" s="592"/>
      <c r="G26" s="365"/>
      <c r="H26" s="366"/>
      <c r="I26" s="366"/>
    </row>
    <row r="27" spans="1:85" ht="15.5" x14ac:dyDescent="0.25">
      <c r="A27" s="364" t="s">
        <v>343</v>
      </c>
      <c r="B27" s="592" t="s">
        <v>344</v>
      </c>
      <c r="C27" s="592"/>
      <c r="D27" s="592"/>
      <c r="E27" s="592"/>
      <c r="F27" s="592"/>
      <c r="G27" s="365"/>
      <c r="H27" s="366"/>
      <c r="I27" s="366"/>
    </row>
    <row r="30" spans="1:85" x14ac:dyDescent="0.25">
      <c r="A30" s="579" t="s">
        <v>84</v>
      </c>
      <c r="B30" s="579"/>
      <c r="C30" s="579"/>
      <c r="D30" s="579"/>
      <c r="E30" s="579"/>
      <c r="F30" s="579"/>
      <c r="G30" s="359"/>
      <c r="H30" s="359"/>
      <c r="I30" s="359"/>
      <c r="R30" s="334"/>
      <c r="S30" s="334"/>
      <c r="T30" s="334"/>
    </row>
    <row r="31" spans="1:85" ht="57" customHeight="1" x14ac:dyDescent="0.25">
      <c r="A31" s="590"/>
      <c r="B31" s="590"/>
      <c r="C31" s="590"/>
      <c r="D31" s="590"/>
      <c r="E31" s="590"/>
      <c r="F31" s="590"/>
      <c r="G31" s="362"/>
      <c r="H31" s="363"/>
      <c r="I31" s="363"/>
      <c r="J31" s="363"/>
      <c r="M31" s="363"/>
      <c r="O31" s="367"/>
      <c r="P31" s="367"/>
      <c r="Q31" s="367"/>
      <c r="R31" s="367"/>
      <c r="S31" s="367"/>
      <c r="T31" s="367"/>
    </row>
    <row r="32" spans="1:85" ht="15.5" x14ac:dyDescent="0.25">
      <c r="A32" s="364" t="s">
        <v>345</v>
      </c>
      <c r="B32" s="591" t="s">
        <v>85</v>
      </c>
      <c r="C32" s="591"/>
      <c r="D32" s="591"/>
      <c r="E32" s="591"/>
      <c r="F32" s="591"/>
      <c r="G32" s="365"/>
      <c r="H32" s="366"/>
      <c r="I32" s="366"/>
      <c r="J32" s="366"/>
      <c r="M32" s="366"/>
      <c r="O32" s="368"/>
      <c r="P32" s="368"/>
      <c r="Q32" s="368"/>
      <c r="R32" s="368"/>
      <c r="S32" s="368"/>
      <c r="T32" s="368"/>
    </row>
    <row r="33" spans="1:83" ht="15.5" x14ac:dyDescent="0.25">
      <c r="A33" s="364" t="s">
        <v>341</v>
      </c>
      <c r="B33" s="592" t="s">
        <v>342</v>
      </c>
      <c r="C33" s="592"/>
      <c r="D33" s="592"/>
      <c r="E33" s="592"/>
      <c r="F33" s="592"/>
      <c r="G33" s="369"/>
      <c r="H33" s="368"/>
      <c r="I33" s="368"/>
      <c r="J33" s="368"/>
      <c r="K33" s="368"/>
      <c r="L33" s="368"/>
      <c r="M33" s="368"/>
      <c r="N33" s="368"/>
      <c r="O33" s="368"/>
      <c r="P33" s="368"/>
      <c r="Q33" s="368"/>
      <c r="R33" s="368"/>
      <c r="S33" s="368"/>
      <c r="T33" s="368"/>
    </row>
    <row r="34" spans="1:83" x14ac:dyDescent="0.25">
      <c r="A34" s="364" t="s">
        <v>83</v>
      </c>
      <c r="B34" s="592" t="s">
        <v>79</v>
      </c>
      <c r="C34" s="592"/>
      <c r="D34" s="592"/>
      <c r="E34" s="592"/>
      <c r="F34" s="592"/>
      <c r="G34" s="365"/>
      <c r="H34" s="366"/>
      <c r="I34" s="366"/>
      <c r="J34" s="366"/>
      <c r="K34" s="366"/>
      <c r="L34" s="366"/>
      <c r="M34" s="366"/>
      <c r="N34" s="368"/>
      <c r="O34" s="368"/>
      <c r="P34" s="368"/>
      <c r="Q34" s="368"/>
      <c r="R34" s="368"/>
      <c r="S34" s="368"/>
      <c r="T34" s="368"/>
    </row>
    <row r="35" spans="1:83" ht="19.5" customHeight="1" x14ac:dyDescent="0.25">
      <c r="A35" s="364" t="s">
        <v>346</v>
      </c>
      <c r="B35" s="591" t="s">
        <v>347</v>
      </c>
      <c r="C35" s="591"/>
      <c r="D35" s="591"/>
      <c r="E35" s="591"/>
      <c r="F35" s="591"/>
      <c r="G35" s="370"/>
      <c r="N35" s="371"/>
      <c r="O35" s="371"/>
      <c r="P35" s="371"/>
      <c r="Q35" s="371"/>
      <c r="R35" s="371"/>
      <c r="S35" s="371"/>
      <c r="T35" s="371"/>
    </row>
    <row r="36" spans="1:83" ht="15.5" x14ac:dyDescent="0.25">
      <c r="A36" s="364" t="s">
        <v>348</v>
      </c>
      <c r="B36" s="592" t="s">
        <v>349</v>
      </c>
      <c r="C36" s="592"/>
      <c r="D36" s="592"/>
      <c r="E36" s="592"/>
      <c r="F36" s="592"/>
      <c r="G36" s="365"/>
      <c r="H36" s="366"/>
      <c r="I36" s="366"/>
      <c r="J36" s="366"/>
      <c r="K36" s="366"/>
      <c r="L36" s="366"/>
      <c r="M36" s="366"/>
      <c r="N36" s="368"/>
      <c r="O36" s="368"/>
      <c r="P36" s="368"/>
      <c r="Q36" s="368"/>
      <c r="R36" s="368"/>
      <c r="S36" s="368"/>
      <c r="T36" s="368"/>
    </row>
    <row r="38" spans="1:83" x14ac:dyDescent="0.25">
      <c r="A38" s="579" t="s">
        <v>86</v>
      </c>
      <c r="B38" s="579"/>
      <c r="C38" s="579"/>
      <c r="D38" s="579"/>
      <c r="E38" s="579"/>
      <c r="F38" s="579"/>
      <c r="G38" s="359"/>
      <c r="H38" s="359"/>
      <c r="I38" s="359"/>
      <c r="J38" s="359"/>
      <c r="K38" s="359"/>
      <c r="L38" s="359"/>
      <c r="M38" s="359"/>
      <c r="N38" s="334"/>
      <c r="O38" s="334"/>
      <c r="P38" s="334"/>
      <c r="Q38" s="334"/>
      <c r="R38" s="334"/>
      <c r="S38" s="334"/>
      <c r="T38" s="334"/>
    </row>
    <row r="39" spans="1:83" ht="114" customHeight="1" x14ac:dyDescent="0.25">
      <c r="A39" s="372">
        <f>TINV(0.05,451)</f>
        <v>1.9652379138637808</v>
      </c>
      <c r="B39" s="588" t="s">
        <v>352</v>
      </c>
      <c r="C39" s="588"/>
      <c r="D39" s="588"/>
      <c r="E39" s="588"/>
      <c r="F39" s="588"/>
      <c r="G39" s="373"/>
      <c r="H39" s="373"/>
      <c r="I39" s="373"/>
      <c r="J39" s="373"/>
      <c r="K39" s="373"/>
      <c r="L39" s="373"/>
      <c r="M39" s="373"/>
      <c r="N39" s="374"/>
      <c r="O39" s="374"/>
      <c r="P39" s="374"/>
      <c r="Q39" s="374"/>
      <c r="R39" s="374"/>
      <c r="S39" s="374"/>
      <c r="T39" s="374"/>
    </row>
    <row r="40" spans="1:83" ht="17.25" customHeight="1" x14ac:dyDescent="0.25"/>
    <row r="41" spans="1:83" ht="17.25" customHeight="1" x14ac:dyDescent="0.25">
      <c r="A41" s="579" t="s">
        <v>87</v>
      </c>
      <c r="B41" s="579"/>
      <c r="C41" s="579"/>
      <c r="D41" s="579"/>
      <c r="E41" s="579"/>
      <c r="F41" s="579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</row>
    <row r="42" spans="1:83" ht="37.5" customHeight="1" x14ac:dyDescent="0.25">
      <c r="A42" s="372" t="s">
        <v>88</v>
      </c>
      <c r="B42" s="589" t="s">
        <v>350</v>
      </c>
      <c r="C42" s="589"/>
      <c r="D42" s="589"/>
      <c r="E42" s="589"/>
      <c r="F42" s="589"/>
      <c r="G42" s="375"/>
      <c r="H42" s="375"/>
      <c r="I42" s="375"/>
      <c r="J42" s="375"/>
      <c r="K42" s="375"/>
      <c r="L42" s="375"/>
      <c r="M42" s="375"/>
      <c r="N42" s="376"/>
      <c r="O42" s="376"/>
      <c r="P42" s="376"/>
      <c r="Q42" s="376"/>
      <c r="R42" s="376"/>
      <c r="S42" s="376"/>
      <c r="T42" s="376"/>
    </row>
    <row r="44" spans="1:83" x14ac:dyDescent="0.25">
      <c r="A44" s="579" t="s">
        <v>89</v>
      </c>
      <c r="B44" s="579"/>
      <c r="C44" s="579"/>
      <c r="D44" s="579"/>
      <c r="E44" s="579"/>
      <c r="F44" s="579"/>
      <c r="G44" s="359"/>
      <c r="H44" s="359"/>
      <c r="I44" s="359"/>
      <c r="J44" s="359"/>
      <c r="K44" s="359"/>
      <c r="L44" s="359"/>
      <c r="M44" s="359"/>
      <c r="N44" s="334"/>
      <c r="O44" s="334"/>
      <c r="P44" s="334"/>
      <c r="Q44" s="334"/>
      <c r="R44" s="334"/>
      <c r="S44" s="334"/>
      <c r="T44" s="334"/>
    </row>
    <row r="45" spans="1:83" ht="29" x14ac:dyDescent="0.25">
      <c r="A45" s="377" t="s">
        <v>167</v>
      </c>
      <c r="B45" s="364" t="s">
        <v>90</v>
      </c>
      <c r="C45" s="364" t="s">
        <v>330</v>
      </c>
      <c r="D45" s="378" t="s">
        <v>331</v>
      </c>
      <c r="E45" s="337" t="s">
        <v>351</v>
      </c>
      <c r="F45" s="378" t="s">
        <v>91</v>
      </c>
      <c r="G45" s="379"/>
      <c r="H45" s="380"/>
      <c r="I45" s="380"/>
      <c r="J45" s="380"/>
      <c r="K45" s="380"/>
      <c r="L45" s="367"/>
      <c r="M45" s="380"/>
      <c r="N45" s="380"/>
      <c r="O45" s="380"/>
      <c r="P45" s="380"/>
      <c r="Q45" s="380"/>
      <c r="R45" s="380"/>
      <c r="S45" s="380"/>
      <c r="T45" s="380"/>
      <c r="U45" s="381"/>
      <c r="V45" s="382"/>
      <c r="W45" s="382"/>
      <c r="X45" s="382"/>
      <c r="Y45" s="382"/>
      <c r="Z45" s="382"/>
      <c r="AA45" s="382"/>
      <c r="AB45" s="382"/>
      <c r="AC45" s="382"/>
      <c r="AD45" s="381"/>
      <c r="AE45" s="382"/>
      <c r="AF45" s="382"/>
      <c r="AG45" s="382"/>
      <c r="AH45" s="382"/>
      <c r="AI45" s="382"/>
      <c r="AJ45" s="382"/>
      <c r="AK45" s="382"/>
      <c r="AL45" s="382"/>
      <c r="AM45" s="381"/>
      <c r="AN45" s="382"/>
      <c r="AO45" s="382"/>
      <c r="AP45" s="382"/>
      <c r="AQ45" s="382"/>
      <c r="AR45" s="382"/>
      <c r="AS45" s="382"/>
      <c r="AT45" s="382"/>
      <c r="AU45" s="382"/>
      <c r="AV45" s="381"/>
      <c r="AW45" s="382"/>
      <c r="AX45" s="382"/>
      <c r="AY45" s="382"/>
      <c r="AZ45" s="382"/>
      <c r="BA45" s="382"/>
      <c r="BB45" s="382"/>
      <c r="BC45" s="382"/>
      <c r="BD45" s="382"/>
      <c r="BE45" s="381"/>
      <c r="BF45" s="382"/>
      <c r="BG45" s="382"/>
      <c r="BH45" s="382"/>
      <c r="BI45" s="382"/>
      <c r="BJ45" s="382"/>
      <c r="BK45" s="382"/>
      <c r="BL45" s="382"/>
      <c r="BM45" s="382"/>
      <c r="BN45" s="381"/>
      <c r="BO45" s="382"/>
      <c r="BP45" s="382"/>
      <c r="BQ45" s="382"/>
      <c r="BR45" s="382"/>
      <c r="BS45" s="382"/>
      <c r="BT45" s="382"/>
      <c r="BU45" s="382"/>
      <c r="BV45" s="382"/>
      <c r="BW45" s="381"/>
      <c r="BX45" s="382"/>
      <c r="BY45" s="382"/>
      <c r="BZ45" s="382"/>
      <c r="CA45" s="382"/>
      <c r="CB45" s="382"/>
      <c r="CC45" s="382"/>
      <c r="CD45" s="382"/>
      <c r="CE45" s="382"/>
    </row>
    <row r="46" spans="1:83" x14ac:dyDescent="0.25">
      <c r="A46" s="383" t="str">
        <f t="shared" ref="A46:A61" si="59">A4</f>
        <v>20/12/2020-31/12/2020</v>
      </c>
      <c r="B46" s="384">
        <f t="shared" ref="B46:B61" si="60">$A$39</f>
        <v>1.9652379138637808</v>
      </c>
      <c r="C46" s="385">
        <f t="shared" ref="C46:C61" si="61">CF4</f>
        <v>66.842234189014391</v>
      </c>
      <c r="D46" s="386">
        <f t="shared" ref="D46:D61" si="62">CG4</f>
        <v>1.3096121625311075</v>
      </c>
      <c r="E46" s="387">
        <f t="shared" ref="E46:E61" si="63">B46*D46</f>
        <v>2.5736994742632682</v>
      </c>
      <c r="F46" s="388">
        <f t="shared" ref="F46:F61" si="64">E46/C46</f>
        <v>3.8504091095839806E-2</v>
      </c>
      <c r="G46" s="380"/>
      <c r="H46" s="380"/>
      <c r="I46" s="380"/>
      <c r="J46" s="380"/>
      <c r="K46" s="380"/>
      <c r="L46" s="367"/>
      <c r="M46" s="380"/>
      <c r="N46" s="380"/>
      <c r="O46" s="380"/>
      <c r="P46" s="380"/>
      <c r="Q46" s="380"/>
      <c r="R46" s="380"/>
      <c r="S46" s="380"/>
      <c r="T46" s="380"/>
      <c r="U46" s="381"/>
      <c r="V46" s="382"/>
      <c r="W46" s="382"/>
      <c r="X46" s="382"/>
      <c r="Y46" s="382"/>
      <c r="Z46" s="382"/>
      <c r="AA46" s="382"/>
      <c r="AB46" s="382"/>
      <c r="AC46" s="382"/>
      <c r="AD46" s="381"/>
      <c r="AE46" s="382"/>
      <c r="AF46" s="382"/>
      <c r="AG46" s="382"/>
      <c r="AH46" s="382"/>
      <c r="AI46" s="382"/>
      <c r="AJ46" s="382"/>
      <c r="AK46" s="382"/>
      <c r="AL46" s="382"/>
      <c r="AM46" s="381"/>
      <c r="AN46" s="382"/>
      <c r="AO46" s="382"/>
      <c r="AP46" s="382"/>
      <c r="AQ46" s="382"/>
      <c r="AR46" s="382"/>
      <c r="AS46" s="382"/>
      <c r="AT46" s="382"/>
      <c r="AU46" s="382"/>
      <c r="AV46" s="381"/>
      <c r="AW46" s="382"/>
      <c r="AX46" s="382"/>
      <c r="AY46" s="382"/>
      <c r="AZ46" s="382"/>
      <c r="BA46" s="382"/>
      <c r="BB46" s="382"/>
      <c r="BC46" s="382"/>
      <c r="BD46" s="382"/>
      <c r="BE46" s="381"/>
      <c r="BF46" s="382"/>
      <c r="BG46" s="382"/>
      <c r="BH46" s="382"/>
      <c r="BI46" s="382"/>
      <c r="BJ46" s="382"/>
      <c r="BK46" s="382"/>
      <c r="BL46" s="382"/>
      <c r="BM46" s="382"/>
      <c r="BN46" s="381"/>
      <c r="BO46" s="382"/>
      <c r="BP46" s="382"/>
      <c r="BQ46" s="382"/>
      <c r="BR46" s="382"/>
      <c r="BS46" s="382"/>
      <c r="BT46" s="382"/>
      <c r="BU46" s="382"/>
      <c r="BV46" s="382"/>
      <c r="BW46" s="381"/>
      <c r="BX46" s="382"/>
      <c r="BY46" s="382"/>
      <c r="BZ46" s="382"/>
      <c r="CA46" s="382"/>
      <c r="CB46" s="382"/>
      <c r="CC46" s="382"/>
      <c r="CD46" s="382"/>
      <c r="CE46" s="382"/>
    </row>
    <row r="47" spans="1:83" x14ac:dyDescent="0.25">
      <c r="A47" s="383" t="str">
        <f t="shared" si="59"/>
        <v>01/01/2021-31/01/2021</v>
      </c>
      <c r="B47" s="384">
        <f t="shared" si="60"/>
        <v>1.9652379138637808</v>
      </c>
      <c r="C47" s="385">
        <f t="shared" si="61"/>
        <v>67.043245360751015</v>
      </c>
      <c r="D47" s="386">
        <f t="shared" si="62"/>
        <v>1.2689765555601185</v>
      </c>
      <c r="E47" s="387">
        <f t="shared" si="63"/>
        <v>2.4938408387910131</v>
      </c>
      <c r="F47" s="388">
        <f t="shared" si="64"/>
        <v>3.7197495815901795E-2</v>
      </c>
      <c r="G47" s="380"/>
      <c r="H47" s="380"/>
      <c r="I47" s="380"/>
      <c r="J47" s="380"/>
      <c r="K47" s="380"/>
      <c r="L47" s="367"/>
      <c r="M47" s="380"/>
      <c r="N47" s="380"/>
      <c r="O47" s="380"/>
      <c r="P47" s="380"/>
      <c r="Q47" s="380"/>
      <c r="R47" s="380"/>
      <c r="S47" s="380"/>
      <c r="T47" s="380"/>
      <c r="U47" s="381"/>
      <c r="V47" s="382"/>
      <c r="W47" s="382"/>
      <c r="X47" s="382"/>
      <c r="Y47" s="382"/>
      <c r="Z47" s="382"/>
      <c r="AA47" s="382"/>
      <c r="AB47" s="382"/>
      <c r="AC47" s="382"/>
      <c r="AD47" s="381"/>
      <c r="AE47" s="382"/>
      <c r="AF47" s="382"/>
      <c r="AG47" s="382"/>
      <c r="AH47" s="382"/>
      <c r="AI47" s="382"/>
      <c r="AJ47" s="382"/>
      <c r="AK47" s="382"/>
      <c r="AL47" s="382"/>
      <c r="AM47" s="381"/>
      <c r="AN47" s="382"/>
      <c r="AO47" s="382"/>
      <c r="AP47" s="382"/>
      <c r="AQ47" s="382"/>
      <c r="AR47" s="382"/>
      <c r="AS47" s="382"/>
      <c r="AT47" s="382"/>
      <c r="AU47" s="382"/>
      <c r="AV47" s="381"/>
      <c r="AW47" s="382"/>
      <c r="AX47" s="382"/>
      <c r="AY47" s="382"/>
      <c r="AZ47" s="382"/>
      <c r="BA47" s="382"/>
      <c r="BB47" s="382"/>
      <c r="BC47" s="382"/>
      <c r="BD47" s="382"/>
      <c r="BE47" s="381"/>
      <c r="BF47" s="382"/>
      <c r="BG47" s="382"/>
      <c r="BH47" s="382"/>
      <c r="BI47" s="382"/>
      <c r="BJ47" s="382"/>
      <c r="BK47" s="382"/>
      <c r="BL47" s="382"/>
      <c r="BM47" s="382"/>
      <c r="BN47" s="381"/>
      <c r="BO47" s="382"/>
      <c r="BP47" s="382"/>
      <c r="BQ47" s="382"/>
      <c r="BR47" s="382"/>
      <c r="BS47" s="382"/>
      <c r="BT47" s="382"/>
      <c r="BU47" s="382"/>
      <c r="BV47" s="382"/>
      <c r="BW47" s="381"/>
      <c r="BX47" s="382"/>
      <c r="BY47" s="382"/>
      <c r="BZ47" s="382"/>
      <c r="CA47" s="382"/>
      <c r="CB47" s="382"/>
      <c r="CC47" s="382"/>
      <c r="CD47" s="382"/>
      <c r="CE47" s="382"/>
    </row>
    <row r="48" spans="1:83" x14ac:dyDescent="0.25">
      <c r="A48" s="383" t="str">
        <f t="shared" si="59"/>
        <v>01/02/1021-28/02/2021</v>
      </c>
      <c r="B48" s="384">
        <f t="shared" si="60"/>
        <v>1.9652379138637808</v>
      </c>
      <c r="C48" s="385">
        <f t="shared" si="61"/>
        <v>66.502241610785305</v>
      </c>
      <c r="D48" s="386">
        <f t="shared" si="62"/>
        <v>1.314765537140788</v>
      </c>
      <c r="E48" s="387">
        <f t="shared" si="63"/>
        <v>2.5838270814305555</v>
      </c>
      <c r="F48" s="388">
        <f t="shared" si="64"/>
        <v>3.8853232896310541E-2</v>
      </c>
      <c r="G48" s="380"/>
      <c r="H48" s="380"/>
      <c r="I48" s="380"/>
      <c r="J48" s="380"/>
      <c r="K48" s="380"/>
      <c r="L48" s="367"/>
      <c r="M48" s="380"/>
      <c r="N48" s="380"/>
      <c r="O48" s="380"/>
      <c r="P48" s="380"/>
      <c r="Q48" s="380"/>
      <c r="R48" s="380"/>
      <c r="S48" s="380"/>
      <c r="T48" s="380"/>
      <c r="U48" s="381"/>
      <c r="V48" s="382"/>
      <c r="W48" s="382"/>
      <c r="X48" s="382"/>
      <c r="Y48" s="382"/>
      <c r="Z48" s="382"/>
      <c r="AA48" s="382"/>
      <c r="AB48" s="382"/>
      <c r="AC48" s="382"/>
      <c r="AD48" s="381"/>
      <c r="AE48" s="382"/>
      <c r="AF48" s="382"/>
      <c r="AG48" s="382"/>
      <c r="AH48" s="382"/>
      <c r="AI48" s="382"/>
      <c r="AJ48" s="382"/>
      <c r="AK48" s="382"/>
      <c r="AL48" s="382"/>
      <c r="AM48" s="381"/>
      <c r="AN48" s="382"/>
      <c r="AO48" s="382"/>
      <c r="AP48" s="382"/>
      <c r="AQ48" s="382"/>
      <c r="AR48" s="382"/>
      <c r="AS48" s="382"/>
      <c r="AT48" s="382"/>
      <c r="AU48" s="382"/>
      <c r="AV48" s="381"/>
      <c r="AW48" s="382"/>
      <c r="AX48" s="382"/>
      <c r="AY48" s="382"/>
      <c r="AZ48" s="382"/>
      <c r="BA48" s="382"/>
      <c r="BB48" s="382"/>
      <c r="BC48" s="382"/>
      <c r="BD48" s="382"/>
      <c r="BE48" s="381"/>
      <c r="BF48" s="382"/>
      <c r="BG48" s="382"/>
      <c r="BH48" s="382"/>
      <c r="BI48" s="382"/>
      <c r="BJ48" s="382"/>
      <c r="BK48" s="382"/>
      <c r="BL48" s="382"/>
      <c r="BM48" s="382"/>
      <c r="BN48" s="381"/>
      <c r="BO48" s="382"/>
      <c r="BP48" s="382"/>
      <c r="BQ48" s="382"/>
      <c r="BR48" s="382"/>
      <c r="BS48" s="382"/>
      <c r="BT48" s="382"/>
      <c r="BU48" s="382"/>
      <c r="BV48" s="382"/>
      <c r="BW48" s="381"/>
      <c r="BX48" s="382"/>
      <c r="BY48" s="382"/>
      <c r="BZ48" s="382"/>
      <c r="CA48" s="382"/>
      <c r="CB48" s="382"/>
      <c r="CC48" s="382"/>
      <c r="CD48" s="382"/>
      <c r="CE48" s="382"/>
    </row>
    <row r="49" spans="1:83" x14ac:dyDescent="0.25">
      <c r="A49" s="383" t="str">
        <f t="shared" si="59"/>
        <v>01/03/2021-31/03/3021</v>
      </c>
      <c r="B49" s="384">
        <f t="shared" si="60"/>
        <v>1.9652379138637808</v>
      </c>
      <c r="C49" s="385">
        <f t="shared" si="61"/>
        <v>65.71012644488566</v>
      </c>
      <c r="D49" s="386">
        <f t="shared" si="62"/>
        <v>1.2697123685384135</v>
      </c>
      <c r="E49" s="387">
        <f t="shared" si="63"/>
        <v>2.4952868863534716</v>
      </c>
      <c r="F49" s="388">
        <f t="shared" si="64"/>
        <v>3.7974160473521423E-2</v>
      </c>
      <c r="G49" s="380"/>
      <c r="H49" s="380"/>
      <c r="I49" s="380"/>
      <c r="J49" s="380"/>
      <c r="K49" s="380"/>
      <c r="L49" s="367"/>
      <c r="M49" s="380"/>
      <c r="N49" s="380"/>
      <c r="O49" s="380"/>
      <c r="P49" s="380"/>
      <c r="Q49" s="380"/>
      <c r="R49" s="380"/>
      <c r="S49" s="380"/>
      <c r="T49" s="380"/>
      <c r="U49" s="381"/>
      <c r="V49" s="382"/>
      <c r="W49" s="382"/>
      <c r="X49" s="382"/>
      <c r="Y49" s="382"/>
      <c r="Z49" s="382"/>
      <c r="AA49" s="382"/>
      <c r="AB49" s="382"/>
      <c r="AC49" s="382"/>
      <c r="AD49" s="381"/>
      <c r="AE49" s="382"/>
      <c r="AF49" s="382"/>
      <c r="AG49" s="382"/>
      <c r="AH49" s="382"/>
      <c r="AI49" s="382"/>
      <c r="AJ49" s="382"/>
      <c r="AK49" s="382"/>
      <c r="AL49" s="382"/>
      <c r="AM49" s="381"/>
      <c r="AN49" s="382"/>
      <c r="AO49" s="382"/>
      <c r="AP49" s="382"/>
      <c r="AQ49" s="382"/>
      <c r="AR49" s="382"/>
      <c r="AS49" s="382"/>
      <c r="AT49" s="382"/>
      <c r="AU49" s="382"/>
      <c r="AV49" s="381"/>
      <c r="AW49" s="382"/>
      <c r="AX49" s="382"/>
      <c r="AY49" s="382"/>
      <c r="AZ49" s="382"/>
      <c r="BA49" s="382"/>
      <c r="BB49" s="382"/>
      <c r="BC49" s="382"/>
      <c r="BD49" s="382"/>
      <c r="BE49" s="381"/>
      <c r="BF49" s="382"/>
      <c r="BG49" s="382"/>
      <c r="BH49" s="382"/>
      <c r="BI49" s="382"/>
      <c r="BJ49" s="382"/>
      <c r="BK49" s="382"/>
      <c r="BL49" s="382"/>
      <c r="BM49" s="382"/>
      <c r="BN49" s="381"/>
      <c r="BO49" s="382"/>
      <c r="BP49" s="382"/>
      <c r="BQ49" s="382"/>
      <c r="BR49" s="382"/>
      <c r="BS49" s="382"/>
      <c r="BT49" s="382"/>
      <c r="BU49" s="382"/>
      <c r="BV49" s="382"/>
      <c r="BW49" s="381"/>
      <c r="BX49" s="382"/>
      <c r="BY49" s="382"/>
      <c r="BZ49" s="382"/>
      <c r="CA49" s="382"/>
      <c r="CB49" s="382"/>
      <c r="CC49" s="382"/>
      <c r="CD49" s="382"/>
      <c r="CE49" s="382"/>
    </row>
    <row r="50" spans="1:83" x14ac:dyDescent="0.25">
      <c r="A50" s="383" t="str">
        <f t="shared" si="59"/>
        <v>01/04/2021-30/04/2021</v>
      </c>
      <c r="B50" s="384">
        <f t="shared" si="60"/>
        <v>1.9652379138637808</v>
      </c>
      <c r="C50" s="385">
        <f t="shared" si="61"/>
        <v>65.889986119975717</v>
      </c>
      <c r="D50" s="386">
        <f t="shared" si="62"/>
        <v>1.2578073048230376</v>
      </c>
      <c r="E50" s="387">
        <f t="shared" si="63"/>
        <v>2.4718906037730508</v>
      </c>
      <c r="F50" s="388">
        <f t="shared" si="64"/>
        <v>3.7515421528122823E-2</v>
      </c>
      <c r="G50" s="380"/>
      <c r="H50" s="380"/>
      <c r="I50" s="380"/>
      <c r="J50" s="380"/>
      <c r="K50" s="380"/>
      <c r="L50" s="367"/>
      <c r="M50" s="380"/>
      <c r="N50" s="380"/>
      <c r="O50" s="380"/>
      <c r="P50" s="380"/>
      <c r="Q50" s="380"/>
      <c r="R50" s="380"/>
      <c r="S50" s="380"/>
      <c r="T50" s="380"/>
      <c r="U50" s="381"/>
      <c r="V50" s="382"/>
      <c r="W50" s="382"/>
      <c r="X50" s="382"/>
      <c r="Y50" s="382"/>
      <c r="Z50" s="382"/>
      <c r="AA50" s="382"/>
      <c r="AB50" s="382"/>
      <c r="AC50" s="382"/>
      <c r="AD50" s="381"/>
      <c r="AE50" s="382"/>
      <c r="AF50" s="382"/>
      <c r="AG50" s="382"/>
      <c r="AH50" s="382"/>
      <c r="AI50" s="382"/>
      <c r="AJ50" s="382"/>
      <c r="AK50" s="382"/>
      <c r="AL50" s="382"/>
      <c r="AM50" s="381"/>
      <c r="AN50" s="382"/>
      <c r="AO50" s="382"/>
      <c r="AP50" s="382"/>
      <c r="AQ50" s="382"/>
      <c r="AR50" s="382"/>
      <c r="AS50" s="382"/>
      <c r="AT50" s="382"/>
      <c r="AU50" s="382"/>
      <c r="AV50" s="381"/>
      <c r="AW50" s="382"/>
      <c r="AX50" s="382"/>
      <c r="AY50" s="382"/>
      <c r="AZ50" s="382"/>
      <c r="BA50" s="382"/>
      <c r="BB50" s="382"/>
      <c r="BC50" s="382"/>
      <c r="BD50" s="382"/>
      <c r="BE50" s="381"/>
      <c r="BF50" s="382"/>
      <c r="BG50" s="382"/>
      <c r="BH50" s="382"/>
      <c r="BI50" s="382"/>
      <c r="BJ50" s="382"/>
      <c r="BK50" s="382"/>
      <c r="BL50" s="382"/>
      <c r="BM50" s="382"/>
      <c r="BN50" s="381"/>
      <c r="BO50" s="382"/>
      <c r="BP50" s="382"/>
      <c r="BQ50" s="382"/>
      <c r="BR50" s="382"/>
      <c r="BS50" s="382"/>
      <c r="BT50" s="382"/>
      <c r="BU50" s="382"/>
      <c r="BV50" s="382"/>
      <c r="BW50" s="381"/>
      <c r="BX50" s="382"/>
      <c r="BY50" s="382"/>
      <c r="BZ50" s="382"/>
      <c r="CA50" s="382"/>
      <c r="CB50" s="382"/>
      <c r="CC50" s="382"/>
      <c r="CD50" s="382"/>
      <c r="CE50" s="382"/>
    </row>
    <row r="51" spans="1:83" x14ac:dyDescent="0.25">
      <c r="A51" s="383" t="str">
        <f t="shared" si="59"/>
        <v>01/05/2021-31/05/2021</v>
      </c>
      <c r="B51" s="384">
        <f t="shared" si="60"/>
        <v>1.9652379138637808</v>
      </c>
      <c r="C51" s="385">
        <f t="shared" si="61"/>
        <v>66.632518462309378</v>
      </c>
      <c r="D51" s="386">
        <f t="shared" si="62"/>
        <v>1.3111699151055305</v>
      </c>
      <c r="E51" s="387">
        <f t="shared" si="63"/>
        <v>2.5767608286829433</v>
      </c>
      <c r="F51" s="388">
        <f t="shared" si="64"/>
        <v>3.8671220721463284E-2</v>
      </c>
      <c r="G51" s="380"/>
      <c r="H51" s="380"/>
      <c r="I51" s="380"/>
      <c r="J51" s="380"/>
      <c r="K51" s="380"/>
      <c r="L51" s="367"/>
      <c r="M51" s="380"/>
      <c r="N51" s="380"/>
      <c r="O51" s="380"/>
      <c r="P51" s="380"/>
      <c r="Q51" s="380"/>
      <c r="R51" s="380"/>
      <c r="S51" s="380"/>
      <c r="T51" s="380"/>
      <c r="U51" s="381"/>
      <c r="V51" s="382"/>
      <c r="W51" s="382"/>
      <c r="X51" s="382"/>
      <c r="Y51" s="382"/>
      <c r="Z51" s="382"/>
      <c r="AA51" s="382"/>
      <c r="AB51" s="382"/>
      <c r="AC51" s="382"/>
      <c r="AD51" s="381"/>
      <c r="AE51" s="382"/>
      <c r="AF51" s="382"/>
      <c r="AG51" s="382"/>
      <c r="AH51" s="382"/>
      <c r="AI51" s="382"/>
      <c r="AJ51" s="382"/>
      <c r="AK51" s="382"/>
      <c r="AL51" s="382"/>
      <c r="AM51" s="381"/>
      <c r="AN51" s="382"/>
      <c r="AO51" s="382"/>
      <c r="AP51" s="382"/>
      <c r="AQ51" s="382"/>
      <c r="AR51" s="382"/>
      <c r="AS51" s="382"/>
      <c r="AT51" s="382"/>
      <c r="AU51" s="382"/>
      <c r="AV51" s="381"/>
      <c r="AW51" s="382"/>
      <c r="AX51" s="382"/>
      <c r="AY51" s="382"/>
      <c r="AZ51" s="382"/>
      <c r="BA51" s="382"/>
      <c r="BB51" s="382"/>
      <c r="BC51" s="382"/>
      <c r="BD51" s="382"/>
      <c r="BE51" s="381"/>
      <c r="BF51" s="382"/>
      <c r="BG51" s="382"/>
      <c r="BH51" s="382"/>
      <c r="BI51" s="382"/>
      <c r="BJ51" s="382"/>
      <c r="BK51" s="382"/>
      <c r="BL51" s="382"/>
      <c r="BM51" s="382"/>
      <c r="BN51" s="381"/>
      <c r="BO51" s="382"/>
      <c r="BP51" s="382"/>
      <c r="BQ51" s="382"/>
      <c r="BR51" s="382"/>
      <c r="BS51" s="382"/>
      <c r="BT51" s="382"/>
      <c r="BU51" s="382"/>
      <c r="BV51" s="382"/>
      <c r="BW51" s="381"/>
      <c r="BX51" s="382"/>
      <c r="BY51" s="382"/>
      <c r="BZ51" s="382"/>
      <c r="CA51" s="382"/>
      <c r="CB51" s="382"/>
      <c r="CC51" s="382"/>
      <c r="CD51" s="382"/>
      <c r="CE51" s="382"/>
    </row>
    <row r="52" spans="1:83" x14ac:dyDescent="0.25">
      <c r="A52" s="383" t="str">
        <f t="shared" si="59"/>
        <v>01/06/2021-30/06/2021</v>
      </c>
      <c r="B52" s="384">
        <f t="shared" si="60"/>
        <v>1.9652379138637808</v>
      </c>
      <c r="C52" s="385">
        <f t="shared" si="61"/>
        <v>65.54410612817685</v>
      </c>
      <c r="D52" s="386">
        <f t="shared" si="62"/>
        <v>1.2605046752754943</v>
      </c>
      <c r="E52" s="387">
        <f t="shared" si="63"/>
        <v>2.4771915784539549</v>
      </c>
      <c r="F52" s="388">
        <f t="shared" si="64"/>
        <v>3.7794269001237189E-2</v>
      </c>
      <c r="G52" s="380"/>
      <c r="H52" s="380"/>
      <c r="I52" s="380"/>
      <c r="J52" s="380"/>
      <c r="K52" s="380"/>
      <c r="L52" s="367"/>
      <c r="M52" s="380"/>
      <c r="N52" s="380"/>
      <c r="O52" s="380"/>
      <c r="P52" s="380"/>
      <c r="Q52" s="380"/>
      <c r="R52" s="380"/>
      <c r="S52" s="380"/>
      <c r="T52" s="380"/>
      <c r="U52" s="381"/>
      <c r="V52" s="382"/>
      <c r="W52" s="382"/>
      <c r="X52" s="382"/>
      <c r="Y52" s="382"/>
      <c r="Z52" s="382"/>
      <c r="AA52" s="382"/>
      <c r="AB52" s="382"/>
      <c r="AC52" s="382"/>
      <c r="AD52" s="381"/>
      <c r="AE52" s="382"/>
      <c r="AF52" s="382"/>
      <c r="AG52" s="382"/>
      <c r="AH52" s="382"/>
      <c r="AI52" s="382"/>
      <c r="AJ52" s="382"/>
      <c r="AK52" s="382"/>
      <c r="AL52" s="382"/>
      <c r="AM52" s="381"/>
      <c r="AN52" s="382"/>
      <c r="AO52" s="382"/>
      <c r="AP52" s="382"/>
      <c r="AQ52" s="382"/>
      <c r="AR52" s="382"/>
      <c r="AS52" s="382"/>
      <c r="AT52" s="382"/>
      <c r="AU52" s="382"/>
      <c r="AV52" s="381"/>
      <c r="AW52" s="382"/>
      <c r="AX52" s="382"/>
      <c r="AY52" s="382"/>
      <c r="AZ52" s="382"/>
      <c r="BA52" s="382"/>
      <c r="BB52" s="382"/>
      <c r="BC52" s="382"/>
      <c r="BD52" s="382"/>
      <c r="BE52" s="381"/>
      <c r="BF52" s="382"/>
      <c r="BG52" s="382"/>
      <c r="BH52" s="382"/>
      <c r="BI52" s="382"/>
      <c r="BJ52" s="382"/>
      <c r="BK52" s="382"/>
      <c r="BL52" s="382"/>
      <c r="BM52" s="382"/>
      <c r="BN52" s="381"/>
      <c r="BO52" s="382"/>
      <c r="BP52" s="382"/>
      <c r="BQ52" s="382"/>
      <c r="BR52" s="382"/>
      <c r="BS52" s="382"/>
      <c r="BT52" s="382"/>
      <c r="BU52" s="382"/>
      <c r="BV52" s="382"/>
      <c r="BW52" s="381"/>
      <c r="BX52" s="382"/>
      <c r="BY52" s="382"/>
      <c r="BZ52" s="382"/>
      <c r="CA52" s="382"/>
      <c r="CB52" s="382"/>
      <c r="CC52" s="382"/>
      <c r="CD52" s="382"/>
      <c r="CE52" s="382"/>
    </row>
    <row r="53" spans="1:83" x14ac:dyDescent="0.25">
      <c r="A53" s="383" t="str">
        <f t="shared" si="59"/>
        <v>01/07/2021-31/07/2021</v>
      </c>
      <c r="B53" s="384">
        <f t="shared" si="60"/>
        <v>1.9652379138637808</v>
      </c>
      <c r="C53" s="385">
        <f t="shared" si="61"/>
        <v>66.391953951570954</v>
      </c>
      <c r="D53" s="386">
        <f t="shared" si="62"/>
        <v>1.2680934753936786</v>
      </c>
      <c r="E53" s="387">
        <f t="shared" si="63"/>
        <v>2.4921053761669443</v>
      </c>
      <c r="F53" s="388">
        <f t="shared" si="64"/>
        <v>3.7536255944278868E-2</v>
      </c>
      <c r="G53" s="380"/>
      <c r="H53" s="380"/>
      <c r="I53" s="380"/>
      <c r="J53" s="380"/>
      <c r="K53" s="380"/>
      <c r="L53" s="367"/>
      <c r="M53" s="380"/>
      <c r="N53" s="380"/>
      <c r="O53" s="380"/>
      <c r="P53" s="380"/>
      <c r="Q53" s="380"/>
      <c r="R53" s="380"/>
      <c r="S53" s="380"/>
      <c r="T53" s="380"/>
      <c r="U53" s="381"/>
      <c r="V53" s="382"/>
      <c r="W53" s="382"/>
      <c r="X53" s="382"/>
      <c r="Y53" s="382"/>
      <c r="Z53" s="382"/>
      <c r="AA53" s="382"/>
      <c r="AB53" s="382"/>
      <c r="AC53" s="382"/>
      <c r="AD53" s="381"/>
      <c r="AE53" s="382"/>
      <c r="AF53" s="382"/>
      <c r="AG53" s="382"/>
      <c r="AH53" s="382"/>
      <c r="AI53" s="382"/>
      <c r="AJ53" s="382"/>
      <c r="AK53" s="382"/>
      <c r="AL53" s="382"/>
      <c r="AM53" s="381"/>
      <c r="AN53" s="382"/>
      <c r="AO53" s="382"/>
      <c r="AP53" s="382"/>
      <c r="AQ53" s="382"/>
      <c r="AR53" s="382"/>
      <c r="AS53" s="382"/>
      <c r="AT53" s="382"/>
      <c r="AU53" s="382"/>
      <c r="AV53" s="381"/>
      <c r="AW53" s="382"/>
      <c r="AX53" s="382"/>
      <c r="AY53" s="382"/>
      <c r="AZ53" s="382"/>
      <c r="BA53" s="382"/>
      <c r="BB53" s="382"/>
      <c r="BC53" s="382"/>
      <c r="BD53" s="382"/>
      <c r="BE53" s="381"/>
      <c r="BF53" s="382"/>
      <c r="BG53" s="382"/>
      <c r="BH53" s="382"/>
      <c r="BI53" s="382"/>
      <c r="BJ53" s="382"/>
      <c r="BK53" s="382"/>
      <c r="BL53" s="382"/>
      <c r="BM53" s="382"/>
      <c r="BN53" s="381"/>
      <c r="BO53" s="382"/>
      <c r="BP53" s="382"/>
      <c r="BQ53" s="382"/>
      <c r="BR53" s="382"/>
      <c r="BS53" s="382"/>
      <c r="BT53" s="382"/>
      <c r="BU53" s="382"/>
      <c r="BV53" s="382"/>
      <c r="BW53" s="381"/>
      <c r="BX53" s="382"/>
      <c r="BY53" s="382"/>
      <c r="BZ53" s="382"/>
      <c r="CA53" s="382"/>
      <c r="CB53" s="382"/>
      <c r="CC53" s="382"/>
      <c r="CD53" s="382"/>
      <c r="CE53" s="382"/>
    </row>
    <row r="54" spans="1:83" x14ac:dyDescent="0.25">
      <c r="A54" s="383" t="str">
        <f t="shared" si="59"/>
        <v>01/08/2021-31/08/2021</v>
      </c>
      <c r="B54" s="384">
        <f t="shared" si="60"/>
        <v>1.9652379138637808</v>
      </c>
      <c r="C54" s="385">
        <f t="shared" si="61"/>
        <v>66.539337343158834</v>
      </c>
      <c r="D54" s="386">
        <f t="shared" si="62"/>
        <v>1.2610709221954737</v>
      </c>
      <c r="E54" s="387">
        <f t="shared" si="63"/>
        <v>2.4783043883697067</v>
      </c>
      <c r="F54" s="388">
        <f t="shared" si="64"/>
        <v>3.7245702877810684E-2</v>
      </c>
      <c r="G54" s="380"/>
      <c r="H54" s="380"/>
      <c r="I54" s="380"/>
      <c r="J54" s="380"/>
      <c r="K54" s="380"/>
      <c r="L54" s="367"/>
      <c r="M54" s="380"/>
      <c r="N54" s="380"/>
      <c r="O54" s="380"/>
      <c r="P54" s="380"/>
      <c r="Q54" s="380"/>
      <c r="R54" s="380"/>
      <c r="S54" s="380"/>
      <c r="T54" s="380"/>
      <c r="U54" s="381"/>
      <c r="V54" s="382"/>
      <c r="W54" s="382"/>
      <c r="X54" s="382"/>
      <c r="Y54" s="382"/>
      <c r="Z54" s="382"/>
      <c r="AA54" s="382"/>
      <c r="AB54" s="382"/>
      <c r="AC54" s="382"/>
      <c r="AD54" s="381"/>
      <c r="AE54" s="382"/>
      <c r="AF54" s="382"/>
      <c r="AG54" s="382"/>
      <c r="AH54" s="382"/>
      <c r="AI54" s="382"/>
      <c r="AJ54" s="382"/>
      <c r="AK54" s="382"/>
      <c r="AL54" s="382"/>
      <c r="AM54" s="381"/>
      <c r="AN54" s="382"/>
      <c r="AO54" s="382"/>
      <c r="AP54" s="382"/>
      <c r="AQ54" s="382"/>
      <c r="AR54" s="382"/>
      <c r="AS54" s="382"/>
      <c r="AT54" s="382"/>
      <c r="AU54" s="382"/>
      <c r="AV54" s="381"/>
      <c r="AW54" s="382"/>
      <c r="AX54" s="382"/>
      <c r="AY54" s="382"/>
      <c r="AZ54" s="382"/>
      <c r="BA54" s="382"/>
      <c r="BB54" s="382"/>
      <c r="BC54" s="382"/>
      <c r="BD54" s="382"/>
      <c r="BE54" s="381"/>
      <c r="BF54" s="382"/>
      <c r="BG54" s="382"/>
      <c r="BH54" s="382"/>
      <c r="BI54" s="382"/>
      <c r="BJ54" s="382"/>
      <c r="BK54" s="382"/>
      <c r="BL54" s="382"/>
      <c r="BM54" s="382"/>
      <c r="BN54" s="381"/>
      <c r="BO54" s="382"/>
      <c r="BP54" s="382"/>
      <c r="BQ54" s="382"/>
      <c r="BR54" s="382"/>
      <c r="BS54" s="382"/>
      <c r="BT54" s="382"/>
      <c r="BU54" s="382"/>
      <c r="BV54" s="382"/>
      <c r="BW54" s="381"/>
      <c r="BX54" s="382"/>
      <c r="BY54" s="382"/>
      <c r="BZ54" s="382"/>
      <c r="CA54" s="382"/>
      <c r="CB54" s="382"/>
      <c r="CC54" s="382"/>
      <c r="CD54" s="382"/>
      <c r="CE54" s="382"/>
    </row>
    <row r="55" spans="1:83" x14ac:dyDescent="0.25">
      <c r="A55" s="383" t="str">
        <f t="shared" si="59"/>
        <v>01/09/2021-30/09/2021</v>
      </c>
      <c r="B55" s="384">
        <f t="shared" si="60"/>
        <v>1.9652379138637808</v>
      </c>
      <c r="C55" s="385">
        <f t="shared" si="61"/>
        <v>65.266112171380982</v>
      </c>
      <c r="D55" s="386">
        <f t="shared" si="62"/>
        <v>1.2905570554444912</v>
      </c>
      <c r="E55" s="387">
        <f t="shared" si="63"/>
        <v>2.5362516553639156</v>
      </c>
      <c r="F55" s="388">
        <f t="shared" si="64"/>
        <v>3.8860161437286517E-2</v>
      </c>
    </row>
    <row r="56" spans="1:83" x14ac:dyDescent="0.25">
      <c r="A56" s="383" t="str">
        <f t="shared" si="59"/>
        <v>01/10/2021-31/10/2021</v>
      </c>
      <c r="B56" s="384">
        <f t="shared" si="60"/>
        <v>1.9652379138637808</v>
      </c>
      <c r="C56" s="385">
        <f t="shared" si="61"/>
        <v>66.967497895386501</v>
      </c>
      <c r="D56" s="386">
        <f t="shared" si="62"/>
        <v>1.2754891179732348</v>
      </c>
      <c r="E56" s="387">
        <f t="shared" si="63"/>
        <v>2.506639573361674</v>
      </c>
      <c r="F56" s="388">
        <f t="shared" si="64"/>
        <v>3.7430688798877169E-2</v>
      </c>
    </row>
    <row r="57" spans="1:83" x14ac:dyDescent="0.25">
      <c r="A57" s="383" t="str">
        <f t="shared" si="59"/>
        <v>01/11/2021-30/11/2021</v>
      </c>
      <c r="B57" s="384">
        <f t="shared" si="60"/>
        <v>1.9652379138637808</v>
      </c>
      <c r="C57" s="385">
        <f t="shared" si="61"/>
        <v>66.265110643768992</v>
      </c>
      <c r="D57" s="386">
        <f t="shared" si="62"/>
        <v>1.290556179965493</v>
      </c>
      <c r="E57" s="387">
        <f t="shared" si="63"/>
        <v>2.5362499348393954</v>
      </c>
      <c r="F57" s="388">
        <f t="shared" si="64"/>
        <v>3.8274288086137573E-2</v>
      </c>
    </row>
    <row r="58" spans="1:83" x14ac:dyDescent="0.25">
      <c r="A58" s="383" t="str">
        <f t="shared" si="59"/>
        <v>01/12/2021-31/12/2021</v>
      </c>
      <c r="B58" s="384">
        <f t="shared" si="60"/>
        <v>1.9652379138637808</v>
      </c>
      <c r="C58" s="385">
        <f t="shared" si="61"/>
        <v>66.440573029932196</v>
      </c>
      <c r="D58" s="386">
        <f t="shared" si="62"/>
        <v>1.2820533787732362</v>
      </c>
      <c r="E58" s="387">
        <f t="shared" si="63"/>
        <v>2.5195399075623262</v>
      </c>
      <c r="F58" s="388">
        <f t="shared" si="64"/>
        <v>3.7921706461310115E-2</v>
      </c>
    </row>
    <row r="59" spans="1:83" x14ac:dyDescent="0.25">
      <c r="A59" s="383" t="str">
        <f t="shared" si="59"/>
        <v>01/01/2022-31/01/2022</v>
      </c>
      <c r="B59" s="384">
        <f t="shared" si="60"/>
        <v>1.9652379138637808</v>
      </c>
      <c r="C59" s="385">
        <f t="shared" si="61"/>
        <v>66.883098421442725</v>
      </c>
      <c r="D59" s="386">
        <f t="shared" si="62"/>
        <v>1.3249724890870633</v>
      </c>
      <c r="E59" s="387">
        <f t="shared" si="63"/>
        <v>2.6038861703803615</v>
      </c>
      <c r="F59" s="388">
        <f t="shared" si="64"/>
        <v>3.8931901060755218E-2</v>
      </c>
    </row>
    <row r="60" spans="1:83" x14ac:dyDescent="0.25">
      <c r="A60" s="383" t="str">
        <f t="shared" si="59"/>
        <v>01/02/2022-28/02/2022</v>
      </c>
      <c r="B60" s="384">
        <f t="shared" si="60"/>
        <v>1.9652379138637808</v>
      </c>
      <c r="C60" s="385">
        <f t="shared" si="61"/>
        <v>66.626971061517523</v>
      </c>
      <c r="D60" s="386">
        <f t="shared" si="62"/>
        <v>1.3052350264059323</v>
      </c>
      <c r="E60" s="387">
        <f t="shared" si="63"/>
        <v>2.5650973603959311</v>
      </c>
      <c r="F60" s="388">
        <f t="shared" si="64"/>
        <v>3.8499384251274825E-2</v>
      </c>
    </row>
    <row r="61" spans="1:83" x14ac:dyDescent="0.25">
      <c r="A61" s="383" t="str">
        <f t="shared" si="59"/>
        <v>01/03/2022-31/03/2022</v>
      </c>
      <c r="B61" s="384">
        <f t="shared" si="60"/>
        <v>1.9652379138637808</v>
      </c>
      <c r="C61" s="385">
        <f t="shared" si="61"/>
        <v>66.207995199017276</v>
      </c>
      <c r="D61" s="386">
        <f t="shared" si="62"/>
        <v>1.2825563367895942</v>
      </c>
      <c r="E61" s="387">
        <f t="shared" si="63"/>
        <v>2.5205283397251548</v>
      </c>
      <c r="F61" s="388">
        <f t="shared" si="64"/>
        <v>3.8069848394421207E-2</v>
      </c>
    </row>
  </sheetData>
  <mergeCells count="31">
    <mergeCell ref="B27:F27"/>
    <mergeCell ref="A22:F22"/>
    <mergeCell ref="A23:F23"/>
    <mergeCell ref="B24:F24"/>
    <mergeCell ref="B25:F25"/>
    <mergeCell ref="B26:F26"/>
    <mergeCell ref="B39:F39"/>
    <mergeCell ref="A41:F41"/>
    <mergeCell ref="B42:F42"/>
    <mergeCell ref="A44:F44"/>
    <mergeCell ref="A30:F30"/>
    <mergeCell ref="A31:F31"/>
    <mergeCell ref="B32:F32"/>
    <mergeCell ref="B33:F33"/>
    <mergeCell ref="B34:F34"/>
    <mergeCell ref="B35:F35"/>
    <mergeCell ref="B36:F36"/>
    <mergeCell ref="A38:F38"/>
    <mergeCell ref="CF2:CF3"/>
    <mergeCell ref="CG2:CG3"/>
    <mergeCell ref="A1:F1"/>
    <mergeCell ref="C2:K2"/>
    <mergeCell ref="L2:T2"/>
    <mergeCell ref="A2:A3"/>
    <mergeCell ref="U2:AC2"/>
    <mergeCell ref="AD2:AL2"/>
    <mergeCell ref="AM2:AU2"/>
    <mergeCell ref="BE2:BM2"/>
    <mergeCell ref="BN2:BV2"/>
    <mergeCell ref="BW2:CE2"/>
    <mergeCell ref="AV2:BD2"/>
  </mergeCells>
  <phoneticPr fontId="1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0F62A-F5EA-464B-8D74-06493A1BB145}">
  <dimension ref="A1:G142"/>
  <sheetViews>
    <sheetView workbookViewId="0">
      <selection activeCell="E12" sqref="E12"/>
    </sheetView>
  </sheetViews>
  <sheetFormatPr defaultColWidth="8.7265625" defaultRowHeight="14" x14ac:dyDescent="0.25"/>
  <cols>
    <col min="1" max="1" width="27.453125" style="159" bestFit="1" customWidth="1"/>
    <col min="2" max="2" width="16.26953125" style="159" bestFit="1" customWidth="1"/>
    <col min="3" max="3" width="22.90625" style="159" bestFit="1" customWidth="1"/>
    <col min="4" max="4" width="22.6328125" style="159" bestFit="1" customWidth="1"/>
    <col min="5" max="5" width="21.453125" style="159" bestFit="1" customWidth="1"/>
    <col min="6" max="6" width="23.453125" style="159" bestFit="1" customWidth="1"/>
    <col min="7" max="7" width="23.08984375" style="159" bestFit="1" customWidth="1"/>
    <col min="8" max="16384" width="8.7265625" style="159"/>
  </cols>
  <sheetData>
    <row r="1" spans="1:7" ht="14.5" x14ac:dyDescent="0.3">
      <c r="A1" s="599" t="s">
        <v>169</v>
      </c>
      <c r="B1" s="600"/>
      <c r="C1" s="600"/>
      <c r="D1" s="600"/>
      <c r="E1" s="600"/>
      <c r="F1" s="600"/>
      <c r="G1" s="601"/>
    </row>
    <row r="2" spans="1:7" x14ac:dyDescent="0.25">
      <c r="A2" s="595" t="s">
        <v>181</v>
      </c>
      <c r="B2" s="595"/>
      <c r="C2" s="595"/>
      <c r="D2" s="595"/>
      <c r="E2" s="595"/>
      <c r="F2" s="595"/>
      <c r="G2" s="595"/>
    </row>
    <row r="3" spans="1:7" ht="14.5" x14ac:dyDescent="0.3">
      <c r="A3" s="160"/>
      <c r="B3" s="596" t="s">
        <v>170</v>
      </c>
      <c r="C3" s="596"/>
      <c r="D3" s="596"/>
      <c r="E3" s="596" t="s">
        <v>171</v>
      </c>
      <c r="F3" s="596"/>
      <c r="G3" s="596"/>
    </row>
    <row r="4" spans="1:7" x14ac:dyDescent="0.25">
      <c r="A4" s="161" t="s">
        <v>172</v>
      </c>
      <c r="B4" s="162" t="s">
        <v>173</v>
      </c>
      <c r="C4" s="162" t="s">
        <v>174</v>
      </c>
      <c r="D4" s="162" t="s">
        <v>175</v>
      </c>
      <c r="E4" s="162" t="s">
        <v>176</v>
      </c>
      <c r="F4" s="162" t="s">
        <v>177</v>
      </c>
      <c r="G4" s="162" t="s">
        <v>178</v>
      </c>
    </row>
    <row r="5" spans="1:7" x14ac:dyDescent="0.25">
      <c r="A5" s="161">
        <v>1</v>
      </c>
      <c r="B5" s="163">
        <v>25.8</v>
      </c>
      <c r="C5" s="163">
        <v>51</v>
      </c>
      <c r="D5" s="163">
        <v>86.3</v>
      </c>
      <c r="E5" s="163">
        <v>39.200000000000003</v>
      </c>
      <c r="F5" s="163">
        <v>78.2</v>
      </c>
      <c r="G5" s="163">
        <v>111.2</v>
      </c>
    </row>
    <row r="6" spans="1:7" x14ac:dyDescent="0.25">
      <c r="A6" s="161">
        <v>2</v>
      </c>
      <c r="B6" s="163">
        <v>29.9</v>
      </c>
      <c r="C6" s="163">
        <v>67.599999999999994</v>
      </c>
      <c r="D6" s="163">
        <v>98</v>
      </c>
      <c r="E6" s="163">
        <v>51.4</v>
      </c>
      <c r="F6" s="163">
        <v>84.1</v>
      </c>
      <c r="G6" s="163">
        <v>110.7</v>
      </c>
    </row>
    <row r="7" spans="1:7" ht="14.5" thickBot="1" x14ac:dyDescent="0.3">
      <c r="A7" s="164">
        <v>3</v>
      </c>
      <c r="B7" s="165"/>
      <c r="C7" s="165"/>
      <c r="D7" s="165"/>
      <c r="E7" s="165">
        <v>46.1</v>
      </c>
      <c r="F7" s="165">
        <v>60.2</v>
      </c>
      <c r="G7" s="165">
        <v>93.4</v>
      </c>
    </row>
    <row r="8" spans="1:7" ht="14.5" thickTop="1" x14ac:dyDescent="0.25">
      <c r="A8" s="602" t="s">
        <v>182</v>
      </c>
      <c r="B8" s="602"/>
      <c r="C8" s="602"/>
      <c r="D8" s="602"/>
      <c r="E8" s="602"/>
      <c r="F8" s="602"/>
      <c r="G8" s="602"/>
    </row>
    <row r="9" spans="1:7" ht="14.5" x14ac:dyDescent="0.3">
      <c r="A9" s="160"/>
      <c r="B9" s="596" t="s">
        <v>170</v>
      </c>
      <c r="C9" s="596"/>
      <c r="D9" s="596"/>
      <c r="E9" s="596" t="s">
        <v>171</v>
      </c>
      <c r="F9" s="596"/>
      <c r="G9" s="596"/>
    </row>
    <row r="10" spans="1:7" x14ac:dyDescent="0.25">
      <c r="A10" s="161" t="s">
        <v>172</v>
      </c>
      <c r="B10" s="162" t="s">
        <v>173</v>
      </c>
      <c r="C10" s="162" t="s">
        <v>174</v>
      </c>
      <c r="D10" s="162" t="s">
        <v>175</v>
      </c>
      <c r="E10" s="162" t="s">
        <v>176</v>
      </c>
      <c r="F10" s="162" t="s">
        <v>177</v>
      </c>
      <c r="G10" s="162" t="s">
        <v>178</v>
      </c>
    </row>
    <row r="11" spans="1:7" x14ac:dyDescent="0.25">
      <c r="A11" s="161">
        <v>1</v>
      </c>
      <c r="B11" s="163">
        <v>16</v>
      </c>
      <c r="C11" s="163">
        <v>62.8</v>
      </c>
      <c r="D11" s="163">
        <v>87</v>
      </c>
      <c r="E11" s="163">
        <v>53.3</v>
      </c>
      <c r="F11" s="163">
        <v>64.400000000000006</v>
      </c>
      <c r="G11" s="163">
        <v>118.8</v>
      </c>
    </row>
    <row r="12" spans="1:7" x14ac:dyDescent="0.25">
      <c r="A12" s="161">
        <v>2</v>
      </c>
      <c r="B12" s="163">
        <v>19.2</v>
      </c>
      <c r="C12" s="163">
        <v>60</v>
      </c>
      <c r="D12" s="163">
        <v>85.4</v>
      </c>
      <c r="E12" s="163"/>
      <c r="F12" s="163"/>
      <c r="G12" s="163"/>
    </row>
    <row r="13" spans="1:7" x14ac:dyDescent="0.25">
      <c r="A13" s="161">
        <v>3</v>
      </c>
      <c r="B13" s="163">
        <v>18.5</v>
      </c>
      <c r="C13" s="163">
        <v>53.5</v>
      </c>
      <c r="D13" s="163">
        <v>107.4</v>
      </c>
      <c r="E13" s="162"/>
      <c r="F13" s="162"/>
      <c r="G13" s="162"/>
    </row>
    <row r="14" spans="1:7" x14ac:dyDescent="0.25">
      <c r="A14" s="161">
        <v>4</v>
      </c>
      <c r="B14" s="163">
        <v>16.5</v>
      </c>
      <c r="C14" s="163">
        <v>57.9</v>
      </c>
      <c r="D14" s="163">
        <v>109.9</v>
      </c>
      <c r="E14" s="162"/>
      <c r="F14" s="162"/>
      <c r="G14" s="162"/>
    </row>
    <row r="15" spans="1:7" ht="14.5" thickBot="1" x14ac:dyDescent="0.3">
      <c r="A15" s="164">
        <v>5</v>
      </c>
      <c r="B15" s="165">
        <v>33.9</v>
      </c>
      <c r="C15" s="165">
        <v>55.9</v>
      </c>
      <c r="D15" s="165">
        <v>97.4</v>
      </c>
      <c r="E15" s="165"/>
      <c r="F15" s="165"/>
      <c r="G15" s="165"/>
    </row>
    <row r="16" spans="1:7" ht="14.5" thickTop="1" x14ac:dyDescent="0.25">
      <c r="A16" s="595" t="s">
        <v>183</v>
      </c>
      <c r="B16" s="595"/>
      <c r="C16" s="595"/>
      <c r="D16" s="595"/>
      <c r="E16" s="595"/>
      <c r="F16" s="595"/>
      <c r="G16" s="595"/>
    </row>
    <row r="17" spans="1:7" ht="14.5" x14ac:dyDescent="0.3">
      <c r="A17" s="160"/>
      <c r="B17" s="596" t="s">
        <v>170</v>
      </c>
      <c r="C17" s="596"/>
      <c r="D17" s="596"/>
      <c r="E17" s="596" t="s">
        <v>171</v>
      </c>
      <c r="F17" s="596"/>
      <c r="G17" s="596"/>
    </row>
    <row r="18" spans="1:7" x14ac:dyDescent="0.25">
      <c r="A18" s="161" t="s">
        <v>172</v>
      </c>
      <c r="B18" s="162" t="s">
        <v>173</v>
      </c>
      <c r="C18" s="162" t="s">
        <v>174</v>
      </c>
      <c r="D18" s="162" t="s">
        <v>175</v>
      </c>
      <c r="E18" s="162" t="s">
        <v>176</v>
      </c>
      <c r="F18" s="162" t="s">
        <v>177</v>
      </c>
      <c r="G18" s="162" t="s">
        <v>178</v>
      </c>
    </row>
    <row r="19" spans="1:7" x14ac:dyDescent="0.25">
      <c r="A19" s="161">
        <v>1</v>
      </c>
      <c r="B19" s="163">
        <v>26.9</v>
      </c>
      <c r="C19" s="163">
        <v>62.3</v>
      </c>
      <c r="D19" s="163">
        <v>94.3</v>
      </c>
      <c r="E19" s="163">
        <v>26.4</v>
      </c>
      <c r="F19" s="163">
        <v>88.8</v>
      </c>
      <c r="G19" s="163">
        <v>106.2</v>
      </c>
    </row>
    <row r="20" spans="1:7" x14ac:dyDescent="0.25">
      <c r="A20" s="161">
        <v>2</v>
      </c>
      <c r="B20" s="163">
        <v>41</v>
      </c>
      <c r="C20" s="163">
        <v>64.5</v>
      </c>
      <c r="D20" s="163">
        <v>78.900000000000006</v>
      </c>
      <c r="E20" s="163">
        <v>35</v>
      </c>
      <c r="F20" s="163">
        <v>67.3</v>
      </c>
      <c r="G20" s="163">
        <v>91.7</v>
      </c>
    </row>
    <row r="21" spans="1:7" x14ac:dyDescent="0.25">
      <c r="A21" s="161">
        <v>3</v>
      </c>
      <c r="B21" s="163">
        <v>34.9</v>
      </c>
      <c r="C21" s="163">
        <v>69.599999999999994</v>
      </c>
      <c r="D21" s="163">
        <v>102.9</v>
      </c>
      <c r="E21" s="163">
        <v>53.1</v>
      </c>
      <c r="F21" s="163">
        <v>83.2</v>
      </c>
      <c r="G21" s="163">
        <v>92.5</v>
      </c>
    </row>
    <row r="22" spans="1:7" x14ac:dyDescent="0.25">
      <c r="A22" s="161">
        <v>4</v>
      </c>
      <c r="B22" s="163">
        <v>39.799999999999997</v>
      </c>
      <c r="C22" s="163">
        <v>56.8</v>
      </c>
      <c r="D22" s="163">
        <v>90.1</v>
      </c>
      <c r="E22" s="163">
        <v>41.9</v>
      </c>
      <c r="F22" s="163">
        <v>79.8</v>
      </c>
      <c r="G22" s="163">
        <v>109.5</v>
      </c>
    </row>
    <row r="23" spans="1:7" x14ac:dyDescent="0.25">
      <c r="A23" s="161">
        <v>5</v>
      </c>
      <c r="B23" s="163">
        <v>33.9</v>
      </c>
      <c r="C23" s="163">
        <v>63.7</v>
      </c>
      <c r="D23" s="163">
        <v>105.2</v>
      </c>
      <c r="E23" s="163">
        <v>55.8</v>
      </c>
      <c r="F23" s="163">
        <v>88.7</v>
      </c>
      <c r="G23" s="163">
        <v>91.5</v>
      </c>
    </row>
    <row r="24" spans="1:7" x14ac:dyDescent="0.25">
      <c r="A24" s="161">
        <v>6</v>
      </c>
      <c r="B24" s="163">
        <v>17.3</v>
      </c>
      <c r="C24" s="163">
        <v>54.5</v>
      </c>
      <c r="D24" s="163">
        <v>103.9</v>
      </c>
      <c r="E24" s="163">
        <v>38.799999999999997</v>
      </c>
      <c r="F24" s="163">
        <v>65.900000000000006</v>
      </c>
      <c r="G24" s="163">
        <v>105.8</v>
      </c>
    </row>
    <row r="25" spans="1:7" x14ac:dyDescent="0.25">
      <c r="A25" s="161">
        <v>7</v>
      </c>
      <c r="B25" s="163">
        <v>35.799999999999997</v>
      </c>
      <c r="C25" s="163">
        <v>52.7</v>
      </c>
      <c r="D25" s="163">
        <v>107.3</v>
      </c>
      <c r="E25" s="163">
        <v>43.8</v>
      </c>
      <c r="F25" s="163">
        <v>67.2</v>
      </c>
      <c r="G25" s="163">
        <v>93.5</v>
      </c>
    </row>
    <row r="26" spans="1:7" x14ac:dyDescent="0.25">
      <c r="A26" s="161">
        <v>8</v>
      </c>
      <c r="B26" s="163">
        <v>43.7</v>
      </c>
      <c r="C26" s="163">
        <v>69.400000000000006</v>
      </c>
      <c r="D26" s="163">
        <v>82.2</v>
      </c>
      <c r="E26" s="163">
        <v>44.2</v>
      </c>
      <c r="F26" s="163">
        <v>69.099999999999994</v>
      </c>
      <c r="G26" s="163">
        <v>100.3</v>
      </c>
    </row>
    <row r="27" spans="1:7" x14ac:dyDescent="0.25">
      <c r="A27" s="161">
        <v>9</v>
      </c>
      <c r="B27" s="163">
        <v>49.7</v>
      </c>
      <c r="C27" s="163">
        <v>58</v>
      </c>
      <c r="D27" s="163">
        <v>99.5</v>
      </c>
      <c r="E27" s="163">
        <v>53.8</v>
      </c>
      <c r="F27" s="163">
        <v>88.9</v>
      </c>
      <c r="G27" s="163">
        <v>95.8</v>
      </c>
    </row>
    <row r="28" spans="1:7" x14ac:dyDescent="0.25">
      <c r="A28" s="161">
        <v>10</v>
      </c>
      <c r="B28" s="163">
        <v>47.8</v>
      </c>
      <c r="C28" s="163">
        <v>59.4</v>
      </c>
      <c r="D28" s="163">
        <v>101.2</v>
      </c>
      <c r="E28" s="163">
        <v>31.8</v>
      </c>
      <c r="F28" s="163">
        <v>79.5</v>
      </c>
      <c r="G28" s="163">
        <v>119.2</v>
      </c>
    </row>
    <row r="29" spans="1:7" x14ac:dyDescent="0.25">
      <c r="A29" s="161">
        <v>11</v>
      </c>
      <c r="B29" s="163">
        <v>46.7</v>
      </c>
      <c r="C29" s="163">
        <v>65.099999999999994</v>
      </c>
      <c r="D29" s="163">
        <v>74.400000000000006</v>
      </c>
      <c r="E29" s="163"/>
      <c r="F29" s="163"/>
      <c r="G29" s="163"/>
    </row>
    <row r="30" spans="1:7" x14ac:dyDescent="0.25">
      <c r="A30" s="161">
        <v>12</v>
      </c>
      <c r="B30" s="163">
        <v>33.1</v>
      </c>
      <c r="C30" s="163">
        <v>65.7</v>
      </c>
      <c r="D30" s="163">
        <v>80.5</v>
      </c>
      <c r="E30" s="163"/>
      <c r="F30" s="163"/>
      <c r="G30" s="163"/>
    </row>
    <row r="31" spans="1:7" x14ac:dyDescent="0.25">
      <c r="A31" s="161">
        <v>13</v>
      </c>
      <c r="B31" s="163">
        <v>33.799999999999997</v>
      </c>
      <c r="C31" s="163">
        <v>66.2</v>
      </c>
      <c r="D31" s="163">
        <v>107.5</v>
      </c>
      <c r="E31" s="163"/>
      <c r="F31" s="163"/>
      <c r="G31" s="163"/>
    </row>
    <row r="32" spans="1:7" x14ac:dyDescent="0.25">
      <c r="A32" s="161">
        <v>14</v>
      </c>
      <c r="B32" s="163">
        <v>41.1</v>
      </c>
      <c r="C32" s="163">
        <v>54.5</v>
      </c>
      <c r="D32" s="163">
        <v>76.3</v>
      </c>
      <c r="E32" s="163"/>
      <c r="F32" s="163"/>
      <c r="G32" s="163"/>
    </row>
    <row r="33" spans="1:7" ht="14.5" thickBot="1" x14ac:dyDescent="0.3">
      <c r="A33" s="166">
        <v>15</v>
      </c>
      <c r="B33" s="165">
        <v>39.200000000000003</v>
      </c>
      <c r="C33" s="165">
        <v>51.6</v>
      </c>
      <c r="D33" s="165">
        <v>107.7</v>
      </c>
      <c r="E33" s="165"/>
      <c r="F33" s="165"/>
      <c r="G33" s="165"/>
    </row>
    <row r="34" spans="1:7" ht="14.5" thickTop="1" x14ac:dyDescent="0.25">
      <c r="A34" s="595" t="s">
        <v>184</v>
      </c>
      <c r="B34" s="595"/>
      <c r="C34" s="595"/>
      <c r="D34" s="595"/>
      <c r="E34" s="595"/>
      <c r="F34" s="595"/>
      <c r="G34" s="595"/>
    </row>
    <row r="35" spans="1:7" ht="14.5" x14ac:dyDescent="0.3">
      <c r="A35" s="160"/>
      <c r="B35" s="596" t="s">
        <v>170</v>
      </c>
      <c r="C35" s="596"/>
      <c r="D35" s="596"/>
      <c r="E35" s="596" t="s">
        <v>171</v>
      </c>
      <c r="F35" s="596"/>
      <c r="G35" s="596"/>
    </row>
    <row r="36" spans="1:7" x14ac:dyDescent="0.25">
      <c r="A36" s="161" t="s">
        <v>172</v>
      </c>
      <c r="B36" s="162" t="s">
        <v>173</v>
      </c>
      <c r="C36" s="162" t="s">
        <v>174</v>
      </c>
      <c r="D36" s="162" t="s">
        <v>175</v>
      </c>
      <c r="E36" s="162" t="s">
        <v>176</v>
      </c>
      <c r="F36" s="162" t="s">
        <v>177</v>
      </c>
      <c r="G36" s="162" t="s">
        <v>178</v>
      </c>
    </row>
    <row r="37" spans="1:7" x14ac:dyDescent="0.25">
      <c r="A37" s="161">
        <v>1</v>
      </c>
      <c r="B37" s="163">
        <v>45.9</v>
      </c>
      <c r="C37" s="163">
        <v>60.4</v>
      </c>
      <c r="D37" s="163">
        <v>85.9</v>
      </c>
      <c r="E37" s="163">
        <v>31.1</v>
      </c>
      <c r="F37" s="163">
        <v>81.3</v>
      </c>
      <c r="G37" s="163">
        <v>107.7</v>
      </c>
    </row>
    <row r="38" spans="1:7" x14ac:dyDescent="0.25">
      <c r="A38" s="161">
        <v>2</v>
      </c>
      <c r="B38" s="163">
        <v>20</v>
      </c>
      <c r="C38" s="163">
        <v>67.5</v>
      </c>
      <c r="D38" s="163">
        <v>80.599999999999994</v>
      </c>
      <c r="E38" s="163">
        <v>30.7</v>
      </c>
      <c r="F38" s="163">
        <v>80.400000000000006</v>
      </c>
      <c r="G38" s="163">
        <v>98.4</v>
      </c>
    </row>
    <row r="39" spans="1:7" x14ac:dyDescent="0.25">
      <c r="A39" s="161">
        <v>3</v>
      </c>
      <c r="B39" s="163">
        <v>30.6</v>
      </c>
      <c r="C39" s="163">
        <v>65.599999999999994</v>
      </c>
      <c r="D39" s="163">
        <v>92.6</v>
      </c>
      <c r="E39" s="163">
        <v>32.1</v>
      </c>
      <c r="F39" s="163">
        <v>64.5</v>
      </c>
      <c r="G39" s="163">
        <v>119.7</v>
      </c>
    </row>
    <row r="40" spans="1:7" x14ac:dyDescent="0.25">
      <c r="A40" s="161">
        <v>4</v>
      </c>
      <c r="B40" s="163">
        <v>36.700000000000003</v>
      </c>
      <c r="C40" s="163">
        <v>62.2</v>
      </c>
      <c r="D40" s="163">
        <v>96.1</v>
      </c>
      <c r="E40" s="163">
        <v>31.3</v>
      </c>
      <c r="F40" s="163">
        <v>81.2</v>
      </c>
      <c r="G40" s="163">
        <v>105.2</v>
      </c>
    </row>
    <row r="41" spans="1:7" x14ac:dyDescent="0.25">
      <c r="A41" s="161">
        <v>5</v>
      </c>
      <c r="B41" s="163">
        <v>34</v>
      </c>
      <c r="C41" s="163">
        <v>53</v>
      </c>
      <c r="D41" s="163">
        <v>90.7</v>
      </c>
      <c r="E41" s="163">
        <v>40.5</v>
      </c>
      <c r="F41" s="163">
        <v>65.7</v>
      </c>
      <c r="G41" s="163">
        <v>113.5</v>
      </c>
    </row>
    <row r="42" spans="1:7" x14ac:dyDescent="0.25">
      <c r="A42" s="161">
        <v>6</v>
      </c>
      <c r="B42" s="163">
        <v>48.5</v>
      </c>
      <c r="C42" s="163">
        <v>65.900000000000006</v>
      </c>
      <c r="D42" s="163">
        <v>87.9</v>
      </c>
      <c r="E42" s="163">
        <v>33.799999999999997</v>
      </c>
      <c r="F42" s="163">
        <v>81.8</v>
      </c>
      <c r="G42" s="163">
        <v>108.3</v>
      </c>
    </row>
    <row r="43" spans="1:7" x14ac:dyDescent="0.25">
      <c r="A43" s="161">
        <v>7</v>
      </c>
      <c r="B43" s="163">
        <v>38</v>
      </c>
      <c r="C43" s="163">
        <v>53.8</v>
      </c>
      <c r="D43" s="163">
        <v>91.5</v>
      </c>
      <c r="E43" s="163">
        <v>52.4</v>
      </c>
      <c r="F43" s="163">
        <v>72.400000000000006</v>
      </c>
      <c r="G43" s="163">
        <v>106.7</v>
      </c>
    </row>
    <row r="44" spans="1:7" x14ac:dyDescent="0.25">
      <c r="A44" s="161">
        <v>8</v>
      </c>
      <c r="B44" s="163">
        <v>33.4</v>
      </c>
      <c r="C44" s="163">
        <v>50.3</v>
      </c>
      <c r="D44" s="163">
        <v>90.1</v>
      </c>
      <c r="E44" s="162"/>
      <c r="F44" s="162"/>
      <c r="G44" s="162"/>
    </row>
    <row r="45" spans="1:7" x14ac:dyDescent="0.25">
      <c r="A45" s="161">
        <v>9</v>
      </c>
      <c r="B45" s="163">
        <v>18.5</v>
      </c>
      <c r="C45" s="163">
        <v>67.400000000000006</v>
      </c>
      <c r="D45" s="163">
        <v>70.900000000000006</v>
      </c>
      <c r="E45" s="162"/>
      <c r="F45" s="162"/>
      <c r="G45" s="162"/>
    </row>
    <row r="46" spans="1:7" x14ac:dyDescent="0.25">
      <c r="A46" s="161">
        <v>10</v>
      </c>
      <c r="B46" s="163">
        <v>23.7</v>
      </c>
      <c r="C46" s="163">
        <v>64.599999999999994</v>
      </c>
      <c r="D46" s="163">
        <v>94</v>
      </c>
      <c r="E46" s="162"/>
      <c r="F46" s="162"/>
      <c r="G46" s="162"/>
    </row>
    <row r="47" spans="1:7" x14ac:dyDescent="0.25">
      <c r="A47" s="161">
        <v>11</v>
      </c>
      <c r="B47" s="163">
        <v>42.3</v>
      </c>
      <c r="C47" s="163">
        <v>61.8</v>
      </c>
      <c r="D47" s="163">
        <v>83.5</v>
      </c>
      <c r="E47" s="162"/>
      <c r="F47" s="162"/>
      <c r="G47" s="162"/>
    </row>
    <row r="48" spans="1:7" x14ac:dyDescent="0.25">
      <c r="A48" s="161">
        <v>12</v>
      </c>
      <c r="B48" s="163">
        <v>38.9</v>
      </c>
      <c r="C48" s="163">
        <v>52.1</v>
      </c>
      <c r="D48" s="163">
        <v>105.8</v>
      </c>
      <c r="E48" s="162"/>
      <c r="F48" s="162"/>
      <c r="G48" s="162"/>
    </row>
    <row r="49" spans="1:7" x14ac:dyDescent="0.25">
      <c r="A49" s="161">
        <v>13</v>
      </c>
      <c r="B49" s="163">
        <v>19.5</v>
      </c>
      <c r="C49" s="163">
        <v>55.1</v>
      </c>
      <c r="D49" s="163">
        <v>88.6</v>
      </c>
      <c r="E49" s="162"/>
      <c r="F49" s="162"/>
      <c r="G49" s="162"/>
    </row>
    <row r="50" spans="1:7" x14ac:dyDescent="0.25">
      <c r="A50" s="161">
        <v>14</v>
      </c>
      <c r="B50" s="163">
        <v>35.1</v>
      </c>
      <c r="C50" s="163">
        <v>59.7</v>
      </c>
      <c r="D50" s="163">
        <v>89.6</v>
      </c>
      <c r="E50" s="162"/>
      <c r="F50" s="162"/>
      <c r="G50" s="162"/>
    </row>
    <row r="51" spans="1:7" x14ac:dyDescent="0.25">
      <c r="A51" s="161">
        <v>15</v>
      </c>
      <c r="B51" s="163">
        <v>28.3</v>
      </c>
      <c r="C51" s="163">
        <v>64.7</v>
      </c>
      <c r="D51" s="163">
        <v>85</v>
      </c>
      <c r="E51" s="162"/>
      <c r="F51" s="162"/>
      <c r="G51" s="162"/>
    </row>
    <row r="52" spans="1:7" x14ac:dyDescent="0.25">
      <c r="A52" s="161">
        <v>16</v>
      </c>
      <c r="B52" s="163">
        <v>31.5</v>
      </c>
      <c r="C52" s="163">
        <v>59</v>
      </c>
      <c r="D52" s="163">
        <v>108.5</v>
      </c>
      <c r="E52" s="162"/>
      <c r="F52" s="162"/>
      <c r="G52" s="162"/>
    </row>
    <row r="53" spans="1:7" x14ac:dyDescent="0.25">
      <c r="A53" s="161">
        <v>17</v>
      </c>
      <c r="B53" s="163">
        <v>25.7</v>
      </c>
      <c r="C53" s="163">
        <v>60.8</v>
      </c>
      <c r="D53" s="163">
        <v>91</v>
      </c>
      <c r="E53" s="162"/>
      <c r="F53" s="162"/>
      <c r="G53" s="162"/>
    </row>
    <row r="54" spans="1:7" x14ac:dyDescent="0.25">
      <c r="A54" s="161">
        <v>18</v>
      </c>
      <c r="B54" s="163">
        <v>18.2</v>
      </c>
      <c r="C54" s="163">
        <v>67</v>
      </c>
      <c r="D54" s="163">
        <v>104.6</v>
      </c>
      <c r="E54" s="162"/>
      <c r="F54" s="162"/>
      <c r="G54" s="162"/>
    </row>
    <row r="55" spans="1:7" ht="14.5" thickBot="1" x14ac:dyDescent="0.3">
      <c r="A55" s="164">
        <v>19</v>
      </c>
      <c r="B55" s="165">
        <v>18.2</v>
      </c>
      <c r="C55" s="165">
        <v>69.599999999999994</v>
      </c>
      <c r="D55" s="165">
        <v>73.099999999999994</v>
      </c>
      <c r="E55" s="165"/>
      <c r="F55" s="165"/>
      <c r="G55" s="165"/>
    </row>
    <row r="56" spans="1:7" ht="14.5" thickTop="1" x14ac:dyDescent="0.25">
      <c r="A56" s="595" t="s">
        <v>185</v>
      </c>
      <c r="B56" s="595"/>
      <c r="C56" s="595"/>
      <c r="D56" s="595"/>
      <c r="E56" s="595"/>
      <c r="F56" s="595"/>
      <c r="G56" s="595"/>
    </row>
    <row r="57" spans="1:7" ht="14.5" x14ac:dyDescent="0.3">
      <c r="A57" s="160"/>
      <c r="B57" s="596" t="s">
        <v>170</v>
      </c>
      <c r="C57" s="596"/>
      <c r="D57" s="596"/>
      <c r="E57" s="596" t="s">
        <v>171</v>
      </c>
      <c r="F57" s="596"/>
      <c r="G57" s="596"/>
    </row>
    <row r="58" spans="1:7" x14ac:dyDescent="0.25">
      <c r="A58" s="161" t="s">
        <v>172</v>
      </c>
      <c r="B58" s="162" t="s">
        <v>173</v>
      </c>
      <c r="C58" s="162" t="s">
        <v>174</v>
      </c>
      <c r="D58" s="162" t="s">
        <v>175</v>
      </c>
      <c r="E58" s="162" t="s">
        <v>176</v>
      </c>
      <c r="F58" s="162" t="s">
        <v>177</v>
      </c>
      <c r="G58" s="162" t="s">
        <v>178</v>
      </c>
    </row>
    <row r="59" spans="1:7" x14ac:dyDescent="0.25">
      <c r="A59" s="161">
        <v>1</v>
      </c>
      <c r="B59" s="163">
        <v>17.600000000000001</v>
      </c>
      <c r="C59" s="163">
        <v>66.2</v>
      </c>
      <c r="D59" s="163">
        <v>76.7</v>
      </c>
      <c r="E59" s="163">
        <v>48.8</v>
      </c>
      <c r="F59" s="163">
        <v>66.400000000000006</v>
      </c>
      <c r="G59" s="163">
        <v>105.3</v>
      </c>
    </row>
    <row r="60" spans="1:7" x14ac:dyDescent="0.25">
      <c r="A60" s="161">
        <v>2</v>
      </c>
      <c r="B60" s="163">
        <v>45.8</v>
      </c>
      <c r="C60" s="163">
        <v>50.4</v>
      </c>
      <c r="D60" s="163">
        <v>96.9</v>
      </c>
      <c r="E60" s="163">
        <v>33</v>
      </c>
      <c r="F60" s="163">
        <v>81.8</v>
      </c>
      <c r="G60" s="163">
        <v>110</v>
      </c>
    </row>
    <row r="61" spans="1:7" x14ac:dyDescent="0.25">
      <c r="A61" s="161">
        <v>3</v>
      </c>
      <c r="B61" s="163">
        <v>35</v>
      </c>
      <c r="C61" s="163">
        <v>54.1</v>
      </c>
      <c r="D61" s="163">
        <v>109.1</v>
      </c>
      <c r="E61" s="163">
        <v>45.8</v>
      </c>
      <c r="F61" s="163">
        <v>75.2</v>
      </c>
      <c r="G61" s="163">
        <v>114.2</v>
      </c>
    </row>
    <row r="62" spans="1:7" x14ac:dyDescent="0.25">
      <c r="A62" s="161">
        <v>4</v>
      </c>
      <c r="B62" s="163">
        <v>38.1</v>
      </c>
      <c r="C62" s="163">
        <v>57.1</v>
      </c>
      <c r="D62" s="163">
        <v>94.6</v>
      </c>
      <c r="E62" s="163">
        <v>29.1</v>
      </c>
      <c r="F62" s="163">
        <v>72.400000000000006</v>
      </c>
      <c r="G62" s="163">
        <v>111.9</v>
      </c>
    </row>
    <row r="63" spans="1:7" x14ac:dyDescent="0.25">
      <c r="A63" s="161">
        <v>5</v>
      </c>
      <c r="B63" s="163">
        <v>45.3</v>
      </c>
      <c r="C63" s="163">
        <v>65.7</v>
      </c>
      <c r="D63" s="163">
        <v>99.3</v>
      </c>
      <c r="E63" s="163">
        <v>45.1</v>
      </c>
      <c r="F63" s="163">
        <v>79.8</v>
      </c>
      <c r="G63" s="163">
        <v>94</v>
      </c>
    </row>
    <row r="64" spans="1:7" x14ac:dyDescent="0.25">
      <c r="A64" s="167">
        <v>6</v>
      </c>
      <c r="B64" s="163">
        <v>42.6</v>
      </c>
      <c r="C64" s="163">
        <v>56.2</v>
      </c>
      <c r="D64" s="163">
        <v>94.1</v>
      </c>
      <c r="E64" s="163">
        <v>48.3</v>
      </c>
      <c r="F64" s="163">
        <v>63.1</v>
      </c>
      <c r="G64" s="163">
        <v>90.9</v>
      </c>
    </row>
    <row r="65" spans="1:7" ht="14.5" thickBot="1" x14ac:dyDescent="0.3">
      <c r="A65" s="164">
        <v>7</v>
      </c>
      <c r="B65" s="165">
        <v>26</v>
      </c>
      <c r="C65" s="165">
        <v>59.3</v>
      </c>
      <c r="D65" s="165">
        <v>82.7</v>
      </c>
      <c r="E65" s="165">
        <v>44.9</v>
      </c>
      <c r="F65" s="165">
        <v>70.099999999999994</v>
      </c>
      <c r="G65" s="165">
        <v>118.4</v>
      </c>
    </row>
    <row r="66" spans="1:7" ht="14.5" thickTop="1" x14ac:dyDescent="0.25">
      <c r="A66" s="595" t="s">
        <v>186</v>
      </c>
      <c r="B66" s="595"/>
      <c r="C66" s="595"/>
      <c r="D66" s="595"/>
      <c r="E66" s="595"/>
      <c r="F66" s="595"/>
      <c r="G66" s="595"/>
    </row>
    <row r="67" spans="1:7" ht="14.5" x14ac:dyDescent="0.3">
      <c r="A67" s="160"/>
      <c r="B67" s="596" t="s">
        <v>170</v>
      </c>
      <c r="C67" s="596"/>
      <c r="D67" s="596"/>
      <c r="E67" s="596" t="s">
        <v>171</v>
      </c>
      <c r="F67" s="596"/>
      <c r="G67" s="596"/>
    </row>
    <row r="68" spans="1:7" x14ac:dyDescent="0.25">
      <c r="A68" s="161" t="s">
        <v>172</v>
      </c>
      <c r="B68" s="162" t="s">
        <v>173</v>
      </c>
      <c r="C68" s="162" t="s">
        <v>174</v>
      </c>
      <c r="D68" s="162" t="s">
        <v>175</v>
      </c>
      <c r="E68" s="162" t="s">
        <v>176</v>
      </c>
      <c r="F68" s="162" t="s">
        <v>177</v>
      </c>
      <c r="G68" s="162" t="s">
        <v>178</v>
      </c>
    </row>
    <row r="69" spans="1:7" x14ac:dyDescent="0.25">
      <c r="A69" s="161">
        <v>1</v>
      </c>
      <c r="B69" s="163">
        <v>35</v>
      </c>
      <c r="C69" s="163">
        <v>58.9</v>
      </c>
      <c r="D69" s="163">
        <v>81.900000000000006</v>
      </c>
      <c r="E69" s="163">
        <v>50.6</v>
      </c>
      <c r="F69" s="163">
        <v>74.2</v>
      </c>
      <c r="G69" s="163">
        <v>94.6</v>
      </c>
    </row>
    <row r="70" spans="1:7" x14ac:dyDescent="0.25">
      <c r="A70" s="161">
        <v>2</v>
      </c>
      <c r="B70" s="163">
        <v>25.1</v>
      </c>
      <c r="C70" s="163">
        <v>65.400000000000006</v>
      </c>
      <c r="D70" s="163">
        <v>98.3</v>
      </c>
      <c r="E70" s="163">
        <v>29.4</v>
      </c>
      <c r="F70" s="163">
        <v>60.7</v>
      </c>
      <c r="G70" s="163">
        <v>107</v>
      </c>
    </row>
    <row r="71" spans="1:7" x14ac:dyDescent="0.25">
      <c r="A71" s="161">
        <v>3</v>
      </c>
      <c r="B71" s="163">
        <v>40.200000000000003</v>
      </c>
      <c r="C71" s="163">
        <v>55.5</v>
      </c>
      <c r="D71" s="163">
        <v>109.1</v>
      </c>
      <c r="E71" s="163">
        <v>49.7</v>
      </c>
      <c r="F71" s="163">
        <v>73.599999999999994</v>
      </c>
      <c r="G71" s="163">
        <v>90</v>
      </c>
    </row>
    <row r="72" spans="1:7" x14ac:dyDescent="0.25">
      <c r="A72" s="161">
        <v>4</v>
      </c>
      <c r="B72" s="163">
        <v>31.8</v>
      </c>
      <c r="C72" s="163">
        <v>60.1</v>
      </c>
      <c r="D72" s="163">
        <v>80.900000000000006</v>
      </c>
      <c r="E72" s="163">
        <v>28.6</v>
      </c>
      <c r="F72" s="163">
        <v>77.2</v>
      </c>
      <c r="G72" s="163">
        <v>101.2</v>
      </c>
    </row>
    <row r="73" spans="1:7" x14ac:dyDescent="0.25">
      <c r="A73" s="161">
        <v>5</v>
      </c>
      <c r="B73" s="163">
        <v>22.9</v>
      </c>
      <c r="C73" s="163">
        <v>55.9</v>
      </c>
      <c r="D73" s="163">
        <v>93.7</v>
      </c>
      <c r="E73" s="163">
        <v>47.3</v>
      </c>
      <c r="F73" s="163">
        <v>75.599999999999994</v>
      </c>
      <c r="G73" s="163">
        <v>109.8</v>
      </c>
    </row>
    <row r="74" spans="1:7" x14ac:dyDescent="0.25">
      <c r="A74" s="161">
        <v>6</v>
      </c>
      <c r="B74" s="163">
        <v>37.5</v>
      </c>
      <c r="C74" s="163">
        <v>58.4</v>
      </c>
      <c r="D74" s="163">
        <v>93.9</v>
      </c>
      <c r="E74" s="163">
        <v>43.5</v>
      </c>
      <c r="F74" s="163">
        <v>72.3</v>
      </c>
      <c r="G74" s="163">
        <v>117.6</v>
      </c>
    </row>
    <row r="75" spans="1:7" x14ac:dyDescent="0.25">
      <c r="A75" s="161">
        <v>7</v>
      </c>
      <c r="B75" s="163">
        <v>16.399999999999999</v>
      </c>
      <c r="C75" s="163">
        <v>51</v>
      </c>
      <c r="D75" s="163">
        <v>78.099999999999994</v>
      </c>
      <c r="E75" s="163">
        <v>51</v>
      </c>
      <c r="F75" s="163">
        <v>72.8</v>
      </c>
      <c r="G75" s="163">
        <v>102.8</v>
      </c>
    </row>
    <row r="76" spans="1:7" x14ac:dyDescent="0.25">
      <c r="A76" s="161">
        <v>8</v>
      </c>
      <c r="B76" s="163">
        <v>24.7</v>
      </c>
      <c r="C76" s="163">
        <v>59.6</v>
      </c>
      <c r="D76" s="163">
        <v>109.3</v>
      </c>
      <c r="E76" s="163">
        <v>59.8</v>
      </c>
      <c r="F76" s="163">
        <v>70.900000000000006</v>
      </c>
      <c r="G76" s="163">
        <v>107.1</v>
      </c>
    </row>
    <row r="77" spans="1:7" x14ac:dyDescent="0.25">
      <c r="A77" s="161">
        <v>9</v>
      </c>
      <c r="B77" s="163">
        <v>22.6</v>
      </c>
      <c r="C77" s="163">
        <v>61.7</v>
      </c>
      <c r="D77" s="163">
        <v>93.1</v>
      </c>
      <c r="E77" s="163">
        <v>54</v>
      </c>
      <c r="F77" s="163">
        <v>74.400000000000006</v>
      </c>
      <c r="G77" s="163">
        <v>107.4</v>
      </c>
    </row>
    <row r="78" spans="1:7" x14ac:dyDescent="0.25">
      <c r="A78" s="161">
        <v>10</v>
      </c>
      <c r="B78" s="163">
        <v>23</v>
      </c>
      <c r="C78" s="163">
        <v>68.3</v>
      </c>
      <c r="D78" s="163">
        <v>76.5</v>
      </c>
      <c r="E78" s="163">
        <v>49.4</v>
      </c>
      <c r="F78" s="163">
        <v>83.5</v>
      </c>
      <c r="G78" s="163">
        <v>105.1</v>
      </c>
    </row>
    <row r="79" spans="1:7" x14ac:dyDescent="0.25">
      <c r="A79" s="161">
        <v>11</v>
      </c>
      <c r="B79" s="163">
        <v>33.700000000000003</v>
      </c>
      <c r="C79" s="163">
        <v>65.599999999999994</v>
      </c>
      <c r="D79" s="163">
        <v>78.5</v>
      </c>
      <c r="E79" s="163">
        <v>59</v>
      </c>
      <c r="F79" s="163">
        <v>60.6</v>
      </c>
      <c r="G79" s="163">
        <v>116.9</v>
      </c>
    </row>
    <row r="80" spans="1:7" x14ac:dyDescent="0.25">
      <c r="A80" s="161">
        <v>12</v>
      </c>
      <c r="B80" s="163">
        <v>26</v>
      </c>
      <c r="C80" s="163">
        <v>50</v>
      </c>
      <c r="D80" s="163">
        <v>107</v>
      </c>
      <c r="E80" s="163">
        <v>44.4</v>
      </c>
      <c r="F80" s="163">
        <v>84.3</v>
      </c>
      <c r="G80" s="163">
        <v>113.3</v>
      </c>
    </row>
    <row r="81" spans="1:7" x14ac:dyDescent="0.25">
      <c r="A81" s="161">
        <v>13</v>
      </c>
      <c r="B81" s="163">
        <v>38.200000000000003</v>
      </c>
      <c r="C81" s="163">
        <v>60.8</v>
      </c>
      <c r="D81" s="163">
        <v>99.4</v>
      </c>
      <c r="E81" s="163">
        <v>53.8</v>
      </c>
      <c r="F81" s="163">
        <v>73.099999999999994</v>
      </c>
      <c r="G81" s="163">
        <v>109.9</v>
      </c>
    </row>
    <row r="82" spans="1:7" x14ac:dyDescent="0.25">
      <c r="A82" s="161">
        <v>14</v>
      </c>
      <c r="B82" s="163">
        <v>48.8</v>
      </c>
      <c r="C82" s="163">
        <v>64.5</v>
      </c>
      <c r="D82" s="163">
        <v>89.2</v>
      </c>
      <c r="E82" s="163">
        <v>29.1</v>
      </c>
      <c r="F82" s="163">
        <v>87.7</v>
      </c>
      <c r="G82" s="163">
        <v>119.8</v>
      </c>
    </row>
    <row r="83" spans="1:7" x14ac:dyDescent="0.25">
      <c r="A83" s="161">
        <v>15</v>
      </c>
      <c r="B83" s="163">
        <v>21.8</v>
      </c>
      <c r="C83" s="163">
        <v>58.1</v>
      </c>
      <c r="D83" s="163">
        <v>79.2</v>
      </c>
      <c r="E83" s="163">
        <v>47.6</v>
      </c>
      <c r="F83" s="163">
        <v>68.3</v>
      </c>
      <c r="G83" s="163">
        <v>93.7</v>
      </c>
    </row>
    <row r="84" spans="1:7" x14ac:dyDescent="0.25">
      <c r="A84" s="161">
        <v>16</v>
      </c>
      <c r="B84" s="163">
        <v>16.899999999999999</v>
      </c>
      <c r="C84" s="163">
        <v>54.3</v>
      </c>
      <c r="D84" s="163">
        <v>86.8</v>
      </c>
      <c r="E84" s="163"/>
      <c r="F84" s="163"/>
      <c r="G84" s="163"/>
    </row>
    <row r="85" spans="1:7" ht="14.5" thickBot="1" x14ac:dyDescent="0.3">
      <c r="A85" s="166">
        <v>17</v>
      </c>
      <c r="B85" s="168">
        <v>35.299999999999997</v>
      </c>
      <c r="C85" s="168">
        <v>65</v>
      </c>
      <c r="D85" s="168">
        <v>70.2</v>
      </c>
      <c r="E85" s="168"/>
      <c r="F85" s="168"/>
      <c r="G85" s="168"/>
    </row>
    <row r="86" spans="1:7" ht="14.5" thickTop="1" x14ac:dyDescent="0.25">
      <c r="A86" s="595" t="s">
        <v>187</v>
      </c>
      <c r="B86" s="595"/>
      <c r="C86" s="595"/>
      <c r="D86" s="595"/>
      <c r="E86" s="595"/>
      <c r="F86" s="595"/>
      <c r="G86" s="595"/>
    </row>
    <row r="87" spans="1:7" ht="14.5" x14ac:dyDescent="0.3">
      <c r="A87" s="160"/>
      <c r="B87" s="596" t="s">
        <v>170</v>
      </c>
      <c r="C87" s="596"/>
      <c r="D87" s="596"/>
      <c r="E87" s="596" t="s">
        <v>171</v>
      </c>
      <c r="F87" s="596"/>
      <c r="G87" s="596"/>
    </row>
    <row r="88" spans="1:7" x14ac:dyDescent="0.25">
      <c r="A88" s="161" t="s">
        <v>172</v>
      </c>
      <c r="B88" s="162" t="s">
        <v>173</v>
      </c>
      <c r="C88" s="162" t="s">
        <v>174</v>
      </c>
      <c r="D88" s="162" t="s">
        <v>175</v>
      </c>
      <c r="E88" s="162" t="s">
        <v>176</v>
      </c>
      <c r="F88" s="162" t="s">
        <v>177</v>
      </c>
      <c r="G88" s="162" t="s">
        <v>178</v>
      </c>
    </row>
    <row r="89" spans="1:7" x14ac:dyDescent="0.25">
      <c r="A89" s="161">
        <v>1</v>
      </c>
      <c r="B89" s="163">
        <v>23.5</v>
      </c>
      <c r="C89" s="163">
        <v>66.599999999999994</v>
      </c>
      <c r="D89" s="163">
        <v>74.3</v>
      </c>
      <c r="E89" s="163">
        <v>28.8</v>
      </c>
      <c r="F89" s="163">
        <v>74.2</v>
      </c>
      <c r="G89" s="163">
        <v>97.2</v>
      </c>
    </row>
    <row r="90" spans="1:7" x14ac:dyDescent="0.25">
      <c r="A90" s="161">
        <v>2</v>
      </c>
      <c r="B90" s="163">
        <v>33.700000000000003</v>
      </c>
      <c r="C90" s="163">
        <v>56.4</v>
      </c>
      <c r="D90" s="163">
        <v>100</v>
      </c>
      <c r="E90" s="163">
        <v>34.700000000000003</v>
      </c>
      <c r="F90" s="163">
        <v>81.900000000000006</v>
      </c>
      <c r="G90" s="163">
        <v>117.7</v>
      </c>
    </row>
    <row r="91" spans="1:7" x14ac:dyDescent="0.25">
      <c r="A91" s="161">
        <v>3</v>
      </c>
      <c r="B91" s="163">
        <v>26.2</v>
      </c>
      <c r="C91" s="163">
        <v>67.900000000000006</v>
      </c>
      <c r="D91" s="163">
        <v>99.2</v>
      </c>
      <c r="E91" s="163">
        <v>52.2</v>
      </c>
      <c r="F91" s="163">
        <v>80.8</v>
      </c>
      <c r="G91" s="163">
        <v>106.7</v>
      </c>
    </row>
    <row r="92" spans="1:7" x14ac:dyDescent="0.25">
      <c r="A92" s="161">
        <v>4</v>
      </c>
      <c r="B92" s="163">
        <v>24.9</v>
      </c>
      <c r="C92" s="163">
        <v>62.7</v>
      </c>
      <c r="D92" s="163">
        <v>96</v>
      </c>
      <c r="E92" s="163">
        <v>32.5</v>
      </c>
      <c r="F92" s="163">
        <v>63</v>
      </c>
      <c r="G92" s="163">
        <v>115.5</v>
      </c>
    </row>
    <row r="93" spans="1:7" x14ac:dyDescent="0.25">
      <c r="A93" s="161">
        <v>5</v>
      </c>
      <c r="B93" s="163">
        <v>32.4</v>
      </c>
      <c r="C93" s="163">
        <v>67.5</v>
      </c>
      <c r="D93" s="163">
        <v>81</v>
      </c>
      <c r="E93" s="163">
        <v>59.1</v>
      </c>
      <c r="F93" s="163">
        <v>86.6</v>
      </c>
      <c r="G93" s="163">
        <v>104.8</v>
      </c>
    </row>
    <row r="94" spans="1:7" x14ac:dyDescent="0.25">
      <c r="A94" s="161">
        <v>6</v>
      </c>
      <c r="B94" s="163">
        <v>17.7</v>
      </c>
      <c r="C94" s="163">
        <v>56</v>
      </c>
      <c r="D94" s="163">
        <v>98.3</v>
      </c>
      <c r="E94" s="163">
        <v>57.9</v>
      </c>
      <c r="F94" s="163">
        <v>68.900000000000006</v>
      </c>
      <c r="G94" s="163">
        <v>94.7</v>
      </c>
    </row>
    <row r="95" spans="1:7" x14ac:dyDescent="0.25">
      <c r="A95" s="161">
        <v>7</v>
      </c>
      <c r="B95" s="163">
        <v>18.899999999999999</v>
      </c>
      <c r="C95" s="163">
        <v>56.9</v>
      </c>
      <c r="D95" s="163">
        <v>85.3</v>
      </c>
      <c r="E95" s="163">
        <v>52.6</v>
      </c>
      <c r="F95" s="163">
        <v>87.8</v>
      </c>
      <c r="G95" s="163">
        <v>115.1</v>
      </c>
    </row>
    <row r="96" spans="1:7" x14ac:dyDescent="0.25">
      <c r="A96" s="161">
        <v>8</v>
      </c>
      <c r="B96" s="163">
        <v>25.1</v>
      </c>
      <c r="C96" s="163">
        <v>53.3</v>
      </c>
      <c r="D96" s="163">
        <v>102.2</v>
      </c>
      <c r="E96" s="162"/>
      <c r="F96" s="162"/>
      <c r="G96" s="162"/>
    </row>
    <row r="97" spans="1:7" x14ac:dyDescent="0.25">
      <c r="A97" s="161">
        <v>9</v>
      </c>
      <c r="B97" s="163">
        <v>48.5</v>
      </c>
      <c r="C97" s="163">
        <v>67</v>
      </c>
      <c r="D97" s="163">
        <v>95.8</v>
      </c>
      <c r="E97" s="162"/>
      <c r="F97" s="162"/>
      <c r="G97" s="162"/>
    </row>
    <row r="98" spans="1:7" x14ac:dyDescent="0.25">
      <c r="A98" s="161">
        <v>10</v>
      </c>
      <c r="B98" s="163">
        <v>39.799999999999997</v>
      </c>
      <c r="C98" s="163">
        <v>54.2</v>
      </c>
      <c r="D98" s="163">
        <v>100.2</v>
      </c>
      <c r="E98" s="162"/>
      <c r="F98" s="162"/>
      <c r="G98" s="162"/>
    </row>
    <row r="99" spans="1:7" x14ac:dyDescent="0.25">
      <c r="A99" s="161">
        <v>11</v>
      </c>
      <c r="B99" s="163">
        <v>41</v>
      </c>
      <c r="C99" s="163">
        <v>63.2</v>
      </c>
      <c r="D99" s="163">
        <v>110</v>
      </c>
      <c r="E99" s="162"/>
      <c r="F99" s="162"/>
      <c r="G99" s="162"/>
    </row>
    <row r="100" spans="1:7" x14ac:dyDescent="0.25">
      <c r="A100" s="161">
        <v>12</v>
      </c>
      <c r="B100" s="163">
        <v>16.600000000000001</v>
      </c>
      <c r="C100" s="163">
        <v>52.1</v>
      </c>
      <c r="D100" s="163">
        <v>102.5</v>
      </c>
      <c r="E100" s="162"/>
      <c r="F100" s="162"/>
      <c r="G100" s="162"/>
    </row>
    <row r="101" spans="1:7" x14ac:dyDescent="0.25">
      <c r="A101" s="161">
        <v>13</v>
      </c>
      <c r="B101" s="163">
        <v>44</v>
      </c>
      <c r="C101" s="163">
        <v>63.3</v>
      </c>
      <c r="D101" s="163">
        <v>78.599999999999994</v>
      </c>
      <c r="E101" s="162"/>
      <c r="F101" s="162"/>
      <c r="G101" s="162"/>
    </row>
    <row r="102" spans="1:7" x14ac:dyDescent="0.25">
      <c r="A102" s="161">
        <v>14</v>
      </c>
      <c r="B102" s="163">
        <v>19</v>
      </c>
      <c r="C102" s="163">
        <v>63.7</v>
      </c>
      <c r="D102" s="163">
        <v>75.599999999999994</v>
      </c>
      <c r="E102" s="162"/>
      <c r="F102" s="162"/>
      <c r="G102" s="162"/>
    </row>
    <row r="103" spans="1:7" x14ac:dyDescent="0.25">
      <c r="A103" s="161">
        <v>15</v>
      </c>
      <c r="B103" s="163">
        <v>20.6</v>
      </c>
      <c r="C103" s="163">
        <v>57.2</v>
      </c>
      <c r="D103" s="163">
        <v>109.4</v>
      </c>
      <c r="E103" s="162"/>
      <c r="F103" s="162"/>
      <c r="G103" s="162"/>
    </row>
    <row r="104" spans="1:7" x14ac:dyDescent="0.25">
      <c r="A104" s="161">
        <v>16</v>
      </c>
      <c r="B104" s="163">
        <v>47.6</v>
      </c>
      <c r="C104" s="163">
        <v>50</v>
      </c>
      <c r="D104" s="163">
        <v>73.400000000000006</v>
      </c>
      <c r="E104" s="162"/>
      <c r="F104" s="162"/>
      <c r="G104" s="162"/>
    </row>
    <row r="105" spans="1:7" x14ac:dyDescent="0.25">
      <c r="A105" s="161">
        <v>17</v>
      </c>
      <c r="B105" s="163">
        <v>48.6</v>
      </c>
      <c r="C105" s="163">
        <v>50.7</v>
      </c>
      <c r="D105" s="163">
        <v>84</v>
      </c>
      <c r="E105" s="162"/>
      <c r="F105" s="162"/>
      <c r="G105" s="162"/>
    </row>
    <row r="106" spans="1:7" ht="14.5" thickBot="1" x14ac:dyDescent="0.3">
      <c r="A106" s="166">
        <v>18</v>
      </c>
      <c r="B106" s="168"/>
      <c r="C106" s="168"/>
      <c r="D106" s="168">
        <v>104.7</v>
      </c>
      <c r="E106" s="168"/>
      <c r="F106" s="168"/>
      <c r="G106" s="168"/>
    </row>
    <row r="107" spans="1:7" ht="14.5" thickTop="1" x14ac:dyDescent="0.25">
      <c r="A107" s="595" t="s">
        <v>188</v>
      </c>
      <c r="B107" s="595"/>
      <c r="C107" s="595"/>
      <c r="D107" s="595"/>
      <c r="E107" s="595"/>
      <c r="F107" s="595"/>
      <c r="G107" s="595"/>
    </row>
    <row r="108" spans="1:7" ht="14.5" x14ac:dyDescent="0.3">
      <c r="A108" s="160"/>
      <c r="B108" s="596" t="s">
        <v>170</v>
      </c>
      <c r="C108" s="596"/>
      <c r="D108" s="596"/>
      <c r="E108" s="596" t="s">
        <v>171</v>
      </c>
      <c r="F108" s="596"/>
      <c r="G108" s="596"/>
    </row>
    <row r="109" spans="1:7" x14ac:dyDescent="0.25">
      <c r="A109" s="161" t="s">
        <v>172</v>
      </c>
      <c r="B109" s="162" t="s">
        <v>173</v>
      </c>
      <c r="C109" s="162" t="s">
        <v>174</v>
      </c>
      <c r="D109" s="162" t="s">
        <v>175</v>
      </c>
      <c r="E109" s="162" t="s">
        <v>176</v>
      </c>
      <c r="F109" s="162" t="s">
        <v>177</v>
      </c>
      <c r="G109" s="162" t="s">
        <v>178</v>
      </c>
    </row>
    <row r="110" spans="1:7" x14ac:dyDescent="0.25">
      <c r="A110" s="161">
        <v>1</v>
      </c>
      <c r="B110" s="163">
        <v>42.2</v>
      </c>
      <c r="C110" s="163">
        <v>66.2</v>
      </c>
      <c r="D110" s="163">
        <v>108.3</v>
      </c>
      <c r="E110" s="163">
        <v>30.4</v>
      </c>
      <c r="F110" s="163">
        <v>74.3</v>
      </c>
      <c r="G110" s="163">
        <v>108.2</v>
      </c>
    </row>
    <row r="111" spans="1:7" x14ac:dyDescent="0.25">
      <c r="A111" s="161">
        <v>2</v>
      </c>
      <c r="B111" s="163">
        <v>28</v>
      </c>
      <c r="C111" s="163">
        <v>55</v>
      </c>
      <c r="D111" s="163">
        <v>74</v>
      </c>
      <c r="E111" s="163">
        <v>37.200000000000003</v>
      </c>
      <c r="F111" s="163">
        <v>60.1</v>
      </c>
      <c r="G111" s="163">
        <v>117.4</v>
      </c>
    </row>
    <row r="112" spans="1:7" ht="14.5" thickBot="1" x14ac:dyDescent="0.3">
      <c r="A112" s="166">
        <v>3</v>
      </c>
      <c r="B112" s="168"/>
      <c r="C112" s="168"/>
      <c r="D112" s="168"/>
      <c r="E112" s="168">
        <v>48</v>
      </c>
      <c r="F112" s="168">
        <v>86.7</v>
      </c>
      <c r="G112" s="168">
        <v>97.8</v>
      </c>
    </row>
    <row r="113" spans="1:7" ht="14.5" thickTop="1" x14ac:dyDescent="0.25">
      <c r="A113" s="595" t="s">
        <v>189</v>
      </c>
      <c r="B113" s="595"/>
      <c r="C113" s="595"/>
      <c r="D113" s="595"/>
      <c r="E113" s="595"/>
      <c r="F113" s="595"/>
      <c r="G113" s="595"/>
    </row>
    <row r="114" spans="1:7" ht="14.5" x14ac:dyDescent="0.3">
      <c r="A114" s="160"/>
      <c r="B114" s="596" t="s">
        <v>170</v>
      </c>
      <c r="C114" s="596"/>
      <c r="D114" s="596"/>
      <c r="E114" s="596" t="s">
        <v>171</v>
      </c>
      <c r="F114" s="596"/>
      <c r="G114" s="596"/>
    </row>
    <row r="115" spans="1:7" x14ac:dyDescent="0.25">
      <c r="A115" s="161" t="s">
        <v>172</v>
      </c>
      <c r="B115" s="162" t="s">
        <v>173</v>
      </c>
      <c r="C115" s="162" t="s">
        <v>174</v>
      </c>
      <c r="D115" s="162" t="s">
        <v>175</v>
      </c>
      <c r="E115" s="162" t="s">
        <v>176</v>
      </c>
      <c r="F115" s="162" t="s">
        <v>177</v>
      </c>
      <c r="G115" s="162" t="s">
        <v>178</v>
      </c>
    </row>
    <row r="116" spans="1:7" x14ac:dyDescent="0.25">
      <c r="A116" s="161">
        <v>1</v>
      </c>
      <c r="B116" s="163">
        <v>28.4</v>
      </c>
      <c r="C116" s="163">
        <v>56.3</v>
      </c>
      <c r="D116" s="163">
        <v>102.2</v>
      </c>
      <c r="E116" s="163">
        <v>38.9</v>
      </c>
      <c r="F116" s="163">
        <v>84.5</v>
      </c>
      <c r="G116" s="163">
        <v>96.8</v>
      </c>
    </row>
    <row r="117" spans="1:7" x14ac:dyDescent="0.25">
      <c r="A117" s="161">
        <v>2</v>
      </c>
      <c r="B117" s="163">
        <v>20</v>
      </c>
      <c r="C117" s="163">
        <v>61.3</v>
      </c>
      <c r="D117" s="163">
        <v>96.4</v>
      </c>
      <c r="E117" s="163">
        <v>48.1</v>
      </c>
      <c r="F117" s="163">
        <v>62.7</v>
      </c>
      <c r="G117" s="163">
        <v>95.4</v>
      </c>
    </row>
    <row r="118" spans="1:7" x14ac:dyDescent="0.25">
      <c r="A118" s="161">
        <v>3</v>
      </c>
      <c r="B118" s="163">
        <v>39.9</v>
      </c>
      <c r="C118" s="163">
        <v>67</v>
      </c>
      <c r="D118" s="163">
        <v>100</v>
      </c>
      <c r="E118" s="163">
        <v>25.6</v>
      </c>
      <c r="F118" s="163">
        <v>70</v>
      </c>
      <c r="G118" s="163">
        <v>111.2</v>
      </c>
    </row>
    <row r="119" spans="1:7" x14ac:dyDescent="0.25">
      <c r="A119" s="161">
        <v>4</v>
      </c>
      <c r="B119" s="163">
        <v>17.2</v>
      </c>
      <c r="C119" s="163">
        <v>57.1</v>
      </c>
      <c r="D119" s="163">
        <v>99.9</v>
      </c>
      <c r="E119" s="163">
        <v>49</v>
      </c>
      <c r="F119" s="163">
        <v>83.3</v>
      </c>
      <c r="G119" s="163">
        <v>113.9</v>
      </c>
    </row>
    <row r="120" spans="1:7" x14ac:dyDescent="0.25">
      <c r="A120" s="161">
        <v>5</v>
      </c>
      <c r="B120" s="162"/>
      <c r="C120" s="162"/>
      <c r="D120" s="162"/>
      <c r="E120" s="163">
        <v>47.7</v>
      </c>
      <c r="F120" s="163">
        <v>78.599999999999994</v>
      </c>
      <c r="G120" s="163">
        <v>112.1</v>
      </c>
    </row>
    <row r="121" spans="1:7" x14ac:dyDescent="0.25">
      <c r="A121" s="161">
        <v>6</v>
      </c>
      <c r="B121" s="162"/>
      <c r="C121" s="162"/>
      <c r="D121" s="162"/>
      <c r="E121" s="163">
        <v>50.8</v>
      </c>
      <c r="F121" s="163">
        <v>79.3</v>
      </c>
      <c r="G121" s="163">
        <v>119.3</v>
      </c>
    </row>
    <row r="122" spans="1:7" x14ac:dyDescent="0.25">
      <c r="A122" s="161">
        <v>7</v>
      </c>
      <c r="B122" s="162"/>
      <c r="C122" s="162"/>
      <c r="D122" s="162"/>
      <c r="E122" s="163">
        <v>35.299999999999997</v>
      </c>
      <c r="F122" s="163">
        <v>64.599999999999994</v>
      </c>
      <c r="G122" s="163">
        <v>114.9</v>
      </c>
    </row>
    <row r="123" spans="1:7" x14ac:dyDescent="0.25">
      <c r="A123" s="161">
        <v>8</v>
      </c>
      <c r="B123" s="162"/>
      <c r="C123" s="162"/>
      <c r="D123" s="162"/>
      <c r="E123" s="163">
        <v>48.9</v>
      </c>
      <c r="F123" s="163">
        <v>69</v>
      </c>
      <c r="G123" s="163">
        <v>97.5</v>
      </c>
    </row>
    <row r="124" spans="1:7" ht="14.5" thickBot="1" x14ac:dyDescent="0.3">
      <c r="A124" s="166">
        <v>9</v>
      </c>
      <c r="B124" s="168"/>
      <c r="C124" s="168"/>
      <c r="D124" s="168"/>
      <c r="E124" s="168">
        <v>26.2</v>
      </c>
      <c r="F124" s="168">
        <v>81</v>
      </c>
      <c r="G124" s="168">
        <v>93.7</v>
      </c>
    </row>
    <row r="125" spans="1:7" ht="14.5" thickTop="1" x14ac:dyDescent="0.25"/>
    <row r="127" spans="1:7" x14ac:dyDescent="0.25">
      <c r="A127" s="597" t="s">
        <v>159</v>
      </c>
      <c r="B127" s="593" t="s">
        <v>160</v>
      </c>
      <c r="C127" s="594"/>
      <c r="D127" s="593" t="s">
        <v>161</v>
      </c>
      <c r="E127" s="594"/>
      <c r="F127" s="593" t="s">
        <v>162</v>
      </c>
      <c r="G127" s="594"/>
    </row>
    <row r="128" spans="1:7" x14ac:dyDescent="0.25">
      <c r="A128" s="598"/>
      <c r="B128" s="161" t="s">
        <v>163</v>
      </c>
      <c r="C128" s="161" t="s">
        <v>164</v>
      </c>
      <c r="D128" s="161" t="s">
        <v>163</v>
      </c>
      <c r="E128" s="161" t="s">
        <v>164</v>
      </c>
      <c r="F128" s="161" t="s">
        <v>163</v>
      </c>
      <c r="G128" s="161" t="s">
        <v>164</v>
      </c>
    </row>
    <row r="129" spans="1:7" x14ac:dyDescent="0.25">
      <c r="A129" s="162" t="str">
        <f>A2</f>
        <v>Huicheng Hengli</v>
      </c>
      <c r="B129" s="169">
        <f>AVERAGE(B5:D7)</f>
        <v>59.766666666666673</v>
      </c>
      <c r="C129" s="170">
        <f>AVERAGE(E5:G7)</f>
        <v>74.944444444444443</v>
      </c>
      <c r="D129" s="161">
        <v>2166</v>
      </c>
      <c r="E129" s="161">
        <v>4357</v>
      </c>
      <c r="F129" s="161">
        <f>D129*B129</f>
        <v>129454.60000000002</v>
      </c>
      <c r="G129" s="161">
        <f>E129*C129</f>
        <v>326532.94444444444</v>
      </c>
    </row>
    <row r="130" spans="1:7" x14ac:dyDescent="0.25">
      <c r="A130" s="162" t="str">
        <f>A8</f>
        <v>Dongyuan Huangtian swine Farm</v>
      </c>
      <c r="B130" s="169">
        <f>AVERAGE((B11:D15))</f>
        <v>58.753333333333323</v>
      </c>
      <c r="C130" s="169">
        <f>AVERAGE(E11:G11)</f>
        <v>78.833333333333329</v>
      </c>
      <c r="D130" s="161">
        <v>6431</v>
      </c>
      <c r="E130" s="161">
        <v>1452</v>
      </c>
      <c r="F130" s="161">
        <f t="shared" ref="F130:G137" si="0">D130*B130</f>
        <v>377842.68666666659</v>
      </c>
      <c r="G130" s="161">
        <f t="shared" si="0"/>
        <v>114466</v>
      </c>
    </row>
    <row r="131" spans="1:7" x14ac:dyDescent="0.25">
      <c r="A131" s="162" t="str">
        <f>A16</f>
        <v>Enping Shahu swine  Farm</v>
      </c>
      <c r="B131" s="169">
        <f>AVERAGE(B19:D33)</f>
        <v>64.23555555555555</v>
      </c>
      <c r="C131" s="169">
        <f>AVERAGE(E19:G28)</f>
        <v>73.63333333333334</v>
      </c>
      <c r="D131" s="161">
        <v>23413</v>
      </c>
      <c r="E131" s="161">
        <v>15629</v>
      </c>
      <c r="F131" s="161">
        <f t="shared" si="0"/>
        <v>1503947.0622222221</v>
      </c>
      <c r="G131" s="161">
        <f t="shared" si="0"/>
        <v>1150815.3666666667</v>
      </c>
    </row>
    <row r="132" spans="1:7" x14ac:dyDescent="0.25">
      <c r="A132" s="162" t="str">
        <f>A34</f>
        <v>Langtian Yuehui swine Farm</v>
      </c>
      <c r="B132" s="169">
        <f>AVERAGE(B37:D55)</f>
        <v>60.657894736842096</v>
      </c>
      <c r="C132" s="169">
        <f>AVERAGE(E37:G43)</f>
        <v>73.271428571428586</v>
      </c>
      <c r="D132" s="161">
        <v>29497</v>
      </c>
      <c r="E132" s="161">
        <v>10187</v>
      </c>
      <c r="F132" s="161">
        <f t="shared" si="0"/>
        <v>1789225.9210526312</v>
      </c>
      <c r="G132" s="161">
        <f t="shared" si="0"/>
        <v>746416.04285714298</v>
      </c>
    </row>
    <row r="133" spans="1:7" x14ac:dyDescent="0.25">
      <c r="A133" s="162" t="str">
        <f>A56</f>
        <v>Qujiang Fengwan swine Farm</v>
      </c>
      <c r="B133" s="169">
        <f>AVERAGE(B59:D65)</f>
        <v>62.514285714285712</v>
      </c>
      <c r="C133" s="169">
        <f>AVERAGE(E59:G65)</f>
        <v>73.738095238095255</v>
      </c>
      <c r="D133" s="161">
        <v>9686</v>
      </c>
      <c r="E133" s="161">
        <v>11339</v>
      </c>
      <c r="F133" s="161">
        <f t="shared" si="0"/>
        <v>605513.37142857141</v>
      </c>
      <c r="G133" s="161">
        <f t="shared" si="0"/>
        <v>836116.26190476213</v>
      </c>
    </row>
    <row r="134" spans="1:7" x14ac:dyDescent="0.25">
      <c r="A134" s="162" t="str">
        <f>A66</f>
        <v>Pingyuan Zhongshi swine Farm</v>
      </c>
      <c r="B134" s="169">
        <f>AVERAGE(B69:D85)</f>
        <v>59.570588235294117</v>
      </c>
      <c r="C134" s="169">
        <f>AVERAGE(E69:G83)</f>
        <v>75.613333333333344</v>
      </c>
      <c r="D134" s="161">
        <v>26358</v>
      </c>
      <c r="E134" s="161">
        <v>23595</v>
      </c>
      <c r="F134" s="161">
        <f t="shared" si="0"/>
        <v>1570161.5647058825</v>
      </c>
      <c r="G134" s="161">
        <f t="shared" si="0"/>
        <v>1784096.6000000003</v>
      </c>
    </row>
    <row r="135" spans="1:7" x14ac:dyDescent="0.25">
      <c r="A135" s="162" t="str">
        <f>A86</f>
        <v>Yangchun Tanshui swine Farm</v>
      </c>
      <c r="B135" s="169">
        <f>AVERAGE(B89:D106)</f>
        <v>61.678846153846138</v>
      </c>
      <c r="C135" s="169">
        <f>AVERAGE(E89:G95)</f>
        <v>76.795238095238091</v>
      </c>
      <c r="D135" s="161">
        <v>26581</v>
      </c>
      <c r="E135" s="161">
        <v>11657</v>
      </c>
      <c r="F135" s="161">
        <f t="shared" si="0"/>
        <v>1639485.4096153842</v>
      </c>
      <c r="G135" s="161">
        <f t="shared" si="0"/>
        <v>895202.09047619044</v>
      </c>
    </row>
    <row r="136" spans="1:7" x14ac:dyDescent="0.25">
      <c r="A136" s="162" t="str">
        <f>A107</f>
        <v>Xinfeng Shatian swine Farm</v>
      </c>
      <c r="B136" s="169">
        <f>AVERAGE(B110:D112)</f>
        <v>62.283333333333331</v>
      </c>
      <c r="C136" s="169">
        <f>AVERAGE(E110:G112)</f>
        <v>73.344444444444449</v>
      </c>
      <c r="D136" s="161">
        <v>2074</v>
      </c>
      <c r="E136" s="161">
        <v>3790</v>
      </c>
      <c r="F136" s="161">
        <f t="shared" si="0"/>
        <v>129175.63333333333</v>
      </c>
      <c r="G136" s="161">
        <f t="shared" si="0"/>
        <v>277975.44444444444</v>
      </c>
    </row>
    <row r="137" spans="1:7" x14ac:dyDescent="0.25">
      <c r="A137" s="162" t="str">
        <f>A113</f>
        <v>Kaiping Cangcheng swine Farm</v>
      </c>
      <c r="B137" s="169">
        <f>AVERAGE(B116:D119)</f>
        <v>62.141666666666673</v>
      </c>
      <c r="C137" s="169">
        <f>AVERAGE(E116:G124)</f>
        <v>74.011111111111106</v>
      </c>
      <c r="D137" s="161">
        <v>5872</v>
      </c>
      <c r="E137" s="161">
        <v>13987</v>
      </c>
      <c r="F137" s="161">
        <f t="shared" si="0"/>
        <v>364895.8666666667</v>
      </c>
      <c r="G137" s="161">
        <f t="shared" si="0"/>
        <v>1035193.4111111111</v>
      </c>
    </row>
    <row r="138" spans="1:7" x14ac:dyDescent="0.25">
      <c r="A138" s="162" t="s">
        <v>165</v>
      </c>
      <c r="B138" s="169"/>
      <c r="C138" s="169"/>
      <c r="D138" s="161">
        <f>SUM(D129:D137)</f>
        <v>132078</v>
      </c>
      <c r="E138" s="161">
        <f>SUM(E129:E137)</f>
        <v>95993</v>
      </c>
      <c r="F138" s="161">
        <f t="shared" ref="F138:G138" si="1">SUM(F129:F137)</f>
        <v>8109702.1156913582</v>
      </c>
      <c r="G138" s="161">
        <f t="shared" si="1"/>
        <v>7166814.1619047625</v>
      </c>
    </row>
    <row r="140" spans="1:7" x14ac:dyDescent="0.25">
      <c r="C140" s="593" t="s">
        <v>166</v>
      </c>
      <c r="D140" s="594"/>
    </row>
    <row r="141" spans="1:7" x14ac:dyDescent="0.25">
      <c r="C141" s="161" t="s">
        <v>163</v>
      </c>
      <c r="D141" s="161" t="s">
        <v>164</v>
      </c>
    </row>
    <row r="142" spans="1:7" x14ac:dyDescent="0.25">
      <c r="C142" s="171">
        <f>ROUNDDOWN(F138/D138,1)</f>
        <v>61.4</v>
      </c>
      <c r="D142" s="171">
        <f>ROUNDDOWN(G138/E138,1)</f>
        <v>74.599999999999994</v>
      </c>
    </row>
  </sheetData>
  <mergeCells count="33">
    <mergeCell ref="B9:D9"/>
    <mergeCell ref="E9:G9"/>
    <mergeCell ref="A1:G1"/>
    <mergeCell ref="A2:G2"/>
    <mergeCell ref="B3:D3"/>
    <mergeCell ref="E3:G3"/>
    <mergeCell ref="A8:G8"/>
    <mergeCell ref="A16:G16"/>
    <mergeCell ref="B17:D17"/>
    <mergeCell ref="E17:G17"/>
    <mergeCell ref="A34:G34"/>
    <mergeCell ref="B35:D35"/>
    <mergeCell ref="E35:G35"/>
    <mergeCell ref="A56:G56"/>
    <mergeCell ref="B57:D57"/>
    <mergeCell ref="E57:G57"/>
    <mergeCell ref="A66:G66"/>
    <mergeCell ref="B67:D67"/>
    <mergeCell ref="E67:G67"/>
    <mergeCell ref="A86:G86"/>
    <mergeCell ref="B87:D87"/>
    <mergeCell ref="E87:G87"/>
    <mergeCell ref="A107:G107"/>
    <mergeCell ref="B108:D108"/>
    <mergeCell ref="E108:G108"/>
    <mergeCell ref="C140:D140"/>
    <mergeCell ref="A113:G113"/>
    <mergeCell ref="B114:D114"/>
    <mergeCell ref="E114:G114"/>
    <mergeCell ref="A127:A128"/>
    <mergeCell ref="B127:C127"/>
    <mergeCell ref="D127:E127"/>
    <mergeCell ref="F127:G127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Cover page</vt:lpstr>
      <vt:lpstr>SDG Outcomes</vt:lpstr>
      <vt:lpstr>Baseline emission</vt:lpstr>
      <vt:lpstr>Project emission</vt:lpstr>
      <vt:lpstr>Leakage emission</vt:lpstr>
      <vt:lpstr>Emission Reduction</vt:lpstr>
      <vt:lpstr>monitoring results</vt:lpstr>
      <vt:lpstr>Reliability Check</vt:lpstr>
      <vt:lpstr>2020.12</vt:lpstr>
      <vt:lpstr>2021.1</vt:lpstr>
      <vt:lpstr>2021.2</vt:lpstr>
      <vt:lpstr>2021.3</vt:lpstr>
      <vt:lpstr>2021.4</vt:lpstr>
      <vt:lpstr>2021.5</vt:lpstr>
      <vt:lpstr>2021.6</vt:lpstr>
      <vt:lpstr>2021.7</vt:lpstr>
      <vt:lpstr>2021.8</vt:lpstr>
      <vt:lpstr>2021.9</vt:lpstr>
      <vt:lpstr>2021.10</vt:lpstr>
      <vt:lpstr>2021.11</vt:lpstr>
      <vt:lpstr>2021.12</vt:lpstr>
      <vt:lpstr>2022.1</vt:lpstr>
      <vt:lpstr>2022.2</vt:lpstr>
      <vt:lpstr>2022.3</vt:lpstr>
    </vt:vector>
  </TitlesOfParts>
  <Manager>ywert.visser@carbonvietnam.com</Manager>
  <Company>INTRACO Co., Ltd Carbon Consulting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</dc:creator>
  <cp:lastModifiedBy>Joy Sun</cp:lastModifiedBy>
  <cp:lastPrinted>2011-01-07T02:59:39Z</cp:lastPrinted>
  <dcterms:created xsi:type="dcterms:W3CDTF">2006-12-11T01:48:55Z</dcterms:created>
  <dcterms:modified xsi:type="dcterms:W3CDTF">2022-06-30T07:59:25Z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Ywert Visser</vt:lpwstr>
  </property>
</Properties>
</file>