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D:\01 Project\畜禽粪便项目\双胞胎\GS 11335+Shuangbaotai Guangdong\5. Performance Review No.2\d. Feedback Round I\202308014 To CTI\"/>
    </mc:Choice>
  </mc:AlternateContent>
  <xr:revisionPtr revIDLastSave="0" documentId="13_ncr:1_{D1F5A57A-31A9-4C1F-9621-1C4819AB4107}" xr6:coauthVersionLast="47" xr6:coauthVersionMax="47" xr10:uidLastSave="{00000000-0000-0000-0000-000000000000}"/>
  <bookViews>
    <workbookView xWindow="-110" yWindow="-110" windowWidth="19420" windowHeight="10300" tabRatio="714" firstSheet="2" activeTab="6" xr2:uid="{00000000-000D-0000-FFFF-FFFF00000000}"/>
  </bookViews>
  <sheets>
    <sheet name="Cover page" sheetId="6" r:id="rId1"/>
    <sheet name="SDG Outcomes" sheetId="20" r:id="rId2"/>
    <sheet name="Baseline emission" sheetId="21" r:id="rId3"/>
    <sheet name="Project emission" sheetId="23" r:id="rId4"/>
    <sheet name="Leakage emission" sheetId="24" r:id="rId5"/>
    <sheet name="Emission Reduction" sheetId="25" r:id="rId6"/>
    <sheet name="monitoring results" sheetId="8" r:id="rId7"/>
    <sheet name="Reliability Check" sheetId="43" r:id="rId8"/>
    <sheet name="2022.04" sheetId="60" r:id="rId9"/>
    <sheet name="2022.05" sheetId="61" r:id="rId10"/>
    <sheet name="2022.06" sheetId="62" r:id="rId11"/>
    <sheet name="2022.07" sheetId="63" r:id="rId12"/>
    <sheet name="2022.08" sheetId="64" r:id="rId13"/>
    <sheet name="2022.09" sheetId="65" r:id="rId14"/>
    <sheet name="2022.10" sheetId="66" r:id="rId15"/>
    <sheet name="2022.11" sheetId="67" r:id="rId16"/>
    <sheet name="2022.12" sheetId="68" r:id="rId17"/>
    <sheet name="2023.01" sheetId="69" r:id="rId18"/>
    <sheet name="2023.02" sheetId="70" r:id="rId19"/>
    <sheet name="2023.03" sheetId="71" r:id="rId20"/>
  </sheets>
  <externalReferences>
    <externalReference r:id="rId21"/>
    <externalReference r:id="rId22"/>
    <externalReference r:id="rId23"/>
  </externalReferences>
  <definedNames>
    <definedName name="BE_" localSheetId="7">[1]ER!$B$2</definedName>
    <definedName name="BE_">[2]ER!$B$2</definedName>
    <definedName name="ER" localSheetId="7">[1]ER!$B$1</definedName>
    <definedName name="ER">[2]ER!$B$1</definedName>
    <definedName name="LE" localSheetId="7">[1]ER!$B$17</definedName>
    <definedName name="LE">[2]ER!$B$17</definedName>
    <definedName name="PE" localSheetId="7">[1]ER!$B$8</definedName>
    <definedName name="PE">[2]ER!$B$8</definedName>
  </definedNames>
  <calcPr calcId="191029"/>
  <customWorkbookViews>
    <customWorkbookView name="HIEU - Personal View" guid="{2C071143-29D6-4036-A926-BF7E54293313}" mergeInterval="0" personalView="1" maximized="1" windowWidth="1020" windowHeight="57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3" i="8" l="1"/>
  <c r="B6" i="8"/>
  <c r="B7" i="8"/>
  <c r="B8" i="8" s="1"/>
  <c r="B9" i="8" s="1"/>
  <c r="B10" i="8" s="1"/>
  <c r="B11" i="8" s="1"/>
  <c r="B12" i="8" s="1"/>
  <c r="B13" i="8" s="1"/>
  <c r="B14" i="8" s="1"/>
  <c r="B15" i="8" s="1"/>
  <c r="B5" i="8"/>
  <c r="B4" i="8"/>
  <c r="I5" i="8"/>
  <c r="I6" i="8"/>
  <c r="I7" i="8"/>
  <c r="I8" i="8"/>
  <c r="I9" i="8"/>
  <c r="I10" i="8"/>
  <c r="I11" i="8"/>
  <c r="I12" i="8"/>
  <c r="I13" i="8"/>
  <c r="I14" i="8"/>
  <c r="I15" i="8"/>
  <c r="I4" i="8"/>
  <c r="R16" i="8" l="1"/>
  <c r="R17" i="8" s="1"/>
  <c r="Q16" i="8"/>
  <c r="Q17" i="8" s="1"/>
  <c r="P16" i="8"/>
  <c r="P17" i="8" s="1"/>
  <c r="O16" i="8"/>
  <c r="O17" i="8" s="1"/>
  <c r="N16" i="8"/>
  <c r="N17" i="8" s="1"/>
  <c r="M16" i="8"/>
  <c r="M17" i="8" s="1"/>
  <c r="L16" i="8"/>
  <c r="L17" i="8" s="1"/>
  <c r="K16" i="8"/>
  <c r="K17" i="8" s="1"/>
  <c r="J16" i="8"/>
  <c r="J17" i="8" s="1"/>
  <c r="C55" i="8"/>
  <c r="C56" i="8"/>
  <c r="C57" i="8"/>
  <c r="C58" i="8"/>
  <c r="C59" i="8"/>
  <c r="C60" i="8"/>
  <c r="C61" i="8"/>
  <c r="C62" i="8"/>
  <c r="C63" i="8"/>
  <c r="C64" i="8"/>
  <c r="C65" i="8"/>
  <c r="C66" i="8"/>
  <c r="B56" i="8"/>
  <c r="B57" i="8"/>
  <c r="B58" i="8"/>
  <c r="B59" i="8"/>
  <c r="B60" i="8"/>
  <c r="B61" i="8"/>
  <c r="B62" i="8"/>
  <c r="B63" i="8"/>
  <c r="B64" i="8"/>
  <c r="B65" i="8"/>
  <c r="B66" i="8"/>
  <c r="B55" i="8"/>
  <c r="B24" i="8"/>
  <c r="B25" i="8"/>
  <c r="B26" i="8"/>
  <c r="B27" i="8"/>
  <c r="B28" i="8"/>
  <c r="B29" i="8"/>
  <c r="B30" i="8"/>
  <c r="B31" i="8"/>
  <c r="B32" i="8"/>
  <c r="B33" i="8"/>
  <c r="B34" i="8"/>
  <c r="B23" i="8"/>
  <c r="C34" i="8" l="1"/>
  <c r="C33" i="8"/>
  <c r="C32" i="8"/>
  <c r="C31" i="8"/>
  <c r="C30" i="8"/>
  <c r="C29" i="8"/>
  <c r="C28" i="8"/>
  <c r="C27" i="8"/>
  <c r="C26" i="8"/>
  <c r="C25" i="8"/>
  <c r="C24" i="8"/>
  <c r="C23" i="8"/>
  <c r="C35" i="8" s="1"/>
  <c r="H5" i="8" l="1"/>
  <c r="H6" i="8"/>
  <c r="H7" i="8"/>
  <c r="H8" i="8"/>
  <c r="H9" i="8"/>
  <c r="H10" i="8"/>
  <c r="H11" i="8"/>
  <c r="H12" i="8"/>
  <c r="H13" i="8"/>
  <c r="H14" i="8"/>
  <c r="H15" i="8"/>
  <c r="H4" i="8"/>
  <c r="I16" i="8" l="1"/>
  <c r="I17" i="8" s="1"/>
  <c r="D138" i="61" l="1"/>
  <c r="E67" i="8"/>
  <c r="D6" i="20"/>
  <c r="D5" i="20"/>
  <c r="D4" i="20"/>
  <c r="B35" i="8" l="1"/>
  <c r="C130" i="60"/>
  <c r="B6" i="25" l="1"/>
  <c r="C5" i="20" s="1"/>
  <c r="B5" i="25"/>
  <c r="C4" i="20" s="1"/>
  <c r="B16" i="21" l="1"/>
  <c r="A35" i="43" l="1"/>
  <c r="BZ15" i="43"/>
  <c r="BZ14" i="43"/>
  <c r="BZ13" i="43"/>
  <c r="BZ12" i="43"/>
  <c r="BZ11" i="43"/>
  <c r="BZ10" i="43"/>
  <c r="BZ9" i="43"/>
  <c r="BZ8" i="43"/>
  <c r="BZ7" i="43"/>
  <c r="BZ6" i="43"/>
  <c r="BZ5" i="43"/>
  <c r="BX15" i="43"/>
  <c r="BX14" i="43"/>
  <c r="BX13" i="43"/>
  <c r="BX12" i="43"/>
  <c r="BX11" i="43"/>
  <c r="BX10" i="43"/>
  <c r="BX9" i="43"/>
  <c r="BX8" i="43"/>
  <c r="BX7" i="43"/>
  <c r="BX6" i="43"/>
  <c r="BX5" i="43"/>
  <c r="BW15" i="43"/>
  <c r="BW14" i="43"/>
  <c r="BW13" i="43"/>
  <c r="BW12" i="43"/>
  <c r="BW11" i="43"/>
  <c r="BW10" i="43"/>
  <c r="BW9" i="43"/>
  <c r="BW8" i="43"/>
  <c r="BW7" i="43"/>
  <c r="BW6" i="43"/>
  <c r="BW5" i="43"/>
  <c r="BZ4" i="43"/>
  <c r="BY4" i="43"/>
  <c r="BX4" i="43"/>
  <c r="BW4" i="43"/>
  <c r="BQ15" i="43"/>
  <c r="BQ14" i="43"/>
  <c r="BQ13" i="43"/>
  <c r="BQ12" i="43"/>
  <c r="BQ11" i="43"/>
  <c r="BQ10" i="43"/>
  <c r="BQ9" i="43"/>
  <c r="BQ8" i="43"/>
  <c r="BQ7" i="43"/>
  <c r="BQ6" i="43"/>
  <c r="BQ5" i="43"/>
  <c r="BQ4" i="43"/>
  <c r="BP4" i="43"/>
  <c r="BO15" i="43"/>
  <c r="BO14" i="43"/>
  <c r="BO13" i="43"/>
  <c r="BO12" i="43"/>
  <c r="BO11" i="43"/>
  <c r="BO10" i="43"/>
  <c r="BO9" i="43"/>
  <c r="BO8" i="43"/>
  <c r="BO7" i="43"/>
  <c r="BO6" i="43"/>
  <c r="BO5" i="43"/>
  <c r="BO4" i="43"/>
  <c r="BN15" i="43"/>
  <c r="BN14" i="43"/>
  <c r="BN13" i="43"/>
  <c r="BN12" i="43"/>
  <c r="BN11" i="43"/>
  <c r="BN10" i="43"/>
  <c r="BN9" i="43"/>
  <c r="BN8" i="43"/>
  <c r="BN7" i="43"/>
  <c r="BN6" i="43"/>
  <c r="BN5" i="43"/>
  <c r="BN4" i="43"/>
  <c r="BH15" i="43"/>
  <c r="BH14" i="43"/>
  <c r="BH13" i="43"/>
  <c r="BH12" i="43"/>
  <c r="BH11" i="43"/>
  <c r="BH10" i="43"/>
  <c r="BH9" i="43"/>
  <c r="BH8" i="43"/>
  <c r="BH7" i="43"/>
  <c r="BH6" i="43"/>
  <c r="BH5" i="43"/>
  <c r="BH4" i="43"/>
  <c r="BG4" i="43"/>
  <c r="BF15" i="43"/>
  <c r="BF14" i="43"/>
  <c r="BF13" i="43"/>
  <c r="BF12" i="43"/>
  <c r="BF11" i="43"/>
  <c r="BF10" i="43"/>
  <c r="BF9" i="43"/>
  <c r="BF8" i="43"/>
  <c r="BF7" i="43"/>
  <c r="BF6" i="43"/>
  <c r="BF5" i="43"/>
  <c r="BE15" i="43"/>
  <c r="BE14" i="43"/>
  <c r="BE13" i="43"/>
  <c r="BE12" i="43"/>
  <c r="BE11" i="43"/>
  <c r="BE10" i="43"/>
  <c r="BE9" i="43"/>
  <c r="BE8" i="43"/>
  <c r="BE7" i="43"/>
  <c r="BE6" i="43"/>
  <c r="BE5" i="43"/>
  <c r="BF4" i="43"/>
  <c r="BE4" i="43"/>
  <c r="AY15" i="43"/>
  <c r="AY14" i="43"/>
  <c r="AY13" i="43"/>
  <c r="AY12" i="43"/>
  <c r="AY11" i="43"/>
  <c r="AY10" i="43"/>
  <c r="AY9" i="43"/>
  <c r="AY8" i="43"/>
  <c r="AY7" i="43"/>
  <c r="AY6" i="43"/>
  <c r="AY5" i="43"/>
  <c r="AY4" i="43"/>
  <c r="AX4" i="43"/>
  <c r="AW15" i="43"/>
  <c r="AW14" i="43"/>
  <c r="AW13" i="43"/>
  <c r="AW12" i="43"/>
  <c r="AW11" i="43"/>
  <c r="AW10" i="43"/>
  <c r="AW9" i="43"/>
  <c r="AW8" i="43"/>
  <c r="AW7" i="43"/>
  <c r="AW6" i="43"/>
  <c r="AW5" i="43"/>
  <c r="AV15" i="43"/>
  <c r="AV14" i="43"/>
  <c r="AV13" i="43"/>
  <c r="AV12" i="43"/>
  <c r="AV11" i="43"/>
  <c r="AV10" i="43"/>
  <c r="AV9" i="43"/>
  <c r="AV8" i="43"/>
  <c r="AV7" i="43"/>
  <c r="AV6" i="43"/>
  <c r="AV5" i="43"/>
  <c r="AW4" i="43"/>
  <c r="AV4" i="43"/>
  <c r="AP15" i="43"/>
  <c r="AP14" i="43"/>
  <c r="AP13" i="43"/>
  <c r="AP12" i="43"/>
  <c r="AP11" i="43"/>
  <c r="AP10" i="43"/>
  <c r="AP9" i="43"/>
  <c r="AP8" i="43"/>
  <c r="AP7" i="43"/>
  <c r="AP6" i="43"/>
  <c r="AP5" i="43"/>
  <c r="AP4" i="43"/>
  <c r="AO4" i="43"/>
  <c r="AN15" i="43"/>
  <c r="AN14" i="43"/>
  <c r="AN13" i="43"/>
  <c r="AN12" i="43"/>
  <c r="AN11" i="43"/>
  <c r="AN10" i="43"/>
  <c r="AN9" i="43"/>
  <c r="AN8" i="43"/>
  <c r="AN7" i="43"/>
  <c r="AN6" i="43"/>
  <c r="AN5" i="43"/>
  <c r="AM4" i="43"/>
  <c r="AM15" i="43"/>
  <c r="AM14" i="43"/>
  <c r="AM13" i="43"/>
  <c r="AM12" i="43"/>
  <c r="AM11" i="43"/>
  <c r="AM10" i="43"/>
  <c r="AM9" i="43"/>
  <c r="AM8" i="43"/>
  <c r="AM7" i="43"/>
  <c r="AM6" i="43"/>
  <c r="AM5" i="43"/>
  <c r="AN4" i="43"/>
  <c r="AG15" i="43"/>
  <c r="AG14" i="43"/>
  <c r="AG13" i="43"/>
  <c r="AG12" i="43"/>
  <c r="AG11" i="43"/>
  <c r="AG10" i="43"/>
  <c r="AG9" i="43"/>
  <c r="AG8" i="43"/>
  <c r="AG7" i="43"/>
  <c r="AG6" i="43"/>
  <c r="AG5" i="43"/>
  <c r="AG4" i="43"/>
  <c r="AF4" i="43"/>
  <c r="AE15" i="43"/>
  <c r="AE14" i="43"/>
  <c r="AE13" i="43"/>
  <c r="AE12" i="43"/>
  <c r="AE11" i="43"/>
  <c r="AE10" i="43"/>
  <c r="AE9" i="43"/>
  <c r="AE8" i="43"/>
  <c r="AE7" i="43"/>
  <c r="AE6" i="43"/>
  <c r="AE5" i="43"/>
  <c r="AD15" i="43"/>
  <c r="AD14" i="43"/>
  <c r="AD13" i="43"/>
  <c r="AD12" i="43"/>
  <c r="AD11" i="43"/>
  <c r="AD10" i="43"/>
  <c r="AD9" i="43"/>
  <c r="AD8" i="43"/>
  <c r="AD7" i="43"/>
  <c r="AD6" i="43"/>
  <c r="AD5" i="43"/>
  <c r="AE4" i="43"/>
  <c r="AD4" i="43"/>
  <c r="X15" i="43"/>
  <c r="X14" i="43"/>
  <c r="X13" i="43"/>
  <c r="X12" i="43"/>
  <c r="X11" i="43"/>
  <c r="X10" i="43"/>
  <c r="X9" i="43"/>
  <c r="X8" i="43"/>
  <c r="X7" i="43"/>
  <c r="X6" i="43"/>
  <c r="X5" i="43"/>
  <c r="X4" i="43"/>
  <c r="W4" i="43"/>
  <c r="V15" i="43"/>
  <c r="V14" i="43"/>
  <c r="V13" i="43"/>
  <c r="V12" i="43"/>
  <c r="V11" i="43"/>
  <c r="V10" i="43"/>
  <c r="V9" i="43"/>
  <c r="V8" i="43"/>
  <c r="V7" i="43"/>
  <c r="V6" i="43"/>
  <c r="V5" i="43"/>
  <c r="U15" i="43"/>
  <c r="U14" i="43"/>
  <c r="U13" i="43"/>
  <c r="U12" i="43"/>
  <c r="U11" i="43"/>
  <c r="U10" i="43"/>
  <c r="U9" i="43"/>
  <c r="U8" i="43"/>
  <c r="U7" i="43"/>
  <c r="U6" i="43"/>
  <c r="U5" i="43"/>
  <c r="V4" i="43"/>
  <c r="N4" i="43"/>
  <c r="U4" i="43"/>
  <c r="O15" i="43"/>
  <c r="O14" i="43"/>
  <c r="O13" i="43"/>
  <c r="O12" i="43"/>
  <c r="O11" i="43"/>
  <c r="O10" i="43"/>
  <c r="O9" i="43"/>
  <c r="O8" i="43"/>
  <c r="O7" i="43"/>
  <c r="O6" i="43"/>
  <c r="O5" i="43"/>
  <c r="F15" i="43"/>
  <c r="F14" i="43"/>
  <c r="F13" i="43"/>
  <c r="F12" i="43"/>
  <c r="F11" i="43"/>
  <c r="F10" i="43"/>
  <c r="F9" i="43"/>
  <c r="F8" i="43"/>
  <c r="F7" i="43"/>
  <c r="F6" i="43"/>
  <c r="F5" i="43"/>
  <c r="F4" i="43"/>
  <c r="O4" i="43"/>
  <c r="M15" i="43"/>
  <c r="M14" i="43"/>
  <c r="M13" i="43"/>
  <c r="M12" i="43"/>
  <c r="M11" i="43"/>
  <c r="M10" i="43"/>
  <c r="M9" i="43"/>
  <c r="M8" i="43"/>
  <c r="M7" i="43"/>
  <c r="M6" i="43"/>
  <c r="M5" i="43"/>
  <c r="M4" i="43"/>
  <c r="L15" i="43"/>
  <c r="L14" i="43"/>
  <c r="L13" i="43"/>
  <c r="L12" i="43"/>
  <c r="L11" i="43"/>
  <c r="L10" i="43"/>
  <c r="L9" i="43"/>
  <c r="L8" i="43"/>
  <c r="L7" i="43"/>
  <c r="L6" i="43"/>
  <c r="L5" i="43"/>
  <c r="L4" i="43"/>
  <c r="E4" i="43"/>
  <c r="D15" i="43"/>
  <c r="D14" i="43"/>
  <c r="D13" i="43"/>
  <c r="D12" i="43"/>
  <c r="D11" i="43"/>
  <c r="D10" i="43"/>
  <c r="D9" i="43"/>
  <c r="D8" i="43"/>
  <c r="D7" i="43"/>
  <c r="D6" i="43"/>
  <c r="D5" i="43"/>
  <c r="C15" i="43"/>
  <c r="C14" i="43"/>
  <c r="C13" i="43"/>
  <c r="C12" i="43"/>
  <c r="C11" i="43"/>
  <c r="C10" i="43"/>
  <c r="C9" i="43"/>
  <c r="C8" i="43"/>
  <c r="C7" i="43"/>
  <c r="C6" i="43"/>
  <c r="C5" i="43"/>
  <c r="C4" i="43"/>
  <c r="D4" i="43"/>
  <c r="C14" i="8"/>
  <c r="E138" i="71"/>
  <c r="C15" i="8" s="1"/>
  <c r="C137" i="71"/>
  <c r="G137" i="71" s="1"/>
  <c r="B137" i="71"/>
  <c r="A137" i="71"/>
  <c r="C136" i="71"/>
  <c r="G136" i="71" s="1"/>
  <c r="B136" i="71"/>
  <c r="A136" i="71"/>
  <c r="C135" i="71"/>
  <c r="G135" i="71" s="1"/>
  <c r="B135" i="71"/>
  <c r="A135" i="71"/>
  <c r="C134" i="71"/>
  <c r="G134" i="71" s="1"/>
  <c r="B134" i="71"/>
  <c r="A134" i="71"/>
  <c r="C133" i="71"/>
  <c r="G133" i="71" s="1"/>
  <c r="B133" i="71"/>
  <c r="A133" i="71"/>
  <c r="C132" i="71"/>
  <c r="G132" i="71" s="1"/>
  <c r="B132" i="71"/>
  <c r="A132" i="71"/>
  <c r="C131" i="71"/>
  <c r="G131" i="71" s="1"/>
  <c r="B131" i="71"/>
  <c r="A131" i="71"/>
  <c r="C130" i="71"/>
  <c r="G130" i="71" s="1"/>
  <c r="B130" i="71"/>
  <c r="A130" i="71"/>
  <c r="G129" i="71"/>
  <c r="C129" i="71"/>
  <c r="B129" i="71"/>
  <c r="A129" i="71"/>
  <c r="E138" i="70"/>
  <c r="C137" i="70"/>
  <c r="G137" i="70" s="1"/>
  <c r="B137" i="70"/>
  <c r="A137" i="70"/>
  <c r="C136" i="70"/>
  <c r="G136" i="70" s="1"/>
  <c r="B136" i="70"/>
  <c r="A136" i="70"/>
  <c r="C135" i="70"/>
  <c r="G135" i="70" s="1"/>
  <c r="B135" i="70"/>
  <c r="A135" i="70"/>
  <c r="C134" i="70"/>
  <c r="G134" i="70" s="1"/>
  <c r="B134" i="70"/>
  <c r="F134" i="70" s="1"/>
  <c r="A134" i="70"/>
  <c r="C133" i="70"/>
  <c r="G133" i="70" s="1"/>
  <c r="B133" i="70"/>
  <c r="A133" i="70"/>
  <c r="C132" i="70"/>
  <c r="G132" i="70" s="1"/>
  <c r="B132" i="70"/>
  <c r="A132" i="70"/>
  <c r="C131" i="70"/>
  <c r="G131" i="70" s="1"/>
  <c r="B131" i="70"/>
  <c r="A131" i="70"/>
  <c r="C130" i="70"/>
  <c r="G130" i="70" s="1"/>
  <c r="B130" i="70"/>
  <c r="F130" i="70" s="1"/>
  <c r="A130" i="70"/>
  <c r="G129" i="70"/>
  <c r="C129" i="70"/>
  <c r="B129" i="70"/>
  <c r="A129" i="70"/>
  <c r="E138" i="69"/>
  <c r="C13" i="8" s="1"/>
  <c r="C137" i="69"/>
  <c r="G137" i="69" s="1"/>
  <c r="B137" i="69"/>
  <c r="A137" i="69"/>
  <c r="C136" i="69"/>
  <c r="G136" i="69" s="1"/>
  <c r="B136" i="69"/>
  <c r="A136" i="69"/>
  <c r="C135" i="69"/>
  <c r="G135" i="69" s="1"/>
  <c r="B135" i="69"/>
  <c r="A135" i="69"/>
  <c r="C134" i="69"/>
  <c r="G134" i="69" s="1"/>
  <c r="B134" i="69"/>
  <c r="A134" i="69"/>
  <c r="C133" i="69"/>
  <c r="G133" i="69" s="1"/>
  <c r="B133" i="69"/>
  <c r="A133" i="69"/>
  <c r="C132" i="69"/>
  <c r="G132" i="69" s="1"/>
  <c r="B132" i="69"/>
  <c r="A132" i="69"/>
  <c r="C131" i="69"/>
  <c r="G131" i="69" s="1"/>
  <c r="B131" i="69"/>
  <c r="A131" i="69"/>
  <c r="C130" i="69"/>
  <c r="G130" i="69" s="1"/>
  <c r="B130" i="69"/>
  <c r="A130" i="69"/>
  <c r="C129" i="69"/>
  <c r="G129" i="69" s="1"/>
  <c r="B129" i="69"/>
  <c r="A129" i="69"/>
  <c r="E138" i="68"/>
  <c r="C12" i="8" s="1"/>
  <c r="C137" i="68"/>
  <c r="G137" i="68" s="1"/>
  <c r="B137" i="68"/>
  <c r="A137" i="68"/>
  <c r="C136" i="68"/>
  <c r="G136" i="68" s="1"/>
  <c r="B136" i="68"/>
  <c r="A136" i="68"/>
  <c r="C135" i="68"/>
  <c r="G135" i="68" s="1"/>
  <c r="B135" i="68"/>
  <c r="A135" i="68"/>
  <c r="C134" i="68"/>
  <c r="G134" i="68" s="1"/>
  <c r="B134" i="68"/>
  <c r="F134" i="68" s="1"/>
  <c r="A134" i="68"/>
  <c r="C133" i="68"/>
  <c r="G133" i="68" s="1"/>
  <c r="B133" i="68"/>
  <c r="A133" i="68"/>
  <c r="C132" i="68"/>
  <c r="G132" i="68" s="1"/>
  <c r="B132" i="68"/>
  <c r="A132" i="68"/>
  <c r="C131" i="68"/>
  <c r="G131" i="68" s="1"/>
  <c r="B131" i="68"/>
  <c r="A131" i="68"/>
  <c r="F130" i="68"/>
  <c r="C130" i="68"/>
  <c r="G130" i="68" s="1"/>
  <c r="B130" i="68"/>
  <c r="A130" i="68"/>
  <c r="C129" i="68"/>
  <c r="G129" i="68" s="1"/>
  <c r="B129" i="68"/>
  <c r="A129" i="68"/>
  <c r="E138" i="67"/>
  <c r="C11" i="8" s="1"/>
  <c r="C137" i="67"/>
  <c r="G137" i="67" s="1"/>
  <c r="B137" i="67"/>
  <c r="A137" i="67"/>
  <c r="C136" i="67"/>
  <c r="G136" i="67" s="1"/>
  <c r="B136" i="67"/>
  <c r="A136" i="67"/>
  <c r="C135" i="67"/>
  <c r="G135" i="67" s="1"/>
  <c r="B135" i="67"/>
  <c r="A135" i="67"/>
  <c r="C134" i="67"/>
  <c r="G134" i="67" s="1"/>
  <c r="B134" i="67"/>
  <c r="A134" i="67"/>
  <c r="C133" i="67"/>
  <c r="G133" i="67" s="1"/>
  <c r="B133" i="67"/>
  <c r="A133" i="67"/>
  <c r="C132" i="67"/>
  <c r="G132" i="67" s="1"/>
  <c r="B132" i="67"/>
  <c r="A132" i="67"/>
  <c r="C131" i="67"/>
  <c r="G131" i="67" s="1"/>
  <c r="B131" i="67"/>
  <c r="A131" i="67"/>
  <c r="C130" i="67"/>
  <c r="G130" i="67" s="1"/>
  <c r="B130" i="67"/>
  <c r="A130" i="67"/>
  <c r="C129" i="67"/>
  <c r="G129" i="67" s="1"/>
  <c r="B129" i="67"/>
  <c r="A129" i="67"/>
  <c r="E138" i="66"/>
  <c r="C10" i="8" s="1"/>
  <c r="C137" i="66"/>
  <c r="G137" i="66" s="1"/>
  <c r="B137" i="66"/>
  <c r="A137" i="66"/>
  <c r="C136" i="66"/>
  <c r="G136" i="66" s="1"/>
  <c r="B136" i="66"/>
  <c r="A136" i="66"/>
  <c r="C135" i="66"/>
  <c r="G135" i="66" s="1"/>
  <c r="B135" i="66"/>
  <c r="A135" i="66"/>
  <c r="C134" i="66"/>
  <c r="G134" i="66" s="1"/>
  <c r="B134" i="66"/>
  <c r="F134" i="66" s="1"/>
  <c r="A134" i="66"/>
  <c r="C133" i="66"/>
  <c r="G133" i="66" s="1"/>
  <c r="B133" i="66"/>
  <c r="A133" i="66"/>
  <c r="C132" i="66"/>
  <c r="G132" i="66" s="1"/>
  <c r="B132" i="66"/>
  <c r="A132" i="66"/>
  <c r="C131" i="66"/>
  <c r="G131" i="66" s="1"/>
  <c r="B131" i="66"/>
  <c r="A131" i="66"/>
  <c r="C130" i="66"/>
  <c r="G130" i="66" s="1"/>
  <c r="B130" i="66"/>
  <c r="F130" i="66" s="1"/>
  <c r="A130" i="66"/>
  <c r="G129" i="66"/>
  <c r="C129" i="66"/>
  <c r="B129" i="66"/>
  <c r="A129" i="66"/>
  <c r="E138" i="65"/>
  <c r="C9" i="8" s="1"/>
  <c r="C137" i="65"/>
  <c r="G137" i="65" s="1"/>
  <c r="B137" i="65"/>
  <c r="A137" i="65"/>
  <c r="C136" i="65"/>
  <c r="G136" i="65" s="1"/>
  <c r="B136" i="65"/>
  <c r="A136" i="65"/>
  <c r="C135" i="65"/>
  <c r="G135" i="65" s="1"/>
  <c r="B135" i="65"/>
  <c r="A135" i="65"/>
  <c r="C134" i="65"/>
  <c r="G134" i="65" s="1"/>
  <c r="B134" i="65"/>
  <c r="A134" i="65"/>
  <c r="C133" i="65"/>
  <c r="G133" i="65" s="1"/>
  <c r="B133" i="65"/>
  <c r="A133" i="65"/>
  <c r="C132" i="65"/>
  <c r="G132" i="65" s="1"/>
  <c r="B132" i="65"/>
  <c r="A132" i="65"/>
  <c r="C131" i="65"/>
  <c r="G131" i="65" s="1"/>
  <c r="B131" i="65"/>
  <c r="A131" i="65"/>
  <c r="C130" i="65"/>
  <c r="G130" i="65" s="1"/>
  <c r="B130" i="65"/>
  <c r="A130" i="65"/>
  <c r="C129" i="65"/>
  <c r="G129" i="65" s="1"/>
  <c r="B129" i="65"/>
  <c r="A129" i="65"/>
  <c r="E138" i="64"/>
  <c r="C8" i="8" s="1"/>
  <c r="C137" i="64"/>
  <c r="G137" i="64" s="1"/>
  <c r="B137" i="64"/>
  <c r="F137" i="64" s="1"/>
  <c r="A137" i="64"/>
  <c r="C136" i="64"/>
  <c r="G136" i="64" s="1"/>
  <c r="B136" i="64"/>
  <c r="A136" i="64"/>
  <c r="G135" i="64"/>
  <c r="C135" i="64"/>
  <c r="B135" i="64"/>
  <c r="A135" i="64"/>
  <c r="C134" i="64"/>
  <c r="G134" i="64" s="1"/>
  <c r="B134" i="64"/>
  <c r="F134" i="64" s="1"/>
  <c r="A134" i="64"/>
  <c r="C133" i="64"/>
  <c r="G133" i="64" s="1"/>
  <c r="B133" i="64"/>
  <c r="F133" i="64" s="1"/>
  <c r="A133" i="64"/>
  <c r="C132" i="64"/>
  <c r="G132" i="64" s="1"/>
  <c r="B132" i="64"/>
  <c r="A132" i="64"/>
  <c r="C131" i="64"/>
  <c r="G131" i="64" s="1"/>
  <c r="B131" i="64"/>
  <c r="A131" i="64"/>
  <c r="C130" i="64"/>
  <c r="G130" i="64" s="1"/>
  <c r="B130" i="64"/>
  <c r="F130" i="64" s="1"/>
  <c r="A130" i="64"/>
  <c r="C129" i="64"/>
  <c r="G129" i="64" s="1"/>
  <c r="B129" i="64"/>
  <c r="F129" i="64" s="1"/>
  <c r="A129" i="64"/>
  <c r="E138" i="63"/>
  <c r="C7" i="8" s="1"/>
  <c r="C137" i="63"/>
  <c r="G137" i="63" s="1"/>
  <c r="B137" i="63"/>
  <c r="A137" i="63"/>
  <c r="C136" i="63"/>
  <c r="G136" i="63" s="1"/>
  <c r="B136" i="63"/>
  <c r="A136" i="63"/>
  <c r="C135" i="63"/>
  <c r="G135" i="63" s="1"/>
  <c r="B135" i="63"/>
  <c r="A135" i="63"/>
  <c r="C134" i="63"/>
  <c r="G134" i="63" s="1"/>
  <c r="B134" i="63"/>
  <c r="A134" i="63"/>
  <c r="C133" i="63"/>
  <c r="G133" i="63" s="1"/>
  <c r="B133" i="63"/>
  <c r="A133" i="63"/>
  <c r="C132" i="63"/>
  <c r="G132" i="63" s="1"/>
  <c r="B132" i="63"/>
  <c r="A132" i="63"/>
  <c r="C131" i="63"/>
  <c r="G131" i="63" s="1"/>
  <c r="B131" i="63"/>
  <c r="A131" i="63"/>
  <c r="C130" i="63"/>
  <c r="G130" i="63" s="1"/>
  <c r="B130" i="63"/>
  <c r="A130" i="63"/>
  <c r="G129" i="63"/>
  <c r="C129" i="63"/>
  <c r="B129" i="63"/>
  <c r="A129" i="63"/>
  <c r="E138" i="62"/>
  <c r="C6" i="8" s="1"/>
  <c r="C137" i="62"/>
  <c r="G137" i="62" s="1"/>
  <c r="B137" i="62"/>
  <c r="F137" i="62" s="1"/>
  <c r="A137" i="62"/>
  <c r="C136" i="62"/>
  <c r="G136" i="62" s="1"/>
  <c r="B136" i="62"/>
  <c r="A136" i="62"/>
  <c r="C135" i="62"/>
  <c r="G135" i="62" s="1"/>
  <c r="B135" i="62"/>
  <c r="A135" i="62"/>
  <c r="C134" i="62"/>
  <c r="G134" i="62" s="1"/>
  <c r="B134" i="62"/>
  <c r="F134" i="62" s="1"/>
  <c r="A134" i="62"/>
  <c r="C133" i="62"/>
  <c r="G133" i="62" s="1"/>
  <c r="B133" i="62"/>
  <c r="F133" i="62" s="1"/>
  <c r="A133" i="62"/>
  <c r="C132" i="62"/>
  <c r="G132" i="62" s="1"/>
  <c r="B132" i="62"/>
  <c r="A132" i="62"/>
  <c r="C131" i="62"/>
  <c r="G131" i="62" s="1"/>
  <c r="B131" i="62"/>
  <c r="A131" i="62"/>
  <c r="C130" i="62"/>
  <c r="G130" i="62" s="1"/>
  <c r="B130" i="62"/>
  <c r="F130" i="62" s="1"/>
  <c r="A130" i="62"/>
  <c r="C129" i="62"/>
  <c r="G129" i="62" s="1"/>
  <c r="B129" i="62"/>
  <c r="F129" i="62" s="1"/>
  <c r="A129" i="62"/>
  <c r="E138" i="61"/>
  <c r="C5" i="8" s="1"/>
  <c r="C137" i="61"/>
  <c r="G137" i="61" s="1"/>
  <c r="B137" i="61"/>
  <c r="F137" i="61" s="1"/>
  <c r="A137" i="61"/>
  <c r="C136" i="61"/>
  <c r="G136" i="61" s="1"/>
  <c r="B136" i="61"/>
  <c r="A136" i="61"/>
  <c r="C135" i="61"/>
  <c r="G135" i="61" s="1"/>
  <c r="B135" i="61"/>
  <c r="F135" i="61" s="1"/>
  <c r="A135" i="61"/>
  <c r="C134" i="61"/>
  <c r="G134" i="61" s="1"/>
  <c r="B134" i="61"/>
  <c r="F134" i="61" s="1"/>
  <c r="A134" i="61"/>
  <c r="C133" i="61"/>
  <c r="G133" i="61" s="1"/>
  <c r="B133" i="61"/>
  <c r="F133" i="61" s="1"/>
  <c r="A133" i="61"/>
  <c r="C132" i="61"/>
  <c r="G132" i="61" s="1"/>
  <c r="B132" i="61"/>
  <c r="A132" i="61"/>
  <c r="C131" i="61"/>
  <c r="G131" i="61" s="1"/>
  <c r="B131" i="61"/>
  <c r="F131" i="61" s="1"/>
  <c r="A131" i="61"/>
  <c r="C130" i="61"/>
  <c r="G130" i="61" s="1"/>
  <c r="B130" i="61"/>
  <c r="F130" i="61" s="1"/>
  <c r="A130" i="61"/>
  <c r="F129" i="61"/>
  <c r="C129" i="61"/>
  <c r="G129" i="61" s="1"/>
  <c r="B129" i="61"/>
  <c r="A129" i="61"/>
  <c r="E138" i="60"/>
  <c r="C4" i="8" s="1"/>
  <c r="D138" i="60"/>
  <c r="C137" i="60"/>
  <c r="G137" i="60" s="1"/>
  <c r="B137" i="60"/>
  <c r="F137" i="60" s="1"/>
  <c r="A137" i="60"/>
  <c r="C136" i="60"/>
  <c r="G136" i="60" s="1"/>
  <c r="B136" i="60"/>
  <c r="F136" i="60" s="1"/>
  <c r="A136" i="60"/>
  <c r="C135" i="60"/>
  <c r="G135" i="60" s="1"/>
  <c r="B135" i="60"/>
  <c r="F135" i="60" s="1"/>
  <c r="A135" i="60"/>
  <c r="C134" i="60"/>
  <c r="G134" i="60" s="1"/>
  <c r="B134" i="60"/>
  <c r="F134" i="60" s="1"/>
  <c r="A134" i="60"/>
  <c r="C133" i="60"/>
  <c r="G133" i="60" s="1"/>
  <c r="B133" i="60"/>
  <c r="F133" i="60" s="1"/>
  <c r="A133" i="60"/>
  <c r="C132" i="60"/>
  <c r="G132" i="60" s="1"/>
  <c r="B132" i="60"/>
  <c r="F132" i="60" s="1"/>
  <c r="A132" i="60"/>
  <c r="C131" i="60"/>
  <c r="G131" i="60" s="1"/>
  <c r="B131" i="60"/>
  <c r="F131" i="60" s="1"/>
  <c r="A131" i="60"/>
  <c r="G130" i="60"/>
  <c r="B130" i="60"/>
  <c r="F130" i="60" s="1"/>
  <c r="A130" i="60"/>
  <c r="C129" i="60"/>
  <c r="G129" i="60" s="1"/>
  <c r="B129" i="60"/>
  <c r="F129" i="60" s="1"/>
  <c r="A129" i="60"/>
  <c r="G138" i="64" l="1"/>
  <c r="D142" i="64" s="1"/>
  <c r="E8" i="8" s="1"/>
  <c r="G138" i="62"/>
  <c r="D142" i="62" s="1"/>
  <c r="E6" i="8" s="1"/>
  <c r="G138" i="60"/>
  <c r="D142" i="60" s="1"/>
  <c r="E4" i="8" s="1"/>
  <c r="I4" i="43"/>
  <c r="B9" i="43"/>
  <c r="B11" i="43"/>
  <c r="B12" i="43"/>
  <c r="B8" i="43"/>
  <c r="B13" i="43"/>
  <c r="B14" i="43"/>
  <c r="B15" i="43"/>
  <c r="B5" i="43"/>
  <c r="B6" i="43"/>
  <c r="AT4" i="43"/>
  <c r="B10" i="43"/>
  <c r="B7" i="43"/>
  <c r="B4" i="43"/>
  <c r="G138" i="66"/>
  <c r="D142" i="66" s="1"/>
  <c r="E10" i="8" s="1"/>
  <c r="G138" i="67"/>
  <c r="D142" i="67" s="1"/>
  <c r="E11" i="8" s="1"/>
  <c r="G138" i="70"/>
  <c r="D142" i="70" s="1"/>
  <c r="E14" i="8" s="1"/>
  <c r="G138" i="71"/>
  <c r="D142" i="71" s="1"/>
  <c r="E15" i="8" s="1"/>
  <c r="F138" i="60"/>
  <c r="C142" i="60" s="1"/>
  <c r="D4" i="8" s="1"/>
  <c r="G138" i="61"/>
  <c r="D142" i="61" s="1"/>
  <c r="E5" i="8" s="1"/>
  <c r="G138" i="65"/>
  <c r="D142" i="65" s="1"/>
  <c r="E9" i="8" s="1"/>
  <c r="G138" i="68"/>
  <c r="D142" i="68" s="1"/>
  <c r="E12" i="8" s="1"/>
  <c r="G138" i="69"/>
  <c r="D142" i="69" s="1"/>
  <c r="E13" i="8" s="1"/>
  <c r="G138" i="63"/>
  <c r="D142" i="63" s="1"/>
  <c r="E7" i="8" s="1"/>
  <c r="F136" i="63"/>
  <c r="F132" i="71"/>
  <c r="F136" i="71"/>
  <c r="F132" i="61"/>
  <c r="F136" i="61"/>
  <c r="F138" i="61" s="1"/>
  <c r="F132" i="65"/>
  <c r="F136" i="65"/>
  <c r="F132" i="67"/>
  <c r="F136" i="67"/>
  <c r="F131" i="63"/>
  <c r="F135" i="63"/>
  <c r="F131" i="65"/>
  <c r="F135" i="65"/>
  <c r="F133" i="66"/>
  <c r="F137" i="66"/>
  <c r="F131" i="67"/>
  <c r="F135" i="67"/>
  <c r="F133" i="68"/>
  <c r="F137" i="68"/>
  <c r="F131" i="69"/>
  <c r="F135" i="69"/>
  <c r="F133" i="70"/>
  <c r="F137" i="70"/>
  <c r="F131" i="71"/>
  <c r="F135" i="71"/>
  <c r="F132" i="63"/>
  <c r="F132" i="69"/>
  <c r="F136" i="69"/>
  <c r="F132" i="62"/>
  <c r="F136" i="62"/>
  <c r="F130" i="63"/>
  <c r="F134" i="63"/>
  <c r="F132" i="64"/>
  <c r="F136" i="64"/>
  <c r="F130" i="65"/>
  <c r="F134" i="65"/>
  <c r="F132" i="66"/>
  <c r="F136" i="66"/>
  <c r="F130" i="67"/>
  <c r="F134" i="67"/>
  <c r="F132" i="68"/>
  <c r="F136" i="68"/>
  <c r="F130" i="69"/>
  <c r="F134" i="69"/>
  <c r="F132" i="70"/>
  <c r="F136" i="70"/>
  <c r="F130" i="71"/>
  <c r="F134" i="71"/>
  <c r="F131" i="62"/>
  <c r="F135" i="62"/>
  <c r="F133" i="63"/>
  <c r="F137" i="63"/>
  <c r="F131" i="64"/>
  <c r="F135" i="64"/>
  <c r="F133" i="65"/>
  <c r="F137" i="65"/>
  <c r="F131" i="66"/>
  <c r="F135" i="66"/>
  <c r="F133" i="67"/>
  <c r="F137" i="67"/>
  <c r="F131" i="68"/>
  <c r="F135" i="68"/>
  <c r="F133" i="69"/>
  <c r="F137" i="69"/>
  <c r="F131" i="70"/>
  <c r="F135" i="70"/>
  <c r="F133" i="71"/>
  <c r="F137" i="71"/>
  <c r="C142" i="61" l="1"/>
  <c r="D5" i="8" s="1"/>
  <c r="F138" i="62"/>
  <c r="E16" i="8"/>
  <c r="F138" i="64"/>
  <c r="G4" i="43"/>
  <c r="AR5" i="43"/>
  <c r="D138" i="63"/>
  <c r="F129" i="63"/>
  <c r="F138" i="63" s="1"/>
  <c r="C142" i="63" s="1"/>
  <c r="D7" i="8" s="1"/>
  <c r="D138" i="70"/>
  <c r="F129" i="70"/>
  <c r="F138" i="70" s="1"/>
  <c r="C142" i="70" s="1"/>
  <c r="D14" i="8" s="1"/>
  <c r="F129" i="69"/>
  <c r="F138" i="69" s="1"/>
  <c r="C142" i="69" s="1"/>
  <c r="D13" i="8" s="1"/>
  <c r="D138" i="69"/>
  <c r="D138" i="66"/>
  <c r="F129" i="66"/>
  <c r="F138" i="66" s="1"/>
  <c r="C142" i="66" s="1"/>
  <c r="D10" i="8" s="1"/>
  <c r="F129" i="65"/>
  <c r="F138" i="65" s="1"/>
  <c r="D138" i="65"/>
  <c r="F129" i="67"/>
  <c r="F138" i="67" s="1"/>
  <c r="C142" i="67" s="1"/>
  <c r="D11" i="8" s="1"/>
  <c r="D138" i="67"/>
  <c r="F129" i="71"/>
  <c r="F138" i="71" s="1"/>
  <c r="D138" i="71"/>
  <c r="D138" i="68"/>
  <c r="F129" i="68"/>
  <c r="F138" i="68" s="1"/>
  <c r="C142" i="68" s="1"/>
  <c r="D12" i="8" s="1"/>
  <c r="D138" i="62"/>
  <c r="D138" i="64"/>
  <c r="C142" i="64" l="1"/>
  <c r="D8" i="8" s="1"/>
  <c r="C142" i="62"/>
  <c r="D6" i="8" s="1"/>
  <c r="C142" i="65"/>
  <c r="D9" i="8" s="1"/>
  <c r="C142" i="71"/>
  <c r="D15" i="8" s="1"/>
  <c r="B27" i="23" l="1"/>
  <c r="C14" i="21" l="1"/>
  <c r="L55" i="8" l="1"/>
  <c r="K67" i="8"/>
  <c r="F55" i="8"/>
  <c r="A23" i="8"/>
  <c r="C16" i="8"/>
  <c r="B16" i="8"/>
  <c r="BA4" i="43" l="1"/>
  <c r="BI4" i="43"/>
  <c r="CB4" i="43"/>
  <c r="CA4" i="43"/>
  <c r="BR4" i="43"/>
  <c r="BS4" i="43"/>
  <c r="BJ4" i="43"/>
  <c r="BU4" i="43"/>
  <c r="CD4" i="43"/>
  <c r="BY5" i="43"/>
  <c r="CC4" i="43"/>
  <c r="BL4" i="43"/>
  <c r="BP5" i="43"/>
  <c r="BT4" i="43"/>
  <c r="BG5" i="43"/>
  <c r="BK4" i="43"/>
  <c r="CE4" i="43" l="1"/>
  <c r="CC5" i="43"/>
  <c r="BY6" i="43"/>
  <c r="CD5" i="43"/>
  <c r="BT5" i="43"/>
  <c r="BP6" i="43"/>
  <c r="BU5" i="43"/>
  <c r="BV4" i="43"/>
  <c r="BM4" i="43"/>
  <c r="BK5" i="43"/>
  <c r="BG6" i="43"/>
  <c r="BL5" i="43"/>
  <c r="CC6" i="43" l="1"/>
  <c r="BY7" i="43"/>
  <c r="CD6" i="43"/>
  <c r="BP7" i="43"/>
  <c r="BT6" i="43"/>
  <c r="BU6" i="43"/>
  <c r="BG7" i="43"/>
  <c r="BK6" i="43"/>
  <c r="BL6" i="43"/>
  <c r="BY8" i="43" l="1"/>
  <c r="CD7" i="43"/>
  <c r="CC7" i="43"/>
  <c r="BP8" i="43"/>
  <c r="BU7" i="43"/>
  <c r="BT7" i="43"/>
  <c r="BG8" i="43"/>
  <c r="BL7" i="43"/>
  <c r="BK7" i="43"/>
  <c r="BY9" i="43" l="1"/>
  <c r="CC8" i="43"/>
  <c r="CD8" i="43"/>
  <c r="BP9" i="43"/>
  <c r="BU8" i="43"/>
  <c r="BT8" i="43"/>
  <c r="BG9" i="43"/>
  <c r="BL8" i="43"/>
  <c r="BK8" i="43"/>
  <c r="BY10" i="43" l="1"/>
  <c r="CC9" i="43"/>
  <c r="CD9" i="43"/>
  <c r="BP10" i="43"/>
  <c r="BT9" i="43"/>
  <c r="BU9" i="43"/>
  <c r="BK9" i="43"/>
  <c r="BG10" i="43"/>
  <c r="BL9" i="43"/>
  <c r="CC10" i="43" l="1"/>
  <c r="BY11" i="43"/>
  <c r="CD10" i="43"/>
  <c r="BT10" i="43"/>
  <c r="BP11" i="43"/>
  <c r="BU10" i="43"/>
  <c r="BK10" i="43"/>
  <c r="BG11" i="43"/>
  <c r="BL10" i="43"/>
  <c r="CC11" i="43" l="1"/>
  <c r="BY12" i="43"/>
  <c r="CD11" i="43"/>
  <c r="BT11" i="43"/>
  <c r="BP12" i="43"/>
  <c r="BU11" i="43"/>
  <c r="BK11" i="43"/>
  <c r="BG12" i="43"/>
  <c r="BL11" i="43"/>
  <c r="CD12" i="43" l="1"/>
  <c r="CC12" i="43"/>
  <c r="BY13" i="43"/>
  <c r="BU12" i="43"/>
  <c r="BT12" i="43"/>
  <c r="BP13" i="43"/>
  <c r="BL12" i="43"/>
  <c r="BK12" i="43"/>
  <c r="BG13" i="43"/>
  <c r="CC13" i="43" l="1"/>
  <c r="CD13" i="43"/>
  <c r="BY14" i="43"/>
  <c r="BT13" i="43"/>
  <c r="BP14" i="43"/>
  <c r="BU13" i="43"/>
  <c r="BK13" i="43"/>
  <c r="BG14" i="43"/>
  <c r="BL13" i="43"/>
  <c r="BY15" i="43" l="1"/>
  <c r="CC14" i="43"/>
  <c r="CD14" i="43"/>
  <c r="BP15" i="43"/>
  <c r="BT14" i="43"/>
  <c r="BU14" i="43"/>
  <c r="BG15" i="43"/>
  <c r="BK14" i="43"/>
  <c r="BL14" i="43"/>
  <c r="CD15" i="43" l="1"/>
  <c r="CC15" i="43"/>
  <c r="BU15" i="43"/>
  <c r="BT15" i="43"/>
  <c r="BL15" i="43"/>
  <c r="BK15" i="43"/>
  <c r="C43" i="21" l="1"/>
  <c r="C42" i="21"/>
  <c r="C41" i="21"/>
  <c r="C40" i="21"/>
  <c r="C39" i="21"/>
  <c r="C38" i="21"/>
  <c r="C37" i="21"/>
  <c r="C36" i="21"/>
  <c r="C35" i="21"/>
  <c r="C34" i="21"/>
  <c r="C33" i="21" l="1"/>
  <c r="C32" i="21"/>
  <c r="B43" i="21" l="1"/>
  <c r="B42" i="21"/>
  <c r="B40" i="21"/>
  <c r="B41" i="21"/>
  <c r="B36" i="21" l="1"/>
  <c r="B34" i="21"/>
  <c r="B37" i="21"/>
  <c r="B35" i="21"/>
  <c r="B39" i="21"/>
  <c r="B38" i="21"/>
  <c r="B32" i="21" l="1"/>
  <c r="B33" i="21"/>
  <c r="C20" i="21"/>
  <c r="C21" i="21"/>
  <c r="C22" i="21"/>
  <c r="C23" i="21"/>
  <c r="C24" i="21"/>
  <c r="C25" i="21"/>
  <c r="C26" i="21"/>
  <c r="C27" i="21"/>
  <c r="C28" i="21"/>
  <c r="C29" i="21"/>
  <c r="C30" i="21"/>
  <c r="C19" i="21"/>
  <c r="D11" i="20" l="1"/>
  <c r="D67" i="8" l="1"/>
  <c r="D68" i="23" l="1"/>
  <c r="AX5" i="43" l="1"/>
  <c r="BC4" i="43"/>
  <c r="AF5" i="43"/>
  <c r="W5" i="43"/>
  <c r="AB4" i="43"/>
  <c r="N5" i="43"/>
  <c r="S4" i="43"/>
  <c r="E5" i="43"/>
  <c r="E6" i="43" s="1"/>
  <c r="J4" i="43"/>
  <c r="A5" i="43"/>
  <c r="A43" i="43" s="1"/>
  <c r="A6" i="43"/>
  <c r="A44" i="43" s="1"/>
  <c r="A7" i="43"/>
  <c r="A45" i="43" s="1"/>
  <c r="A8" i="43"/>
  <c r="A46" i="43" s="1"/>
  <c r="A9" i="43"/>
  <c r="A47" i="43" s="1"/>
  <c r="A10" i="43"/>
  <c r="A48" i="43" s="1"/>
  <c r="A11" i="43"/>
  <c r="A49" i="43" s="1"/>
  <c r="A12" i="43"/>
  <c r="A50" i="43" s="1"/>
  <c r="A13" i="43"/>
  <c r="A51" i="43" s="1"/>
  <c r="A14" i="43"/>
  <c r="A52" i="43" s="1"/>
  <c r="A15" i="43"/>
  <c r="A53" i="43" s="1"/>
  <c r="A4" i="43"/>
  <c r="A42" i="43" s="1"/>
  <c r="AK4" i="43"/>
  <c r="B50" i="43"/>
  <c r="N6" i="43" l="1"/>
  <c r="S5" i="43"/>
  <c r="E7" i="43"/>
  <c r="J6" i="43"/>
  <c r="R5" i="43"/>
  <c r="BB4" i="43"/>
  <c r="AJ5" i="43"/>
  <c r="AJ4" i="43"/>
  <c r="R4" i="43"/>
  <c r="AF6" i="43"/>
  <c r="AK5" i="43"/>
  <c r="N7" i="43"/>
  <c r="S7" i="43" s="1"/>
  <c r="S6" i="43"/>
  <c r="BC5" i="43"/>
  <c r="AX6" i="43"/>
  <c r="W6" i="43"/>
  <c r="W7" i="43" s="1"/>
  <c r="AB5" i="43"/>
  <c r="AO5" i="43"/>
  <c r="J5" i="43"/>
  <c r="B45" i="43"/>
  <c r="B53" i="43"/>
  <c r="B49" i="43"/>
  <c r="B48" i="43"/>
  <c r="B44" i="43"/>
  <c r="B52" i="43"/>
  <c r="B47" i="43"/>
  <c r="B43" i="43"/>
  <c r="B51" i="43"/>
  <c r="B46" i="43"/>
  <c r="B42" i="43"/>
  <c r="AA6" i="43" l="1"/>
  <c r="N8" i="43"/>
  <c r="AA4" i="43"/>
  <c r="E8" i="43"/>
  <c r="J7" i="43"/>
  <c r="AA5" i="43"/>
  <c r="AS4" i="43"/>
  <c r="AJ6" i="43"/>
  <c r="BB5" i="43"/>
  <c r="AS5" i="43"/>
  <c r="W8" i="43"/>
  <c r="AB7" i="43"/>
  <c r="AF7" i="43"/>
  <c r="AK6" i="43"/>
  <c r="AT5" i="43"/>
  <c r="AO6" i="43"/>
  <c r="AB6" i="43"/>
  <c r="BC6" i="43"/>
  <c r="AX7" i="43"/>
  <c r="S8" i="43"/>
  <c r="N9" i="43"/>
  <c r="CB5" i="43" l="1"/>
  <c r="BJ5" i="43"/>
  <c r="BS5" i="43"/>
  <c r="BR5" i="43"/>
  <c r="BV5" i="43" s="1"/>
  <c r="BI5" i="43"/>
  <c r="BM5" i="43" s="1"/>
  <c r="CA5" i="43"/>
  <c r="CE5" i="43" s="1"/>
  <c r="Z4" i="43"/>
  <c r="AI4" i="43"/>
  <c r="AH4" i="43"/>
  <c r="AL4" i="43" s="1"/>
  <c r="E9" i="43"/>
  <c r="J8" i="43"/>
  <c r="Y7" i="43"/>
  <c r="Y4" i="43"/>
  <c r="AC4" i="43" s="1"/>
  <c r="P4" i="43"/>
  <c r="T4" i="43" s="1"/>
  <c r="Q4" i="43"/>
  <c r="AZ4" i="43"/>
  <c r="BD4" i="43" s="1"/>
  <c r="H4" i="43"/>
  <c r="Y6" i="43"/>
  <c r="AC6" i="43" s="1"/>
  <c r="Y5" i="43"/>
  <c r="AC5" i="43" s="1"/>
  <c r="K4" i="43"/>
  <c r="AR4" i="43"/>
  <c r="AQ4" i="43"/>
  <c r="AU4" i="43" s="1"/>
  <c r="R6" i="43"/>
  <c r="AJ7" i="43"/>
  <c r="I5" i="43"/>
  <c r="AS6" i="43"/>
  <c r="BC7" i="43"/>
  <c r="AX8" i="43"/>
  <c r="AO7" i="43"/>
  <c r="AT6" i="43"/>
  <c r="AK7" i="43"/>
  <c r="AF8" i="43"/>
  <c r="AB8" i="43"/>
  <c r="W9" i="43"/>
  <c r="S9" i="43"/>
  <c r="N10" i="43"/>
  <c r="CG4" i="43" l="1"/>
  <c r="D42" i="43" s="1"/>
  <c r="E42" i="43" s="1"/>
  <c r="CF4" i="43"/>
  <c r="C42" i="43" s="1"/>
  <c r="CB6" i="43"/>
  <c r="BJ6" i="43"/>
  <c r="BI6" i="43"/>
  <c r="BM6" i="43" s="1"/>
  <c r="BR6" i="43"/>
  <c r="BV6" i="43" s="1"/>
  <c r="BS6" i="43"/>
  <c r="CA6" i="43"/>
  <c r="CE6" i="43" s="1"/>
  <c r="AA7" i="43"/>
  <c r="AC7" i="43" s="1"/>
  <c r="E10" i="43"/>
  <c r="J9" i="43"/>
  <c r="R7" i="43"/>
  <c r="AR6" i="43"/>
  <c r="H6" i="43"/>
  <c r="I6" i="43"/>
  <c r="BB6" i="43"/>
  <c r="Q5" i="43"/>
  <c r="P5" i="43"/>
  <c r="T5" i="43" s="1"/>
  <c r="AI5" i="43"/>
  <c r="G5" i="43"/>
  <c r="K5" i="43" s="1"/>
  <c r="AQ5" i="43"/>
  <c r="AU5" i="43" s="1"/>
  <c r="BA5" i="43"/>
  <c r="AZ5" i="43"/>
  <c r="BD5" i="43" s="1"/>
  <c r="Z5" i="43"/>
  <c r="AH5" i="43"/>
  <c r="AL5" i="43" s="1"/>
  <c r="H5" i="43"/>
  <c r="CF5" i="43" s="1"/>
  <c r="AF9" i="43"/>
  <c r="AK8" i="43"/>
  <c r="AB9" i="43"/>
  <c r="W10" i="43"/>
  <c r="AX9" i="43"/>
  <c r="BC8" i="43"/>
  <c r="AO8" i="43"/>
  <c r="AT7" i="43"/>
  <c r="S10" i="43"/>
  <c r="N11" i="43"/>
  <c r="CG5" i="43" l="1"/>
  <c r="D43" i="43" s="1"/>
  <c r="E43" i="43" s="1"/>
  <c r="C43" i="43"/>
  <c r="BJ7" i="43"/>
  <c r="BI7" i="43"/>
  <c r="BM7" i="43" s="1"/>
  <c r="BS7" i="43"/>
  <c r="BR7" i="43"/>
  <c r="BV7" i="43" s="1"/>
  <c r="CB7" i="43"/>
  <c r="CA7" i="43"/>
  <c r="CE7" i="43" s="1"/>
  <c r="AA8" i="43"/>
  <c r="Y8" i="43"/>
  <c r="F42" i="43"/>
  <c r="G6" i="43"/>
  <c r="K6" i="43" s="1"/>
  <c r="AQ6" i="43"/>
  <c r="AU6" i="43" s="1"/>
  <c r="BA6" i="43"/>
  <c r="J10" i="43"/>
  <c r="E11" i="43"/>
  <c r="AS8" i="43"/>
  <c r="AR7" i="43"/>
  <c r="AI6" i="43"/>
  <c r="Z6" i="43"/>
  <c r="Q6" i="43"/>
  <c r="AH6" i="43"/>
  <c r="AL6" i="43" s="1"/>
  <c r="P6" i="43"/>
  <c r="T6" i="43" s="1"/>
  <c r="AZ6" i="43"/>
  <c r="BD6" i="43" s="1"/>
  <c r="R8" i="43"/>
  <c r="AJ8" i="43"/>
  <c r="AS7" i="43"/>
  <c r="BB7" i="43"/>
  <c r="BA7" i="43"/>
  <c r="I7" i="43"/>
  <c r="AO9" i="43"/>
  <c r="AT8" i="43"/>
  <c r="BC9" i="43"/>
  <c r="AX10" i="43"/>
  <c r="AB10" i="43"/>
  <c r="W11" i="43"/>
  <c r="AK9" i="43"/>
  <c r="AF10" i="43"/>
  <c r="AJ9" i="43"/>
  <c r="S11" i="43"/>
  <c r="N12" i="43"/>
  <c r="CF6" i="43" l="1"/>
  <c r="CG6" i="43"/>
  <c r="D44" i="43" s="1"/>
  <c r="E44" i="43" s="1"/>
  <c r="AC8" i="43"/>
  <c r="C44" i="43"/>
  <c r="CA8" i="43"/>
  <c r="CE8" i="43" s="1"/>
  <c r="BR8" i="43"/>
  <c r="BV8" i="43" s="1"/>
  <c r="BJ8" i="43"/>
  <c r="BI8" i="43"/>
  <c r="BM8" i="43" s="1"/>
  <c r="BS8" i="43"/>
  <c r="CB8" i="43"/>
  <c r="Y9" i="43"/>
  <c r="AA9" i="43"/>
  <c r="E12" i="43"/>
  <c r="J11" i="43"/>
  <c r="F43" i="43"/>
  <c r="H7" i="43"/>
  <c r="BB8" i="43"/>
  <c r="AQ7" i="43"/>
  <c r="AU7" i="43" s="1"/>
  <c r="AR8" i="43"/>
  <c r="Z7" i="43"/>
  <c r="AH7" i="43"/>
  <c r="AL7" i="43" s="1"/>
  <c r="Q7" i="43"/>
  <c r="AI7" i="43"/>
  <c r="P7" i="43"/>
  <c r="T7" i="43" s="1"/>
  <c r="AZ7" i="43"/>
  <c r="BD7" i="43" s="1"/>
  <c r="R9" i="43"/>
  <c r="AQ8" i="43"/>
  <c r="AU8" i="43" s="1"/>
  <c r="I8" i="43"/>
  <c r="G7" i="43"/>
  <c r="K7" i="43" s="1"/>
  <c r="W12" i="43"/>
  <c r="AB11" i="43"/>
  <c r="AX11" i="43"/>
  <c r="BC10" i="43"/>
  <c r="AO10" i="43"/>
  <c r="AT9" i="43"/>
  <c r="AS9" i="43"/>
  <c r="AK10" i="43"/>
  <c r="AF11" i="43"/>
  <c r="S12" i="43"/>
  <c r="N13" i="43"/>
  <c r="CG7" i="43" l="1"/>
  <c r="CF7" i="43"/>
  <c r="C45" i="43" s="1"/>
  <c r="CB9" i="43"/>
  <c r="CA9" i="43"/>
  <c r="CE9" i="43" s="1"/>
  <c r="BJ9" i="43"/>
  <c r="BI9" i="43"/>
  <c r="BM9" i="43" s="1"/>
  <c r="BS9" i="43"/>
  <c r="BR9" i="43"/>
  <c r="BV9" i="43" s="1"/>
  <c r="D45" i="43"/>
  <c r="E45" i="43" s="1"/>
  <c r="AC9" i="43"/>
  <c r="Y10" i="43"/>
  <c r="AA10" i="43"/>
  <c r="J12" i="43"/>
  <c r="E13" i="43"/>
  <c r="F44" i="43"/>
  <c r="AJ11" i="43"/>
  <c r="Z8" i="43"/>
  <c r="Q8" i="43"/>
  <c r="P8" i="43"/>
  <c r="T8" i="43" s="1"/>
  <c r="AI8" i="43"/>
  <c r="AH8" i="43"/>
  <c r="AL8" i="43" s="1"/>
  <c r="BB9" i="43"/>
  <c r="AS10" i="43"/>
  <c r="AR9" i="43"/>
  <c r="R10" i="43"/>
  <c r="BA8" i="43"/>
  <c r="H8" i="43"/>
  <c r="AZ8" i="43"/>
  <c r="BD8" i="43" s="1"/>
  <c r="AJ10" i="43"/>
  <c r="G8" i="43"/>
  <c r="K8" i="43" s="1"/>
  <c r="I9" i="43"/>
  <c r="AQ9" i="43"/>
  <c r="AU9" i="43" s="1"/>
  <c r="W13" i="43"/>
  <c r="AB12" i="43"/>
  <c r="AK11" i="43"/>
  <c r="AF12" i="43"/>
  <c r="BC11" i="43"/>
  <c r="AX12" i="43"/>
  <c r="AT10" i="43"/>
  <c r="AO11" i="43"/>
  <c r="N14" i="43"/>
  <c r="S13" i="43"/>
  <c r="CG8" i="43" l="1"/>
  <c r="D46" i="43" s="1"/>
  <c r="E46" i="43" s="1"/>
  <c r="CF8" i="43"/>
  <c r="BS10" i="43"/>
  <c r="CB10" i="43"/>
  <c r="BJ10" i="43"/>
  <c r="CA10" i="43"/>
  <c r="CE10" i="43" s="1"/>
  <c r="BR10" i="43"/>
  <c r="BV10" i="43" s="1"/>
  <c r="BI10" i="43"/>
  <c r="BM10" i="43" s="1"/>
  <c r="C46" i="43"/>
  <c r="AC10" i="43"/>
  <c r="Y11" i="43"/>
  <c r="AA11" i="43"/>
  <c r="E14" i="43"/>
  <c r="J13" i="43"/>
  <c r="G9" i="43"/>
  <c r="K9" i="43" s="1"/>
  <c r="CG9" i="43" s="1"/>
  <c r="F45" i="43"/>
  <c r="BA10" i="43"/>
  <c r="I10" i="43"/>
  <c r="BB10" i="43"/>
  <c r="AI9" i="43"/>
  <c r="Z9" i="43"/>
  <c r="Q9" i="43"/>
  <c r="P9" i="43"/>
  <c r="T9" i="43" s="1"/>
  <c r="AH9" i="43"/>
  <c r="AL9" i="43" s="1"/>
  <c r="AS11" i="43"/>
  <c r="AR10" i="43"/>
  <c r="H9" i="43"/>
  <c r="R11" i="43"/>
  <c r="AZ9" i="43"/>
  <c r="BD9" i="43" s="1"/>
  <c r="BA9" i="43"/>
  <c r="AX13" i="43"/>
  <c r="BC12" i="43"/>
  <c r="AK12" i="43"/>
  <c r="AF13" i="43"/>
  <c r="W14" i="43"/>
  <c r="AB13" i="43"/>
  <c r="AT11" i="43"/>
  <c r="AO12" i="43"/>
  <c r="N15" i="43"/>
  <c r="S14" i="43"/>
  <c r="CF9" i="43" l="1"/>
  <c r="D47" i="43"/>
  <c r="E47" i="43" s="1"/>
  <c r="BR11" i="43"/>
  <c r="BV11" i="43" s="1"/>
  <c r="BJ11" i="43"/>
  <c r="BS11" i="43"/>
  <c r="BI11" i="43"/>
  <c r="BM11" i="43" s="1"/>
  <c r="CB11" i="43"/>
  <c r="CA11" i="43"/>
  <c r="CE11" i="43" s="1"/>
  <c r="C47" i="43"/>
  <c r="AC11" i="43"/>
  <c r="Y12" i="43"/>
  <c r="AA12" i="43"/>
  <c r="J14" i="43"/>
  <c r="E15" i="43"/>
  <c r="G10" i="43"/>
  <c r="K10" i="43" s="1"/>
  <c r="H10" i="43"/>
  <c r="AQ10" i="43"/>
  <c r="AU10" i="43" s="1"/>
  <c r="AZ10" i="43"/>
  <c r="BD10" i="43" s="1"/>
  <c r="F46" i="43"/>
  <c r="AZ11" i="43"/>
  <c r="I11" i="43"/>
  <c r="R12" i="43"/>
  <c r="BB11" i="43"/>
  <c r="AJ13" i="43"/>
  <c r="Z10" i="43"/>
  <c r="AI10" i="43"/>
  <c r="AH10" i="43"/>
  <c r="AL10" i="43" s="1"/>
  <c r="P10" i="43"/>
  <c r="T10" i="43" s="1"/>
  <c r="Q10" i="43"/>
  <c r="AJ12" i="43"/>
  <c r="AR11" i="43"/>
  <c r="AF14" i="43"/>
  <c r="AK13" i="43"/>
  <c r="W15" i="43"/>
  <c r="AB14" i="43"/>
  <c r="AX14" i="43"/>
  <c r="BC13" i="43"/>
  <c r="AO13" i="43"/>
  <c r="AT12" i="43"/>
  <c r="S15" i="43"/>
  <c r="CF10" i="43" l="1"/>
  <c r="CG10" i="43"/>
  <c r="D48" i="43" s="1"/>
  <c r="E48" i="43" s="1"/>
  <c r="C48" i="43"/>
  <c r="BR12" i="43"/>
  <c r="BV12" i="43" s="1"/>
  <c r="BS12" i="43"/>
  <c r="CB12" i="43"/>
  <c r="CA12" i="43"/>
  <c r="CE12" i="43" s="1"/>
  <c r="BJ12" i="43"/>
  <c r="BI12" i="43"/>
  <c r="BM12" i="43" s="1"/>
  <c r="Y13" i="43"/>
  <c r="AA13" i="43"/>
  <c r="AC12" i="43"/>
  <c r="J15" i="43"/>
  <c r="F47" i="43"/>
  <c r="G11" i="43"/>
  <c r="K11" i="43" s="1"/>
  <c r="H11" i="43"/>
  <c r="BA11" i="43"/>
  <c r="AS13" i="43"/>
  <c r="AR12" i="43"/>
  <c r="P11" i="43"/>
  <c r="T11" i="43" s="1"/>
  <c r="Z11" i="43"/>
  <c r="AI11" i="43"/>
  <c r="AH11" i="43"/>
  <c r="AL11" i="43" s="1"/>
  <c r="Q11" i="43"/>
  <c r="AS12" i="43"/>
  <c r="BD11" i="43"/>
  <c r="BB12" i="43"/>
  <c r="AJ14" i="43"/>
  <c r="AQ12" i="43"/>
  <c r="I12" i="43"/>
  <c r="R13" i="43"/>
  <c r="AQ11" i="43"/>
  <c r="AU11" i="43" s="1"/>
  <c r="AB15" i="43"/>
  <c r="AT13" i="43"/>
  <c r="AO14" i="43"/>
  <c r="BC14" i="43"/>
  <c r="AX15" i="43"/>
  <c r="AF15" i="43"/>
  <c r="AK14" i="43"/>
  <c r="CF11" i="43" l="1"/>
  <c r="C49" i="43" s="1"/>
  <c r="CG11" i="43"/>
  <c r="D49" i="43" s="1"/>
  <c r="E49" i="43" s="1"/>
  <c r="BJ13" i="43"/>
  <c r="BI13" i="43"/>
  <c r="BM13" i="43" s="1"/>
  <c r="BR13" i="43"/>
  <c r="BV13" i="43" s="1"/>
  <c r="CA13" i="43"/>
  <c r="CE13" i="43" s="1"/>
  <c r="BS13" i="43"/>
  <c r="CB13" i="43"/>
  <c r="Y14" i="43"/>
  <c r="AA14" i="43"/>
  <c r="AC13" i="43"/>
  <c r="F48" i="43"/>
  <c r="G12" i="43"/>
  <c r="K12" i="43" s="1"/>
  <c r="AZ12" i="43"/>
  <c r="BD12" i="43" s="1"/>
  <c r="H12" i="43"/>
  <c r="G13" i="43"/>
  <c r="I13" i="43"/>
  <c r="AJ15" i="43"/>
  <c r="BB13" i="43"/>
  <c r="AU12" i="43"/>
  <c r="Z12" i="43"/>
  <c r="Q12" i="43"/>
  <c r="P12" i="43"/>
  <c r="T12" i="43" s="1"/>
  <c r="AH12" i="43"/>
  <c r="AL12" i="43" s="1"/>
  <c r="AI12" i="43"/>
  <c r="R14" i="43"/>
  <c r="BA12" i="43"/>
  <c r="AR13" i="43"/>
  <c r="AO15" i="43"/>
  <c r="AT14" i="43"/>
  <c r="AK15" i="43"/>
  <c r="BC15" i="43"/>
  <c r="CF12" i="43" l="1"/>
  <c r="C50" i="43" s="1"/>
  <c r="CG12" i="43"/>
  <c r="D50" i="43" s="1"/>
  <c r="E50" i="43" s="1"/>
  <c r="BJ14" i="43"/>
  <c r="BI14" i="43"/>
  <c r="BM14" i="43" s="1"/>
  <c r="BR14" i="43"/>
  <c r="BV14" i="43" s="1"/>
  <c r="BS14" i="43"/>
  <c r="CA14" i="43"/>
  <c r="CE14" i="43" s="1"/>
  <c r="CB14" i="43"/>
  <c r="AC14" i="43"/>
  <c r="Y15" i="43"/>
  <c r="AA15" i="43"/>
  <c r="F49" i="43"/>
  <c r="AZ13" i="43"/>
  <c r="BD13" i="43" s="1"/>
  <c r="AQ13" i="43"/>
  <c r="AU13" i="43" s="1"/>
  <c r="H13" i="43"/>
  <c r="K13" i="43"/>
  <c r="BB14" i="43"/>
  <c r="R15" i="43"/>
  <c r="Z13" i="43"/>
  <c r="Q13" i="43"/>
  <c r="P13" i="43"/>
  <c r="T13" i="43" s="1"/>
  <c r="AH13" i="43"/>
  <c r="AL13" i="43" s="1"/>
  <c r="AI13" i="43"/>
  <c r="AS15" i="43"/>
  <c r="AR14" i="43"/>
  <c r="AS14" i="43"/>
  <c r="BA13" i="43"/>
  <c r="G14" i="43"/>
  <c r="I14" i="43"/>
  <c r="AT15" i="43"/>
  <c r="CF13" i="43" l="1"/>
  <c r="CG13" i="43"/>
  <c r="D51" i="43" s="1"/>
  <c r="E51" i="43" s="1"/>
  <c r="C51" i="43"/>
  <c r="BJ15" i="43"/>
  <c r="BI15" i="43"/>
  <c r="BM15" i="43" s="1"/>
  <c r="BR15" i="43"/>
  <c r="BV15" i="43" s="1"/>
  <c r="CB15" i="43"/>
  <c r="CA15" i="43"/>
  <c r="CE15" i="43" s="1"/>
  <c r="BS15" i="43"/>
  <c r="AC15" i="43"/>
  <c r="F50" i="43"/>
  <c r="K14" i="43"/>
  <c r="Z14" i="43"/>
  <c r="P14" i="43"/>
  <c r="T14" i="43" s="1"/>
  <c r="Q14" i="43"/>
  <c r="AI14" i="43"/>
  <c r="AH14" i="43"/>
  <c r="AL14" i="43" s="1"/>
  <c r="BB15" i="43"/>
  <c r="AQ14" i="43"/>
  <c r="AU14" i="43" s="1"/>
  <c r="H15" i="43"/>
  <c r="I15" i="43"/>
  <c r="AZ14" i="43"/>
  <c r="BD14" i="43" s="1"/>
  <c r="BA14" i="43"/>
  <c r="H14" i="43"/>
  <c r="AR15" i="43"/>
  <c r="CG14" i="43" l="1"/>
  <c r="D52" i="43" s="1"/>
  <c r="E52" i="43" s="1"/>
  <c r="CF14" i="43"/>
  <c r="C52" i="43" s="1"/>
  <c r="F51" i="43"/>
  <c r="Z15" i="43"/>
  <c r="Q15" i="43"/>
  <c r="AI15" i="43"/>
  <c r="P15" i="43"/>
  <c r="T15" i="43" s="1"/>
  <c r="AH15" i="43"/>
  <c r="AL15" i="43" s="1"/>
  <c r="AQ15" i="43"/>
  <c r="AU15" i="43" s="1"/>
  <c r="BA15" i="43"/>
  <c r="G15" i="43"/>
  <c r="K15" i="43" s="1"/>
  <c r="AZ15" i="43"/>
  <c r="BD15" i="43" s="1"/>
  <c r="CG15" i="43" l="1"/>
  <c r="D53" i="43" s="1"/>
  <c r="E53" i="43" s="1"/>
  <c r="CF15" i="43"/>
  <c r="C53" i="43"/>
  <c r="F52" i="43"/>
  <c r="F53" i="43" l="1"/>
  <c r="D16" i="8" l="1"/>
  <c r="B67" i="8" l="1"/>
  <c r="C25" i="24" l="1"/>
  <c r="C26" i="24"/>
  <c r="C27" i="24"/>
  <c r="C28" i="24"/>
  <c r="C29" i="24"/>
  <c r="C30" i="24"/>
  <c r="C31" i="24"/>
  <c r="C32" i="24"/>
  <c r="C33" i="24"/>
  <c r="C34" i="24"/>
  <c r="C35" i="24"/>
  <c r="C24" i="24"/>
  <c r="B25" i="24"/>
  <c r="B26" i="24"/>
  <c r="B27" i="24"/>
  <c r="B28" i="24"/>
  <c r="B29" i="24"/>
  <c r="B30" i="24"/>
  <c r="B31" i="24"/>
  <c r="B32" i="24"/>
  <c r="B33" i="24"/>
  <c r="B34" i="24"/>
  <c r="B35" i="24"/>
  <c r="B24" i="24"/>
  <c r="C239" i="23"/>
  <c r="C217" i="23"/>
  <c r="B107" i="23"/>
  <c r="C107" i="23"/>
  <c r="B108" i="23"/>
  <c r="C108" i="23"/>
  <c r="B109" i="23"/>
  <c r="C109" i="23"/>
  <c r="B110" i="23"/>
  <c r="C110" i="23"/>
  <c r="B111" i="23"/>
  <c r="C111" i="23"/>
  <c r="B112" i="23"/>
  <c r="C112" i="23"/>
  <c r="B113" i="23"/>
  <c r="C113" i="23"/>
  <c r="B114" i="23"/>
  <c r="C114" i="23"/>
  <c r="B115" i="23"/>
  <c r="C115" i="23"/>
  <c r="B116" i="23"/>
  <c r="C116" i="23"/>
  <c r="B117" i="23"/>
  <c r="C117" i="23"/>
  <c r="C106" i="23"/>
  <c r="B106" i="23"/>
  <c r="L56" i="8" l="1"/>
  <c r="L57" i="8"/>
  <c r="L58" i="8"/>
  <c r="L59" i="8"/>
  <c r="L60" i="8"/>
  <c r="L61" i="8"/>
  <c r="L62" i="8"/>
  <c r="L63" i="8"/>
  <c r="L64" i="8"/>
  <c r="L65" i="8"/>
  <c r="L66" i="8"/>
  <c r="G56" i="8"/>
  <c r="G57" i="8"/>
  <c r="G58" i="8"/>
  <c r="G59" i="8"/>
  <c r="G60" i="8"/>
  <c r="G61" i="8"/>
  <c r="G62" i="8"/>
  <c r="G63" i="8"/>
  <c r="G64" i="8"/>
  <c r="G65" i="8"/>
  <c r="G66" i="8"/>
  <c r="F56" i="8"/>
  <c r="F57" i="8"/>
  <c r="F58" i="8"/>
  <c r="F59" i="8"/>
  <c r="F60" i="8"/>
  <c r="F61" i="8"/>
  <c r="F62" i="8"/>
  <c r="F63" i="8"/>
  <c r="F64" i="8"/>
  <c r="F65" i="8"/>
  <c r="F66" i="8"/>
  <c r="J57" i="8" l="1"/>
  <c r="J66" i="8"/>
  <c r="M66" i="8" s="1"/>
  <c r="B53" i="23" s="1"/>
  <c r="J65" i="8"/>
  <c r="J59" i="8"/>
  <c r="M59" i="8" s="1"/>
  <c r="B46" i="23" s="1"/>
  <c r="J58" i="8"/>
  <c r="M58" i="8" s="1"/>
  <c r="B45" i="23" s="1"/>
  <c r="J64" i="8"/>
  <c r="M64" i="8" s="1"/>
  <c r="B51" i="23" s="1"/>
  <c r="J56" i="8"/>
  <c r="M56" i="8" s="1"/>
  <c r="B43" i="23" s="1"/>
  <c r="F67" i="8"/>
  <c r="J62" i="8"/>
  <c r="M62" i="8" s="1"/>
  <c r="B49" i="23" s="1"/>
  <c r="J63" i="8"/>
  <c r="J61" i="8"/>
  <c r="J60" i="8"/>
  <c r="M60" i="8" s="1"/>
  <c r="B47" i="23" s="1"/>
  <c r="M65" i="8"/>
  <c r="B52" i="23" s="1"/>
  <c r="M57" i="8"/>
  <c r="B44" i="23" s="1"/>
  <c r="M61" i="8" l="1"/>
  <c r="B48" i="23" s="1"/>
  <c r="M63" i="8"/>
  <c r="B50" i="23" s="1"/>
  <c r="A174" i="21"/>
  <c r="A229" i="21" s="1"/>
  <c r="A173" i="21"/>
  <c r="A228" i="21" s="1"/>
  <c r="A30" i="23" s="1"/>
  <c r="C148" i="21"/>
  <c r="C201" i="21" s="1"/>
  <c r="C149" i="21"/>
  <c r="C202" i="21" s="1"/>
  <c r="C150" i="21"/>
  <c r="C203" i="21" s="1"/>
  <c r="C151" i="21"/>
  <c r="C204" i="21" s="1"/>
  <c r="C152" i="21"/>
  <c r="C205" i="21" s="1"/>
  <c r="C153" i="21"/>
  <c r="C206" i="21" s="1"/>
  <c r="C154" i="21"/>
  <c r="C207" i="21" s="1"/>
  <c r="C155" i="21"/>
  <c r="C208" i="21" s="1"/>
  <c r="C156" i="21"/>
  <c r="C209" i="21" s="1"/>
  <c r="C157" i="21"/>
  <c r="C210" i="21" s="1"/>
  <c r="C158" i="21"/>
  <c r="C211" i="21" s="1"/>
  <c r="C147" i="21"/>
  <c r="C200" i="21" s="1"/>
  <c r="B148" i="21"/>
  <c r="B201" i="21" s="1"/>
  <c r="B149" i="21"/>
  <c r="B202" i="21" s="1"/>
  <c r="B150" i="21"/>
  <c r="B203" i="21" s="1"/>
  <c r="B151" i="21"/>
  <c r="B204" i="21" s="1"/>
  <c r="B152" i="21"/>
  <c r="B205" i="21" s="1"/>
  <c r="B153" i="21"/>
  <c r="B206" i="21" s="1"/>
  <c r="B154" i="21"/>
  <c r="B207" i="21" s="1"/>
  <c r="B155" i="21"/>
  <c r="B208" i="21" s="1"/>
  <c r="B156" i="21"/>
  <c r="B209" i="21" s="1"/>
  <c r="B157" i="21"/>
  <c r="B210" i="21" s="1"/>
  <c r="B158" i="21"/>
  <c r="B211" i="21" s="1"/>
  <c r="B147" i="21"/>
  <c r="B200" i="21" s="1"/>
  <c r="C120" i="21"/>
  <c r="C121" i="21"/>
  <c r="C122" i="21"/>
  <c r="C123" i="21"/>
  <c r="C124" i="21"/>
  <c r="C125" i="21"/>
  <c r="C126" i="21"/>
  <c r="C127" i="21"/>
  <c r="C128" i="21"/>
  <c r="C129" i="21"/>
  <c r="C130" i="21"/>
  <c r="C119" i="21"/>
  <c r="B120" i="21"/>
  <c r="B121" i="21"/>
  <c r="B122" i="21"/>
  <c r="B123" i="21"/>
  <c r="B124" i="21"/>
  <c r="B125" i="21"/>
  <c r="B126" i="21"/>
  <c r="B127" i="21"/>
  <c r="B128" i="21"/>
  <c r="B129" i="21"/>
  <c r="B130" i="21"/>
  <c r="B119" i="21"/>
  <c r="C62" i="21"/>
  <c r="C107" i="21" s="1"/>
  <c r="C63" i="21"/>
  <c r="C108" i="21" s="1"/>
  <c r="C64" i="21"/>
  <c r="C109" i="21" s="1"/>
  <c r="C65" i="21"/>
  <c r="C110" i="21" s="1"/>
  <c r="C66" i="21"/>
  <c r="C111" i="21" s="1"/>
  <c r="C67" i="21"/>
  <c r="C112" i="21" s="1"/>
  <c r="C68" i="21"/>
  <c r="C113" i="21" s="1"/>
  <c r="C69" i="21"/>
  <c r="C114" i="21" s="1"/>
  <c r="C70" i="21"/>
  <c r="C115" i="21" s="1"/>
  <c r="C71" i="21"/>
  <c r="C116" i="21" s="1"/>
  <c r="C72" i="21"/>
  <c r="C117" i="21" s="1"/>
  <c r="C61" i="21"/>
  <c r="C106" i="21" s="1"/>
  <c r="A234" i="21" l="1"/>
  <c r="A239" i="21" s="1"/>
  <c r="A31" i="23"/>
  <c r="A55" i="23"/>
  <c r="A82" i="23" s="1"/>
  <c r="A85" i="23" s="1"/>
  <c r="A145" i="23" s="1"/>
  <c r="A188" i="23" s="1"/>
  <c r="A206" i="23" s="1"/>
  <c r="A231" i="23" s="1"/>
  <c r="A254" i="23" s="1"/>
  <c r="A259" i="23" s="1"/>
  <c r="A265" i="23" s="1"/>
  <c r="A69" i="24"/>
  <c r="A85" i="24" s="1"/>
  <c r="A101" i="24" s="1"/>
  <c r="A233" i="21"/>
  <c r="A238" i="21" s="1"/>
  <c r="C134" i="21"/>
  <c r="C141" i="21"/>
  <c r="C140" i="21"/>
  <c r="C139" i="21"/>
  <c r="C138" i="21"/>
  <c r="C145" i="21"/>
  <c r="C137" i="21"/>
  <c r="C144" i="21"/>
  <c r="C136" i="21"/>
  <c r="C143" i="21"/>
  <c r="C135" i="21"/>
  <c r="C142" i="21"/>
  <c r="A56" i="23" l="1"/>
  <c r="A83" i="23" s="1"/>
  <c r="A86" i="23" s="1"/>
  <c r="A146" i="23" s="1"/>
  <c r="A189" i="23" s="1"/>
  <c r="A207" i="23" s="1"/>
  <c r="A232" i="23" s="1"/>
  <c r="A255" i="23" s="1"/>
  <c r="A260" i="23" s="1"/>
  <c r="A266" i="23" s="1"/>
  <c r="A70" i="24"/>
  <c r="A86" i="24" s="1"/>
  <c r="A102" i="24" s="1"/>
  <c r="A104" i="24"/>
  <c r="A144" i="24"/>
  <c r="A160" i="24" s="1"/>
  <c r="A176" i="24" s="1"/>
  <c r="A179" i="24" s="1"/>
  <c r="A228" i="24" s="1"/>
  <c r="A254" i="24" s="1"/>
  <c r="A260" i="24" s="1"/>
  <c r="C188" i="21"/>
  <c r="C38" i="24"/>
  <c r="C163" i="23"/>
  <c r="C195" i="23" s="1"/>
  <c r="C196" i="21"/>
  <c r="C171" i="23"/>
  <c r="C203" i="23" s="1"/>
  <c r="C46" i="24"/>
  <c r="C193" i="21"/>
  <c r="C168" i="23"/>
  <c r="C200" i="23" s="1"/>
  <c r="C43" i="24"/>
  <c r="C191" i="21"/>
  <c r="C41" i="24"/>
  <c r="C166" i="23"/>
  <c r="C198" i="23" s="1"/>
  <c r="C192" i="21"/>
  <c r="C167" i="23"/>
  <c r="C199" i="23" s="1"/>
  <c r="C42" i="24"/>
  <c r="C189" i="21"/>
  <c r="C164" i="23"/>
  <c r="C196" i="23" s="1"/>
  <c r="C39" i="24"/>
  <c r="C197" i="21"/>
  <c r="C172" i="23"/>
  <c r="C204" i="23" s="1"/>
  <c r="C47" i="24"/>
  <c r="C190" i="21"/>
  <c r="C40" i="24"/>
  <c r="C165" i="23"/>
  <c r="C197" i="23" s="1"/>
  <c r="C194" i="21"/>
  <c r="C44" i="24"/>
  <c r="C169" i="23"/>
  <c r="C201" i="23" s="1"/>
  <c r="C198" i="21"/>
  <c r="C48" i="24"/>
  <c r="C173" i="23"/>
  <c r="C205" i="23" s="1"/>
  <c r="C187" i="21"/>
  <c r="C37" i="24"/>
  <c r="C57" i="24" s="1"/>
  <c r="C162" i="23"/>
  <c r="C195" i="21"/>
  <c r="C170" i="23"/>
  <c r="C202" i="23" s="1"/>
  <c r="C45" i="24"/>
  <c r="B20" i="21"/>
  <c r="B21" i="21"/>
  <c r="B22" i="21"/>
  <c r="B23" i="21"/>
  <c r="B24" i="21"/>
  <c r="B25" i="21"/>
  <c r="B26" i="21"/>
  <c r="B27" i="21"/>
  <c r="B28" i="21"/>
  <c r="B29" i="21"/>
  <c r="B30" i="21"/>
  <c r="B19" i="21"/>
  <c r="A20" i="21"/>
  <c r="A33" i="21" s="1"/>
  <c r="A48" i="21" s="1"/>
  <c r="A62" i="21" s="1"/>
  <c r="A75" i="21" s="1"/>
  <c r="A107" i="21" s="1"/>
  <c r="A120" i="21" s="1"/>
  <c r="A135" i="21" s="1"/>
  <c r="A148" i="21" s="1"/>
  <c r="A162" i="21" s="1"/>
  <c r="A188" i="21" s="1"/>
  <c r="A201" i="21" s="1"/>
  <c r="A217" i="21" s="1"/>
  <c r="A16" i="23" s="1"/>
  <c r="A21" i="21"/>
  <c r="A34" i="21" s="1"/>
  <c r="A49" i="21" s="1"/>
  <c r="A63" i="21" s="1"/>
  <c r="A76" i="21" s="1"/>
  <c r="A108" i="21" s="1"/>
  <c r="A121" i="21" s="1"/>
  <c r="A136" i="21" s="1"/>
  <c r="A149" i="21" s="1"/>
  <c r="A163" i="21" s="1"/>
  <c r="A189" i="21" s="1"/>
  <c r="A202" i="21" s="1"/>
  <c r="A218" i="21" s="1"/>
  <c r="A17" i="23" s="1"/>
  <c r="A22" i="21"/>
  <c r="A35" i="21" s="1"/>
  <c r="A50" i="21" s="1"/>
  <c r="A64" i="21" s="1"/>
  <c r="A77" i="21" s="1"/>
  <c r="A109" i="21" s="1"/>
  <c r="A122" i="21" s="1"/>
  <c r="A137" i="21" s="1"/>
  <c r="A150" i="21" s="1"/>
  <c r="A164" i="21" s="1"/>
  <c r="A190" i="21" s="1"/>
  <c r="A203" i="21" s="1"/>
  <c r="A219" i="21" s="1"/>
  <c r="A18" i="23" s="1"/>
  <c r="A23" i="21"/>
  <c r="A36" i="21" s="1"/>
  <c r="A51" i="21" s="1"/>
  <c r="A65" i="21" s="1"/>
  <c r="A78" i="21" s="1"/>
  <c r="A110" i="21" s="1"/>
  <c r="A123" i="21" s="1"/>
  <c r="A138" i="21" s="1"/>
  <c r="A151" i="21" s="1"/>
  <c r="A165" i="21" s="1"/>
  <c r="A191" i="21" s="1"/>
  <c r="A204" i="21" s="1"/>
  <c r="A220" i="21" s="1"/>
  <c r="A19" i="23" s="1"/>
  <c r="A24" i="21"/>
  <c r="A37" i="21" s="1"/>
  <c r="A52" i="21" s="1"/>
  <c r="A66" i="21" s="1"/>
  <c r="A79" i="21" s="1"/>
  <c r="A111" i="21" s="1"/>
  <c r="A124" i="21" s="1"/>
  <c r="A139" i="21" s="1"/>
  <c r="A152" i="21" s="1"/>
  <c r="A166" i="21" s="1"/>
  <c r="A192" i="21" s="1"/>
  <c r="A205" i="21" s="1"/>
  <c r="A221" i="21" s="1"/>
  <c r="A20" i="23" s="1"/>
  <c r="A25" i="21"/>
  <c r="A38" i="21" s="1"/>
  <c r="A53" i="21" s="1"/>
  <c r="A67" i="21" s="1"/>
  <c r="A80" i="21" s="1"/>
  <c r="A112" i="21" s="1"/>
  <c r="A125" i="21" s="1"/>
  <c r="A140" i="21" s="1"/>
  <c r="A153" i="21" s="1"/>
  <c r="A167" i="21" s="1"/>
  <c r="A193" i="21" s="1"/>
  <c r="A206" i="21" s="1"/>
  <c r="A222" i="21" s="1"/>
  <c r="A21" i="23" s="1"/>
  <c r="A26" i="21"/>
  <c r="A39" i="21" s="1"/>
  <c r="A54" i="21" s="1"/>
  <c r="A68" i="21" s="1"/>
  <c r="A81" i="21" s="1"/>
  <c r="A113" i="21" s="1"/>
  <c r="A126" i="21" s="1"/>
  <c r="A141" i="21" s="1"/>
  <c r="A154" i="21" s="1"/>
  <c r="A168" i="21" s="1"/>
  <c r="A194" i="21" s="1"/>
  <c r="A207" i="21" s="1"/>
  <c r="A223" i="21" s="1"/>
  <c r="A22" i="23" s="1"/>
  <c r="A27" i="21"/>
  <c r="A40" i="21" s="1"/>
  <c r="A55" i="21" s="1"/>
  <c r="A69" i="21" s="1"/>
  <c r="A82" i="21" s="1"/>
  <c r="A114" i="21" s="1"/>
  <c r="A127" i="21" s="1"/>
  <c r="A142" i="21" s="1"/>
  <c r="A155" i="21" s="1"/>
  <c r="A169" i="21" s="1"/>
  <c r="A195" i="21" s="1"/>
  <c r="A208" i="21" s="1"/>
  <c r="A224" i="21" s="1"/>
  <c r="A23" i="23" s="1"/>
  <c r="A28" i="21"/>
  <c r="A41" i="21" s="1"/>
  <c r="A56" i="21" s="1"/>
  <c r="A70" i="21" s="1"/>
  <c r="A83" i="21" s="1"/>
  <c r="A115" i="21" s="1"/>
  <c r="A128" i="21" s="1"/>
  <c r="A143" i="21" s="1"/>
  <c r="A156" i="21" s="1"/>
  <c r="A170" i="21" s="1"/>
  <c r="A196" i="21" s="1"/>
  <c r="A209" i="21" s="1"/>
  <c r="A225" i="21" s="1"/>
  <c r="A24" i="23" s="1"/>
  <c r="A29" i="21"/>
  <c r="A42" i="21" s="1"/>
  <c r="A57" i="21" s="1"/>
  <c r="A71" i="21" s="1"/>
  <c r="A84" i="21" s="1"/>
  <c r="A116" i="21" s="1"/>
  <c r="A129" i="21" s="1"/>
  <c r="A144" i="21" s="1"/>
  <c r="A157" i="21" s="1"/>
  <c r="A171" i="21" s="1"/>
  <c r="A197" i="21" s="1"/>
  <c r="A210" i="21" s="1"/>
  <c r="A226" i="21" s="1"/>
  <c r="A25" i="23" s="1"/>
  <c r="A30" i="21"/>
  <c r="A43" i="21" s="1"/>
  <c r="A58" i="21" s="1"/>
  <c r="A72" i="21" s="1"/>
  <c r="A85" i="21" s="1"/>
  <c r="A117" i="21" s="1"/>
  <c r="A130" i="21" s="1"/>
  <c r="A145" i="21" s="1"/>
  <c r="A158" i="21" s="1"/>
  <c r="A172" i="21" s="1"/>
  <c r="A198" i="21" s="1"/>
  <c r="A211" i="21" s="1"/>
  <c r="A227" i="21" s="1"/>
  <c r="A26" i="23" s="1"/>
  <c r="A19" i="21"/>
  <c r="A32" i="21" s="1"/>
  <c r="A47" i="21" s="1"/>
  <c r="A61" i="21" s="1"/>
  <c r="A74" i="21" s="1"/>
  <c r="A106" i="21" s="1"/>
  <c r="A119" i="21" s="1"/>
  <c r="A134" i="21" s="1"/>
  <c r="A147" i="21" s="1"/>
  <c r="A161" i="21" s="1"/>
  <c r="A187" i="21" s="1"/>
  <c r="A200" i="21" s="1"/>
  <c r="A216" i="21" s="1"/>
  <c r="A15" i="23" s="1"/>
  <c r="A105" i="24" l="1"/>
  <c r="A145" i="24"/>
  <c r="A161" i="24" s="1"/>
  <c r="A177" i="24" s="1"/>
  <c r="A180" i="24" s="1"/>
  <c r="A229" i="24" s="1"/>
  <c r="A255" i="24" s="1"/>
  <c r="A261" i="24" s="1"/>
  <c r="C194" i="23"/>
  <c r="A266" i="24"/>
  <c r="A269" i="24" s="1"/>
  <c r="A277" i="24" s="1"/>
  <c r="A263" i="24"/>
  <c r="A42" i="23"/>
  <c r="A68" i="23" s="1"/>
  <c r="A106" i="23" s="1"/>
  <c r="A119" i="23" s="1"/>
  <c r="A133" i="23" s="1"/>
  <c r="A162" i="23" s="1"/>
  <c r="A176" i="23" s="1"/>
  <c r="A194" i="23" s="1"/>
  <c r="A219" i="23" s="1"/>
  <c r="A242" i="23" s="1"/>
  <c r="A24" i="24"/>
  <c r="A37" i="24" s="1"/>
  <c r="A57" i="24" s="1"/>
  <c r="A73" i="24" s="1"/>
  <c r="A89" i="24" s="1"/>
  <c r="A132" i="24" s="1"/>
  <c r="A148" i="24" s="1"/>
  <c r="A164" i="24" s="1"/>
  <c r="A200" i="24" s="1"/>
  <c r="A216" i="24" s="1"/>
  <c r="A242" i="24" s="1"/>
  <c r="A45" i="23"/>
  <c r="A71" i="23" s="1"/>
  <c r="A109" i="23" s="1"/>
  <c r="A122" i="23" s="1"/>
  <c r="A136" i="23" s="1"/>
  <c r="A165" i="23" s="1"/>
  <c r="A179" i="23" s="1"/>
  <c r="A197" i="23" s="1"/>
  <c r="A222" i="23" s="1"/>
  <c r="A245" i="23" s="1"/>
  <c r="A27" i="24"/>
  <c r="A40" i="24" s="1"/>
  <c r="A60" i="24" s="1"/>
  <c r="A76" i="24" s="1"/>
  <c r="A92" i="24" s="1"/>
  <c r="A135" i="24" s="1"/>
  <c r="A151" i="24" s="1"/>
  <c r="A167" i="24" s="1"/>
  <c r="A203" i="24" s="1"/>
  <c r="A219" i="24" s="1"/>
  <c r="A245" i="24" s="1"/>
  <c r="A44" i="23"/>
  <c r="A70" i="23" s="1"/>
  <c r="A108" i="23" s="1"/>
  <c r="A121" i="23" s="1"/>
  <c r="A135" i="23" s="1"/>
  <c r="A164" i="23" s="1"/>
  <c r="A178" i="23" s="1"/>
  <c r="A196" i="23" s="1"/>
  <c r="A221" i="23" s="1"/>
  <c r="A244" i="23" s="1"/>
  <c r="A26" i="24"/>
  <c r="A39" i="24" s="1"/>
  <c r="A59" i="24" s="1"/>
  <c r="A75" i="24" s="1"/>
  <c r="A91" i="24" s="1"/>
  <c r="A134" i="24" s="1"/>
  <c r="A150" i="24" s="1"/>
  <c r="A166" i="24" s="1"/>
  <c r="A202" i="24" s="1"/>
  <c r="A218" i="24" s="1"/>
  <c r="A244" i="24" s="1"/>
  <c r="A43" i="23"/>
  <c r="A69" i="23" s="1"/>
  <c r="A107" i="23" s="1"/>
  <c r="A120" i="23" s="1"/>
  <c r="A134" i="23" s="1"/>
  <c r="A163" i="23" s="1"/>
  <c r="A177" i="23" s="1"/>
  <c r="A195" i="23" s="1"/>
  <c r="A220" i="23" s="1"/>
  <c r="A243" i="23" s="1"/>
  <c r="A25" i="24"/>
  <c r="A38" i="24" s="1"/>
  <c r="A58" i="24" s="1"/>
  <c r="A74" i="24" s="1"/>
  <c r="A90" i="24" s="1"/>
  <c r="A133" i="24" s="1"/>
  <c r="A149" i="24" s="1"/>
  <c r="A165" i="24" s="1"/>
  <c r="A201" i="24" s="1"/>
  <c r="A217" i="24" s="1"/>
  <c r="A243" i="24" s="1"/>
  <c r="A49" i="23"/>
  <c r="A75" i="23" s="1"/>
  <c r="A113" i="23" s="1"/>
  <c r="A126" i="23" s="1"/>
  <c r="A140" i="23" s="1"/>
  <c r="A169" i="23" s="1"/>
  <c r="A183" i="23" s="1"/>
  <c r="A201" i="23" s="1"/>
  <c r="A226" i="23" s="1"/>
  <c r="A249" i="23" s="1"/>
  <c r="A31" i="24"/>
  <c r="A44" i="24" s="1"/>
  <c r="A64" i="24" s="1"/>
  <c r="A80" i="24" s="1"/>
  <c r="A96" i="24" s="1"/>
  <c r="A139" i="24" s="1"/>
  <c r="A155" i="24" s="1"/>
  <c r="A171" i="24" s="1"/>
  <c r="A207" i="24" s="1"/>
  <c r="A223" i="24" s="1"/>
  <c r="A249" i="24" s="1"/>
  <c r="A48" i="23"/>
  <c r="A74" i="23" s="1"/>
  <c r="A112" i="23" s="1"/>
  <c r="A125" i="23" s="1"/>
  <c r="A139" i="23" s="1"/>
  <c r="A168" i="23" s="1"/>
  <c r="A182" i="23" s="1"/>
  <c r="A200" i="23" s="1"/>
  <c r="A225" i="23" s="1"/>
  <c r="A248" i="23" s="1"/>
  <c r="A30" i="24"/>
  <c r="A43" i="24" s="1"/>
  <c r="A63" i="24" s="1"/>
  <c r="A79" i="24" s="1"/>
  <c r="A95" i="24" s="1"/>
  <c r="A138" i="24" s="1"/>
  <c r="A154" i="24" s="1"/>
  <c r="A170" i="24" s="1"/>
  <c r="A206" i="24" s="1"/>
  <c r="A222" i="24" s="1"/>
  <c r="A248" i="24" s="1"/>
  <c r="A46" i="23"/>
  <c r="A72" i="23" s="1"/>
  <c r="A110" i="23" s="1"/>
  <c r="A123" i="23" s="1"/>
  <c r="A137" i="23" s="1"/>
  <c r="A166" i="23" s="1"/>
  <c r="A180" i="23" s="1"/>
  <c r="A198" i="23" s="1"/>
  <c r="A223" i="23" s="1"/>
  <c r="A246" i="23" s="1"/>
  <c r="A28" i="24"/>
  <c r="A41" i="24" s="1"/>
  <c r="A61" i="24" s="1"/>
  <c r="A77" i="24" s="1"/>
  <c r="A93" i="24" s="1"/>
  <c r="A136" i="24" s="1"/>
  <c r="A152" i="24" s="1"/>
  <c r="A168" i="24" s="1"/>
  <c r="A204" i="24" s="1"/>
  <c r="A220" i="24" s="1"/>
  <c r="A246" i="24" s="1"/>
  <c r="A47" i="23"/>
  <c r="A73" i="23" s="1"/>
  <c r="A111" i="23" s="1"/>
  <c r="A124" i="23" s="1"/>
  <c r="A138" i="23" s="1"/>
  <c r="A167" i="23" s="1"/>
  <c r="A181" i="23" s="1"/>
  <c r="A199" i="23" s="1"/>
  <c r="A224" i="23" s="1"/>
  <c r="A247" i="23" s="1"/>
  <c r="A29" i="24"/>
  <c r="A42" i="24" s="1"/>
  <c r="A62" i="24" s="1"/>
  <c r="A78" i="24" s="1"/>
  <c r="A94" i="24" s="1"/>
  <c r="A137" i="24" s="1"/>
  <c r="A153" i="24" s="1"/>
  <c r="A169" i="24" s="1"/>
  <c r="A205" i="24" s="1"/>
  <c r="A221" i="24" s="1"/>
  <c r="A247" i="24" s="1"/>
  <c r="A53" i="23"/>
  <c r="A79" i="23" s="1"/>
  <c r="A117" i="23" s="1"/>
  <c r="A130" i="23" s="1"/>
  <c r="A144" i="23" s="1"/>
  <c r="A173" i="23" s="1"/>
  <c r="A187" i="23" s="1"/>
  <c r="A205" i="23" s="1"/>
  <c r="A230" i="23" s="1"/>
  <c r="A253" i="23" s="1"/>
  <c r="A35" i="24"/>
  <c r="A48" i="24" s="1"/>
  <c r="A68" i="24" s="1"/>
  <c r="A84" i="24" s="1"/>
  <c r="A100" i="24" s="1"/>
  <c r="A143" i="24" s="1"/>
  <c r="A159" i="24" s="1"/>
  <c r="A175" i="24" s="1"/>
  <c r="A211" i="24" s="1"/>
  <c r="A227" i="24" s="1"/>
  <c r="A253" i="24" s="1"/>
  <c r="A51" i="23"/>
  <c r="A77" i="23" s="1"/>
  <c r="A115" i="23" s="1"/>
  <c r="A128" i="23" s="1"/>
  <c r="A142" i="23" s="1"/>
  <c r="A171" i="23" s="1"/>
  <c r="A185" i="23" s="1"/>
  <c r="A203" i="23" s="1"/>
  <c r="A228" i="23" s="1"/>
  <c r="A251" i="23" s="1"/>
  <c r="A33" i="24"/>
  <c r="A46" i="24" s="1"/>
  <c r="A66" i="24" s="1"/>
  <c r="A82" i="24" s="1"/>
  <c r="A98" i="24" s="1"/>
  <c r="A141" i="24" s="1"/>
  <c r="A157" i="24" s="1"/>
  <c r="A173" i="24" s="1"/>
  <c r="A209" i="24" s="1"/>
  <c r="A225" i="24" s="1"/>
  <c r="A251" i="24" s="1"/>
  <c r="A50" i="23"/>
  <c r="A76" i="23" s="1"/>
  <c r="A114" i="23" s="1"/>
  <c r="A127" i="23" s="1"/>
  <c r="A141" i="23" s="1"/>
  <c r="A170" i="23" s="1"/>
  <c r="A184" i="23" s="1"/>
  <c r="A202" i="23" s="1"/>
  <c r="A227" i="23" s="1"/>
  <c r="A250" i="23" s="1"/>
  <c r="A32" i="24"/>
  <c r="A45" i="24" s="1"/>
  <c r="A65" i="24" s="1"/>
  <c r="A81" i="24" s="1"/>
  <c r="A97" i="24" s="1"/>
  <c r="A140" i="24" s="1"/>
  <c r="A156" i="24" s="1"/>
  <c r="A172" i="24" s="1"/>
  <c r="A208" i="24" s="1"/>
  <c r="A224" i="24" s="1"/>
  <c r="A250" i="24" s="1"/>
  <c r="A52" i="23"/>
  <c r="A78" i="23" s="1"/>
  <c r="A116" i="23" s="1"/>
  <c r="A129" i="23" s="1"/>
  <c r="A143" i="23" s="1"/>
  <c r="A172" i="23" s="1"/>
  <c r="A186" i="23" s="1"/>
  <c r="A204" i="23" s="1"/>
  <c r="A229" i="23" s="1"/>
  <c r="A252" i="23" s="1"/>
  <c r="A34" i="24"/>
  <c r="A47" i="24" s="1"/>
  <c r="A67" i="24" s="1"/>
  <c r="A83" i="24" s="1"/>
  <c r="A99" i="24" s="1"/>
  <c r="A142" i="24" s="1"/>
  <c r="A158" i="24" s="1"/>
  <c r="A174" i="24" s="1"/>
  <c r="A210" i="24" s="1"/>
  <c r="A226" i="24" s="1"/>
  <c r="A252" i="24" s="1"/>
  <c r="C96" i="24"/>
  <c r="C80" i="24"/>
  <c r="C64" i="24"/>
  <c r="C83" i="24"/>
  <c r="C67" i="24"/>
  <c r="C99" i="24"/>
  <c r="C62" i="24"/>
  <c r="C94" i="24"/>
  <c r="C78" i="24"/>
  <c r="C98" i="24"/>
  <c r="C66" i="24"/>
  <c r="C82" i="24"/>
  <c r="C97" i="24"/>
  <c r="C65" i="24"/>
  <c r="C81" i="24"/>
  <c r="C100" i="24"/>
  <c r="C84" i="24"/>
  <c r="C68" i="24"/>
  <c r="C93" i="24"/>
  <c r="C77" i="24"/>
  <c r="C61" i="24"/>
  <c r="C75" i="24"/>
  <c r="C59" i="24"/>
  <c r="C91" i="24"/>
  <c r="C90" i="24"/>
  <c r="C74" i="24"/>
  <c r="C58" i="24"/>
  <c r="C92" i="24"/>
  <c r="C60" i="24"/>
  <c r="C76" i="24"/>
  <c r="C89" i="24"/>
  <c r="C73" i="24"/>
  <c r="C79" i="24"/>
  <c r="C63" i="24"/>
  <c r="C95" i="24"/>
  <c r="A54" i="8"/>
  <c r="A29" i="8"/>
  <c r="A61" i="8" s="1"/>
  <c r="A30" i="8"/>
  <c r="A62" i="8" s="1"/>
  <c r="A31" i="8"/>
  <c r="A63" i="8" s="1"/>
  <c r="A32" i="8"/>
  <c r="A64" i="8" s="1"/>
  <c r="A33" i="8"/>
  <c r="A65" i="8" s="1"/>
  <c r="A34" i="8"/>
  <c r="A66" i="8" s="1"/>
  <c r="A24" i="8"/>
  <c r="A56" i="8" s="1"/>
  <c r="A25" i="8"/>
  <c r="A57" i="8" s="1"/>
  <c r="A26" i="8"/>
  <c r="A58" i="8" s="1"/>
  <c r="A27" i="8"/>
  <c r="A59" i="8" s="1"/>
  <c r="A28" i="8"/>
  <c r="A60" i="8" s="1"/>
  <c r="A55" i="8"/>
  <c r="C11" i="20"/>
  <c r="C18" i="20" s="1"/>
  <c r="C12" i="20"/>
  <c r="C19" i="20" s="1"/>
  <c r="C10" i="20"/>
  <c r="C17" i="20" s="1"/>
  <c r="B66" i="23"/>
  <c r="B39" i="23"/>
  <c r="B56" i="23" s="1"/>
  <c r="C103" i="23"/>
  <c r="B103" i="23"/>
  <c r="B196" i="24"/>
  <c r="C55" i="24"/>
  <c r="B55" i="24"/>
  <c r="B240" i="23"/>
  <c r="B99" i="23"/>
  <c r="C289" i="24"/>
  <c r="C22" i="24" s="1"/>
  <c r="B289" i="24"/>
  <c r="B22" i="24" s="1"/>
  <c r="C235" i="24"/>
  <c r="B235" i="24"/>
  <c r="C214" i="24"/>
  <c r="C197" i="24"/>
  <c r="B197" i="24"/>
  <c r="C124" i="24"/>
  <c r="C164" i="24" s="1"/>
  <c r="C237" i="23"/>
  <c r="C242" i="23" s="1"/>
  <c r="C215" i="23"/>
  <c r="C214" i="23"/>
  <c r="B214" i="23"/>
  <c r="C174" i="23"/>
  <c r="D105" i="23"/>
  <c r="C104" i="23"/>
  <c r="B104" i="23"/>
  <c r="C100" i="23"/>
  <c r="B100" i="23"/>
  <c r="C214" i="21"/>
  <c r="B214" i="21"/>
  <c r="D159" i="21"/>
  <c r="D212" i="21" s="1"/>
  <c r="C159" i="21"/>
  <c r="C212" i="21" s="1"/>
  <c r="B159" i="21"/>
  <c r="E146" i="21"/>
  <c r="E199" i="21" s="1"/>
  <c r="D146" i="21"/>
  <c r="D199" i="21" s="1"/>
  <c r="E118" i="21"/>
  <c r="B104" i="21"/>
  <c r="B106" i="21" s="1"/>
  <c r="C102" i="21"/>
  <c r="C183" i="21" s="1"/>
  <c r="B102" i="21"/>
  <c r="B183" i="21" s="1"/>
  <c r="E45" i="21"/>
  <c r="C44" i="21"/>
  <c r="B44" i="21"/>
  <c r="B49" i="21" s="1"/>
  <c r="C16" i="21"/>
  <c r="G55" i="8"/>
  <c r="L67" i="8"/>
  <c r="C67" i="8"/>
  <c r="B83" i="23" l="1"/>
  <c r="C57" i="21"/>
  <c r="C129" i="23" s="1"/>
  <c r="C143" i="23" s="1"/>
  <c r="C47" i="21"/>
  <c r="C74" i="21" s="1"/>
  <c r="A267" i="24"/>
  <c r="A270" i="24" s="1"/>
  <c r="A278" i="24" s="1"/>
  <c r="A264" i="24"/>
  <c r="D12" i="20"/>
  <c r="J55" i="8"/>
  <c r="M55" i="8" s="1"/>
  <c r="B202" i="24"/>
  <c r="B218" i="24" s="1"/>
  <c r="B121" i="23"/>
  <c r="B135" i="23" s="1"/>
  <c r="C196" i="24"/>
  <c r="C168" i="24"/>
  <c r="C166" i="24"/>
  <c r="C169" i="24"/>
  <c r="C170" i="24"/>
  <c r="C173" i="24"/>
  <c r="C174" i="24"/>
  <c r="C167" i="24"/>
  <c r="C171" i="24"/>
  <c r="C172" i="24"/>
  <c r="C165" i="24"/>
  <c r="C175" i="24"/>
  <c r="C137" i="24"/>
  <c r="C153" i="24"/>
  <c r="C138" i="24"/>
  <c r="C154" i="24"/>
  <c r="C139" i="24"/>
  <c r="C155" i="24"/>
  <c r="C140" i="24"/>
  <c r="C132" i="24"/>
  <c r="C156" i="24"/>
  <c r="C148" i="24"/>
  <c r="C133" i="24"/>
  <c r="C141" i="24"/>
  <c r="C149" i="24"/>
  <c r="C157" i="24"/>
  <c r="C134" i="24"/>
  <c r="C142" i="24"/>
  <c r="C150" i="24"/>
  <c r="C158" i="24"/>
  <c r="C135" i="24"/>
  <c r="C143" i="24"/>
  <c r="C151" i="24"/>
  <c r="C159" i="24"/>
  <c r="C136" i="24"/>
  <c r="C152" i="24"/>
  <c r="C240" i="23"/>
  <c r="C180" i="23"/>
  <c r="C179" i="23"/>
  <c r="C185" i="23"/>
  <c r="C183" i="23"/>
  <c r="C181" i="23"/>
  <c r="C187" i="23"/>
  <c r="C177" i="23"/>
  <c r="C186" i="23"/>
  <c r="C184" i="23"/>
  <c r="C178" i="23"/>
  <c r="C182" i="23"/>
  <c r="C176" i="23"/>
  <c r="C227" i="23"/>
  <c r="C219" i="23"/>
  <c r="C226" i="23"/>
  <c r="C220" i="23"/>
  <c r="C228" i="23"/>
  <c r="C225" i="23"/>
  <c r="C221" i="23"/>
  <c r="C229" i="23"/>
  <c r="C222" i="23"/>
  <c r="C230" i="23"/>
  <c r="C223" i="23"/>
  <c r="C224" i="23"/>
  <c r="C243" i="23"/>
  <c r="C251" i="23"/>
  <c r="C244" i="23"/>
  <c r="C252" i="23"/>
  <c r="C250" i="23"/>
  <c r="C245" i="23"/>
  <c r="C253" i="23"/>
  <c r="C246" i="23"/>
  <c r="C247" i="23"/>
  <c r="C248" i="23"/>
  <c r="C249" i="23"/>
  <c r="C99" i="23"/>
  <c r="B212" i="21"/>
  <c r="C169" i="21"/>
  <c r="C164" i="21"/>
  <c r="C168" i="21"/>
  <c r="C162" i="21"/>
  <c r="C166" i="21"/>
  <c r="C171" i="21"/>
  <c r="C163" i="21"/>
  <c r="C172" i="21"/>
  <c r="C167" i="21"/>
  <c r="C161" i="21"/>
  <c r="C165" i="21"/>
  <c r="C170" i="21"/>
  <c r="B47" i="21"/>
  <c r="B74" i="21" s="1"/>
  <c r="B107" i="21"/>
  <c r="B135" i="21" s="1"/>
  <c r="B115" i="21"/>
  <c r="B143" i="21" s="1"/>
  <c r="B108" i="21"/>
  <c r="B136" i="21" s="1"/>
  <c r="B116" i="21"/>
  <c r="B144" i="21" s="1"/>
  <c r="B134" i="21"/>
  <c r="B109" i="21"/>
  <c r="B137" i="21" s="1"/>
  <c r="B117" i="21"/>
  <c r="B145" i="21" s="1"/>
  <c r="B112" i="21"/>
  <c r="B140" i="21" s="1"/>
  <c r="B114" i="21"/>
  <c r="B142" i="21" s="1"/>
  <c r="B110" i="21"/>
  <c r="B138" i="21" s="1"/>
  <c r="B111" i="21"/>
  <c r="B139" i="21" s="1"/>
  <c r="B113" i="21"/>
  <c r="B141" i="21" s="1"/>
  <c r="B76" i="21"/>
  <c r="C53" i="21"/>
  <c r="C48" i="21"/>
  <c r="B48" i="21"/>
  <c r="B57" i="21"/>
  <c r="C52" i="21"/>
  <c r="B54" i="21"/>
  <c r="C56" i="21"/>
  <c r="B51" i="21"/>
  <c r="B56" i="21"/>
  <c r="C50" i="21"/>
  <c r="B53" i="21"/>
  <c r="B52" i="21"/>
  <c r="C58" i="21"/>
  <c r="C55" i="21"/>
  <c r="C49" i="21"/>
  <c r="B50" i="21"/>
  <c r="B55" i="21"/>
  <c r="B58" i="21"/>
  <c r="C54" i="21"/>
  <c r="C51" i="21"/>
  <c r="B234" i="24"/>
  <c r="C84" i="21" l="1"/>
  <c r="C210" i="24"/>
  <c r="J67" i="8"/>
  <c r="B42" i="23"/>
  <c r="C77" i="21"/>
  <c r="C203" i="24"/>
  <c r="C219" i="24" s="1"/>
  <c r="C122" i="23"/>
  <c r="C136" i="23" s="1"/>
  <c r="C200" i="24"/>
  <c r="C216" i="24" s="1"/>
  <c r="C119" i="23"/>
  <c r="C133" i="23" s="1"/>
  <c r="C202" i="24"/>
  <c r="C218" i="24" s="1"/>
  <c r="C121" i="23"/>
  <c r="C135" i="23" s="1"/>
  <c r="C78" i="21"/>
  <c r="C123" i="23"/>
  <c r="C137" i="23" s="1"/>
  <c r="C204" i="24"/>
  <c r="C220" i="24" s="1"/>
  <c r="C75" i="21"/>
  <c r="C120" i="23"/>
  <c r="C134" i="23" s="1"/>
  <c r="C201" i="24"/>
  <c r="C217" i="24" s="1"/>
  <c r="C85" i="21"/>
  <c r="C130" i="23"/>
  <c r="C144" i="23" s="1"/>
  <c r="C211" i="24"/>
  <c r="C227" i="24" s="1"/>
  <c r="C80" i="21"/>
  <c r="C206" i="24"/>
  <c r="C222" i="24" s="1"/>
  <c r="C125" i="23"/>
  <c r="C139" i="23" s="1"/>
  <c r="C83" i="21"/>
  <c r="C128" i="23"/>
  <c r="C142" i="23" s="1"/>
  <c r="C209" i="24"/>
  <c r="C225" i="24" s="1"/>
  <c r="C82" i="21"/>
  <c r="C127" i="23"/>
  <c r="C141" i="23" s="1"/>
  <c r="C208" i="24"/>
  <c r="C224" i="24" s="1"/>
  <c r="C207" i="24"/>
  <c r="C223" i="24" s="1"/>
  <c r="C126" i="23"/>
  <c r="C140" i="23" s="1"/>
  <c r="C124" i="23"/>
  <c r="C138" i="23" s="1"/>
  <c r="C205" i="24"/>
  <c r="C221" i="24" s="1"/>
  <c r="B85" i="21"/>
  <c r="B211" i="24"/>
  <c r="B227" i="24" s="1"/>
  <c r="B130" i="23"/>
  <c r="B144" i="23" s="1"/>
  <c r="B172" i="23"/>
  <c r="B47" i="24"/>
  <c r="B166" i="23"/>
  <c r="B41" i="24"/>
  <c r="B206" i="24"/>
  <c r="B222" i="24" s="1"/>
  <c r="B125" i="23"/>
  <c r="B139" i="23" s="1"/>
  <c r="B170" i="23"/>
  <c r="B45" i="24"/>
  <c r="B171" i="23"/>
  <c r="B46" i="24"/>
  <c r="B124" i="23"/>
  <c r="B138" i="23" s="1"/>
  <c r="B205" i="24"/>
  <c r="B221" i="24" s="1"/>
  <c r="B164" i="23"/>
  <c r="B39" i="24"/>
  <c r="B168" i="23"/>
  <c r="B43" i="24"/>
  <c r="B163" i="23"/>
  <c r="B38" i="24"/>
  <c r="B48" i="24"/>
  <c r="B173" i="23"/>
  <c r="B82" i="21"/>
  <c r="B208" i="24"/>
  <c r="B224" i="24" s="1"/>
  <c r="B127" i="23"/>
  <c r="B141" i="23" s="1"/>
  <c r="B84" i="21"/>
  <c r="B210" i="24"/>
  <c r="B226" i="24" s="1"/>
  <c r="B129" i="23"/>
  <c r="B143" i="23" s="1"/>
  <c r="B169" i="23"/>
  <c r="B44" i="24"/>
  <c r="B40" i="24"/>
  <c r="B165" i="23"/>
  <c r="B207" i="24"/>
  <c r="B223" i="24" s="1"/>
  <c r="B126" i="23"/>
  <c r="B140" i="23" s="1"/>
  <c r="B203" i="24"/>
  <c r="B219" i="24" s="1"/>
  <c r="B122" i="23"/>
  <c r="B136" i="23" s="1"/>
  <c r="B83" i="21"/>
  <c r="B209" i="24"/>
  <c r="B225" i="24" s="1"/>
  <c r="B128" i="23"/>
  <c r="B142" i="23" s="1"/>
  <c r="B200" i="24"/>
  <c r="B216" i="24" s="1"/>
  <c r="B119" i="23"/>
  <c r="B133" i="23" s="1"/>
  <c r="B162" i="23"/>
  <c r="B242" i="23" s="1"/>
  <c r="B37" i="24"/>
  <c r="B164" i="24" s="1"/>
  <c r="B201" i="24"/>
  <c r="B217" i="24" s="1"/>
  <c r="B120" i="23"/>
  <c r="B134" i="23" s="1"/>
  <c r="B78" i="21"/>
  <c r="B123" i="23"/>
  <c r="B137" i="23" s="1"/>
  <c r="B204" i="24"/>
  <c r="B220" i="24" s="1"/>
  <c r="B42" i="24"/>
  <c r="B167" i="23"/>
  <c r="B244" i="24"/>
  <c r="C234" i="24"/>
  <c r="C226" i="24"/>
  <c r="C221" i="21"/>
  <c r="C222" i="21"/>
  <c r="C220" i="21"/>
  <c r="C218" i="21"/>
  <c r="C224" i="21"/>
  <c r="C225" i="21"/>
  <c r="C216" i="21"/>
  <c r="C226" i="21"/>
  <c r="C227" i="21"/>
  <c r="C217" i="21"/>
  <c r="C219" i="21"/>
  <c r="C223" i="21"/>
  <c r="B171" i="21"/>
  <c r="B197" i="21"/>
  <c r="B226" i="21" s="1"/>
  <c r="B165" i="21"/>
  <c r="B191" i="21"/>
  <c r="B220" i="21" s="1"/>
  <c r="B163" i="21"/>
  <c r="B189" i="21"/>
  <c r="B218" i="21" s="1"/>
  <c r="B169" i="21"/>
  <c r="B195" i="21"/>
  <c r="B224" i="21" s="1"/>
  <c r="B170" i="21"/>
  <c r="B196" i="21"/>
  <c r="B225" i="21" s="1"/>
  <c r="B167" i="21"/>
  <c r="B193" i="21"/>
  <c r="B222" i="21" s="1"/>
  <c r="B162" i="21"/>
  <c r="B188" i="21"/>
  <c r="B217" i="21" s="1"/>
  <c r="B172" i="21"/>
  <c r="B198" i="21"/>
  <c r="B227" i="21" s="1"/>
  <c r="B168" i="21"/>
  <c r="B194" i="21"/>
  <c r="B223" i="21" s="1"/>
  <c r="B164" i="21"/>
  <c r="B190" i="21"/>
  <c r="B219" i="21" s="1"/>
  <c r="B161" i="21"/>
  <c r="B187" i="21"/>
  <c r="B216" i="21" s="1"/>
  <c r="B166" i="21"/>
  <c r="B192" i="21"/>
  <c r="B221" i="21" s="1"/>
  <c r="C79" i="21"/>
  <c r="B75" i="21"/>
  <c r="B79" i="21"/>
  <c r="B80" i="21"/>
  <c r="C81" i="21"/>
  <c r="B77" i="21"/>
  <c r="B81" i="21"/>
  <c r="C76" i="21"/>
  <c r="C242" i="24" l="1"/>
  <c r="B242" i="24"/>
  <c r="B228" i="24"/>
  <c r="B260" i="24" s="1"/>
  <c r="B229" i="24"/>
  <c r="B55" i="23"/>
  <c r="B54" i="23" s="1"/>
  <c r="B145" i="23"/>
  <c r="B146" i="23"/>
  <c r="B228" i="21"/>
  <c r="B229" i="21"/>
  <c r="B174" i="21"/>
  <c r="B173" i="21"/>
  <c r="B87" i="21"/>
  <c r="B86" i="21"/>
  <c r="M67" i="8"/>
  <c r="B89" i="24"/>
  <c r="B132" i="24"/>
  <c r="B57" i="24"/>
  <c r="B73" i="24"/>
  <c r="B250" i="24"/>
  <c r="B247" i="24"/>
  <c r="B249" i="24"/>
  <c r="B251" i="24"/>
  <c r="B243" i="24"/>
  <c r="B246" i="24"/>
  <c r="B248" i="24"/>
  <c r="B253" i="24"/>
  <c r="B182" i="23"/>
  <c r="B200" i="23"/>
  <c r="B248" i="23"/>
  <c r="B225" i="23"/>
  <c r="B185" i="23"/>
  <c r="B228" i="23"/>
  <c r="B203" i="23"/>
  <c r="B251" i="23"/>
  <c r="B245" i="23"/>
  <c r="B197" i="23"/>
  <c r="B179" i="23"/>
  <c r="B222" i="23"/>
  <c r="B91" i="24"/>
  <c r="B150" i="24"/>
  <c r="B59" i="24"/>
  <c r="B75" i="24"/>
  <c r="B134" i="24"/>
  <c r="B166" i="24"/>
  <c r="B81" i="24"/>
  <c r="B156" i="24"/>
  <c r="B65" i="24"/>
  <c r="B172" i="24"/>
  <c r="B97" i="24"/>
  <c r="B140" i="24"/>
  <c r="B168" i="24"/>
  <c r="B61" i="24"/>
  <c r="B152" i="24"/>
  <c r="B77" i="24"/>
  <c r="B93" i="24"/>
  <c r="B136" i="24"/>
  <c r="B167" i="24"/>
  <c r="B135" i="24"/>
  <c r="B151" i="24"/>
  <c r="B92" i="24"/>
  <c r="B60" i="24"/>
  <c r="B76" i="24"/>
  <c r="B230" i="23"/>
  <c r="B253" i="23"/>
  <c r="B187" i="23"/>
  <c r="B205" i="23"/>
  <c r="B244" i="23"/>
  <c r="B196" i="23"/>
  <c r="B178" i="23"/>
  <c r="B221" i="23"/>
  <c r="B227" i="23"/>
  <c r="B184" i="23"/>
  <c r="B250" i="23"/>
  <c r="B202" i="23"/>
  <c r="B198" i="23"/>
  <c r="B246" i="23"/>
  <c r="B180" i="23"/>
  <c r="B223" i="23"/>
  <c r="B245" i="24"/>
  <c r="B199" i="23"/>
  <c r="B247" i="23"/>
  <c r="B224" i="23"/>
  <c r="B181" i="23"/>
  <c r="B148" i="24"/>
  <c r="B226" i="23"/>
  <c r="B249" i="23"/>
  <c r="B201" i="23"/>
  <c r="B183" i="23"/>
  <c r="B186" i="23"/>
  <c r="B252" i="23"/>
  <c r="B204" i="23"/>
  <c r="B229" i="23"/>
  <c r="B139" i="24"/>
  <c r="B96" i="24"/>
  <c r="B64" i="24"/>
  <c r="B171" i="24"/>
  <c r="B155" i="24"/>
  <c r="B80" i="24"/>
  <c r="B252" i="24"/>
  <c r="B165" i="24"/>
  <c r="B58" i="24"/>
  <c r="B74" i="24"/>
  <c r="B149" i="24"/>
  <c r="B133" i="24"/>
  <c r="B90" i="24"/>
  <c r="B220" i="23"/>
  <c r="B195" i="23"/>
  <c r="B177" i="23"/>
  <c r="B243" i="23"/>
  <c r="B143" i="24"/>
  <c r="B84" i="24"/>
  <c r="B100" i="24"/>
  <c r="B175" i="24"/>
  <c r="B159" i="24"/>
  <c r="B68" i="24"/>
  <c r="B99" i="24"/>
  <c r="B67" i="24"/>
  <c r="B83" i="24"/>
  <c r="B158" i="24"/>
  <c r="B174" i="24"/>
  <c r="B142" i="24"/>
  <c r="B153" i="24"/>
  <c r="B94" i="24"/>
  <c r="B62" i="24"/>
  <c r="B78" i="24"/>
  <c r="B169" i="24"/>
  <c r="B137" i="24"/>
  <c r="B219" i="23"/>
  <c r="B176" i="23"/>
  <c r="B194" i="23"/>
  <c r="B79" i="24"/>
  <c r="B138" i="24"/>
  <c r="B63" i="24"/>
  <c r="B170" i="24"/>
  <c r="B95" i="24"/>
  <c r="B154" i="24"/>
  <c r="B173" i="24"/>
  <c r="B82" i="24"/>
  <c r="B66" i="24"/>
  <c r="B157" i="24"/>
  <c r="B141" i="24"/>
  <c r="B98" i="24"/>
  <c r="C244" i="24"/>
  <c r="C252" i="24"/>
  <c r="C245" i="24"/>
  <c r="C253" i="24"/>
  <c r="C246" i="24"/>
  <c r="C247" i="24"/>
  <c r="C248" i="24"/>
  <c r="C249" i="24"/>
  <c r="C250" i="24"/>
  <c r="C243" i="24"/>
  <c r="C251" i="24"/>
  <c r="B261" i="24"/>
  <c r="B177" i="24" l="1"/>
  <c r="B175" i="21"/>
  <c r="B259" i="24"/>
  <c r="B255" i="24"/>
  <c r="B264" i="24" s="1"/>
  <c r="B254" i="24"/>
  <c r="B230" i="24"/>
  <c r="B176" i="24"/>
  <c r="B178" i="24" s="1"/>
  <c r="B85" i="24"/>
  <c r="B160" i="24"/>
  <c r="B161" i="24"/>
  <c r="B144" i="24"/>
  <c r="B145" i="24"/>
  <c r="B101" i="24"/>
  <c r="B86" i="24"/>
  <c r="B87" i="24" s="1"/>
  <c r="B70" i="24"/>
  <c r="B102" i="24"/>
  <c r="B69" i="24"/>
  <c r="B233" i="21"/>
  <c r="B88" i="21"/>
  <c r="B70" i="8" s="1"/>
  <c r="B230" i="21"/>
  <c r="B254" i="23"/>
  <c r="B255" i="23"/>
  <c r="B232" i="23"/>
  <c r="B231" i="23"/>
  <c r="B206" i="23"/>
  <c r="B207" i="23"/>
  <c r="B189" i="23"/>
  <c r="B188" i="23"/>
  <c r="B147" i="23"/>
  <c r="B234" i="21"/>
  <c r="B239" i="21" s="1"/>
  <c r="B263" i="24"/>
  <c r="B179" i="24" l="1"/>
  <c r="B262" i="24"/>
  <c r="B146" i="24"/>
  <c r="B259" i="23"/>
  <c r="B256" i="24"/>
  <c r="B269" i="24"/>
  <c r="B103" i="24"/>
  <c r="B162" i="24"/>
  <c r="B71" i="24"/>
  <c r="B104" i="24"/>
  <c r="B266" i="24" s="1"/>
  <c r="B277" i="24" s="1"/>
  <c r="B256" i="23"/>
  <c r="B238" i="21"/>
  <c r="E232" i="21"/>
  <c r="B233" i="23"/>
  <c r="B208" i="23"/>
  <c r="B190" i="23"/>
  <c r="B105" i="24"/>
  <c r="B260" i="23"/>
  <c r="B180" i="24"/>
  <c r="C6" i="25"/>
  <c r="B181" i="24" l="1"/>
  <c r="E5" i="25"/>
  <c r="B267" i="24"/>
  <c r="B265" i="24" s="1"/>
  <c r="B106" i="24"/>
  <c r="C258" i="23"/>
  <c r="C5" i="25"/>
  <c r="C7" i="25" s="1"/>
  <c r="E236" i="21"/>
  <c r="B240" i="21"/>
  <c r="B270" i="24"/>
  <c r="B268" i="24" s="1"/>
  <c r="B278" i="24" l="1"/>
  <c r="B276" i="24" s="1"/>
  <c r="E6" i="25" l="1"/>
  <c r="E7" i="25" l="1"/>
  <c r="B26" i="23" l="1"/>
  <c r="B25" i="23"/>
  <c r="B24" i="23"/>
  <c r="B23" i="23"/>
  <c r="B22" i="23"/>
  <c r="B21" i="23"/>
  <c r="B20" i="23"/>
  <c r="B19" i="23"/>
  <c r="B18" i="23"/>
  <c r="B17" i="23"/>
  <c r="B16" i="23"/>
  <c r="B15" i="23"/>
  <c r="B31" i="23" l="1"/>
  <c r="B30" i="23"/>
  <c r="B29" i="23" l="1"/>
  <c r="B82" i="23"/>
  <c r="B85" i="23" s="1"/>
  <c r="B265" i="23" s="1"/>
  <c r="B86" i="23"/>
  <c r="B84" i="23" l="1"/>
  <c r="B71" i="8" s="1"/>
  <c r="B72" i="8" s="1"/>
  <c r="D5" i="25"/>
  <c r="F5" i="25" s="1"/>
  <c r="D17" i="20" s="1"/>
  <c r="B266" i="23"/>
  <c r="D6" i="25" s="1"/>
  <c r="B264" i="23" l="1"/>
  <c r="D7" i="25"/>
  <c r="F6" i="25"/>
  <c r="D18" i="20" s="1"/>
  <c r="F7" i="25" l="1"/>
  <c r="D19" i="20" s="1"/>
</calcChain>
</file>

<file path=xl/sharedStrings.xml><?xml version="1.0" encoding="utf-8"?>
<sst xmlns="http://schemas.openxmlformats.org/spreadsheetml/2006/main" count="2048" uniqueCount="408">
  <si>
    <t>-</t>
  </si>
  <si>
    <t>%</t>
  </si>
  <si>
    <t>Unit</t>
  </si>
  <si>
    <t>Parameter</t>
  </si>
  <si>
    <t>Source</t>
  </si>
  <si>
    <t>kg</t>
  </si>
  <si>
    <t>kg-dm/day</t>
  </si>
  <si>
    <t xml:space="preserve">2006 IPCC guideline, volume 4, chapter 10 </t>
  </si>
  <si>
    <t>Direct N2O Emissions</t>
  </si>
  <si>
    <t xml:space="preserve">                               Value</t>
  </si>
  <si>
    <t xml:space="preserve">                              Value </t>
  </si>
  <si>
    <t>Indirect N2O Emissions</t>
  </si>
  <si>
    <t>EF4</t>
  </si>
  <si>
    <t>EF1</t>
  </si>
  <si>
    <t>EF5</t>
  </si>
  <si>
    <t>kg/animal/day</t>
  </si>
  <si>
    <t>numbers</t>
  </si>
  <si>
    <t>m3 CH4/kg-VS</t>
  </si>
  <si>
    <t xml:space="preserve">                                      Value </t>
  </si>
  <si>
    <t xml:space="preserve">A) Phase I: Anaerobic digester </t>
  </si>
  <si>
    <t xml:space="preserve">Total CH4 emissions </t>
  </si>
  <si>
    <t>B) PHASE II: Aerobic treatment</t>
  </si>
  <si>
    <t>LEAKEAGE</t>
  </si>
  <si>
    <t>MCFd</t>
  </si>
  <si>
    <t>Rvs,n</t>
  </si>
  <si>
    <t>from Land Application(tCO2e)</t>
  </si>
  <si>
    <t>at the project site</t>
  </si>
  <si>
    <t>Fraction of manure handled in system j</t>
  </si>
  <si>
    <t>calculated</t>
  </si>
  <si>
    <t xml:space="preserve">calculated </t>
  </si>
  <si>
    <t>Annex 1, ACM0010</t>
  </si>
  <si>
    <t>table 11.3, chapter 11, volume 4, 2006 IPCC</t>
  </si>
  <si>
    <t>Market Swine</t>
  </si>
  <si>
    <t>Breeding Swine</t>
  </si>
  <si>
    <t xml:space="preserve">BASELINE EMISSIONS </t>
  </si>
  <si>
    <t>i) CH4 emissions</t>
  </si>
  <si>
    <t>ii) N2O emissions</t>
  </si>
  <si>
    <t>2006 IPCC default value, vol. 4, ch. 10, tbl. 10.21</t>
  </si>
  <si>
    <t>2006 IPCC default value, vol. 4, ch. 10, tbl. 11.3</t>
  </si>
  <si>
    <t>Conservative Factor</t>
  </si>
  <si>
    <t xml:space="preserve">i) Methane emissions from AWMS where gas is captured (PEAD, y): </t>
  </si>
  <si>
    <t>iii) N2O emissions from manure management</t>
  </si>
  <si>
    <t>MS%j</t>
  </si>
  <si>
    <t xml:space="preserve">PROJECT EMISSION </t>
  </si>
  <si>
    <t>ii)Methane emissions from disposal of treated manure</t>
  </si>
  <si>
    <t>table 11.1, chapter 11, volume 4, 2006 IPCC</t>
  </si>
  <si>
    <t>2006 IPCC default value, vol. 4, ch. 10, tbl. 10A-7,8</t>
  </si>
  <si>
    <t>kg/animal-yr</t>
  </si>
  <si>
    <t>Calulated</t>
  </si>
  <si>
    <t>Ndy</t>
  </si>
  <si>
    <t>kg N/1000kg animal mass/day</t>
  </si>
  <si>
    <t>2006 IPCC guideline, volume 4, chapter 10, tbl. 10A-7</t>
  </si>
  <si>
    <t>Calculated</t>
  </si>
  <si>
    <t>days</t>
  </si>
  <si>
    <t>MCF with cons. Factor</t>
  </si>
  <si>
    <t xml:space="preserve">Calculated  </t>
  </si>
  <si>
    <t>2006 IPCC Guidelines, volume 4, chapter 11, table 11.3</t>
  </si>
  <si>
    <t>2006 IPCC default value, vol. 4, ch. 10, tbl.10.22 (According to Chapter 8.2 in US-EPA (2001), "a covered lagoon will not lose NH3-N to the atmosphere")</t>
  </si>
  <si>
    <t>2006 IPCC default value, vol. 4, ch. 11, tbl.11.3 (According to Chapter 8.2 in US-EPA (2001), "a covered lagoon will not lose NH3-N to the atmosphere")</t>
    <phoneticPr fontId="0" type="noConversion"/>
  </si>
  <si>
    <t>Unit</t>
    <phoneticPr fontId="0" type="noConversion"/>
  </si>
  <si>
    <t>Source</t>
    <phoneticPr fontId="0" type="noConversion"/>
  </si>
  <si>
    <t xml:space="preserve">Value </t>
    <phoneticPr fontId="0" type="noConversion"/>
  </si>
  <si>
    <t>Parameter</t>
    <phoneticPr fontId="0" type="noConversion"/>
  </si>
  <si>
    <t xml:space="preserve">calculated </t>
    <phoneticPr fontId="0" type="noConversion"/>
  </si>
  <si>
    <t>2006 IPCC default value, vol. 4, ch. 10, tbl. 10.21 Anaerobic digester</t>
    <phoneticPr fontId="0" type="noConversion"/>
  </si>
  <si>
    <t xml:space="preserve">2006 IPCC default value, vol. 4, ch. 11, tbl.11.3 </t>
    <phoneticPr fontId="0" type="noConversion"/>
  </si>
  <si>
    <t>TAM</t>
  </si>
  <si>
    <t>2006 IPCC default value, vol. 4, ch. 10, tbl. 10.19</t>
    <phoneticPr fontId="0" type="noConversion"/>
  </si>
  <si>
    <t xml:space="preserve">2006 IPCC default value, vol. 4, ch. 10, tbl.10.22 </t>
    <phoneticPr fontId="0" type="noConversion"/>
  </si>
  <si>
    <t>kg N/animal/year</t>
    <phoneticPr fontId="0" type="noConversion"/>
  </si>
  <si>
    <t>No of heads</t>
    <phoneticPr fontId="0" type="noConversion"/>
  </si>
  <si>
    <t>total</t>
  </si>
  <si>
    <t>Title of the project activity</t>
  </si>
  <si>
    <t>GS ID of the project activity</t>
    <phoneticPr fontId="11" type="noConversion"/>
  </si>
  <si>
    <t>Version number of this calculation sheet</t>
    <phoneticPr fontId="11" type="noConversion"/>
  </si>
  <si>
    <t>Date</t>
    <phoneticPr fontId="11" type="noConversion"/>
  </si>
  <si>
    <t>Duration of this monitoring period</t>
  </si>
  <si>
    <t>Market Swine</t>
    <phoneticPr fontId="0" type="noConversion"/>
  </si>
  <si>
    <t>Breeding Swine</t>
    <phoneticPr fontId="0" type="noConversion"/>
  </si>
  <si>
    <t>1. Mean value and standard deviations for strata</t>
    <phoneticPr fontId="11" type="noConversion"/>
  </si>
  <si>
    <t xml:space="preserve"> Population total</t>
    <phoneticPr fontId="11" type="noConversion"/>
  </si>
  <si>
    <t xml:space="preserve">(N)  </t>
    <phoneticPr fontId="11" type="noConversion"/>
  </si>
  <si>
    <t>2. The stratified estimated overall mean:</t>
    <phoneticPr fontId="11" type="noConversion"/>
  </si>
  <si>
    <t xml:space="preserve"> The stratified estimated overall mean  </t>
  </si>
  <si>
    <t xml:space="preserve"> N  </t>
  </si>
  <si>
    <t>3. The standard error of the stratified estimated overall mean:</t>
    <phoneticPr fontId="11" type="noConversion"/>
  </si>
  <si>
    <t xml:space="preserve"> Standard error of the stratified estimated overall mean</t>
    <phoneticPr fontId="11" type="noConversion"/>
  </si>
  <si>
    <t>4. t-value</t>
    <phoneticPr fontId="11" type="noConversion"/>
  </si>
  <si>
    <t>5. Precision</t>
    <phoneticPr fontId="11" type="noConversion"/>
  </si>
  <si>
    <t xml:space="preserve">Precision   </t>
    <phoneticPr fontId="11" type="noConversion"/>
  </si>
  <si>
    <t>6. Calculation results</t>
    <phoneticPr fontId="11" type="noConversion"/>
  </si>
  <si>
    <t>t-value</t>
    <phoneticPr fontId="11" type="noConversion"/>
  </si>
  <si>
    <t>Relative Precision</t>
    <phoneticPr fontId="11" type="noConversion"/>
  </si>
  <si>
    <t>-</t>
    <phoneticPr fontId="0" type="noConversion"/>
  </si>
  <si>
    <t>BASELINE EMISSIONS       BEy =</t>
    <phoneticPr fontId="0" type="noConversion"/>
  </si>
  <si>
    <t>kg-dm/ animal/year</t>
    <phoneticPr fontId="0" type="noConversion"/>
  </si>
  <si>
    <t>Page 12 of tool 14: Project and leakage emissions from anaerobic digesters</t>
    <phoneticPr fontId="0" type="noConversion"/>
  </si>
  <si>
    <t>2006 IPCC guideline, volume 4, chapter 10, tbl. 10A-7</t>
    <phoneticPr fontId="0" type="noConversion"/>
  </si>
  <si>
    <t>Tt(k)</t>
    <phoneticPr fontId="11" type="noConversion"/>
  </si>
  <si>
    <t>MMi(kg/kmol)</t>
    <phoneticPr fontId="11" type="noConversion"/>
  </si>
  <si>
    <t>Ru(Pa.m3/kmol.K))</t>
    <phoneticPr fontId="11" type="noConversion"/>
  </si>
  <si>
    <t>t CH4</t>
    <phoneticPr fontId="0" type="noConversion"/>
  </si>
  <si>
    <t>Vf3(m3)</t>
    <phoneticPr fontId="11" type="noConversion"/>
  </si>
  <si>
    <t>Breeding Swine</t>
    <phoneticPr fontId="11" type="noConversion"/>
  </si>
  <si>
    <t>average</t>
    <phoneticPr fontId="11" type="noConversion"/>
  </si>
  <si>
    <t>kg</t>
    <phoneticPr fontId="0" type="noConversion"/>
  </si>
  <si>
    <t>Calculated</t>
    <phoneticPr fontId="0" type="noConversion"/>
  </si>
  <si>
    <t>Fraction of manure handled in system j</t>
    <phoneticPr fontId="0" type="noConversion"/>
  </si>
  <si>
    <t>MWh</t>
    <phoneticPr fontId="0" type="noConversion"/>
  </si>
  <si>
    <t>calculated</t>
    <phoneticPr fontId="0" type="noConversion"/>
  </si>
  <si>
    <t>calcualted</t>
    <phoneticPr fontId="0" type="noConversion"/>
  </si>
  <si>
    <t>%</t>
    <phoneticPr fontId="0" type="noConversion"/>
  </si>
  <si>
    <t>LEy =</t>
    <phoneticPr fontId="0" type="noConversion"/>
  </si>
  <si>
    <t xml:space="preserve"> Value </t>
    <phoneticPr fontId="0" type="noConversion"/>
  </si>
  <si>
    <t>t CH4</t>
  </si>
  <si>
    <t>Tool to determine project emissions from flaring gases containing methane</t>
    <phoneticPr fontId="0" type="noConversion"/>
  </si>
  <si>
    <t>Time</t>
    <phoneticPr fontId="11" type="noConversion"/>
  </si>
  <si>
    <t>SDG8</t>
    <phoneticPr fontId="11" type="noConversion"/>
  </si>
  <si>
    <t>SDG13</t>
    <phoneticPr fontId="11" type="noConversion"/>
  </si>
  <si>
    <t>IPCC AR5</t>
  </si>
  <si>
    <t>t/m3</t>
  </si>
  <si>
    <t>kgN/animal/yr</t>
    <phoneticPr fontId="0" type="noConversion"/>
  </si>
  <si>
    <t>total</t>
    <phoneticPr fontId="0" type="noConversion"/>
  </si>
  <si>
    <t>Ministry of Ecology and Environment of the People's Republic of China</t>
    <phoneticPr fontId="0" type="noConversion"/>
  </si>
  <si>
    <t>Tool 05:Baseline, project and/or leakage emissions from electricity consumption and monitoring of electricity generation</t>
    <phoneticPr fontId="0" type="noConversion"/>
  </si>
  <si>
    <t>No fossil fuel comsumed during this MP, therefore,Project emissions from fossil fuel consumption associated with the anaerobic digester is not be taken into account</t>
    <phoneticPr fontId="0" type="noConversion"/>
  </si>
  <si>
    <t xml:space="preserve">                                      Value </t>
    <phoneticPr fontId="0" type="noConversion"/>
  </si>
  <si>
    <t>IPCC AR5</t>
    <phoneticPr fontId="0" type="noConversion"/>
  </si>
  <si>
    <t>PDD</t>
    <phoneticPr fontId="0" type="noConversion"/>
  </si>
  <si>
    <t>kg/animal/yr</t>
    <phoneticPr fontId="0" type="noConversion"/>
  </si>
  <si>
    <t>SDG7</t>
    <phoneticPr fontId="11" type="noConversion"/>
  </si>
  <si>
    <t>Total number of jobs</t>
    <phoneticPr fontId="11" type="noConversion"/>
  </si>
  <si>
    <r>
      <t>Amount of GHGs emission avoided or sequestered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eq)</t>
    </r>
    <phoneticPr fontId="11" type="noConversion"/>
  </si>
  <si>
    <t>Time interval</t>
    <phoneticPr fontId="11" type="noConversion"/>
  </si>
  <si>
    <t>total</t>
    <phoneticPr fontId="11" type="noConversion"/>
  </si>
  <si>
    <t xml:space="preserve">kg N2O-N/year </t>
    <phoneticPr fontId="0" type="noConversion"/>
  </si>
  <si>
    <t>Swine Farm</t>
    <phoneticPr fontId="19" type="noConversion"/>
  </si>
  <si>
    <t>Wsite-Arithmetic mean</t>
    <phoneticPr fontId="19" type="noConversion"/>
  </si>
  <si>
    <t>NLT</t>
    <phoneticPr fontId="19" type="noConversion"/>
  </si>
  <si>
    <t>Wsite-Arithmetic mean*NLT</t>
    <phoneticPr fontId="19" type="noConversion"/>
  </si>
  <si>
    <t>Market</t>
    <phoneticPr fontId="19" type="noConversion"/>
  </si>
  <si>
    <t>Breeding</t>
    <phoneticPr fontId="19" type="noConversion"/>
  </si>
  <si>
    <t>total</t>
    <phoneticPr fontId="19" type="noConversion"/>
  </si>
  <si>
    <t>Wsite-Weighted average</t>
    <phoneticPr fontId="19" type="noConversion"/>
  </si>
  <si>
    <t>time</t>
    <phoneticPr fontId="11" type="noConversion"/>
  </si>
  <si>
    <t>Weight record</t>
    <phoneticPr fontId="11" type="noConversion"/>
  </si>
  <si>
    <t>subtotal</t>
  </si>
  <si>
    <t>subtotal</t>
    <phoneticPr fontId="0" type="noConversion"/>
  </si>
  <si>
    <t>Huicheng Hengli</t>
    <phoneticPr fontId="11" type="noConversion"/>
  </si>
  <si>
    <t>Dongyuan Huangtian swine Farm</t>
    <phoneticPr fontId="11" type="noConversion"/>
  </si>
  <si>
    <t>Enping Shahu swine  Farm</t>
    <phoneticPr fontId="11" type="noConversion"/>
  </si>
  <si>
    <t>Langtian Yuehui swine Farm</t>
    <phoneticPr fontId="11" type="noConversion"/>
  </si>
  <si>
    <t>Qujiang Fengwan swine Farm</t>
    <phoneticPr fontId="11" type="noConversion"/>
  </si>
  <si>
    <t>Pingyuan Zhongshi swine Farm</t>
    <phoneticPr fontId="11" type="noConversion"/>
  </si>
  <si>
    <t>Yangchun Tanshui swine Farm</t>
    <phoneticPr fontId="11" type="noConversion"/>
  </si>
  <si>
    <t>Xinfeng Shatian swine Farm</t>
    <phoneticPr fontId="11" type="noConversion"/>
  </si>
  <si>
    <t>Kaiping Cangcheng swine Farm</t>
    <phoneticPr fontId="11" type="noConversion"/>
  </si>
  <si>
    <r>
      <t>N</t>
    </r>
    <r>
      <rPr>
        <vertAlign val="subscript"/>
        <sz val="10"/>
        <rFont val="Verdana"/>
        <family val="2"/>
      </rPr>
      <t>LT</t>
    </r>
    <phoneticPr fontId="11" type="noConversion"/>
  </si>
  <si>
    <r>
      <t>w</t>
    </r>
    <r>
      <rPr>
        <vertAlign val="subscript"/>
        <sz val="10"/>
        <rFont val="Verdana"/>
        <family val="2"/>
      </rPr>
      <t>site</t>
    </r>
    <phoneticPr fontId="11" type="noConversion"/>
  </si>
  <si>
    <t>GS 11335</t>
    <phoneticPr fontId="15" type="noConversion"/>
  </si>
  <si>
    <t>Shuangbaotai Animal Manure Management System GHG Mitigation Project in Guangdong Province</t>
    <phoneticPr fontId="11" type="noConversion"/>
  </si>
  <si>
    <r>
      <t>18 full time jobs created</t>
    </r>
    <r>
      <rPr>
        <sz val="11"/>
        <rFont val="宋体"/>
        <family val="2"/>
        <charset val="134"/>
      </rPr>
      <t>，</t>
    </r>
    <r>
      <rPr>
        <sz val="11"/>
        <rFont val="Verdana"/>
        <family val="2"/>
      </rPr>
      <t>including 9 females and 9 males</t>
    </r>
    <phoneticPr fontId="11" type="noConversion"/>
  </si>
  <si>
    <r>
      <t>GWP</t>
    </r>
    <r>
      <rPr>
        <i/>
        <vertAlign val="subscript"/>
        <sz val="10"/>
        <color indexed="8"/>
        <rFont val="Verdana"/>
        <family val="2"/>
      </rPr>
      <t>CH4</t>
    </r>
  </si>
  <si>
    <r>
      <t>tCO</t>
    </r>
    <r>
      <rPr>
        <vertAlign val="subscript"/>
        <sz val="10"/>
        <color indexed="8"/>
        <rFont val="Verdana"/>
        <family val="2"/>
      </rPr>
      <t>2</t>
    </r>
    <r>
      <rPr>
        <sz val="10"/>
        <color indexed="8"/>
        <rFont val="Verdana"/>
        <family val="2"/>
      </rPr>
      <t>/tCH</t>
    </r>
    <r>
      <rPr>
        <vertAlign val="subscript"/>
        <sz val="10"/>
        <color indexed="8"/>
        <rFont val="Verdana"/>
        <family val="2"/>
      </rPr>
      <t>4</t>
    </r>
    <phoneticPr fontId="11" type="noConversion"/>
  </si>
  <si>
    <r>
      <t>D</t>
    </r>
    <r>
      <rPr>
        <i/>
        <vertAlign val="subscript"/>
        <sz val="10"/>
        <color indexed="8"/>
        <rFont val="Verdana"/>
        <family val="2"/>
      </rPr>
      <t>CH4</t>
    </r>
  </si>
  <si>
    <r>
      <t>MCF</t>
    </r>
    <r>
      <rPr>
        <vertAlign val="subscript"/>
        <sz val="10"/>
        <color indexed="8"/>
        <rFont val="Verdana"/>
        <family val="2"/>
      </rPr>
      <t>j</t>
    </r>
    <phoneticPr fontId="0" type="noConversion"/>
  </si>
  <si>
    <r>
      <t>B</t>
    </r>
    <r>
      <rPr>
        <i/>
        <vertAlign val="subscript"/>
        <sz val="8"/>
        <color indexed="8"/>
        <rFont val="Verdana"/>
        <family val="2"/>
      </rPr>
      <t>o,LT</t>
    </r>
    <phoneticPr fontId="0" type="noConversion"/>
  </si>
  <si>
    <r>
      <t>m</t>
    </r>
    <r>
      <rPr>
        <vertAlign val="superscript"/>
        <sz val="10"/>
        <color indexed="8"/>
        <rFont val="Verdana"/>
        <family val="2"/>
      </rPr>
      <t>3</t>
    </r>
    <r>
      <rPr>
        <sz val="10"/>
        <color indexed="8"/>
        <rFont val="Verdana"/>
        <family val="2"/>
      </rPr>
      <t xml:space="preserve"> CH</t>
    </r>
    <r>
      <rPr>
        <vertAlign val="subscript"/>
        <sz val="10"/>
        <color indexed="8"/>
        <rFont val="Verdana"/>
        <family val="2"/>
      </rPr>
      <t>4</t>
    </r>
    <r>
      <rPr>
        <sz val="10"/>
        <color indexed="8"/>
        <rFont val="Verdana"/>
        <family val="2"/>
      </rPr>
      <t xml:space="preserve"> /kg-dm</t>
    </r>
    <phoneticPr fontId="11" type="noConversion"/>
  </si>
  <si>
    <r>
      <t>N</t>
    </r>
    <r>
      <rPr>
        <vertAlign val="subscript"/>
        <sz val="8"/>
        <color indexed="8"/>
        <rFont val="Verdana"/>
        <family val="2"/>
      </rPr>
      <t>LT</t>
    </r>
    <phoneticPr fontId="0" type="noConversion"/>
  </si>
  <si>
    <r>
      <t>W</t>
    </r>
    <r>
      <rPr>
        <i/>
        <vertAlign val="subscript"/>
        <sz val="8"/>
        <rFont val="Verdana"/>
        <family val="2"/>
      </rPr>
      <t>site</t>
    </r>
    <phoneticPr fontId="0" type="noConversion"/>
  </si>
  <si>
    <r>
      <t>W</t>
    </r>
    <r>
      <rPr>
        <vertAlign val="subscript"/>
        <sz val="10"/>
        <color indexed="8"/>
        <rFont val="Verdana"/>
        <family val="2"/>
      </rPr>
      <t>default</t>
    </r>
    <phoneticPr fontId="0" type="noConversion"/>
  </si>
  <si>
    <r>
      <t>VS</t>
    </r>
    <r>
      <rPr>
        <sz val="8"/>
        <color indexed="8"/>
        <rFont val="Verdana"/>
        <family val="2"/>
      </rPr>
      <t>default</t>
    </r>
  </si>
  <si>
    <r>
      <t>VS</t>
    </r>
    <r>
      <rPr>
        <vertAlign val="subscript"/>
        <sz val="8"/>
        <color indexed="8"/>
        <rFont val="Verdana"/>
        <family val="2"/>
      </rPr>
      <t>LT,y</t>
    </r>
    <phoneticPr fontId="0" type="noConversion"/>
  </si>
  <si>
    <r>
      <t>MS%</t>
    </r>
    <r>
      <rPr>
        <vertAlign val="subscript"/>
        <sz val="8"/>
        <color indexed="8"/>
        <rFont val="Verdana"/>
        <family val="2"/>
      </rPr>
      <t>Bl,j</t>
    </r>
    <phoneticPr fontId="0" type="noConversion"/>
  </si>
  <si>
    <r>
      <t>BE</t>
    </r>
    <r>
      <rPr>
        <vertAlign val="subscript"/>
        <sz val="10"/>
        <color rgb="FF000000"/>
        <rFont val="Verdana"/>
        <family val="2"/>
      </rPr>
      <t>CH4</t>
    </r>
    <r>
      <rPr>
        <sz val="10"/>
        <color indexed="8"/>
        <rFont val="Verdana"/>
        <family val="2"/>
      </rPr>
      <t>-monthy</t>
    </r>
    <phoneticPr fontId="11" type="noConversion"/>
  </si>
  <si>
    <r>
      <t>tCO</t>
    </r>
    <r>
      <rPr>
        <vertAlign val="subscript"/>
        <sz val="10"/>
        <color indexed="8"/>
        <rFont val="Verdana"/>
        <family val="2"/>
      </rPr>
      <t>2</t>
    </r>
    <r>
      <rPr>
        <sz val="10"/>
        <color indexed="8"/>
        <rFont val="Verdana"/>
        <family val="2"/>
      </rPr>
      <t>e</t>
    </r>
    <phoneticPr fontId="0" type="noConversion"/>
  </si>
  <si>
    <r>
      <t>tCO</t>
    </r>
    <r>
      <rPr>
        <vertAlign val="subscript"/>
        <sz val="10"/>
        <color indexed="8"/>
        <rFont val="Verdana"/>
        <family val="2"/>
      </rPr>
      <t>2e</t>
    </r>
    <r>
      <rPr>
        <sz val="10"/>
        <color indexed="8"/>
        <rFont val="Arial"/>
        <family val="2"/>
      </rPr>
      <t/>
    </r>
  </si>
  <si>
    <r>
      <t>BE</t>
    </r>
    <r>
      <rPr>
        <b/>
        <sz val="8"/>
        <color indexed="8"/>
        <rFont val="Verdana"/>
        <family val="2"/>
      </rPr>
      <t xml:space="preserve">CH4,y </t>
    </r>
    <phoneticPr fontId="0" type="noConversion"/>
  </si>
  <si>
    <r>
      <t>EF</t>
    </r>
    <r>
      <rPr>
        <i/>
        <vertAlign val="subscript"/>
        <sz val="10"/>
        <rFont val="Verdana"/>
        <family val="2"/>
      </rPr>
      <t>N2O,D,j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</si>
  <si>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</t>
    </r>
    <phoneticPr fontId="0" type="noConversion"/>
  </si>
  <si>
    <r>
      <t>N</t>
    </r>
    <r>
      <rPr>
        <i/>
        <vertAlign val="subscript"/>
        <sz val="10"/>
        <rFont val="Verdana"/>
        <family val="2"/>
      </rPr>
      <t>rate(T)</t>
    </r>
    <phoneticPr fontId="0" type="noConversion"/>
  </si>
  <si>
    <r>
      <t>NEX</t>
    </r>
    <r>
      <rPr>
        <i/>
        <vertAlign val="subscript"/>
        <sz val="8"/>
        <rFont val="Verdana"/>
        <family val="2"/>
      </rPr>
      <t>IPCCdefault</t>
    </r>
    <phoneticPr fontId="0" type="noConversion"/>
  </si>
  <si>
    <r>
      <t>W</t>
    </r>
    <r>
      <rPr>
        <i/>
        <vertAlign val="subscript"/>
        <sz val="8"/>
        <rFont val="Verdana"/>
        <family val="2"/>
      </rPr>
      <t>default</t>
    </r>
    <phoneticPr fontId="0" type="noConversion"/>
  </si>
  <si>
    <r>
      <t>NEX</t>
    </r>
    <r>
      <rPr>
        <i/>
        <vertAlign val="subscript"/>
        <sz val="10"/>
        <rFont val="Verdana"/>
        <family val="2"/>
      </rPr>
      <t>LT,y</t>
    </r>
    <phoneticPr fontId="0" type="noConversion"/>
  </si>
  <si>
    <r>
      <t>N</t>
    </r>
    <r>
      <rPr>
        <i/>
        <vertAlign val="subscript"/>
        <sz val="8"/>
        <rFont val="Verdana"/>
        <family val="2"/>
      </rPr>
      <t>LT</t>
    </r>
    <phoneticPr fontId="0" type="noConversion"/>
  </si>
  <si>
    <r>
      <t>E</t>
    </r>
    <r>
      <rPr>
        <b/>
        <vertAlign val="subscript"/>
        <sz val="10"/>
        <rFont val="Verdana"/>
        <family val="2"/>
      </rPr>
      <t>N2O,D,y</t>
    </r>
    <r>
      <rPr>
        <b/>
        <sz val="10"/>
        <rFont val="Verdana"/>
        <family val="2"/>
      </rPr>
      <t>-monthly</t>
    </r>
    <phoneticPr fontId="11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</si>
  <si>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O-N/year</t>
    </r>
    <phoneticPr fontId="11" type="noConversion"/>
  </si>
  <si>
    <r>
      <t>E</t>
    </r>
    <r>
      <rPr>
        <b/>
        <vertAlign val="subscript"/>
        <sz val="10"/>
        <rFont val="Verdana"/>
        <family val="2"/>
      </rPr>
      <t>N2O,D,y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</si>
  <si>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O-N/year</t>
    </r>
    <phoneticPr fontId="0" type="noConversion"/>
  </si>
  <si>
    <r>
      <t>EF</t>
    </r>
    <r>
      <rPr>
        <i/>
        <vertAlign val="subscript"/>
        <sz val="10"/>
        <rFont val="Verdana"/>
        <family val="2"/>
      </rPr>
      <t>N2O,ID,j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</si>
  <si>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O/kg N</t>
    </r>
    <phoneticPr fontId="0" type="noConversion"/>
  </si>
  <si>
    <r>
      <t>F</t>
    </r>
    <r>
      <rPr>
        <i/>
        <vertAlign val="subscript"/>
        <sz val="10"/>
        <rFont val="Verdana"/>
        <family val="2"/>
      </rPr>
      <t>gasMS,j,LT</t>
    </r>
    <phoneticPr fontId="0" type="noConversion"/>
  </si>
  <si>
    <r>
      <t>NEX</t>
    </r>
    <r>
      <rPr>
        <vertAlign val="subscript"/>
        <sz val="8"/>
        <rFont val="Verdana"/>
        <family val="2"/>
      </rPr>
      <t>LT</t>
    </r>
    <r>
      <rPr>
        <vertAlign val="subscript"/>
        <sz val="10"/>
        <rFont val="Verdana"/>
        <family val="2"/>
      </rPr>
      <t>,y</t>
    </r>
    <phoneticPr fontId="0" type="noConversion"/>
  </si>
  <si>
    <r>
      <t>GWP</t>
    </r>
    <r>
      <rPr>
        <vertAlign val="subscript"/>
        <sz val="10"/>
        <rFont val="Verdana"/>
        <family val="2"/>
      </rPr>
      <t>N2O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</si>
  <si>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11" type="noConversion"/>
  </si>
  <si>
    <r>
      <t>CF</t>
    </r>
    <r>
      <rPr>
        <vertAlign val="subscript"/>
        <sz val="10"/>
        <rFont val="Verdana"/>
        <family val="2"/>
      </rPr>
      <t>N20,N-N</t>
    </r>
    <phoneticPr fontId="0" type="noConversion"/>
  </si>
  <si>
    <r>
      <t>Conversion Factor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 to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</si>
  <si>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E</t>
    </r>
    <r>
      <rPr>
        <vertAlign val="subscript"/>
        <sz val="10"/>
        <rFont val="Verdana"/>
        <family val="2"/>
      </rPr>
      <t>N2O,ID,y</t>
    </r>
    <r>
      <rPr>
        <sz val="10"/>
        <rFont val="Verdana"/>
        <family val="2"/>
      </rPr>
      <t>-monthly</t>
    </r>
    <phoneticPr fontId="11" type="noConversion"/>
  </si>
  <si>
    <r>
      <t>E</t>
    </r>
    <r>
      <rPr>
        <b/>
        <vertAlign val="subscript"/>
        <sz val="10"/>
        <rFont val="Verdana"/>
        <family val="2"/>
      </rPr>
      <t>N2O,ID,y</t>
    </r>
    <phoneticPr fontId="0" type="noConversion"/>
  </si>
  <si>
    <r>
      <t>BE</t>
    </r>
    <r>
      <rPr>
        <i/>
        <vertAlign val="subscript"/>
        <sz val="8"/>
        <rFont val="Verdana"/>
        <family val="2"/>
      </rPr>
      <t>N2O,y</t>
    </r>
    <r>
      <rPr>
        <i/>
        <sz val="8"/>
        <rFont val="Verdana"/>
        <family val="2"/>
      </rPr>
      <t xml:space="preserve"> </t>
    </r>
    <r>
      <rPr>
        <b/>
        <sz val="10"/>
        <rFont val="Verdana"/>
        <family val="2"/>
      </rPr>
      <t>= GWP</t>
    </r>
    <r>
      <rPr>
        <b/>
        <vertAlign val="subscript"/>
        <sz val="8"/>
        <rFont val="Verdana"/>
        <family val="2"/>
      </rPr>
      <t>N2O</t>
    </r>
    <r>
      <rPr>
        <b/>
        <sz val="10"/>
        <rFont val="Verdana"/>
        <family val="2"/>
      </rPr>
      <t>*CF</t>
    </r>
    <r>
      <rPr>
        <b/>
        <vertAlign val="subscript"/>
        <sz val="8"/>
        <rFont val="Verdana"/>
        <family val="2"/>
      </rPr>
      <t>N2O-N,N</t>
    </r>
    <r>
      <rPr>
        <b/>
        <sz val="10"/>
        <rFont val="Verdana"/>
        <family val="2"/>
      </rPr>
      <t>* 1/1000*(E</t>
    </r>
    <r>
      <rPr>
        <b/>
        <vertAlign val="subscript"/>
        <sz val="8"/>
        <rFont val="Verdana"/>
        <family val="2"/>
      </rPr>
      <t>N2O,D,y</t>
    </r>
    <r>
      <rPr>
        <b/>
        <sz val="10"/>
        <rFont val="Verdana"/>
        <family val="2"/>
      </rPr>
      <t xml:space="preserve"> + E</t>
    </r>
    <r>
      <rPr>
        <b/>
        <vertAlign val="subscript"/>
        <sz val="8"/>
        <rFont val="Verdana"/>
        <family val="2"/>
      </rPr>
      <t>N2O,ID,y</t>
    </r>
    <r>
      <rPr>
        <b/>
        <sz val="10"/>
        <rFont val="Verdana"/>
        <family val="2"/>
      </rPr>
      <t>) =</t>
    </r>
    <phoneticPr fontId="0" type="noConversion"/>
  </si>
  <si>
    <r>
      <t xml:space="preserve"> BE</t>
    </r>
    <r>
      <rPr>
        <b/>
        <sz val="8"/>
        <rFont val="Verdana"/>
        <family val="2"/>
      </rPr>
      <t xml:space="preserve">CH4,y </t>
    </r>
    <r>
      <rPr>
        <b/>
        <sz val="10"/>
        <rFont val="Verdana"/>
        <family val="2"/>
      </rPr>
      <t>+ BE</t>
    </r>
    <r>
      <rPr>
        <b/>
        <sz val="8"/>
        <rFont val="Verdana"/>
        <family val="2"/>
      </rPr>
      <t>N2O</t>
    </r>
    <r>
      <rPr>
        <b/>
        <sz val="10"/>
        <rFont val="Verdana"/>
        <family val="2"/>
      </rPr>
      <t xml:space="preserve"> </t>
    </r>
    <r>
      <rPr>
        <b/>
        <sz val="8"/>
        <rFont val="Verdana"/>
        <family val="2"/>
      </rPr>
      <t xml:space="preserve"> =</t>
    </r>
    <phoneticPr fontId="0" type="noConversion"/>
  </si>
  <si>
    <r>
      <t>Baseline Emission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</si>
  <si>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Project Emisson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</si>
  <si>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Leakage Emisson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</si>
  <si>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Emission Reductions(tCO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</si>
  <si>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N</t>
    </r>
    <r>
      <rPr>
        <vertAlign val="subscript"/>
        <sz val="8"/>
        <rFont val="Verdana"/>
        <family val="2"/>
      </rPr>
      <t>LT</t>
    </r>
    <phoneticPr fontId="0" type="noConversion"/>
  </si>
  <si>
    <r>
      <t>NEX</t>
    </r>
    <r>
      <rPr>
        <vertAlign val="subscript"/>
        <sz val="8"/>
        <rFont val="Verdana"/>
        <family val="2"/>
      </rPr>
      <t>LT,y</t>
    </r>
    <phoneticPr fontId="0" type="noConversion"/>
  </si>
  <si>
    <r>
      <t>R</t>
    </r>
    <r>
      <rPr>
        <i/>
        <vertAlign val="subscript"/>
        <sz val="8"/>
        <rFont val="Verdana"/>
        <family val="2"/>
      </rPr>
      <t>N,n</t>
    </r>
    <phoneticPr fontId="11" type="noConversion"/>
  </si>
  <si>
    <r>
      <t>KgN-N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NH</t>
    </r>
    <r>
      <rPr>
        <vertAlign val="subscript"/>
        <sz val="10"/>
        <rFont val="Verdana"/>
        <family val="2"/>
      </rPr>
      <t>3</t>
    </r>
    <r>
      <rPr>
        <sz val="10"/>
        <rFont val="Verdana"/>
        <family val="2"/>
      </rPr>
      <t>-N+NO</t>
    </r>
    <r>
      <rPr>
        <vertAlign val="subscript"/>
        <sz val="10"/>
        <rFont val="Verdana"/>
        <family val="2"/>
      </rPr>
      <t>X</t>
    </r>
    <r>
      <rPr>
        <sz val="10"/>
        <rFont val="Verdana"/>
        <family val="2"/>
      </rPr>
      <t>-N</t>
    </r>
    <phoneticPr fontId="0" type="noConversion"/>
  </si>
  <si>
    <r>
      <t>F</t>
    </r>
    <r>
      <rPr>
        <vertAlign val="subscript"/>
        <sz val="10"/>
        <rFont val="Verdana"/>
        <family val="2"/>
      </rPr>
      <t>leach</t>
    </r>
    <phoneticPr fontId="11" type="noConversion"/>
  </si>
  <si>
    <r>
      <t>F</t>
    </r>
    <r>
      <rPr>
        <vertAlign val="subscript"/>
        <sz val="10"/>
        <rFont val="Verdana"/>
        <family val="2"/>
      </rPr>
      <t>gasm</t>
    </r>
    <phoneticPr fontId="11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</si>
  <si>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</si>
  <si>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LE</t>
    </r>
    <r>
      <rPr>
        <vertAlign val="subscript"/>
        <sz val="8"/>
        <rFont val="Verdana"/>
        <family val="2"/>
      </rPr>
      <t>N2O,land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</si>
  <si>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 xml:space="preserve"> 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O-N/year </t>
    </r>
    <phoneticPr fontId="0" type="noConversion"/>
  </si>
  <si>
    <r>
      <t>LE</t>
    </r>
    <r>
      <rPr>
        <vertAlign val="subscript"/>
        <sz val="8"/>
        <rFont val="Verdana"/>
        <family val="2"/>
      </rPr>
      <t>N2O,runoff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</si>
  <si>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O-N/year </t>
    </r>
    <phoneticPr fontId="0" type="noConversion"/>
  </si>
  <si>
    <r>
      <t>LE</t>
    </r>
    <r>
      <rPr>
        <vertAlign val="subscript"/>
        <sz val="8"/>
        <rFont val="Verdana"/>
        <family val="2"/>
      </rPr>
      <t>N2O,vol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</si>
  <si>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e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</si>
  <si>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BL,N2O,y</t>
    </r>
    <phoneticPr fontId="0" type="noConversion"/>
  </si>
  <si>
    <r>
      <t>R</t>
    </r>
    <r>
      <rPr>
        <i/>
        <sz val="8"/>
        <rFont val="Verdana"/>
        <family val="2"/>
      </rPr>
      <t>N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</si>
  <si>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</t>
    </r>
    <phoneticPr fontId="11" type="noConversion"/>
  </si>
  <si>
    <r>
      <t>LE</t>
    </r>
    <r>
      <rPr>
        <b/>
        <vertAlign val="subscript"/>
        <sz val="10"/>
        <rFont val="Verdana"/>
        <family val="2"/>
      </rPr>
      <t>N2O,land,y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</si>
  <si>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N2O,runoff,y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</si>
  <si>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N2O,vol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</si>
  <si>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PJ,N2O,y</t>
    </r>
    <phoneticPr fontId="0" type="noConversion"/>
  </si>
  <si>
    <r>
      <t>GWP</t>
    </r>
    <r>
      <rPr>
        <sz val="8"/>
        <rFont val="Verdana"/>
        <family val="2"/>
      </rPr>
      <t>CH4</t>
    </r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</si>
  <si>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CH</t>
    </r>
    <r>
      <rPr>
        <vertAlign val="subscript"/>
        <sz val="10"/>
        <rFont val="Verdana"/>
        <family val="2"/>
      </rPr>
      <t>4</t>
    </r>
    <phoneticPr fontId="0" type="noConversion"/>
  </si>
  <si>
    <r>
      <t>D</t>
    </r>
    <r>
      <rPr>
        <sz val="8"/>
        <rFont val="Verdana"/>
        <family val="2"/>
      </rPr>
      <t>CH4</t>
    </r>
  </si>
  <si>
    <r>
      <t>t/m</t>
    </r>
    <r>
      <rPr>
        <vertAlign val="superscript"/>
        <sz val="10"/>
        <rFont val="Verdana"/>
        <family val="2"/>
      </rPr>
      <t>3</t>
    </r>
    <phoneticPr fontId="0" type="noConversion"/>
  </si>
  <si>
    <r>
      <t>VS</t>
    </r>
    <r>
      <rPr>
        <sz val="8"/>
        <rFont val="Verdana"/>
        <family val="2"/>
      </rPr>
      <t>LT,y</t>
    </r>
  </si>
  <si>
    <r>
      <t>B</t>
    </r>
    <r>
      <rPr>
        <vertAlign val="subscript"/>
        <sz val="10"/>
        <rFont val="Verdana"/>
        <family val="2"/>
      </rPr>
      <t>0,LT</t>
    </r>
    <phoneticPr fontId="11" type="noConversion"/>
  </si>
  <si>
    <r>
      <t>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CH4/kg-dm</t>
    </r>
    <phoneticPr fontId="0" type="noConversion"/>
  </si>
  <si>
    <r>
      <t>R</t>
    </r>
    <r>
      <rPr>
        <vertAlign val="subscript"/>
        <sz val="10"/>
        <rFont val="Verdana"/>
        <family val="2"/>
      </rPr>
      <t xml:space="preserve">VS </t>
    </r>
    <phoneticPr fontId="11" type="noConversion"/>
  </si>
  <si>
    <r>
      <t>LE</t>
    </r>
    <r>
      <rPr>
        <vertAlign val="subscript"/>
        <sz val="10"/>
        <rFont val="Verdana"/>
        <family val="2"/>
      </rPr>
      <t>BL,CH4,y</t>
    </r>
    <r>
      <rPr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</si>
  <si>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BL,CH4,y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</si>
  <si>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/tCH</t>
    </r>
    <r>
      <rPr>
        <vertAlign val="subscript"/>
        <sz val="10"/>
        <rFont val="Verdana"/>
        <family val="2"/>
      </rPr>
      <t>4</t>
    </r>
    <phoneticPr fontId="0" type="noConversion"/>
  </si>
  <si>
    <r>
      <t>B</t>
    </r>
    <r>
      <rPr>
        <vertAlign val="subscript"/>
        <sz val="10"/>
        <rFont val="Verdana"/>
        <family val="2"/>
      </rPr>
      <t>o,LT</t>
    </r>
    <phoneticPr fontId="0" type="noConversion"/>
  </si>
  <si>
    <r>
      <t>R</t>
    </r>
    <r>
      <rPr>
        <sz val="8"/>
        <rFont val="Verdana"/>
        <family val="2"/>
      </rPr>
      <t>VS</t>
    </r>
  </si>
  <si>
    <r>
      <t>LE</t>
    </r>
    <r>
      <rPr>
        <vertAlign val="subscript"/>
        <sz val="10"/>
        <rFont val="Verdana"/>
        <family val="2"/>
      </rPr>
      <t>PJ,CH4 ,y</t>
    </r>
    <r>
      <rPr>
        <sz val="10"/>
        <rFont val="Verdana"/>
        <family val="2"/>
      </rPr>
      <t>-monthly</t>
    </r>
    <phoneticPr fontId="0" type="noConversion"/>
  </si>
  <si>
    <r>
      <t xml:space="preserve">LE </t>
    </r>
    <r>
      <rPr>
        <b/>
        <vertAlign val="subscript"/>
        <sz val="10"/>
        <rFont val="Verdana"/>
        <family val="2"/>
      </rPr>
      <t>PJ,CH4 ,y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</si>
  <si>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PJ,CH4,y</t>
    </r>
    <phoneticPr fontId="0" type="noConversion"/>
  </si>
  <si>
    <r>
      <t>a. LE</t>
    </r>
    <r>
      <rPr>
        <i/>
        <sz val="8"/>
        <color indexed="9"/>
        <rFont val="Verdana"/>
        <family val="2"/>
      </rPr>
      <t xml:space="preserve">B,CH4 </t>
    </r>
    <r>
      <rPr>
        <b/>
        <sz val="10"/>
        <color indexed="9"/>
        <rFont val="Verdana"/>
        <family val="2"/>
      </rPr>
      <t>CH4- land application</t>
    </r>
  </si>
  <si>
    <r>
      <t>VS</t>
    </r>
    <r>
      <rPr>
        <i/>
        <sz val="8"/>
        <color indexed="9"/>
        <rFont val="Verdana"/>
        <family val="2"/>
      </rPr>
      <t>LT,M</t>
    </r>
  </si>
  <si>
    <r>
      <t>N</t>
    </r>
    <r>
      <rPr>
        <i/>
        <vertAlign val="subscript"/>
        <sz val="10"/>
        <color indexed="9"/>
        <rFont val="Verdana"/>
        <family val="2"/>
      </rPr>
      <t>population(head, animal population)</t>
    </r>
  </si>
  <si>
    <r>
      <t>B</t>
    </r>
    <r>
      <rPr>
        <i/>
        <sz val="8"/>
        <color indexed="9"/>
        <rFont val="Verdana"/>
        <family val="2"/>
      </rPr>
      <t>0,LT</t>
    </r>
  </si>
  <si>
    <r>
      <t>EC</t>
    </r>
    <r>
      <rPr>
        <vertAlign val="subscript"/>
        <sz val="10"/>
        <rFont val="Verdana"/>
        <family val="2"/>
      </rPr>
      <t>PJ,j,y</t>
    </r>
    <phoneticPr fontId="0" type="noConversion"/>
  </si>
  <si>
    <r>
      <t>EF</t>
    </r>
    <r>
      <rPr>
        <vertAlign val="subscript"/>
        <sz val="10"/>
        <rFont val="Verdana"/>
        <family val="2"/>
      </rPr>
      <t>EF,j,y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</si>
  <si>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/MWh</t>
    </r>
    <phoneticPr fontId="0" type="noConversion"/>
  </si>
  <si>
    <r>
      <t>TDL</t>
    </r>
    <r>
      <rPr>
        <vertAlign val="subscript"/>
        <sz val="10"/>
        <rFont val="Verdana"/>
        <family val="2"/>
      </rPr>
      <t>j,y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</si>
  <si>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EC,y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</si>
  <si>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FC,y</t>
    </r>
    <phoneticPr fontId="0" type="noConversion"/>
  </si>
  <si>
    <r>
      <t>GWP</t>
    </r>
    <r>
      <rPr>
        <i/>
        <vertAlign val="subscript"/>
        <sz val="10"/>
        <color indexed="8"/>
        <rFont val="Verdana"/>
        <family val="2"/>
      </rPr>
      <t>CH4</t>
    </r>
    <phoneticPr fontId="0" type="noConversion"/>
  </si>
  <si>
    <r>
      <t>EF</t>
    </r>
    <r>
      <rPr>
        <i/>
        <vertAlign val="subscript"/>
        <sz val="10"/>
        <color indexed="8"/>
        <rFont val="Verdana"/>
        <family val="2"/>
      </rPr>
      <t>CH4,default</t>
    </r>
    <phoneticPr fontId="0" type="noConversion"/>
  </si>
  <si>
    <r>
      <t>tCH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leaked / tCH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produced</t>
    </r>
    <phoneticPr fontId="0" type="noConversion"/>
  </si>
  <si>
    <r>
      <t>Q</t>
    </r>
    <r>
      <rPr>
        <vertAlign val="subscript"/>
        <sz val="10"/>
        <rFont val="Verdana"/>
        <family val="2"/>
      </rPr>
      <t>CH4,y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</si>
  <si>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CH4,y</t>
    </r>
    <phoneticPr fontId="0" type="noConversion"/>
  </si>
  <si>
    <r>
      <t>F</t>
    </r>
    <r>
      <rPr>
        <vertAlign val="subscript"/>
        <sz val="10"/>
        <rFont val="Verdana"/>
        <family val="2"/>
      </rPr>
      <t>CH4,RG,m</t>
    </r>
    <phoneticPr fontId="11" type="noConversion"/>
  </si>
  <si>
    <r>
      <t>η</t>
    </r>
    <r>
      <rPr>
        <vertAlign val="subscript"/>
        <sz val="10"/>
        <color indexed="8"/>
        <rFont val="Verdana"/>
        <family val="2"/>
      </rPr>
      <t>flare,m</t>
    </r>
    <phoneticPr fontId="0" type="noConversion"/>
  </si>
  <si>
    <r>
      <t>PE</t>
    </r>
    <r>
      <rPr>
        <vertAlign val="subscript"/>
        <sz val="10"/>
        <color indexed="8"/>
        <rFont val="Verdana"/>
        <family val="2"/>
      </rPr>
      <t>flare,y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</si>
  <si>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e</t>
    </r>
    <phoneticPr fontId="11" type="noConversion"/>
  </si>
  <si>
    <r>
      <t>PE</t>
    </r>
    <r>
      <rPr>
        <b/>
        <vertAlign val="subscript"/>
        <sz val="10"/>
        <rFont val="Verdana"/>
        <family val="2"/>
      </rPr>
      <t>AD</t>
    </r>
    <phoneticPr fontId="0" type="noConversion"/>
  </si>
  <si>
    <r>
      <t>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</t>
    </r>
    <phoneticPr fontId="11" type="noConversion"/>
  </si>
  <si>
    <r>
      <t>ii) Methane emissions from aerobic AWMS treatment (PE</t>
    </r>
    <r>
      <rPr>
        <vertAlign val="subscript"/>
        <sz val="10"/>
        <rFont val="Verdana"/>
        <family val="2"/>
      </rPr>
      <t>Aer, y</t>
    </r>
    <r>
      <rPr>
        <sz val="10"/>
        <rFont val="Verdana"/>
        <family val="2"/>
      </rPr>
      <t>):</t>
    </r>
    <phoneticPr fontId="11" type="noConversion"/>
  </si>
  <si>
    <r>
      <t>GWP</t>
    </r>
    <r>
      <rPr>
        <vertAlign val="subscript"/>
        <sz val="10"/>
        <rFont val="Verdana"/>
        <family val="2"/>
      </rPr>
      <t>CH4</t>
    </r>
    <phoneticPr fontId="0" type="noConversion"/>
  </si>
  <si>
    <r>
      <t>D</t>
    </r>
    <r>
      <rPr>
        <vertAlign val="subscript"/>
        <sz val="10"/>
        <rFont val="Verdana"/>
        <family val="2"/>
      </rPr>
      <t>CH4</t>
    </r>
    <phoneticPr fontId="0" type="noConversion"/>
  </si>
  <si>
    <r>
      <t>F</t>
    </r>
    <r>
      <rPr>
        <vertAlign val="subscript"/>
        <sz val="10"/>
        <rFont val="Verdana"/>
        <family val="2"/>
      </rPr>
      <t>Aer</t>
    </r>
    <phoneticPr fontId="0" type="noConversion"/>
  </si>
  <si>
    <r>
      <t>1-R</t>
    </r>
    <r>
      <rPr>
        <vertAlign val="subscript"/>
        <sz val="10"/>
        <rFont val="Verdana"/>
        <family val="2"/>
      </rPr>
      <t>vs,n</t>
    </r>
    <phoneticPr fontId="0" type="noConversion"/>
  </si>
  <si>
    <r>
      <t>B</t>
    </r>
    <r>
      <rPr>
        <vertAlign val="subscript"/>
        <sz val="10"/>
        <rFont val="Verdana"/>
        <family val="2"/>
      </rPr>
      <t>0,LT</t>
    </r>
    <phoneticPr fontId="0" type="noConversion"/>
  </si>
  <si>
    <r>
      <t>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/kg-dm</t>
    </r>
    <phoneticPr fontId="0" type="noConversion"/>
  </si>
  <si>
    <r>
      <t>N</t>
    </r>
    <r>
      <rPr>
        <vertAlign val="subscript"/>
        <sz val="10"/>
        <rFont val="Verdana"/>
        <family val="2"/>
      </rPr>
      <t>LT</t>
    </r>
    <phoneticPr fontId="0" type="noConversion"/>
  </si>
  <si>
    <r>
      <t>VS</t>
    </r>
    <r>
      <rPr>
        <vertAlign val="subscript"/>
        <sz val="10"/>
        <rFont val="Verdana"/>
        <family val="2"/>
      </rPr>
      <t>LT,y</t>
    </r>
    <phoneticPr fontId="0" type="noConversion"/>
  </si>
  <si>
    <r>
      <t>MS%</t>
    </r>
    <r>
      <rPr>
        <vertAlign val="subscript"/>
        <sz val="10"/>
        <rFont val="Verdana"/>
        <family val="2"/>
      </rPr>
      <t>j</t>
    </r>
    <phoneticPr fontId="0" type="noConversion"/>
  </si>
  <si>
    <r>
      <t>PE</t>
    </r>
    <r>
      <rPr>
        <vertAlign val="subscript"/>
        <sz val="10"/>
        <rFont val="Verdana"/>
        <family val="2"/>
      </rPr>
      <t>Aer,y</t>
    </r>
    <r>
      <rPr>
        <sz val="10"/>
        <rFont val="Verdana"/>
        <family val="2"/>
      </rPr>
      <t>-monthly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</si>
  <si>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Aer,y</t>
    </r>
    <phoneticPr fontId="0" type="noConversion"/>
  </si>
  <si>
    <r>
      <t>PE</t>
    </r>
    <r>
      <rPr>
        <b/>
        <vertAlign val="subscript"/>
        <sz val="10"/>
        <color indexed="9"/>
        <rFont val="Verdana"/>
        <family val="2"/>
      </rPr>
      <t>N2O,Y</t>
    </r>
    <r>
      <rPr>
        <b/>
        <sz val="10"/>
        <color indexed="9"/>
        <rFont val="Verdana"/>
        <family val="2"/>
      </rPr>
      <t>=310*(44/28)*1/1000*EF</t>
    </r>
    <r>
      <rPr>
        <b/>
        <vertAlign val="subscript"/>
        <sz val="10"/>
        <color indexed="9"/>
        <rFont val="Verdana"/>
        <family val="2"/>
      </rPr>
      <t>N2O</t>
    </r>
    <r>
      <rPr>
        <b/>
        <sz val="10"/>
        <color indexed="9"/>
        <rFont val="Verdana"/>
        <family val="2"/>
      </rPr>
      <t>*NEX*N</t>
    </r>
  </si>
  <si>
    <r>
      <t>EF</t>
    </r>
    <r>
      <rPr>
        <vertAlign val="subscript"/>
        <sz val="10"/>
        <rFont val="Verdana"/>
        <family val="2"/>
      </rPr>
      <t xml:space="preserve">N2O,D,j </t>
    </r>
    <phoneticPr fontId="11" type="noConversion"/>
  </si>
  <si>
    <r>
      <t>NEX</t>
    </r>
    <r>
      <rPr>
        <vertAlign val="subscript"/>
        <sz val="10"/>
        <rFont val="Verdana"/>
        <family val="2"/>
      </rPr>
      <t>LT,y</t>
    </r>
    <phoneticPr fontId="11" type="noConversion"/>
  </si>
  <si>
    <r>
      <t>E</t>
    </r>
    <r>
      <rPr>
        <vertAlign val="subscript"/>
        <sz val="10"/>
        <rFont val="Verdana"/>
        <family val="2"/>
      </rPr>
      <t>N2O,D,y</t>
    </r>
    <r>
      <rPr>
        <sz val="10"/>
        <rFont val="Verdana"/>
        <family val="2"/>
      </rPr>
      <t>-monthly</t>
    </r>
    <phoneticPr fontId="11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</si>
  <si>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NH</t>
    </r>
    <r>
      <rPr>
        <vertAlign val="subscript"/>
        <sz val="10"/>
        <rFont val="Verdana"/>
        <family val="2"/>
      </rPr>
      <t>3</t>
    </r>
    <r>
      <rPr>
        <sz val="10"/>
        <rFont val="Verdana"/>
        <family val="2"/>
      </rPr>
      <t>-N and NO</t>
    </r>
    <r>
      <rPr>
        <vertAlign val="subscript"/>
        <sz val="10"/>
        <rFont val="Verdana"/>
        <family val="2"/>
      </rPr>
      <t>X</t>
    </r>
    <r>
      <rPr>
        <sz val="10"/>
        <rFont val="Verdana"/>
        <family val="2"/>
      </rPr>
      <t>-N</t>
    </r>
    <phoneticPr fontId="0" type="noConversion"/>
  </si>
  <si>
    <r>
      <t>a) CH4 emissions: PE</t>
    </r>
    <r>
      <rPr>
        <i/>
        <sz val="10"/>
        <color indexed="9"/>
        <rFont val="Verdana"/>
        <family val="2"/>
      </rPr>
      <t>Aer,y</t>
    </r>
  </si>
  <si>
    <r>
      <t>EF</t>
    </r>
    <r>
      <rPr>
        <vertAlign val="subscript"/>
        <sz val="10"/>
        <rFont val="Verdana"/>
        <family val="2"/>
      </rPr>
      <t>N2O,ID</t>
    </r>
    <phoneticPr fontId="0" type="noConversion"/>
  </si>
  <si>
    <r>
      <t>F</t>
    </r>
    <r>
      <rPr>
        <vertAlign val="subscript"/>
        <sz val="10"/>
        <rFont val="Verdana"/>
        <family val="2"/>
      </rPr>
      <t>gasMS,j,LT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</si>
  <si>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</si>
  <si>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N2O,y</t>
    </r>
    <r>
      <rPr>
        <b/>
        <sz val="10"/>
        <rFont val="Verdana"/>
        <family val="2"/>
      </rPr>
      <t>=GWP</t>
    </r>
    <r>
      <rPr>
        <b/>
        <vertAlign val="subscript"/>
        <sz val="10"/>
        <rFont val="Verdana"/>
        <family val="2"/>
      </rPr>
      <t>N2O</t>
    </r>
    <r>
      <rPr>
        <b/>
        <sz val="10"/>
        <rFont val="Verdana"/>
        <family val="2"/>
      </rPr>
      <t>*(44/28)*1/1000*(E</t>
    </r>
    <r>
      <rPr>
        <b/>
        <vertAlign val="subscript"/>
        <sz val="10"/>
        <rFont val="Verdana"/>
        <family val="2"/>
      </rPr>
      <t>N2O,ID,y</t>
    </r>
    <r>
      <rPr>
        <b/>
        <sz val="10"/>
        <rFont val="Verdana"/>
        <family val="2"/>
      </rPr>
      <t xml:space="preserve"> +E</t>
    </r>
    <r>
      <rPr>
        <b/>
        <vertAlign val="subscript"/>
        <sz val="10"/>
        <rFont val="Verdana"/>
        <family val="2"/>
      </rPr>
      <t>N20,ID,y</t>
    </r>
    <r>
      <rPr>
        <b/>
        <sz val="10"/>
        <rFont val="Verdana"/>
        <family val="2"/>
      </rPr>
      <t>)=</t>
    </r>
    <phoneticPr fontId="0" type="noConversion"/>
  </si>
  <si>
    <r>
      <t>PEy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0" type="noConversion"/>
  </si>
  <si>
    <r>
      <t xml:space="preserve"> </t>
    </r>
    <r>
      <rPr>
        <b/>
        <sz val="10"/>
        <color indexed="8"/>
        <rFont val="Verdana"/>
        <family val="2"/>
      </rPr>
      <t>m</t>
    </r>
    <r>
      <rPr>
        <b/>
        <vertAlign val="subscript"/>
        <sz val="10"/>
        <color indexed="8"/>
        <rFont val="Verdana"/>
        <family val="2"/>
      </rPr>
      <t>Strat</t>
    </r>
    <phoneticPr fontId="11" type="noConversion"/>
  </si>
  <si>
    <r>
      <t>s.e. (m</t>
    </r>
    <r>
      <rPr>
        <b/>
        <vertAlign val="subscript"/>
        <sz val="10"/>
        <rFont val="Verdana"/>
        <family val="2"/>
      </rPr>
      <t>Strat</t>
    </r>
    <r>
      <rPr>
        <b/>
        <sz val="10"/>
        <rFont val="Verdana"/>
        <family val="2"/>
      </rPr>
      <t>)</t>
    </r>
    <phoneticPr fontId="11" type="noConversion"/>
  </si>
  <si>
    <r>
      <t>m</t>
    </r>
    <r>
      <rPr>
        <vertAlign val="subscript"/>
        <sz val="10"/>
        <rFont val="Verdana"/>
        <family val="2"/>
      </rPr>
      <t>i</t>
    </r>
    <phoneticPr fontId="11" type="noConversion"/>
  </si>
  <si>
    <r>
      <t xml:space="preserve"> </t>
    </r>
    <r>
      <rPr>
        <sz val="10"/>
        <color indexed="8"/>
        <rFont val="Verdana"/>
        <family val="2"/>
      </rPr>
      <t>SD</t>
    </r>
    <r>
      <rPr>
        <vertAlign val="subscript"/>
        <sz val="10"/>
        <color indexed="8"/>
        <rFont val="Verdana"/>
        <family val="2"/>
      </rPr>
      <t>i</t>
    </r>
    <phoneticPr fontId="11" type="noConversion"/>
  </si>
  <si>
    <r>
      <t>n</t>
    </r>
    <r>
      <rPr>
        <vertAlign val="subscript"/>
        <sz val="10"/>
        <rFont val="Verdana"/>
        <family val="2"/>
      </rPr>
      <t>i</t>
    </r>
    <phoneticPr fontId="11" type="noConversion"/>
  </si>
  <si>
    <r>
      <t>g</t>
    </r>
    <r>
      <rPr>
        <vertAlign val="subscript"/>
        <sz val="10"/>
        <rFont val="Verdana"/>
        <family val="2"/>
      </rPr>
      <t>i</t>
    </r>
    <phoneticPr fontId="11" type="noConversion"/>
  </si>
  <si>
    <r>
      <t>g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/N</t>
    </r>
    <phoneticPr fontId="11" type="noConversion"/>
  </si>
  <si>
    <r>
      <t>g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*m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/N</t>
    </r>
    <phoneticPr fontId="11" type="noConversion"/>
  </si>
  <si>
    <r>
      <t>1-(n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/g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)</t>
    </r>
    <phoneticPr fontId="11" type="noConversion"/>
  </si>
  <si>
    <r>
      <t>SD</t>
    </r>
    <r>
      <rPr>
        <vertAlign val="subscript"/>
        <sz val="10"/>
        <rFont val="Verdana"/>
        <family val="2"/>
      </rPr>
      <t>i</t>
    </r>
    <r>
      <rPr>
        <vertAlign val="superscript"/>
        <sz val="10"/>
        <rFont val="Verdana"/>
        <family val="2"/>
      </rPr>
      <t>2</t>
    </r>
    <r>
      <rPr>
        <sz val="10"/>
        <rFont val="Verdana"/>
        <family val="2"/>
      </rPr>
      <t>/n</t>
    </r>
    <r>
      <rPr>
        <vertAlign val="subscript"/>
        <sz val="10"/>
        <rFont val="Verdana"/>
        <family val="2"/>
      </rPr>
      <t>i</t>
    </r>
    <phoneticPr fontId="11" type="noConversion"/>
  </si>
  <si>
    <r>
      <t xml:space="preserve"> m</t>
    </r>
    <r>
      <rPr>
        <b/>
        <vertAlign val="subscript"/>
        <sz val="10"/>
        <rFont val="Verdana"/>
        <family val="2"/>
      </rPr>
      <t xml:space="preserve">Strat </t>
    </r>
    <r>
      <rPr>
        <b/>
        <sz val="10"/>
        <rFont val="Verdana"/>
        <family val="2"/>
      </rPr>
      <t xml:space="preserve"> </t>
    </r>
    <phoneticPr fontId="11" type="noConversion"/>
  </si>
  <si>
    <r>
      <t xml:space="preserve"> g</t>
    </r>
    <r>
      <rPr>
        <b/>
        <vertAlign val="subscript"/>
        <sz val="10"/>
        <rFont val="Verdana"/>
        <family val="2"/>
      </rPr>
      <t xml:space="preserve">i  </t>
    </r>
    <phoneticPr fontId="11" type="noConversion"/>
  </si>
  <si>
    <r>
      <t xml:space="preserve"> Size of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i=a,…,k  </t>
    </r>
    <phoneticPr fontId="11" type="noConversion"/>
  </si>
  <si>
    <r>
      <t xml:space="preserve"> m</t>
    </r>
    <r>
      <rPr>
        <b/>
        <vertAlign val="subscript"/>
        <sz val="10"/>
        <rFont val="Verdana"/>
        <family val="2"/>
      </rPr>
      <t xml:space="preserve">i  </t>
    </r>
    <phoneticPr fontId="11" type="noConversion"/>
  </si>
  <si>
    <r>
      <t xml:space="preserve"> Mean of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 a,…,k  </t>
    </r>
    <phoneticPr fontId="11" type="noConversion"/>
  </si>
  <si>
    <r>
      <t>s.e. (m</t>
    </r>
    <r>
      <rPr>
        <b/>
        <vertAlign val="subscript"/>
        <sz val="10"/>
        <rFont val="Verdana"/>
        <family val="2"/>
      </rPr>
      <t>Strat</t>
    </r>
    <r>
      <rPr>
        <b/>
        <sz val="10"/>
        <rFont val="Verdana"/>
        <family val="2"/>
      </rPr>
      <t xml:space="preserve">)   </t>
    </r>
    <phoneticPr fontId="11" type="noConversion"/>
  </si>
  <si>
    <r>
      <t xml:space="preserve"> n</t>
    </r>
    <r>
      <rPr>
        <b/>
        <vertAlign val="subscript"/>
        <sz val="10"/>
        <rFont val="Verdana"/>
        <family val="2"/>
      </rPr>
      <t xml:space="preserve">i </t>
    </r>
    <r>
      <rPr>
        <b/>
        <sz val="10"/>
        <rFont val="Verdana"/>
        <family val="2"/>
      </rPr>
      <t xml:space="preserve"> </t>
    </r>
    <phoneticPr fontId="11" type="noConversion"/>
  </si>
  <si>
    <r>
      <t xml:space="preserve"> Number of sampled units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i=a,…,k  </t>
    </r>
    <phoneticPr fontId="11" type="noConversion"/>
  </si>
  <si>
    <r>
      <t xml:space="preserve"> SD</t>
    </r>
    <r>
      <rPr>
        <b/>
        <vertAlign val="subscript"/>
        <sz val="10"/>
        <rFont val="Verdana"/>
        <family val="2"/>
      </rPr>
      <t>i</t>
    </r>
    <r>
      <rPr>
        <b/>
        <vertAlign val="superscript"/>
        <sz val="10"/>
        <rFont val="Verdana"/>
        <family val="2"/>
      </rPr>
      <t>2</t>
    </r>
    <r>
      <rPr>
        <b/>
        <sz val="10"/>
        <rFont val="Verdana"/>
        <family val="2"/>
      </rPr>
      <t xml:space="preserve">  </t>
    </r>
    <phoneticPr fontId="11" type="noConversion"/>
  </si>
  <si>
    <r>
      <t xml:space="preserve"> Variance of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i=a,…,k </t>
    </r>
    <phoneticPr fontId="11" type="noConversion"/>
  </si>
  <si>
    <r>
      <t xml:space="preserve">The precision associated with an estimate is: 
</t>
    </r>
    <r>
      <rPr>
        <b/>
        <sz val="10"/>
        <rFont val="Verdana"/>
        <family val="2"/>
      </rPr>
      <t>t-value × standard error of the mean</t>
    </r>
    <phoneticPr fontId="11" type="noConversion"/>
  </si>
  <si>
    <r>
      <t xml:space="preserve">Precision </t>
    </r>
    <r>
      <rPr>
        <b/>
        <sz val="10"/>
        <color indexed="8"/>
        <rFont val="Verdana"/>
        <family val="2"/>
      </rPr>
      <t xml:space="preserve"> </t>
    </r>
    <r>
      <rPr>
        <b/>
        <sz val="10"/>
        <rFont val="Verdana"/>
        <family val="2"/>
      </rPr>
      <t xml:space="preserve"> </t>
    </r>
    <phoneticPr fontId="11" type="noConversion"/>
  </si>
  <si>
    <t>t-value is depends on:
(i) the level of confidence, and
(ii) the size of the sample. 
The t-value associated with 95% confidence and the sample size of 451 is 1.9652 as derived in Microsoft Excel using the TINV
function</t>
    <phoneticPr fontId="11" type="noConversion"/>
  </si>
  <si>
    <t xml:space="preserve">Electricity daily report, the electricity consumption in this monitoring period comes from the grid company. </t>
    <phoneticPr fontId="0" type="noConversion"/>
  </si>
  <si>
    <r>
      <t>calculated, biogas flow, temperature and pressure is sourced from DCS system. 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is calculated as equation 16 in MR.</t>
    </r>
    <phoneticPr fontId="0" type="noConversion"/>
  </si>
  <si>
    <t>ACM0010 Version 08.0, page 8</t>
    <phoneticPr fontId="0" type="noConversion"/>
  </si>
  <si>
    <t>ACM0010 Version 08.0, page 10</t>
    <phoneticPr fontId="11" type="noConversion"/>
  </si>
  <si>
    <t>ACM0010 Version 08.0, page 8</t>
    <phoneticPr fontId="11" type="noConversion"/>
  </si>
  <si>
    <t xml:space="preserve">  Appendix 1 of ACM0010 Version 08.0</t>
    <phoneticPr fontId="11" type="noConversion"/>
  </si>
  <si>
    <r>
      <t>i) Estimation of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 emissions: </t>
    </r>
    <phoneticPr fontId="0" type="noConversion"/>
  </si>
  <si>
    <t xml:space="preserve"> Appendix 1 of ACM0010 Version08.0</t>
    <phoneticPr fontId="0" type="noConversion"/>
  </si>
  <si>
    <t xml:space="preserve">  Appendix 1 of ACM0010 Version 08.0</t>
    <phoneticPr fontId="0" type="noConversion"/>
  </si>
  <si>
    <t>Appendix 1 of ACM0010 Version 08.0</t>
    <phoneticPr fontId="11" type="noConversion"/>
  </si>
  <si>
    <t>Default value ACM0010 Version 08.0</t>
    <phoneticPr fontId="0" type="noConversion"/>
  </si>
  <si>
    <t>Appendix 1 of ACM0010 Version 08.0</t>
    <phoneticPr fontId="0" type="noConversion"/>
  </si>
  <si>
    <t xml:space="preserve"> Appendix 1 of ACM0010 Version 08.0</t>
    <phoneticPr fontId="0" type="noConversion"/>
  </si>
  <si>
    <r>
      <t>Average swine population used in baseline, project and leakage emission (N</t>
    </r>
    <r>
      <rPr>
        <vertAlign val="subscript"/>
        <sz val="10"/>
        <rFont val="Verdana"/>
        <family val="2"/>
      </rPr>
      <t>LT</t>
    </r>
    <r>
      <rPr>
        <sz val="10"/>
        <rFont val="Verdana"/>
        <family val="2"/>
      </rPr>
      <t>) and Weight of swine (W</t>
    </r>
    <r>
      <rPr>
        <vertAlign val="subscript"/>
        <sz val="10"/>
        <rFont val="Verdana"/>
        <family val="2"/>
      </rPr>
      <t>site</t>
    </r>
    <r>
      <rPr>
        <sz val="10"/>
        <rFont val="Verdana"/>
        <family val="2"/>
      </rPr>
      <t>)</t>
    </r>
    <phoneticPr fontId="11" type="noConversion"/>
  </si>
  <si>
    <t>Annual amount of biogas utilized(m3)</t>
    <phoneticPr fontId="11" type="noConversion"/>
  </si>
  <si>
    <r>
      <t>Calculated as equatoin 4 or 5 in MR, of which N</t>
    </r>
    <r>
      <rPr>
        <vertAlign val="subscript"/>
        <sz val="10"/>
        <color indexed="8"/>
        <rFont val="Verdana"/>
        <family val="2"/>
      </rPr>
      <t>LT</t>
    </r>
    <r>
      <rPr>
        <sz val="10"/>
        <color indexed="8"/>
        <rFont val="Verdana"/>
        <family val="2"/>
      </rPr>
      <t xml:space="preserve"> for marke swine and breeding swine is sourced from  "Export record form of Market swine" and " Breeding Pig stock record"</t>
    </r>
    <phoneticPr fontId="0" type="noConversion"/>
  </si>
  <si>
    <t>recorded by PP</t>
    <phoneticPr fontId="0" type="noConversion"/>
  </si>
  <si>
    <r>
      <t>tCO</t>
    </r>
    <r>
      <rPr>
        <b/>
        <vertAlign val="subscript"/>
        <sz val="12"/>
        <rFont val="Verdana"/>
        <family val="2"/>
      </rPr>
      <t>2</t>
    </r>
    <r>
      <rPr>
        <b/>
        <sz val="12"/>
        <rFont val="Verdana"/>
        <family val="2"/>
      </rPr>
      <t>e</t>
    </r>
    <phoneticPr fontId="11" type="noConversion"/>
  </si>
  <si>
    <r>
      <t>Calculated as equatoin 4 or 5 in MR, of which N</t>
    </r>
    <r>
      <rPr>
        <vertAlign val="subscript"/>
        <sz val="10"/>
        <rFont val="Verdana"/>
        <family val="2"/>
      </rPr>
      <t>LT</t>
    </r>
    <r>
      <rPr>
        <sz val="10"/>
        <rFont val="Verdana"/>
        <family val="2"/>
      </rPr>
      <t xml:space="preserve"> for marke swine and breeding swine is sourced from  "Export record form of Market swine" and " Breeding Pig stock record"</t>
    </r>
    <phoneticPr fontId="11" type="noConversion"/>
  </si>
  <si>
    <r>
      <t>Calculated as equatoin 4 or 5 in MR, of which N</t>
    </r>
    <r>
      <rPr>
        <vertAlign val="subscript"/>
        <sz val="10"/>
        <rFont val="Verdana"/>
        <family val="2"/>
      </rPr>
      <t>LT</t>
    </r>
    <r>
      <rPr>
        <sz val="10"/>
        <rFont val="Verdana"/>
        <family val="2"/>
      </rPr>
      <t xml:space="preserve"> for marke swine and breeding swine is sourced from  "Export record form of Market swine" and " Breeding Pig stock record"</t>
    </r>
    <phoneticPr fontId="0" type="noConversion"/>
  </si>
  <si>
    <t>01/04/2022 - 31/03/2023 (both days included)</t>
    <phoneticPr fontId="15" type="noConversion"/>
  </si>
  <si>
    <t>01/04/2022-30/04/2022</t>
    <phoneticPr fontId="11" type="noConversion"/>
  </si>
  <si>
    <t>01/05/2022-31/05/2022</t>
    <phoneticPr fontId="11" type="noConversion"/>
  </si>
  <si>
    <t>01/06/2022-30/06/2022</t>
    <phoneticPr fontId="11" type="noConversion"/>
  </si>
  <si>
    <t>01/07/2022-31/07/2022</t>
    <phoneticPr fontId="11" type="noConversion"/>
  </si>
  <si>
    <t>01/08/2022-31/08/2022</t>
    <phoneticPr fontId="11" type="noConversion"/>
  </si>
  <si>
    <t>01/09/2022-30/09/2022</t>
    <phoneticPr fontId="11" type="noConversion"/>
  </si>
  <si>
    <t>01/10/2022-31/10/2022</t>
    <phoneticPr fontId="11" type="noConversion"/>
  </si>
  <si>
    <t>01/11/2022-30/11/2022</t>
    <phoneticPr fontId="11" type="noConversion"/>
  </si>
  <si>
    <t>01/12/2022-31/12/2022</t>
    <phoneticPr fontId="11" type="noConversion"/>
  </si>
  <si>
    <t>01/01/2023-31/01/2023</t>
    <phoneticPr fontId="11" type="noConversion"/>
  </si>
  <si>
    <t>01/02/2023-28/02/2023</t>
    <phoneticPr fontId="11" type="noConversion"/>
  </si>
  <si>
    <t>01/03/2023-31/03/2023</t>
    <phoneticPr fontId="11" type="noConversion"/>
  </si>
  <si>
    <t>01/04/2022-31/12/2022</t>
    <phoneticPr fontId="0" type="noConversion"/>
  </si>
  <si>
    <t>01/01/2023-31/03/2023</t>
    <phoneticPr fontId="0" type="noConversion"/>
  </si>
  <si>
    <t>Monthly Statistics of the average animal weight of a defined livestock population at the project site (Wsite)</t>
  </si>
  <si>
    <t>Huicheng Hengli</t>
  </si>
  <si>
    <t>Market swine</t>
  </si>
  <si>
    <t>Breeding swine</t>
  </si>
  <si>
    <t>NO.</t>
  </si>
  <si>
    <t>Nursery phase 0-60</t>
  </si>
  <si>
    <t xml:space="preserve">Growing phase 60-130days </t>
  </si>
  <si>
    <t>Mature phase 130-180days</t>
  </si>
  <si>
    <t>Nursery phase  30-70days</t>
  </si>
  <si>
    <t xml:space="preserve">Growing phase  70-220days </t>
  </si>
  <si>
    <t>Mature phase  220-310days</t>
  </si>
  <si>
    <t>Dongyuan Huangtian swine Farm</t>
  </si>
  <si>
    <t>Enping Shahu swine  Farm</t>
  </si>
  <si>
    <t>Langtian Yuehui swine Farm</t>
  </si>
  <si>
    <t>Qujiang Fengwan swine Farm</t>
  </si>
  <si>
    <t>Pingyuan Zhongshi swine Farm</t>
  </si>
  <si>
    <t>Yangchun Tanshui swine Farm</t>
  </si>
  <si>
    <t>Xinfeng Shatian swine Farm</t>
  </si>
  <si>
    <t>Kaiping Cangcheng swine Farm</t>
  </si>
  <si>
    <r>
      <t>BE</t>
    </r>
    <r>
      <rPr>
        <vertAlign val="subscript"/>
        <sz val="10"/>
        <rFont val="Arial"/>
        <family val="2"/>
      </rPr>
      <t>CH4</t>
    </r>
    <phoneticPr fontId="11" type="noConversion"/>
  </si>
  <si>
    <t>tCO2e</t>
    <phoneticPr fontId="11" type="noConversion"/>
  </si>
  <si>
    <r>
      <t>PE</t>
    </r>
    <r>
      <rPr>
        <vertAlign val="subscript"/>
        <sz val="10"/>
        <rFont val="Arial"/>
        <family val="2"/>
      </rPr>
      <t>AD</t>
    </r>
    <phoneticPr fontId="11" type="noConversion"/>
  </si>
  <si>
    <r>
      <t>BE</t>
    </r>
    <r>
      <rPr>
        <vertAlign val="subscript"/>
        <sz val="10"/>
        <rFont val="Arial"/>
        <family val="2"/>
      </rPr>
      <t>CH4</t>
    </r>
    <r>
      <rPr>
        <sz val="10"/>
        <rFont val="Arial"/>
        <family val="2"/>
      </rPr>
      <t>-PE</t>
    </r>
    <r>
      <rPr>
        <vertAlign val="subscript"/>
        <sz val="10"/>
        <rFont val="Arial"/>
        <family val="2"/>
      </rPr>
      <t>AD</t>
    </r>
    <phoneticPr fontId="11" type="noConversion"/>
  </si>
  <si>
    <r>
      <t>Q</t>
    </r>
    <r>
      <rPr>
        <vertAlign val="subscript"/>
        <sz val="10"/>
        <color rgb="FF222222"/>
        <rFont val="Arial"/>
        <family val="2"/>
      </rPr>
      <t>CH4</t>
    </r>
    <phoneticPr fontId="11" type="noConversion"/>
  </si>
  <si>
    <t>01/04/2022-31/03/2023</t>
    <phoneticPr fontId="11" type="noConversion"/>
  </si>
  <si>
    <t>11/08/2023</t>
    <phoneticPr fontId="15" type="noConversion"/>
  </si>
  <si>
    <t xml:space="preserve">  </t>
    <phoneticPr fontId="11" type="noConversion"/>
  </si>
  <si>
    <r>
      <t>2019 Refinement to the 2006 IPCC Guidelines, volume 4, chapter 10, table. 10.17 , (The project site mean annual temperatue T=21.8</t>
    </r>
    <r>
      <rPr>
        <sz val="10"/>
        <color rgb="FF000000"/>
        <rFont val="Segoe UI Symbol"/>
        <family val="2"/>
      </rPr>
      <t>℃</t>
    </r>
    <r>
      <rPr>
        <sz val="10"/>
        <color indexed="8"/>
        <rFont val="Verdana"/>
        <family val="2"/>
      </rPr>
      <t xml:space="preserve">, </t>
    </r>
    <r>
      <rPr>
        <sz val="10"/>
        <color rgb="FF000000"/>
        <rFont val="微软雅黑"/>
        <family val="2"/>
        <charset val="134"/>
      </rPr>
      <t>＞</t>
    </r>
    <r>
      <rPr>
        <sz val="10"/>
        <color indexed="8"/>
        <rFont val="Verdana"/>
        <family val="2"/>
      </rPr>
      <t>18</t>
    </r>
    <r>
      <rPr>
        <sz val="10"/>
        <color rgb="FF000000"/>
        <rFont val="Segoe UI Symbol"/>
        <family val="2"/>
      </rPr>
      <t>℃</t>
    </r>
    <r>
      <rPr>
        <sz val="10"/>
        <color indexed="8"/>
        <rFont val="Verdana"/>
        <family val="2"/>
      </rPr>
      <t xml:space="preserve">;  and mean annual precipitation is 1771mm, </t>
    </r>
    <r>
      <rPr>
        <sz val="10"/>
        <color rgb="FF000000"/>
        <rFont val="微软雅黑"/>
        <family val="2"/>
        <charset val="134"/>
      </rPr>
      <t>＞</t>
    </r>
    <r>
      <rPr>
        <sz val="10"/>
        <color indexed="8"/>
        <rFont val="Verdana"/>
        <family val="2"/>
      </rPr>
      <t>1000mm. Therefore, the  climate zone can be determind to "Tropical Moist"
http://slt.gd.gov.cn/ysgk_new/gdslgk/content/post_3292694.html)</t>
    </r>
    <phoneticPr fontId="11" type="noConversion"/>
  </si>
  <si>
    <r>
      <t>The calculation result of N</t>
    </r>
    <r>
      <rPr>
        <b/>
        <vertAlign val="subscript"/>
        <sz val="10"/>
        <rFont val="Verdana"/>
        <family val="2"/>
      </rPr>
      <t>L,T</t>
    </r>
    <r>
      <rPr>
        <b/>
        <sz val="10"/>
        <rFont val="Verdana"/>
        <family val="2"/>
      </rPr>
      <t xml:space="preserve"> by the total production of market swine in 9 swine farms</t>
    </r>
    <phoneticPr fontId="11" type="noConversion"/>
  </si>
  <si>
    <r>
      <t>N</t>
    </r>
    <r>
      <rPr>
        <b/>
        <vertAlign val="subscript"/>
        <sz val="10"/>
        <rFont val="Verdana"/>
        <family val="2"/>
      </rPr>
      <t>P,LT</t>
    </r>
    <phoneticPr fontId="11" type="noConversion"/>
  </si>
  <si>
    <t>01/04/2022-30/04/2022</t>
  </si>
  <si>
    <t>01/05/2022-31/05/2022</t>
  </si>
  <si>
    <t>01/06/2022-30/06/2022</t>
  </si>
  <si>
    <t>01/07/2022-31/07/2022</t>
  </si>
  <si>
    <t>01/08/2022-31/08/2022</t>
  </si>
  <si>
    <t>01/09/2022-30/09/2022</t>
  </si>
  <si>
    <t>01/10/2022-31/10/2022</t>
  </si>
  <si>
    <t>01/11/2022-30/11/2022</t>
  </si>
  <si>
    <t>01/12/2022-31/12/2022</t>
  </si>
  <si>
    <t>01/01/2023-31/01/2023</t>
  </si>
  <si>
    <t>01/02/2023-28/02/2023</t>
  </si>
  <si>
    <t>01/03/2023-31/03/2023</t>
  </si>
  <si>
    <t>Total</t>
    <phoneticPr fontId="11" type="noConversion"/>
  </si>
  <si>
    <r>
      <t>N</t>
    </r>
    <r>
      <rPr>
        <b/>
        <vertAlign val="subscript"/>
        <sz val="10"/>
        <rFont val="Verdana"/>
        <family val="2"/>
      </rPr>
      <t>LT</t>
    </r>
    <phoneticPr fontId="11" type="noConversion"/>
  </si>
  <si>
    <r>
      <t>EC</t>
    </r>
    <r>
      <rPr>
        <b/>
        <vertAlign val="subscript"/>
        <sz val="10"/>
        <rFont val="Verdana"/>
        <family val="2"/>
      </rPr>
      <t>PJ,j,y</t>
    </r>
    <r>
      <rPr>
        <b/>
        <sz val="10"/>
        <rFont val="Verdana"/>
        <family val="2"/>
      </rPr>
      <t>(MWh)</t>
    </r>
    <phoneticPr fontId="11" type="noConversion"/>
  </si>
  <si>
    <t>The monthly electricity consumption,  electricity generation and biogas flow in each farm</t>
    <phoneticPr fontId="11" type="noConversion"/>
  </si>
  <si>
    <t xml:space="preserve">Total </t>
    <phoneticPr fontId="11" type="noConversion"/>
  </si>
  <si>
    <r>
      <t>EG</t>
    </r>
    <r>
      <rPr>
        <b/>
        <vertAlign val="subscript"/>
        <sz val="9"/>
        <color rgb="FF171717"/>
        <rFont val="Verdana"/>
        <family val="2"/>
      </rPr>
      <t>d,y</t>
    </r>
    <r>
      <rPr>
        <b/>
        <sz val="9"/>
        <color rgb="FF171717"/>
        <rFont val="Verdana"/>
        <family val="2"/>
      </rPr>
      <t>(MWh)</t>
    </r>
    <phoneticPr fontId="11" type="noConversion"/>
  </si>
  <si>
    <r>
      <t>Vf1(m</t>
    </r>
    <r>
      <rPr>
        <b/>
        <vertAlign val="superscript"/>
        <sz val="10"/>
        <rFont val="Verdana"/>
        <family val="2"/>
      </rPr>
      <t>3</t>
    </r>
    <r>
      <rPr>
        <b/>
        <sz val="10"/>
        <rFont val="Verdana"/>
        <family val="2"/>
      </rPr>
      <t>)</t>
    </r>
    <phoneticPr fontId="11" type="noConversion"/>
  </si>
  <si>
    <r>
      <t>Vf2(m</t>
    </r>
    <r>
      <rPr>
        <b/>
        <vertAlign val="superscript"/>
        <sz val="10"/>
        <rFont val="Verdana"/>
        <family val="2"/>
      </rPr>
      <t>3</t>
    </r>
    <r>
      <rPr>
        <b/>
        <sz val="10"/>
        <rFont val="Verdana"/>
        <family val="2"/>
      </rPr>
      <t>)</t>
    </r>
    <phoneticPr fontId="11" type="noConversion"/>
  </si>
  <si>
    <t>Enping Shahu swine Farm</t>
    <phoneticPr fontId="11" type="noConversion"/>
  </si>
  <si>
    <t>Time interval</t>
  </si>
  <si>
    <t>During this monitoring period, for all the farms, Vf3=0.</t>
  </si>
  <si>
    <t>Xinfeng Shatian Tianping swine Farm</t>
    <phoneticPr fontId="11" type="noConversion"/>
  </si>
  <si>
    <r>
      <t>Vf1(m</t>
    </r>
    <r>
      <rPr>
        <b/>
        <vertAlign val="superscript"/>
        <sz val="10"/>
        <color theme="1" tint="4.9989318521683403E-2"/>
        <rFont val="Verdana"/>
        <family val="2"/>
      </rPr>
      <t>3</t>
    </r>
    <r>
      <rPr>
        <b/>
        <sz val="10"/>
        <color theme="1" tint="4.9989318521683403E-2"/>
        <rFont val="Verdana"/>
        <family val="2"/>
      </rPr>
      <t>)</t>
    </r>
    <phoneticPr fontId="11" type="noConversion"/>
  </si>
  <si>
    <r>
      <t>Vf2(m</t>
    </r>
    <r>
      <rPr>
        <b/>
        <vertAlign val="superscript"/>
        <sz val="10"/>
        <color theme="1" tint="4.9989318521683403E-2"/>
        <rFont val="Verdana"/>
        <family val="2"/>
      </rPr>
      <t>3</t>
    </r>
    <r>
      <rPr>
        <b/>
        <sz val="10"/>
        <color theme="1" tint="4.9989318521683403E-2"/>
        <rFont val="Verdana"/>
        <family val="2"/>
      </rPr>
      <t>)</t>
    </r>
    <phoneticPr fontId="11" type="noConversion"/>
  </si>
  <si>
    <r>
      <t>T</t>
    </r>
    <r>
      <rPr>
        <b/>
        <vertAlign val="subscript"/>
        <sz val="11"/>
        <color theme="1" tint="4.9989318521683403E-2"/>
        <rFont val="Verdana"/>
        <family val="2"/>
      </rPr>
      <t>t</t>
    </r>
    <r>
      <rPr>
        <b/>
        <sz val="11"/>
        <color theme="1" tint="4.9989318521683403E-2"/>
        <rFont val="Verdana"/>
        <family val="2"/>
      </rPr>
      <t>(°C)</t>
    </r>
    <phoneticPr fontId="11" type="noConversion"/>
  </si>
  <si>
    <r>
      <t>P</t>
    </r>
    <r>
      <rPr>
        <b/>
        <vertAlign val="subscript"/>
        <sz val="11"/>
        <color theme="1" tint="4.9989318521683403E-2"/>
        <rFont val="Verdana"/>
        <family val="2"/>
      </rPr>
      <t>t</t>
    </r>
    <r>
      <rPr>
        <b/>
        <sz val="11"/>
        <color theme="1" tint="4.9989318521683403E-2"/>
        <rFont val="Verdana"/>
        <family val="2"/>
      </rPr>
      <t>(pa)</t>
    </r>
    <phoneticPr fontId="11" type="noConversion"/>
  </si>
  <si>
    <r>
      <t>ρ</t>
    </r>
    <r>
      <rPr>
        <b/>
        <vertAlign val="subscript"/>
        <sz val="10"/>
        <color theme="1" tint="4.9989318521683403E-2"/>
        <rFont val="Verdana"/>
        <family val="2"/>
      </rPr>
      <t>i,n</t>
    </r>
    <r>
      <rPr>
        <b/>
        <sz val="10"/>
        <color theme="1" tint="4.9989318521683403E-2"/>
        <rFont val="Verdana"/>
        <family val="2"/>
      </rPr>
      <t>(t/m3)</t>
    </r>
    <phoneticPr fontId="11" type="noConversion"/>
  </si>
  <si>
    <r>
      <t>V</t>
    </r>
    <r>
      <rPr>
        <b/>
        <vertAlign val="subscript"/>
        <sz val="11"/>
        <color theme="1" tint="4.9989318521683403E-2"/>
        <rFont val="Verdana"/>
        <family val="2"/>
      </rPr>
      <t>i,t,db</t>
    </r>
    <r>
      <rPr>
        <b/>
        <sz val="11"/>
        <color theme="1" tint="4.9989318521683403E-2"/>
        <rFont val="Verdana"/>
        <family val="2"/>
      </rPr>
      <t>(%)</t>
    </r>
    <phoneticPr fontId="11" type="noConversion"/>
  </si>
  <si>
    <r>
      <t>V</t>
    </r>
    <r>
      <rPr>
        <b/>
        <vertAlign val="subscript"/>
        <sz val="11"/>
        <color theme="1" tint="4.9989318521683403E-2"/>
        <rFont val="Verdana"/>
        <family val="2"/>
      </rPr>
      <t>t,db</t>
    </r>
    <r>
      <rPr>
        <b/>
        <sz val="11"/>
        <color theme="1" tint="4.9989318521683403E-2"/>
        <rFont val="Verdana"/>
        <family val="2"/>
      </rPr>
      <t>(m</t>
    </r>
    <r>
      <rPr>
        <b/>
        <vertAlign val="superscript"/>
        <sz val="11"/>
        <color theme="1" tint="4.9989318521683403E-2"/>
        <rFont val="Verdana"/>
        <family val="2"/>
      </rPr>
      <t>3</t>
    </r>
    <r>
      <rPr>
        <b/>
        <sz val="11"/>
        <color theme="1" tint="4.9989318521683403E-2"/>
        <rFont val="Verdana"/>
        <family val="2"/>
      </rPr>
      <t>/month)</t>
    </r>
    <phoneticPr fontId="11" type="noConversion"/>
  </si>
  <si>
    <r>
      <t>Fi,t(t CH</t>
    </r>
    <r>
      <rPr>
        <b/>
        <vertAlign val="subscript"/>
        <sz val="10"/>
        <color theme="1" tint="4.9989318521683403E-2"/>
        <rFont val="Verdana"/>
        <family val="2"/>
      </rPr>
      <t>4</t>
    </r>
    <r>
      <rPr>
        <b/>
        <sz val="10"/>
        <color theme="1" tint="4.9989318521683403E-2"/>
        <rFont val="Verdana"/>
        <family val="2"/>
      </rPr>
      <t>/month)</t>
    </r>
    <phoneticPr fontId="11" type="noConversion"/>
  </si>
  <si>
    <r>
      <t>N</t>
    </r>
    <r>
      <rPr>
        <b/>
        <vertAlign val="subscript"/>
        <sz val="10"/>
        <rFont val="Verdana"/>
        <family val="2"/>
      </rPr>
      <t>p,LT</t>
    </r>
    <phoneticPr fontId="11" type="noConversion"/>
  </si>
  <si>
    <t>Huicheng Hengli swine farm</t>
    <phoneticPr fontId="11" type="noConversion"/>
  </si>
  <si>
    <t xml:space="preserve">Huicheng Hengli swine farm 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</si>
</sst>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(* #,##0.00_);_(* \(#,##0.00\);_(* &quot;-&quot;??_);_(@_)"/>
    <numFmt numFmtId="177" formatCode="_(* #,##0_);_(* \(#,##0\);_(* &quot;-&quot;??_);_(@_)"/>
    <numFmt numFmtId="178" formatCode="0_ "/>
    <numFmt numFmtId="179" formatCode="0.00_ "/>
    <numFmt numFmtId="180" formatCode="0.0_ "/>
    <numFmt numFmtId="181" formatCode="_ * #,##0_ ;_ * \-#,##0_ ;_ * &quot;-&quot;??_ ;_ @_ "/>
    <numFmt numFmtId="182" formatCode="_-* #,##0.00\ [$€]_-;\-* #,##0.00\ [$€]_-;_-* &quot;-&quot;??\ [$€]_-;_-@_-"/>
    <numFmt numFmtId="183" formatCode="0.0"/>
    <numFmt numFmtId="184" formatCode="#,##0.000"/>
    <numFmt numFmtId="185" formatCode="0.00_);[Red]\(0.00\)"/>
    <numFmt numFmtId="186" formatCode="dd/mm/yyyy"/>
    <numFmt numFmtId="187" formatCode="0.0000_ "/>
    <numFmt numFmtId="188" formatCode="#,##0.0"/>
    <numFmt numFmtId="189" formatCode="0.000_);[Red]\(0.000\)"/>
    <numFmt numFmtId="190" formatCode="0.00000_);[Red]\(0.00000\)"/>
    <numFmt numFmtId="191" formatCode="0_);[Red]\(0\)"/>
    <numFmt numFmtId="192" formatCode="0.0000"/>
    <numFmt numFmtId="193" formatCode="0.00000"/>
    <numFmt numFmtId="194" formatCode="0.000%"/>
    <numFmt numFmtId="195" formatCode="#,##0.00_ "/>
    <numFmt numFmtId="196" formatCode="#,##0_ "/>
    <numFmt numFmtId="197" formatCode="#,##0_);[Red]\(#,##0\)"/>
    <numFmt numFmtId="198" formatCode="0.00000_ "/>
    <numFmt numFmtId="203" formatCode="#,##0.00_);[Red]\(#,##0.00\)"/>
  </numFmts>
  <fonts count="81" x14ac:knownFonts="1">
    <font>
      <sz val="10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4D4D4C"/>
      <name val="Verdana"/>
      <family val="2"/>
    </font>
    <font>
      <sz val="10"/>
      <name val="Verdana"/>
      <family val="2"/>
    </font>
    <font>
      <sz val="9"/>
      <name val="宋体"/>
      <family val="3"/>
      <charset val="134"/>
    </font>
    <font>
      <sz val="11"/>
      <name val="Verdana"/>
      <family val="2"/>
    </font>
    <font>
      <b/>
      <sz val="11"/>
      <name val="Verdana"/>
      <family val="2"/>
    </font>
    <font>
      <b/>
      <vertAlign val="subscript"/>
      <sz val="11"/>
      <name val="Verdana"/>
      <family val="2"/>
    </font>
    <font>
      <sz val="9"/>
      <name val="宋体"/>
      <family val="3"/>
      <charset val="134"/>
      <scheme val="minor"/>
    </font>
    <font>
      <sz val="11"/>
      <name val="宋体"/>
      <family val="2"/>
      <charset val="134"/>
    </font>
    <font>
      <b/>
      <sz val="10"/>
      <name val="Calibri"/>
      <family val="2"/>
    </font>
    <font>
      <b/>
      <sz val="10"/>
      <name val="宋体"/>
      <family val="2"/>
      <charset val="134"/>
    </font>
    <font>
      <sz val="10"/>
      <name val="Calibri"/>
      <family val="2"/>
    </font>
    <font>
      <b/>
      <sz val="10"/>
      <color rgb="FFFF0000"/>
      <name val="Calibri"/>
      <family val="2"/>
    </font>
    <font>
      <vertAlign val="subscript"/>
      <sz val="10"/>
      <name val="Verdana"/>
      <family val="2"/>
    </font>
    <font>
      <vertAlign val="superscript"/>
      <sz val="10"/>
      <name val="Verdana"/>
      <family val="2"/>
    </font>
    <font>
      <sz val="10"/>
      <color theme="1"/>
      <name val="Verdana"/>
      <family val="2"/>
    </font>
    <font>
      <sz val="10"/>
      <color rgb="FF222222"/>
      <name val="Verdana"/>
      <family val="2"/>
    </font>
    <font>
      <sz val="10"/>
      <color theme="1" tint="4.9989318521683403E-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color indexed="46"/>
      <name val="Verdan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sz val="10"/>
      <color indexed="8"/>
      <name val="Verdana"/>
      <family val="2"/>
    </font>
    <font>
      <i/>
      <vertAlign val="subscript"/>
      <sz val="10"/>
      <color indexed="8"/>
      <name val="Verdana"/>
      <family val="2"/>
    </font>
    <font>
      <vertAlign val="subscript"/>
      <sz val="10"/>
      <color indexed="8"/>
      <name val="Verdana"/>
      <family val="2"/>
    </font>
    <font>
      <u/>
      <sz val="10"/>
      <color indexed="10"/>
      <name val="Verdana"/>
      <family val="2"/>
    </font>
    <font>
      <i/>
      <vertAlign val="subscript"/>
      <sz val="8"/>
      <color indexed="8"/>
      <name val="Verdana"/>
      <family val="2"/>
    </font>
    <font>
      <vertAlign val="superscript"/>
      <sz val="10"/>
      <color indexed="8"/>
      <name val="Verdana"/>
      <family val="2"/>
    </font>
    <font>
      <vertAlign val="subscript"/>
      <sz val="8"/>
      <color indexed="8"/>
      <name val="Verdana"/>
      <family val="2"/>
    </font>
    <font>
      <i/>
      <sz val="10"/>
      <name val="Verdana"/>
      <family val="2"/>
    </font>
    <font>
      <i/>
      <vertAlign val="subscript"/>
      <sz val="8"/>
      <name val="Verdana"/>
      <family val="2"/>
    </font>
    <font>
      <sz val="8"/>
      <color indexed="8"/>
      <name val="Verdana"/>
      <family val="2"/>
    </font>
    <font>
      <vertAlign val="subscript"/>
      <sz val="10"/>
      <color rgb="FF000000"/>
      <name val="Verdana"/>
      <family val="2"/>
    </font>
    <font>
      <b/>
      <sz val="8"/>
      <color indexed="8"/>
      <name val="Verdana"/>
      <family val="2"/>
    </font>
    <font>
      <b/>
      <sz val="10"/>
      <color indexed="12"/>
      <name val="Verdana"/>
      <family val="2"/>
    </font>
    <font>
      <b/>
      <i/>
      <sz val="10"/>
      <name val="Verdana"/>
      <family val="2"/>
    </font>
    <font>
      <i/>
      <vertAlign val="subscript"/>
      <sz val="10"/>
      <name val="Verdana"/>
      <family val="2"/>
    </font>
    <font>
      <b/>
      <vertAlign val="subscript"/>
      <sz val="10"/>
      <name val="Verdana"/>
      <family val="2"/>
    </font>
    <font>
      <b/>
      <sz val="10"/>
      <color indexed="10"/>
      <name val="Verdana"/>
      <family val="2"/>
    </font>
    <font>
      <vertAlign val="subscript"/>
      <sz val="8"/>
      <name val="Verdana"/>
      <family val="2"/>
    </font>
    <font>
      <i/>
      <sz val="8"/>
      <name val="Verdana"/>
      <family val="2"/>
    </font>
    <font>
      <b/>
      <vertAlign val="subscript"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9"/>
      <name val="Verdana"/>
      <family val="2"/>
    </font>
    <font>
      <i/>
      <sz val="8"/>
      <color indexed="9"/>
      <name val="Verdana"/>
      <family val="2"/>
    </font>
    <font>
      <sz val="10"/>
      <color indexed="9"/>
      <name val="Verdana"/>
      <family val="2"/>
    </font>
    <font>
      <i/>
      <vertAlign val="subscript"/>
      <sz val="10"/>
      <color indexed="9"/>
      <name val="Verdana"/>
      <family val="2"/>
    </font>
    <font>
      <b/>
      <vertAlign val="subscript"/>
      <sz val="10"/>
      <color indexed="9"/>
      <name val="Verdana"/>
      <family val="2"/>
    </font>
    <font>
      <i/>
      <sz val="10"/>
      <color indexed="9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vertAlign val="subscript"/>
      <sz val="10"/>
      <color indexed="8"/>
      <name val="Verdana"/>
      <family val="2"/>
    </font>
    <font>
      <b/>
      <vertAlign val="superscript"/>
      <sz val="10"/>
      <name val="Verdana"/>
      <family val="2"/>
    </font>
    <font>
      <b/>
      <vertAlign val="subscript"/>
      <sz val="12"/>
      <name val="Verdana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vertAlign val="subscript"/>
      <sz val="10"/>
      <color rgb="FF222222"/>
      <name val="Arial"/>
      <family val="2"/>
    </font>
    <font>
      <sz val="10"/>
      <color rgb="FF000000"/>
      <name val="Segoe UI Symbol"/>
      <family val="2"/>
    </font>
    <font>
      <sz val="10"/>
      <color rgb="FF000000"/>
      <name val="微软雅黑"/>
      <family val="2"/>
      <charset val="134"/>
    </font>
    <font>
      <b/>
      <vertAlign val="subscript"/>
      <sz val="9"/>
      <color rgb="FF171717"/>
      <name val="Verdana"/>
      <family val="2"/>
    </font>
    <font>
      <b/>
      <sz val="9"/>
      <color rgb="FF171717"/>
      <name val="Verdana"/>
      <family val="2"/>
    </font>
    <font>
      <b/>
      <sz val="10"/>
      <color theme="1" tint="4.9989318521683403E-2"/>
      <name val="Verdana"/>
      <family val="2"/>
    </font>
    <font>
      <b/>
      <vertAlign val="superscript"/>
      <sz val="10"/>
      <color theme="1" tint="4.9989318521683403E-2"/>
      <name val="Verdana"/>
      <family val="2"/>
    </font>
    <font>
      <b/>
      <sz val="11"/>
      <color theme="1" tint="4.9989318521683403E-2"/>
      <name val="Verdana"/>
      <family val="2"/>
    </font>
    <font>
      <b/>
      <vertAlign val="subscript"/>
      <sz val="11"/>
      <color theme="1" tint="4.9989318521683403E-2"/>
      <name val="Verdana"/>
      <family val="2"/>
    </font>
    <font>
      <b/>
      <vertAlign val="subscript"/>
      <sz val="10"/>
      <color theme="1" tint="4.9989318521683403E-2"/>
      <name val="Verdana"/>
      <family val="2"/>
    </font>
    <font>
      <b/>
      <vertAlign val="superscript"/>
      <sz val="11"/>
      <color theme="1" tint="4.9989318521683403E-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0E0E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182" fontId="10" fillId="0" borderId="0" applyFont="0" applyFill="0" applyBorder="0" applyAlignment="0" applyProtection="0"/>
    <xf numFmtId="0" fontId="12" fillId="0" borderId="0"/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176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77">
    <xf numFmtId="0" fontId="0" fillId="0" borderId="0" xfId="0"/>
    <xf numFmtId="0" fontId="14" fillId="5" borderId="0" xfId="0" applyFont="1" applyFill="1" applyAlignment="1">
      <alignment horizontal="right" vertical="center"/>
    </xf>
    <xf numFmtId="0" fontId="14" fillId="5" borderId="0" xfId="0" applyFont="1" applyFill="1" applyAlignment="1">
      <alignment vertical="center"/>
    </xf>
    <xf numFmtId="0" fontId="14" fillId="0" borderId="0" xfId="0" applyFont="1"/>
    <xf numFmtId="0" fontId="14" fillId="5" borderId="0" xfId="0" applyFont="1" applyFill="1" applyAlignment="1">
      <alignment horizontal="left" vertical="center"/>
    </xf>
    <xf numFmtId="186" fontId="14" fillId="5" borderId="0" xfId="0" applyNumberFormat="1" applyFont="1" applyFill="1" applyAlignment="1">
      <alignment horizontal="left" vertical="center"/>
    </xf>
    <xf numFmtId="0" fontId="14" fillId="10" borderId="4" xfId="0" applyFont="1" applyFill="1" applyBorder="1" applyAlignment="1">
      <alignment horizontal="justify" vertical="center" wrapText="1"/>
    </xf>
    <xf numFmtId="0" fontId="14" fillId="10" borderId="3" xfId="0" applyFont="1" applyFill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4" fillId="10" borderId="12" xfId="0" applyFont="1" applyFill="1" applyBorder="1" applyAlignment="1">
      <alignment horizontal="justify" vertical="center" wrapText="1"/>
    </xf>
    <xf numFmtId="14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left"/>
    </xf>
    <xf numFmtId="1" fontId="14" fillId="0" borderId="0" xfId="0" applyNumberFormat="1" applyFont="1"/>
    <xf numFmtId="3" fontId="14" fillId="0" borderId="0" xfId="0" applyNumberFormat="1" applyFont="1"/>
    <xf numFmtId="10" fontId="13" fillId="0" borderId="0" xfId="7" applyNumberFormat="1" applyFont="1" applyBorder="1"/>
    <xf numFmtId="10" fontId="14" fillId="0" borderId="0" xfId="7" applyNumberFormat="1" applyFont="1" applyBorder="1"/>
    <xf numFmtId="0" fontId="16" fillId="0" borderId="0" xfId="0" applyFont="1"/>
    <xf numFmtId="0" fontId="17" fillId="9" borderId="2" xfId="0" applyFont="1" applyFill="1" applyBorder="1" applyAlignment="1">
      <alignment horizontal="center" vertical="center" wrapText="1"/>
    </xf>
    <xf numFmtId="195" fontId="16" fillId="4" borderId="2" xfId="0" applyNumberFormat="1" applyFont="1" applyFill="1" applyBorder="1" applyAlignment="1">
      <alignment horizontal="center" vertical="center"/>
    </xf>
    <xf numFmtId="14" fontId="16" fillId="0" borderId="0" xfId="0" applyNumberFormat="1" applyFont="1"/>
    <xf numFmtId="0" fontId="16" fillId="4" borderId="2" xfId="0" applyFont="1" applyFill="1" applyBorder="1" applyAlignment="1">
      <alignment horizontal="center" vertical="center"/>
    </xf>
    <xf numFmtId="196" fontId="16" fillId="4" borderId="2" xfId="0" applyNumberFormat="1" applyFont="1" applyFill="1" applyBorder="1" applyAlignment="1">
      <alignment horizontal="center" vertical="center"/>
    </xf>
    <xf numFmtId="196" fontId="16" fillId="0" borderId="0" xfId="0" applyNumberFormat="1" applyFont="1"/>
    <xf numFmtId="3" fontId="16" fillId="0" borderId="0" xfId="0" applyNumberFormat="1" applyFont="1"/>
    <xf numFmtId="2" fontId="16" fillId="0" borderId="0" xfId="0" applyNumberFormat="1" applyFont="1"/>
    <xf numFmtId="10" fontId="16" fillId="0" borderId="0" xfId="7" applyNumberFormat="1" applyFont="1"/>
    <xf numFmtId="197" fontId="17" fillId="9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3" xfId="0" applyFont="1" applyBorder="1"/>
    <xf numFmtId="183" fontId="14" fillId="0" borderId="2" xfId="0" applyNumberFormat="1" applyFont="1" applyBorder="1" applyAlignment="1">
      <alignment horizontal="center"/>
    </xf>
    <xf numFmtId="183" fontId="14" fillId="0" borderId="0" xfId="0" applyNumberFormat="1" applyFont="1"/>
    <xf numFmtId="0" fontId="14" fillId="0" borderId="12" xfId="0" applyFont="1" applyBorder="1"/>
    <xf numFmtId="0" fontId="14" fillId="0" borderId="11" xfId="0" applyFont="1" applyBorder="1" applyAlignment="1">
      <alignment horizontal="center"/>
    </xf>
    <xf numFmtId="183" fontId="14" fillId="0" borderId="11" xfId="0" applyNumberFormat="1" applyFont="1" applyBorder="1" applyAlignment="1">
      <alignment horizontal="center"/>
    </xf>
    <xf numFmtId="0" fontId="14" fillId="0" borderId="2" xfId="0" applyFont="1" applyBorder="1"/>
    <xf numFmtId="0" fontId="14" fillId="0" borderId="5" xfId="0" applyFont="1" applyBorder="1"/>
    <xf numFmtId="2" fontId="14" fillId="0" borderId="2" xfId="0" applyNumberFormat="1" applyFont="1" applyBorder="1" applyAlignment="1">
      <alignment horizontal="center"/>
    </xf>
    <xf numFmtId="2" fontId="14" fillId="0" borderId="0" xfId="0" applyNumberFormat="1" applyFont="1"/>
    <xf numFmtId="44" fontId="14" fillId="0" borderId="0" xfId="0" applyNumberFormat="1" applyFont="1"/>
    <xf numFmtId="181" fontId="14" fillId="0" borderId="0" xfId="0" applyNumberFormat="1" applyFont="1"/>
    <xf numFmtId="43" fontId="14" fillId="0" borderId="0" xfId="0" applyNumberFormat="1" applyFont="1"/>
    <xf numFmtId="185" fontId="14" fillId="0" borderId="0" xfId="0" applyNumberFormat="1" applyFont="1"/>
    <xf numFmtId="177" fontId="14" fillId="0" borderId="0" xfId="11" applyNumberFormat="1" applyFont="1" applyFill="1"/>
    <xf numFmtId="195" fontId="14" fillId="0" borderId="0" xfId="0" applyNumberFormat="1" applyFont="1"/>
    <xf numFmtId="176" fontId="14" fillId="0" borderId="0" xfId="0" applyNumberFormat="1" applyFont="1"/>
    <xf numFmtId="177" fontId="14" fillId="0" borderId="0" xfId="0" applyNumberFormat="1" applyFont="1"/>
    <xf numFmtId="44" fontId="28" fillId="0" borderId="0" xfId="0" applyNumberFormat="1" applyFont="1"/>
    <xf numFmtId="194" fontId="14" fillId="0" borderId="0" xfId="7" applyNumberFormat="1" applyFont="1"/>
    <xf numFmtId="179" fontId="14" fillId="0" borderId="0" xfId="0" applyNumberFormat="1" applyFont="1"/>
    <xf numFmtId="0" fontId="29" fillId="0" borderId="3" xfId="0" applyFont="1" applyBorder="1"/>
    <xf numFmtId="176" fontId="29" fillId="0" borderId="2" xfId="11" applyFont="1" applyBorder="1" applyAlignment="1">
      <alignment horizontal="center"/>
    </xf>
    <xf numFmtId="185" fontId="29" fillId="0" borderId="2" xfId="11" applyNumberFormat="1" applyFont="1" applyBorder="1" applyAlignment="1">
      <alignment horizontal="center"/>
    </xf>
    <xf numFmtId="2" fontId="29" fillId="0" borderId="2" xfId="0" applyNumberFormat="1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193" fontId="29" fillId="0" borderId="2" xfId="0" applyNumberFormat="1" applyFont="1" applyBorder="1" applyAlignment="1">
      <alignment horizontal="center"/>
    </xf>
    <xf numFmtId="179" fontId="29" fillId="0" borderId="2" xfId="0" applyNumberFormat="1" applyFont="1" applyBorder="1"/>
    <xf numFmtId="0" fontId="29" fillId="0" borderId="12" xfId="0" applyFont="1" applyBorder="1"/>
    <xf numFmtId="176" fontId="29" fillId="0" borderId="11" xfId="11" applyFont="1" applyBorder="1"/>
    <xf numFmtId="179" fontId="29" fillId="0" borderId="11" xfId="0" applyNumberFormat="1" applyFont="1" applyBorder="1"/>
    <xf numFmtId="198" fontId="29" fillId="0" borderId="11" xfId="0" applyNumberFormat="1" applyFont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1" fillId="2" borderId="0" xfId="0" applyFont="1" applyFill="1"/>
    <xf numFmtId="0" fontId="32" fillId="0" borderId="0" xfId="0" applyFont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4" fillId="0" borderId="0" xfId="0" applyFont="1"/>
    <xf numFmtId="0" fontId="33" fillId="0" borderId="3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 wrapText="1"/>
    </xf>
    <xf numFmtId="0" fontId="35" fillId="0" borderId="3" xfId="0" applyFont="1" applyBorder="1"/>
    <xf numFmtId="0" fontId="35" fillId="0" borderId="2" xfId="0" applyFont="1" applyBorder="1"/>
    <xf numFmtId="0" fontId="35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right"/>
    </xf>
    <xf numFmtId="0" fontId="35" fillId="0" borderId="2" xfId="0" applyFont="1" applyBorder="1" applyAlignment="1">
      <alignment horizontal="center"/>
    </xf>
    <xf numFmtId="9" fontId="14" fillId="0" borderId="2" xfId="0" applyNumberFormat="1" applyFont="1" applyBorder="1" applyAlignment="1">
      <alignment horizontal="right"/>
    </xf>
    <xf numFmtId="0" fontId="38" fillId="0" borderId="0" xfId="10" applyFont="1" applyAlignment="1" applyProtection="1"/>
    <xf numFmtId="3" fontId="14" fillId="0" borderId="2" xfId="11" applyNumberFormat="1" applyFont="1" applyFill="1" applyBorder="1" applyAlignment="1">
      <alignment horizontal="right" vertical="center"/>
    </xf>
    <xf numFmtId="17" fontId="35" fillId="0" borderId="3" xfId="0" applyNumberFormat="1" applyFont="1" applyBorder="1"/>
    <xf numFmtId="0" fontId="42" fillId="0" borderId="3" xfId="0" applyFont="1" applyBorder="1"/>
    <xf numFmtId="188" fontId="14" fillId="0" borderId="2" xfId="11" applyNumberFormat="1" applyFont="1" applyFill="1" applyBorder="1" applyAlignment="1">
      <alignment horizontal="right" vertical="center"/>
    </xf>
    <xf numFmtId="0" fontId="35" fillId="0" borderId="3" xfId="0" applyFont="1" applyBorder="1" applyAlignment="1">
      <alignment horizontal="left"/>
    </xf>
    <xf numFmtId="4" fontId="14" fillId="0" borderId="2" xfId="0" applyNumberFormat="1" applyFont="1" applyBorder="1" applyAlignment="1">
      <alignment horizontal="right"/>
    </xf>
    <xf numFmtId="14" fontId="34" fillId="0" borderId="0" xfId="0" applyNumberFormat="1" applyFont="1"/>
    <xf numFmtId="3" fontId="14" fillId="0" borderId="2" xfId="0" applyNumberFormat="1" applyFont="1" applyBorder="1" applyAlignment="1">
      <alignment horizontal="right"/>
    </xf>
    <xf numFmtId="17" fontId="33" fillId="0" borderId="3" xfId="0" applyNumberFormat="1" applyFont="1" applyBorder="1"/>
    <xf numFmtId="0" fontId="33" fillId="0" borderId="12" xfId="0" applyFont="1" applyBorder="1"/>
    <xf numFmtId="3" fontId="47" fillId="3" borderId="11" xfId="0" applyNumberFormat="1" applyFont="1" applyFill="1" applyBorder="1"/>
    <xf numFmtId="0" fontId="35" fillId="0" borderId="11" xfId="0" applyFont="1" applyBorder="1" applyAlignment="1">
      <alignment horizontal="center"/>
    </xf>
    <xf numFmtId="180" fontId="14" fillId="0" borderId="0" xfId="0" applyNumberFormat="1" applyFont="1"/>
    <xf numFmtId="0" fontId="32" fillId="0" borderId="0" xfId="0" applyFont="1" applyAlignment="1">
      <alignment horizontal="left"/>
    </xf>
    <xf numFmtId="0" fontId="31" fillId="0" borderId="0" xfId="0" applyFont="1" applyAlignment="1">
      <alignment wrapText="1"/>
    </xf>
    <xf numFmtId="0" fontId="48" fillId="0" borderId="0" xfId="0" applyFont="1"/>
    <xf numFmtId="0" fontId="14" fillId="0" borderId="0" xfId="0" applyFont="1" applyAlignment="1">
      <alignment horizontal="right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1" fontId="14" fillId="0" borderId="2" xfId="0" applyNumberFormat="1" applyFont="1" applyBorder="1" applyAlignment="1">
      <alignment horizontal="right"/>
    </xf>
    <xf numFmtId="0" fontId="14" fillId="5" borderId="2" xfId="0" applyFont="1" applyFill="1" applyBorder="1" applyAlignment="1">
      <alignment horizontal="right"/>
    </xf>
    <xf numFmtId="2" fontId="14" fillId="5" borderId="2" xfId="0" applyNumberFormat="1" applyFont="1" applyFill="1" applyBorder="1" applyAlignment="1">
      <alignment horizontal="right"/>
    </xf>
    <xf numFmtId="4" fontId="14" fillId="5" borderId="2" xfId="11" applyNumberFormat="1" applyFont="1" applyFill="1" applyBorder="1" applyAlignment="1">
      <alignment horizontal="right" vertical="center"/>
    </xf>
    <xf numFmtId="188" fontId="14" fillId="5" borderId="2" xfId="11" applyNumberFormat="1" applyFont="1" applyFill="1" applyBorder="1" applyAlignment="1">
      <alignment horizontal="right" vertical="center"/>
    </xf>
    <xf numFmtId="1" fontId="14" fillId="5" borderId="2" xfId="0" applyNumberFormat="1" applyFont="1" applyFill="1" applyBorder="1" applyAlignment="1">
      <alignment horizontal="right"/>
    </xf>
    <xf numFmtId="17" fontId="31" fillId="0" borderId="3" xfId="0" applyNumberFormat="1" applyFont="1" applyBorder="1"/>
    <xf numFmtId="0" fontId="51" fillId="0" borderId="2" xfId="0" applyFont="1" applyBorder="1"/>
    <xf numFmtId="0" fontId="31" fillId="0" borderId="12" xfId="0" applyFont="1" applyBorder="1"/>
    <xf numFmtId="0" fontId="3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1" fillId="0" borderId="0" xfId="0" applyFont="1"/>
    <xf numFmtId="2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2" fontId="14" fillId="0" borderId="2" xfId="11" applyNumberFormat="1" applyFont="1" applyBorder="1" applyAlignment="1">
      <alignment horizontal="right"/>
    </xf>
    <xf numFmtId="4" fontId="14" fillId="0" borderId="2" xfId="11" applyNumberFormat="1" applyFont="1" applyFill="1" applyBorder="1" applyAlignment="1">
      <alignment horizontal="right" vertical="center"/>
    </xf>
    <xf numFmtId="2" fontId="14" fillId="0" borderId="2" xfId="11" applyNumberFormat="1" applyFont="1" applyFill="1" applyBorder="1" applyAlignment="1">
      <alignment horizontal="right"/>
    </xf>
    <xf numFmtId="3" fontId="14" fillId="0" borderId="2" xfId="11" applyNumberFormat="1" applyFont="1" applyBorder="1" applyAlignment="1">
      <alignment horizontal="right"/>
    </xf>
    <xf numFmtId="177" fontId="31" fillId="0" borderId="0" xfId="0" applyNumberFormat="1" applyFont="1"/>
    <xf numFmtId="3" fontId="30" fillId="3" borderId="0" xfId="0" applyNumberFormat="1" applyFont="1" applyFill="1" applyAlignment="1">
      <alignment horizontal="left"/>
    </xf>
    <xf numFmtId="17" fontId="33" fillId="0" borderId="4" xfId="0" applyNumberFormat="1" applyFont="1" applyBorder="1"/>
    <xf numFmtId="177" fontId="31" fillId="0" borderId="6" xfId="11" applyNumberFormat="1" applyFont="1" applyFill="1" applyBorder="1" applyAlignment="1">
      <alignment horizontal="right"/>
    </xf>
    <xf numFmtId="3" fontId="51" fillId="0" borderId="0" xfId="0" applyNumberFormat="1" applyFont="1" applyAlignment="1">
      <alignment horizontal="left" wrapText="1"/>
    </xf>
    <xf numFmtId="17" fontId="33" fillId="0" borderId="12" xfId="0" applyNumberFormat="1" applyFont="1" applyBorder="1"/>
    <xf numFmtId="177" fontId="31" fillId="0" borderId="13" xfId="11" applyNumberFormat="1" applyFont="1" applyFill="1" applyBorder="1" applyAlignment="1">
      <alignment horizontal="right"/>
    </xf>
    <xf numFmtId="0" fontId="14" fillId="0" borderId="0" xfId="9" applyFont="1">
      <alignment vertical="center"/>
    </xf>
    <xf numFmtId="177" fontId="14" fillId="0" borderId="0" xfId="9" applyNumberFormat="1" applyFont="1">
      <alignment vertical="center"/>
    </xf>
    <xf numFmtId="0" fontId="31" fillId="3" borderId="0" xfId="0" applyFont="1" applyFill="1"/>
    <xf numFmtId="0" fontId="14" fillId="3" borderId="0" xfId="0" applyFont="1" applyFill="1"/>
    <xf numFmtId="0" fontId="31" fillId="3" borderId="0" xfId="11" applyNumberFormat="1" applyFont="1" applyFill="1" applyBorder="1"/>
    <xf numFmtId="0" fontId="14" fillId="3" borderId="0" xfId="11" applyNumberFormat="1" applyFont="1" applyFill="1" applyBorder="1"/>
    <xf numFmtId="177" fontId="14" fillId="0" borderId="6" xfId="0" applyNumberFormat="1" applyFont="1" applyBorder="1" applyAlignment="1">
      <alignment horizontal="center"/>
    </xf>
    <xf numFmtId="177" fontId="14" fillId="0" borderId="7" xfId="0" applyNumberFormat="1" applyFont="1" applyBorder="1" applyAlignment="1">
      <alignment horizontal="center"/>
    </xf>
    <xf numFmtId="177" fontId="14" fillId="0" borderId="0" xfId="0" applyNumberFormat="1" applyFont="1" applyAlignment="1">
      <alignment horizontal="center"/>
    </xf>
    <xf numFmtId="10" fontId="14" fillId="0" borderId="0" xfId="7" applyNumberFormat="1" applyFont="1"/>
    <xf numFmtId="0" fontId="1" fillId="0" borderId="0" xfId="14"/>
    <xf numFmtId="0" fontId="23" fillId="0" borderId="2" xfId="14" applyFont="1" applyBorder="1"/>
    <xf numFmtId="0" fontId="23" fillId="0" borderId="2" xfId="14" applyFont="1" applyBorder="1" applyAlignment="1">
      <alignment horizontal="center" vertical="center"/>
    </xf>
    <xf numFmtId="0" fontId="23" fillId="0" borderId="2" xfId="14" applyFont="1" applyBorder="1" applyAlignment="1">
      <alignment vertical="center"/>
    </xf>
    <xf numFmtId="183" fontId="23" fillId="0" borderId="2" xfId="14" applyNumberFormat="1" applyFont="1" applyBorder="1" applyAlignment="1">
      <alignment vertical="center"/>
    </xf>
    <xf numFmtId="1" fontId="23" fillId="0" borderId="40" xfId="14" applyNumberFormat="1" applyFont="1" applyBorder="1" applyAlignment="1">
      <alignment horizontal="center" vertical="center"/>
    </xf>
    <xf numFmtId="183" fontId="23" fillId="0" borderId="40" xfId="14" applyNumberFormat="1" applyFont="1" applyBorder="1" applyAlignment="1">
      <alignment vertical="center"/>
    </xf>
    <xf numFmtId="0" fontId="23" fillId="0" borderId="40" xfId="14" applyFont="1" applyBorder="1" applyAlignment="1">
      <alignment horizontal="center" vertical="center"/>
    </xf>
    <xf numFmtId="0" fontId="23" fillId="0" borderId="17" xfId="14" applyFont="1" applyBorder="1" applyAlignment="1">
      <alignment horizontal="center" vertical="center"/>
    </xf>
    <xf numFmtId="0" fontId="23" fillId="0" borderId="40" xfId="14" applyFont="1" applyBorder="1" applyAlignment="1">
      <alignment vertical="center"/>
    </xf>
    <xf numFmtId="2" fontId="23" fillId="0" borderId="2" xfId="14" applyNumberFormat="1" applyFont="1" applyBorder="1" applyAlignment="1">
      <alignment horizontal="center" vertical="center"/>
    </xf>
    <xf numFmtId="183" fontId="23" fillId="0" borderId="2" xfId="14" applyNumberFormat="1" applyFont="1" applyBorder="1" applyAlignment="1">
      <alignment horizontal="center" vertical="center"/>
    </xf>
    <xf numFmtId="0" fontId="24" fillId="0" borderId="2" xfId="14" applyFont="1" applyBorder="1" applyAlignment="1">
      <alignment horizontal="center" vertical="center"/>
    </xf>
    <xf numFmtId="183" fontId="14" fillId="0" borderId="7" xfId="0" applyNumberFormat="1" applyFont="1" applyBorder="1" applyAlignment="1">
      <alignment horizontal="center"/>
    </xf>
    <xf numFmtId="183" fontId="14" fillId="0" borderId="13" xfId="0" applyNumberFormat="1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7" fontId="35" fillId="0" borderId="3" xfId="0" applyNumberFormat="1" applyFont="1" applyBorder="1" applyAlignment="1">
      <alignment horizontal="center" vertical="center"/>
    </xf>
    <xf numFmtId="197" fontId="14" fillId="0" borderId="2" xfId="0" applyNumberFormat="1" applyFont="1" applyBorder="1" applyAlignment="1">
      <alignment horizontal="center" vertical="center"/>
    </xf>
    <xf numFmtId="197" fontId="14" fillId="5" borderId="2" xfId="0" applyNumberFormat="1" applyFont="1" applyFill="1" applyBorder="1" applyAlignment="1">
      <alignment horizontal="center" vertical="center"/>
    </xf>
    <xf numFmtId="197" fontId="14" fillId="0" borderId="2" xfId="0" applyNumberFormat="1" applyFont="1" applyBorder="1" applyAlignment="1">
      <alignment horizontal="center" vertical="center" wrapText="1"/>
    </xf>
    <xf numFmtId="197" fontId="14" fillId="0" borderId="7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197" fontId="14" fillId="0" borderId="11" xfId="0" applyNumberFormat="1" applyFont="1" applyBorder="1" applyAlignment="1">
      <alignment horizontal="center" vertical="center"/>
    </xf>
    <xf numFmtId="197" fontId="14" fillId="0" borderId="13" xfId="0" applyNumberFormat="1" applyFont="1" applyBorder="1" applyAlignment="1">
      <alignment horizontal="center" vertical="center"/>
    </xf>
    <xf numFmtId="197" fontId="14" fillId="0" borderId="0" xfId="0" applyNumberFormat="1" applyFont="1" applyAlignment="1">
      <alignment horizontal="center" vertical="center"/>
    </xf>
    <xf numFmtId="14" fontId="14" fillId="0" borderId="0" xfId="0" applyNumberFormat="1" applyFont="1"/>
    <xf numFmtId="0" fontId="31" fillId="0" borderId="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14" fillId="0" borderId="3" xfId="5" applyFont="1" applyBorder="1">
      <alignment vertical="center"/>
    </xf>
    <xf numFmtId="3" fontId="14" fillId="0" borderId="2" xfId="11" applyNumberFormat="1" applyFont="1" applyFill="1" applyBorder="1" applyAlignment="1">
      <alignment horizontal="center" vertical="center"/>
    </xf>
    <xf numFmtId="4" fontId="14" fillId="0" borderId="2" xfId="5" applyNumberFormat="1" applyFont="1" applyBorder="1" applyAlignment="1">
      <alignment horizontal="center" vertical="center"/>
    </xf>
    <xf numFmtId="9" fontId="14" fillId="0" borderId="2" xfId="9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5" xfId="5" applyFont="1" applyBorder="1">
      <alignment vertical="center"/>
    </xf>
    <xf numFmtId="0" fontId="14" fillId="0" borderId="2" xfId="5" applyFont="1" applyBorder="1" applyAlignment="1">
      <alignment horizontal="center" vertical="center"/>
    </xf>
    <xf numFmtId="0" fontId="14" fillId="0" borderId="7" xfId="0" applyFont="1" applyBorder="1" applyAlignment="1">
      <alignment horizontal="center" wrapText="1"/>
    </xf>
    <xf numFmtId="0" fontId="14" fillId="0" borderId="3" xfId="4" applyFont="1" applyBorder="1">
      <alignment vertical="center"/>
    </xf>
    <xf numFmtId="0" fontId="31" fillId="0" borderId="3" xfId="5" applyFont="1" applyBorder="1">
      <alignment vertical="center"/>
    </xf>
    <xf numFmtId="176" fontId="14" fillId="0" borderId="2" xfId="5" applyNumberFormat="1" applyFont="1" applyBorder="1" applyAlignment="1">
      <alignment horizontal="center" vertical="center"/>
    </xf>
    <xf numFmtId="2" fontId="14" fillId="0" borderId="2" xfId="5" applyNumberFormat="1" applyFont="1" applyBorder="1" applyAlignment="1">
      <alignment horizontal="center" vertical="center"/>
    </xf>
    <xf numFmtId="0" fontId="31" fillId="0" borderId="12" xfId="5" applyFont="1" applyBorder="1">
      <alignment vertical="center"/>
    </xf>
    <xf numFmtId="0" fontId="14" fillId="0" borderId="0" xfId="5" applyFont="1">
      <alignment vertical="center"/>
    </xf>
    <xf numFmtId="177" fontId="47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1" fillId="0" borderId="3" xfId="5" applyFont="1" applyBorder="1" applyAlignment="1"/>
    <xf numFmtId="1" fontId="31" fillId="0" borderId="9" xfId="5" applyNumberFormat="1" applyFont="1" applyBorder="1" applyAlignment="1">
      <alignment horizontal="center" vertical="center"/>
    </xf>
    <xf numFmtId="1" fontId="31" fillId="0" borderId="25" xfId="5" applyNumberFormat="1" applyFont="1" applyBorder="1" applyAlignment="1">
      <alignment horizontal="center" vertical="center"/>
    </xf>
    <xf numFmtId="1" fontId="14" fillId="0" borderId="9" xfId="5" applyNumberFormat="1" applyFont="1" applyBorder="1" applyAlignment="1">
      <alignment horizontal="center" vertical="center"/>
    </xf>
    <xf numFmtId="1" fontId="14" fillId="0" borderId="25" xfId="5" applyNumberFormat="1" applyFont="1" applyBorder="1" applyAlignment="1">
      <alignment horizontal="center" vertical="center"/>
    </xf>
    <xf numFmtId="17" fontId="31" fillId="0" borderId="3" xfId="5" applyNumberFormat="1" applyFont="1" applyBorder="1">
      <alignment vertical="center"/>
    </xf>
    <xf numFmtId="0" fontId="14" fillId="0" borderId="3" xfId="0" applyFont="1" applyBorder="1" applyAlignment="1">
      <alignment horizontal="left"/>
    </xf>
    <xf numFmtId="0" fontId="14" fillId="0" borderId="3" xfId="9" applyFont="1" applyBorder="1">
      <alignment vertical="center"/>
    </xf>
    <xf numFmtId="4" fontId="14" fillId="0" borderId="2" xfId="8" applyNumberFormat="1" applyFont="1" applyBorder="1" applyAlignment="1">
      <alignment horizontal="center"/>
    </xf>
    <xf numFmtId="0" fontId="14" fillId="0" borderId="2" xfId="9" applyFont="1" applyBorder="1" applyAlignment="1">
      <alignment horizontal="center" vertical="center"/>
    </xf>
    <xf numFmtId="0" fontId="27" fillId="0" borderId="2" xfId="5" applyFont="1" applyBorder="1" applyAlignment="1">
      <alignment horizontal="center" vertical="center"/>
    </xf>
    <xf numFmtId="9" fontId="14" fillId="0" borderId="2" xfId="5" applyNumberFormat="1" applyFont="1" applyBorder="1" applyAlignment="1">
      <alignment horizontal="center" vertical="center"/>
    </xf>
    <xf numFmtId="0" fontId="35" fillId="0" borderId="7" xfId="0" applyFont="1" applyBorder="1" applyAlignment="1">
      <alignment horizontal="center" wrapText="1"/>
    </xf>
    <xf numFmtId="0" fontId="31" fillId="0" borderId="4" xfId="0" applyFont="1" applyBorder="1"/>
    <xf numFmtId="0" fontId="31" fillId="0" borderId="3" xfId="0" applyFont="1" applyBorder="1"/>
    <xf numFmtId="178" fontId="14" fillId="0" borderId="0" xfId="0" applyNumberFormat="1" applyFont="1"/>
    <xf numFmtId="17" fontId="35" fillId="0" borderId="0" xfId="0" applyNumberFormat="1" applyFont="1"/>
    <xf numFmtId="3" fontId="31" fillId="0" borderId="0" xfId="0" applyNumberFormat="1" applyFont="1" applyAlignment="1">
      <alignment horizontal="center"/>
    </xf>
    <xf numFmtId="177" fontId="31" fillId="0" borderId="0" xfId="0" applyNumberFormat="1" applyFont="1" applyAlignment="1">
      <alignment horizontal="center"/>
    </xf>
    <xf numFmtId="0" fontId="57" fillId="0" borderId="0" xfId="0" applyFont="1"/>
    <xf numFmtId="0" fontId="59" fillId="0" borderId="0" xfId="0" applyFont="1" applyAlignment="1">
      <alignment horizontal="center"/>
    </xf>
    <xf numFmtId="0" fontId="59" fillId="0" borderId="0" xfId="0" applyFont="1"/>
    <xf numFmtId="0" fontId="57" fillId="0" borderId="0" xfId="0" applyFont="1" applyAlignment="1">
      <alignment horizontal="center"/>
    </xf>
    <xf numFmtId="0" fontId="59" fillId="0" borderId="0" xfId="4" applyFont="1">
      <alignment vertical="center"/>
    </xf>
    <xf numFmtId="0" fontId="59" fillId="0" borderId="0" xfId="8" applyFont="1" applyAlignment="1">
      <alignment horizontal="center"/>
    </xf>
    <xf numFmtId="0" fontId="59" fillId="0" borderId="0" xfId="4" applyFont="1" applyAlignment="1">
      <alignment horizontal="center" vertical="center"/>
    </xf>
    <xf numFmtId="0" fontId="59" fillId="0" borderId="0" xfId="0" applyFont="1" applyAlignment="1">
      <alignment horizontal="left"/>
    </xf>
    <xf numFmtId="177" fontId="59" fillId="0" borderId="0" xfId="11" applyNumberFormat="1" applyFont="1" applyFill="1" applyBorder="1" applyAlignment="1">
      <alignment horizontal="center" vertical="center"/>
    </xf>
    <xf numFmtId="0" fontId="59" fillId="0" borderId="0" xfId="9" applyFont="1">
      <alignment vertical="center"/>
    </xf>
    <xf numFmtId="0" fontId="59" fillId="0" borderId="0" xfId="9" applyFont="1" applyAlignment="1">
      <alignment horizontal="center" vertical="center"/>
    </xf>
    <xf numFmtId="9" fontId="59" fillId="0" borderId="0" xfId="9" applyNumberFormat="1" applyFont="1" applyAlignment="1">
      <alignment horizontal="center" vertical="center"/>
    </xf>
    <xf numFmtId="0" fontId="57" fillId="0" borderId="0" xfId="4" applyFont="1">
      <alignment vertical="center"/>
    </xf>
    <xf numFmtId="176" fontId="57" fillId="0" borderId="0" xfId="4" applyNumberFormat="1" applyFont="1" applyAlignment="1">
      <alignment horizontal="center" vertical="center"/>
    </xf>
    <xf numFmtId="177" fontId="57" fillId="0" borderId="0" xfId="0" applyNumberFormat="1" applyFont="1" applyAlignment="1">
      <alignment horizontal="center"/>
    </xf>
    <xf numFmtId="0" fontId="14" fillId="2" borderId="0" xfId="0" applyFont="1" applyFill="1"/>
    <xf numFmtId="0" fontId="31" fillId="0" borderId="0" xfId="4" applyFont="1" applyAlignment="1"/>
    <xf numFmtId="0" fontId="14" fillId="0" borderId="0" xfId="4" applyFont="1">
      <alignment vertical="center"/>
    </xf>
    <xf numFmtId="0" fontId="32" fillId="0" borderId="0" xfId="9" applyFont="1" applyAlignment="1">
      <alignment horizontal="left" vertical="center"/>
    </xf>
    <xf numFmtId="0" fontId="31" fillId="0" borderId="4" xfId="4" applyFont="1" applyBorder="1" applyAlignment="1"/>
    <xf numFmtId="0" fontId="14" fillId="0" borderId="3" xfId="4" applyFont="1" applyBorder="1" applyAlignment="1"/>
    <xf numFmtId="0" fontId="14" fillId="0" borderId="2" xfId="4" applyFont="1" applyBorder="1">
      <alignment vertical="center"/>
    </xf>
    <xf numFmtId="9" fontId="14" fillId="0" borderId="2" xfId="4" applyNumberFormat="1" applyFont="1" applyBorder="1">
      <alignment vertical="center"/>
    </xf>
    <xf numFmtId="0" fontId="31" fillId="0" borderId="3" xfId="4" applyFont="1" applyBorder="1" applyAlignment="1"/>
    <xf numFmtId="1" fontId="31" fillId="0" borderId="2" xfId="4" applyNumberFormat="1" applyFont="1" applyBorder="1">
      <alignment vertical="center"/>
    </xf>
    <xf numFmtId="17" fontId="31" fillId="0" borderId="3" xfId="4" applyNumberFormat="1" applyFont="1" applyBorder="1" applyAlignment="1"/>
    <xf numFmtId="0" fontId="31" fillId="0" borderId="12" xfId="4" applyFont="1" applyBorder="1" applyAlignment="1"/>
    <xf numFmtId="0" fontId="31" fillId="0" borderId="11" xfId="4" applyFont="1" applyBorder="1">
      <alignment vertical="center"/>
    </xf>
    <xf numFmtId="0" fontId="14" fillId="0" borderId="11" xfId="9" applyFont="1" applyBorder="1" applyAlignment="1">
      <alignment horizontal="center" vertical="center"/>
    </xf>
    <xf numFmtId="0" fontId="31" fillId="0" borderId="0" xfId="4" applyFont="1">
      <alignment vertical="center"/>
    </xf>
    <xf numFmtId="0" fontId="14" fillId="0" borderId="0" xfId="9" applyFont="1" applyAlignment="1">
      <alignment horizontal="center" vertical="center"/>
    </xf>
    <xf numFmtId="0" fontId="14" fillId="0" borderId="0" xfId="9" applyFont="1" applyAlignment="1">
      <alignment horizontal="center" vertical="center" wrapText="1"/>
    </xf>
    <xf numFmtId="0" fontId="31" fillId="0" borderId="37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185" fontId="14" fillId="0" borderId="2" xfId="4" applyNumberFormat="1" applyFont="1" applyBorder="1" applyAlignment="1">
      <alignment horizontal="right" vertical="center"/>
    </xf>
    <xf numFmtId="176" fontId="14" fillId="0" borderId="2" xfId="11" applyFont="1" applyBorder="1" applyAlignment="1">
      <alignment horizontal="right" vertical="center"/>
    </xf>
    <xf numFmtId="0" fontId="31" fillId="0" borderId="3" xfId="4" applyFont="1" applyBorder="1">
      <alignment vertical="center"/>
    </xf>
    <xf numFmtId="3" fontId="31" fillId="0" borderId="2" xfId="4" applyNumberFormat="1" applyFont="1" applyBorder="1" applyAlignment="1">
      <alignment horizontal="right" vertical="center"/>
    </xf>
    <xf numFmtId="3" fontId="14" fillId="0" borderId="2" xfId="4" applyNumberFormat="1" applyFont="1" applyBorder="1" applyAlignment="1">
      <alignment horizontal="center" vertical="center"/>
    </xf>
    <xf numFmtId="3" fontId="31" fillId="0" borderId="11" xfId="4" applyNumberFormat="1" applyFont="1" applyBorder="1" applyAlignment="1">
      <alignment horizontal="right" vertical="center"/>
    </xf>
    <xf numFmtId="3" fontId="14" fillId="0" borderId="11" xfId="4" applyNumberFormat="1" applyFont="1" applyBorder="1" applyAlignment="1">
      <alignment horizontal="center" vertical="center"/>
    </xf>
    <xf numFmtId="17" fontId="35" fillId="0" borderId="1" xfId="0" applyNumberFormat="1" applyFont="1" applyBorder="1"/>
    <xf numFmtId="3" fontId="31" fillId="0" borderId="0" xfId="0" applyNumberFormat="1" applyFont="1"/>
    <xf numFmtId="0" fontId="14" fillId="0" borderId="3" xfId="0" applyFont="1" applyBorder="1" applyAlignment="1">
      <alignment vertical="center"/>
    </xf>
    <xf numFmtId="4" fontId="14" fillId="0" borderId="2" xfId="4" applyNumberFormat="1" applyFont="1" applyBorder="1" applyAlignment="1">
      <alignment horizontal="right" vertical="center"/>
    </xf>
    <xf numFmtId="17" fontId="31" fillId="0" borderId="3" xfId="4" applyNumberFormat="1" applyFont="1" applyBorder="1">
      <alignment vertical="center"/>
    </xf>
    <xf numFmtId="0" fontId="14" fillId="2" borderId="0" xfId="4" applyFont="1" applyFill="1">
      <alignment vertical="center"/>
    </xf>
    <xf numFmtId="3" fontId="31" fillId="0" borderId="0" xfId="9" applyNumberFormat="1" applyFont="1" applyAlignment="1">
      <alignment horizontal="right" vertical="center"/>
    </xf>
    <xf numFmtId="0" fontId="31" fillId="0" borderId="4" xfId="4" applyFont="1" applyBorder="1">
      <alignment vertical="center"/>
    </xf>
    <xf numFmtId="3" fontId="31" fillId="0" borderId="5" xfId="9" applyNumberFormat="1" applyFont="1" applyBorder="1" applyAlignment="1">
      <alignment horizontal="right" vertical="center"/>
    </xf>
    <xf numFmtId="0" fontId="14" fillId="0" borderId="6" xfId="0" applyFont="1" applyBorder="1"/>
    <xf numFmtId="3" fontId="31" fillId="0" borderId="2" xfId="9" applyNumberFormat="1" applyFont="1" applyBorder="1" applyAlignment="1">
      <alignment horizontal="right" vertical="center"/>
    </xf>
    <xf numFmtId="0" fontId="14" fillId="0" borderId="7" xfId="0" applyFont="1" applyBorder="1"/>
    <xf numFmtId="185" fontId="14" fillId="0" borderId="2" xfId="9" applyNumberFormat="1" applyFont="1" applyBorder="1" applyAlignment="1">
      <alignment horizontal="right" vertical="center"/>
    </xf>
    <xf numFmtId="190" fontId="14" fillId="0" borderId="2" xfId="9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189" fontId="14" fillId="0" borderId="2" xfId="9" applyNumberFormat="1" applyFont="1" applyBorder="1" applyAlignment="1">
      <alignment horizontal="right" vertical="center"/>
    </xf>
    <xf numFmtId="9" fontId="14" fillId="0" borderId="2" xfId="7" applyFont="1" applyFill="1" applyBorder="1" applyAlignment="1">
      <alignment horizontal="right" vertical="center"/>
    </xf>
    <xf numFmtId="191" fontId="14" fillId="0" borderId="2" xfId="9" applyNumberFormat="1" applyFont="1" applyBorder="1" applyAlignment="1">
      <alignment horizontal="right" vertical="center"/>
    </xf>
    <xf numFmtId="0" fontId="31" fillId="0" borderId="12" xfId="4" applyFont="1" applyBorder="1">
      <alignment vertical="center"/>
    </xf>
    <xf numFmtId="0" fontId="14" fillId="0" borderId="13" xfId="0" applyFont="1" applyBorder="1" applyAlignment="1">
      <alignment horizontal="center"/>
    </xf>
    <xf numFmtId="0" fontId="57" fillId="0" borderId="0" xfId="4" applyFont="1" applyAlignment="1"/>
    <xf numFmtId="0" fontId="14" fillId="0" borderId="2" xfId="0" applyFont="1" applyBorder="1" applyAlignment="1">
      <alignment horizontal="center" vertical="center" wrapText="1"/>
    </xf>
    <xf numFmtId="2" fontId="14" fillId="5" borderId="2" xfId="4" applyNumberFormat="1" applyFont="1" applyFill="1" applyBorder="1" applyAlignment="1">
      <alignment horizontal="right"/>
    </xf>
    <xf numFmtId="9" fontId="14" fillId="5" borderId="2" xfId="0" applyNumberFormat="1" applyFont="1" applyFill="1" applyBorder="1"/>
    <xf numFmtId="185" fontId="14" fillId="5" borderId="2" xfId="0" applyNumberFormat="1" applyFont="1" applyFill="1" applyBorder="1"/>
    <xf numFmtId="184" fontId="14" fillId="0" borderId="2" xfId="9" applyNumberFormat="1" applyFont="1" applyBorder="1" applyAlignment="1">
      <alignment horizontal="right" vertical="center"/>
    </xf>
    <xf numFmtId="4" fontId="14" fillId="0" borderId="2" xfId="9" applyNumberFormat="1" applyFont="1" applyBorder="1" applyAlignment="1">
      <alignment horizontal="right" vertical="center"/>
    </xf>
    <xf numFmtId="0" fontId="31" fillId="5" borderId="4" xfId="0" applyFont="1" applyFill="1" applyBorder="1" applyAlignment="1">
      <alignment horizontal="center"/>
    </xf>
    <xf numFmtId="0" fontId="14" fillId="0" borderId="2" xfId="4" applyFont="1" applyBorder="1" applyAlignment="1">
      <alignment horizontal="right"/>
    </xf>
    <xf numFmtId="0" fontId="14" fillId="0" borderId="2" xfId="4" applyFont="1" applyBorder="1" applyAlignment="1">
      <alignment horizontal="right" vertical="center"/>
    </xf>
    <xf numFmtId="9" fontId="14" fillId="5" borderId="2" xfId="0" applyNumberFormat="1" applyFont="1" applyFill="1" applyBorder="1" applyAlignment="1">
      <alignment horizontal="right"/>
    </xf>
    <xf numFmtId="3" fontId="14" fillId="0" borderId="2" xfId="9" applyNumberFormat="1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31" fillId="0" borderId="12" xfId="4" applyFont="1" applyBorder="1" applyAlignment="1">
      <alignment horizontal="left" vertical="center"/>
    </xf>
    <xf numFmtId="0" fontId="14" fillId="0" borderId="2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right"/>
    </xf>
    <xf numFmtId="3" fontId="63" fillId="3" borderId="0" xfId="0" applyNumberFormat="1" applyFont="1" applyFill="1" applyAlignment="1">
      <alignment horizontal="left" wrapText="1"/>
    </xf>
    <xf numFmtId="17" fontId="35" fillId="0" borderId="4" xfId="0" applyNumberFormat="1" applyFont="1" applyBorder="1"/>
    <xf numFmtId="17" fontId="35" fillId="0" borderId="12" xfId="0" applyNumberFormat="1" applyFont="1" applyBorder="1"/>
    <xf numFmtId="3" fontId="63" fillId="3" borderId="0" xfId="0" applyNumberFormat="1" applyFont="1" applyFill="1" applyAlignment="1">
      <alignment horizontal="center" wrapText="1"/>
    </xf>
    <xf numFmtId="177" fontId="14" fillId="0" borderId="0" xfId="0" applyNumberFormat="1" applyFont="1" applyAlignment="1">
      <alignment horizontal="left"/>
    </xf>
    <xf numFmtId="0" fontId="64" fillId="0" borderId="8" xfId="0" applyFont="1" applyBorder="1" applyAlignment="1">
      <alignment vertical="center"/>
    </xf>
    <xf numFmtId="0" fontId="64" fillId="0" borderId="0" xfId="0" applyFont="1" applyAlignment="1">
      <alignment horizontal="left" vertical="center"/>
    </xf>
    <xf numFmtId="0" fontId="31" fillId="0" borderId="9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17" fontId="14" fillId="4" borderId="8" xfId="0" applyNumberFormat="1" applyFont="1" applyFill="1" applyBorder="1" applyAlignment="1">
      <alignment horizontal="right" vertical="center"/>
    </xf>
    <xf numFmtId="1" fontId="14" fillId="0" borderId="2" xfId="0" applyNumberFormat="1" applyFont="1" applyBorder="1" applyAlignment="1">
      <alignment horizontal="center" vertical="center"/>
    </xf>
    <xf numFmtId="179" fontId="14" fillId="6" borderId="2" xfId="0" applyNumberFormat="1" applyFont="1" applyFill="1" applyBorder="1" applyAlignment="1">
      <alignment horizontal="center" vertical="center"/>
    </xf>
    <xf numFmtId="192" fontId="14" fillId="6" borderId="2" xfId="0" applyNumberFormat="1" applyFont="1" applyFill="1" applyBorder="1" applyAlignment="1">
      <alignment horizontal="center" vertical="center" wrapText="1"/>
    </xf>
    <xf numFmtId="192" fontId="14" fillId="6" borderId="2" xfId="0" applyNumberFormat="1" applyFont="1" applyFill="1" applyBorder="1" applyAlignment="1">
      <alignment horizontal="center" vertical="center"/>
    </xf>
    <xf numFmtId="179" fontId="14" fillId="7" borderId="2" xfId="0" applyNumberFormat="1" applyFont="1" applyFill="1" applyBorder="1" applyAlignment="1">
      <alignment horizontal="center" vertical="center"/>
    </xf>
    <xf numFmtId="1" fontId="14" fillId="7" borderId="2" xfId="0" applyNumberFormat="1" applyFont="1" applyFill="1" applyBorder="1" applyAlignment="1">
      <alignment horizontal="center" vertical="center" wrapText="1"/>
    </xf>
    <xf numFmtId="2" fontId="14" fillId="7" borderId="2" xfId="0" applyNumberFormat="1" applyFont="1" applyFill="1" applyBorder="1" applyAlignment="1">
      <alignment horizontal="center" vertical="center" wrapText="1"/>
    </xf>
    <xf numFmtId="192" fontId="14" fillId="7" borderId="2" xfId="0" applyNumberFormat="1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/>
    </xf>
    <xf numFmtId="2" fontId="14" fillId="7" borderId="2" xfId="0" applyNumberFormat="1" applyFont="1" applyFill="1" applyBorder="1" applyAlignment="1">
      <alignment horizontal="center" vertical="center"/>
    </xf>
    <xf numFmtId="192" fontId="14" fillId="7" borderId="2" xfId="0" applyNumberFormat="1" applyFont="1" applyFill="1" applyBorder="1" applyAlignment="1">
      <alignment horizontal="center" vertical="center"/>
    </xf>
    <xf numFmtId="193" fontId="14" fillId="6" borderId="2" xfId="0" applyNumberFormat="1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179" fontId="14" fillId="8" borderId="25" xfId="0" applyNumberFormat="1" applyFont="1" applyFill="1" applyBorder="1" applyAlignment="1">
      <alignment vertical="center"/>
    </xf>
    <xf numFmtId="187" fontId="14" fillId="8" borderId="2" xfId="0" applyNumberFormat="1" applyFont="1" applyFill="1" applyBorder="1" applyAlignment="1">
      <alignment horizontal="center" vertical="center"/>
    </xf>
    <xf numFmtId="1" fontId="14" fillId="0" borderId="0" xfId="0" applyNumberFormat="1" applyFont="1" applyAlignment="1">
      <alignment vertical="center"/>
    </xf>
    <xf numFmtId="0" fontId="64" fillId="0" borderId="0" xfId="0" applyFont="1" applyAlignment="1">
      <alignment vertical="center"/>
    </xf>
    <xf numFmtId="178" fontId="64" fillId="0" borderId="0" xfId="0" applyNumberFormat="1" applyFont="1" applyAlignment="1">
      <alignment vertical="center"/>
    </xf>
    <xf numFmtId="1" fontId="64" fillId="0" borderId="0" xfId="0" applyNumberFormat="1" applyFont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5" borderId="2" xfId="0" applyFont="1" applyFill="1" applyBorder="1" applyAlignment="1">
      <alignment horizontal="center" vertical="center"/>
    </xf>
    <xf numFmtId="179" fontId="14" fillId="0" borderId="10" xfId="0" applyNumberFormat="1" applyFont="1" applyBorder="1" applyAlignment="1">
      <alignment vertical="center"/>
    </xf>
    <xf numFmtId="179" fontId="14" fillId="0" borderId="0" xfId="0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179" fontId="14" fillId="0" borderId="0" xfId="0" applyNumberFormat="1" applyFont="1" applyAlignment="1">
      <alignment horizontal="left" vertical="center"/>
    </xf>
    <xf numFmtId="179" fontId="14" fillId="0" borderId="10" xfId="0" applyNumberFormat="1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87" fontId="31" fillId="0" borderId="2" xfId="0" applyNumberFormat="1" applyFont="1" applyBorder="1" applyAlignment="1">
      <alignment horizontal="center" vertical="center"/>
    </xf>
    <xf numFmtId="179" fontId="14" fillId="0" borderId="0" xfId="0" applyNumberFormat="1" applyFont="1" applyAlignment="1">
      <alignment vertical="center" wrapText="1"/>
    </xf>
    <xf numFmtId="179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right" vertical="center"/>
    </xf>
    <xf numFmtId="187" fontId="14" fillId="5" borderId="2" xfId="0" applyNumberFormat="1" applyFont="1" applyFill="1" applyBorder="1" applyAlignment="1">
      <alignment horizontal="center" vertical="center"/>
    </xf>
    <xf numFmtId="179" fontId="14" fillId="5" borderId="2" xfId="0" applyNumberFormat="1" applyFont="1" applyFill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 wrapText="1"/>
    </xf>
    <xf numFmtId="187" fontId="14" fillId="0" borderId="2" xfId="0" applyNumberFormat="1" applyFont="1" applyBorder="1" applyAlignment="1">
      <alignment horizontal="center" vertical="center"/>
    </xf>
    <xf numFmtId="10" fontId="14" fillId="0" borderId="2" xfId="0" applyNumberFormat="1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 wrapText="1"/>
    </xf>
    <xf numFmtId="0" fontId="14" fillId="5" borderId="2" xfId="4" applyFont="1" applyFill="1" applyBorder="1" applyAlignment="1">
      <alignment horizontal="right" vertical="center"/>
    </xf>
    <xf numFmtId="2" fontId="29" fillId="0" borderId="7" xfId="0" applyNumberFormat="1" applyFont="1" applyBorder="1" applyAlignment="1">
      <alignment horizontal="center"/>
    </xf>
    <xf numFmtId="176" fontId="29" fillId="0" borderId="13" xfId="11" applyFont="1" applyBorder="1"/>
    <xf numFmtId="3" fontId="31" fillId="0" borderId="2" xfId="0" applyNumberFormat="1" applyFont="1" applyBorder="1" applyAlignment="1">
      <alignment horizontal="center"/>
    </xf>
    <xf numFmtId="3" fontId="31" fillId="0" borderId="11" xfId="0" applyNumberFormat="1" applyFont="1" applyBorder="1" applyAlignment="1">
      <alignment horizontal="center"/>
    </xf>
    <xf numFmtId="3" fontId="31" fillId="0" borderId="5" xfId="0" applyNumberFormat="1" applyFont="1" applyBorder="1" applyAlignment="1">
      <alignment horizontal="center"/>
    </xf>
    <xf numFmtId="193" fontId="14" fillId="0" borderId="2" xfId="0" applyNumberFormat="1" applyFont="1" applyBorder="1" applyAlignment="1">
      <alignment horizontal="center"/>
    </xf>
    <xf numFmtId="177" fontId="31" fillId="0" borderId="5" xfId="11" applyNumberFormat="1" applyFont="1" applyFill="1" applyBorder="1" applyAlignment="1">
      <alignment horizontal="right"/>
    </xf>
    <xf numFmtId="177" fontId="31" fillId="0" borderId="11" xfId="11" applyNumberFormat="1" applyFont="1" applyFill="1" applyBorder="1" applyAlignment="1">
      <alignment horizontal="right"/>
    </xf>
    <xf numFmtId="177" fontId="14" fillId="0" borderId="5" xfId="0" applyNumberFormat="1" applyFont="1" applyBorder="1" applyAlignment="1">
      <alignment horizontal="center"/>
    </xf>
    <xf numFmtId="177" fontId="14" fillId="0" borderId="2" xfId="0" applyNumberFormat="1" applyFont="1" applyBorder="1" applyAlignment="1">
      <alignment horizontal="center"/>
    </xf>
    <xf numFmtId="177" fontId="14" fillId="0" borderId="11" xfId="0" applyNumberFormat="1" applyFont="1" applyBorder="1"/>
    <xf numFmtId="177" fontId="14" fillId="0" borderId="13" xfId="0" applyNumberFormat="1" applyFont="1" applyBorder="1" applyAlignment="1">
      <alignment horizontal="center"/>
    </xf>
    <xf numFmtId="3" fontId="14" fillId="0" borderId="5" xfId="0" applyNumberFormat="1" applyFont="1" applyBorder="1"/>
    <xf numFmtId="3" fontId="14" fillId="0" borderId="11" xfId="0" applyNumberFormat="1" applyFont="1" applyBorder="1"/>
    <xf numFmtId="17" fontId="31" fillId="0" borderId="12" xfId="0" applyNumberFormat="1" applyFont="1" applyBorder="1"/>
    <xf numFmtId="177" fontId="31" fillId="0" borderId="5" xfId="0" applyNumberFormat="1" applyFont="1" applyBorder="1" applyAlignment="1">
      <alignment horizontal="center"/>
    </xf>
    <xf numFmtId="177" fontId="31" fillId="0" borderId="2" xfId="0" applyNumberFormat="1" applyFont="1" applyBorder="1" applyAlignment="1">
      <alignment horizontal="center"/>
    </xf>
    <xf numFmtId="177" fontId="31" fillId="0" borderId="11" xfId="0" applyNumberFormat="1" applyFont="1" applyBorder="1" applyAlignment="1">
      <alignment horizontal="center"/>
    </xf>
    <xf numFmtId="17" fontId="31" fillId="0" borderId="12" xfId="4" applyNumberFormat="1" applyFont="1" applyBorder="1">
      <alignment vertical="center"/>
    </xf>
    <xf numFmtId="183" fontId="24" fillId="0" borderId="2" xfId="14" applyNumberFormat="1" applyFont="1" applyBorder="1" applyAlignment="1">
      <alignment horizontal="center" vertical="center"/>
    </xf>
    <xf numFmtId="0" fontId="0" fillId="0" borderId="4" xfId="11" applyNumberFormat="1" applyFont="1" applyFill="1" applyBorder="1"/>
    <xf numFmtId="3" fontId="0" fillId="0" borderId="5" xfId="0" applyNumberFormat="1" applyBorder="1"/>
    <xf numFmtId="43" fontId="0" fillId="0" borderId="6" xfId="0" applyNumberFormat="1" applyBorder="1"/>
    <xf numFmtId="0" fontId="0" fillId="0" borderId="3" xfId="11" applyNumberFormat="1" applyFont="1" applyFill="1" applyBorder="1"/>
    <xf numFmtId="181" fontId="0" fillId="0" borderId="2" xfId="0" applyNumberFormat="1" applyBorder="1"/>
    <xf numFmtId="43" fontId="0" fillId="0" borderId="7" xfId="0" applyNumberFormat="1" applyBorder="1"/>
    <xf numFmtId="181" fontId="69" fillId="0" borderId="2" xfId="0" applyNumberFormat="1" applyFont="1" applyBorder="1"/>
    <xf numFmtId="0" fontId="0" fillId="0" borderId="12" xfId="11" applyNumberFormat="1" applyFont="1" applyFill="1" applyBorder="1"/>
    <xf numFmtId="181" fontId="69" fillId="0" borderId="11" xfId="0" applyNumberFormat="1" applyFont="1" applyBorder="1"/>
    <xf numFmtId="43" fontId="0" fillId="0" borderId="13" xfId="0" applyNumberFormat="1" applyBorder="1"/>
    <xf numFmtId="179" fontId="29" fillId="0" borderId="11" xfId="0" applyNumberFormat="1" applyFont="1" applyBorder="1" applyAlignment="1">
      <alignment horizontal="center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0" fontId="17" fillId="9" borderId="17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14" fillId="0" borderId="0" xfId="0" applyFont="1"/>
    <xf numFmtId="0" fontId="35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35" fillId="0" borderId="19" xfId="0" applyFont="1" applyBorder="1" applyAlignment="1">
      <alignment horizontal="center" vertical="center"/>
    </xf>
    <xf numFmtId="3" fontId="31" fillId="0" borderId="2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177" fontId="31" fillId="0" borderId="11" xfId="11" applyNumberFormat="1" applyFont="1" applyFill="1" applyBorder="1" applyAlignment="1"/>
    <xf numFmtId="0" fontId="31" fillId="0" borderId="11" xfId="0" applyFont="1" applyBorder="1" applyAlignment="1">
      <alignment horizont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/>
    </xf>
    <xf numFmtId="0" fontId="35" fillId="0" borderId="2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9" fontId="14" fillId="0" borderId="17" xfId="4" applyNumberFormat="1" applyFont="1" applyBorder="1" applyAlignment="1">
      <alignment horizontal="center" vertical="center"/>
    </xf>
    <xf numFmtId="9" fontId="14" fillId="0" borderId="18" xfId="4" applyNumberFormat="1" applyFont="1" applyBorder="1" applyAlignment="1">
      <alignment horizontal="center" vertical="center"/>
    </xf>
    <xf numFmtId="3" fontId="14" fillId="0" borderId="2" xfId="4" applyNumberFormat="1" applyFont="1" applyBorder="1" applyAlignment="1">
      <alignment horizontal="center" vertical="center"/>
    </xf>
    <xf numFmtId="191" fontId="31" fillId="0" borderId="2" xfId="9" applyNumberFormat="1" applyFont="1" applyBorder="1" applyAlignment="1">
      <alignment horizontal="center" vertical="center"/>
    </xf>
    <xf numFmtId="191" fontId="31" fillId="0" borderId="11" xfId="9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185" fontId="14" fillId="0" borderId="2" xfId="0" applyNumberFormat="1" applyFont="1" applyBorder="1" applyAlignment="1">
      <alignment horizontal="center"/>
    </xf>
    <xf numFmtId="3" fontId="31" fillId="0" borderId="11" xfId="9" applyNumberFormat="1" applyFont="1" applyBorder="1" applyAlignment="1">
      <alignment horizontal="center" vertical="center"/>
    </xf>
    <xf numFmtId="3" fontId="31" fillId="0" borderId="9" xfId="0" applyNumberFormat="1" applyFont="1" applyBorder="1" applyAlignment="1">
      <alignment horizontal="center"/>
    </xf>
    <xf numFmtId="3" fontId="31" fillId="0" borderId="25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17" xfId="9" applyFont="1" applyBorder="1" applyAlignment="1">
      <alignment horizontal="center" vertical="center"/>
    </xf>
    <xf numFmtId="0" fontId="14" fillId="0" borderId="18" xfId="9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9" applyFont="1" applyBorder="1" applyAlignment="1">
      <alignment horizontal="center" vertical="center"/>
    </xf>
    <xf numFmtId="0" fontId="14" fillId="0" borderId="23" xfId="9" applyFont="1" applyBorder="1" applyAlignment="1">
      <alignment horizontal="center" vertical="center"/>
    </xf>
    <xf numFmtId="0" fontId="14" fillId="0" borderId="10" xfId="9" applyFont="1" applyBorder="1" applyAlignment="1">
      <alignment horizontal="center" vertical="center"/>
    </xf>
    <xf numFmtId="0" fontId="14" fillId="0" borderId="24" xfId="9" applyFont="1" applyBorder="1" applyAlignment="1">
      <alignment horizontal="center" vertical="center"/>
    </xf>
    <xf numFmtId="0" fontId="14" fillId="0" borderId="2" xfId="9" applyFont="1" applyBorder="1" applyAlignment="1">
      <alignment horizontal="center" vertical="center"/>
    </xf>
    <xf numFmtId="0" fontId="14" fillId="0" borderId="7" xfId="9" applyFont="1" applyBorder="1" applyAlignment="1">
      <alignment horizontal="center" vertical="center"/>
    </xf>
    <xf numFmtId="0" fontId="14" fillId="0" borderId="11" xfId="9" applyFont="1" applyBorder="1" applyAlignment="1">
      <alignment horizontal="center" vertical="center" wrapText="1"/>
    </xf>
    <xf numFmtId="0" fontId="14" fillId="0" borderId="13" xfId="9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14" fillId="0" borderId="2" xfId="9" applyFont="1" applyBorder="1" applyAlignment="1">
      <alignment horizontal="center" vertical="center" wrapText="1"/>
    </xf>
    <xf numFmtId="0" fontId="14" fillId="0" borderId="7" xfId="9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7" xfId="4" applyFont="1" applyFill="1" applyBorder="1" applyAlignment="1">
      <alignment horizontal="center" vertical="center" wrapText="1"/>
    </xf>
    <xf numFmtId="0" fontId="14" fillId="5" borderId="7" xfId="4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" fontId="31" fillId="0" borderId="9" xfId="9" applyNumberFormat="1" applyFont="1" applyBorder="1" applyAlignment="1">
      <alignment horizontal="center" vertical="center"/>
    </xf>
    <xf numFmtId="4" fontId="31" fillId="0" borderId="25" xfId="9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3" fontId="31" fillId="0" borderId="5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 vertical="center" wrapText="1"/>
    </xf>
    <xf numFmtId="3" fontId="31" fillId="0" borderId="9" xfId="9" applyNumberFormat="1" applyFont="1" applyBorder="1" applyAlignment="1">
      <alignment horizontal="center" vertical="center"/>
    </xf>
    <xf numFmtId="3" fontId="31" fillId="0" borderId="25" xfId="9" applyNumberFormat="1" applyFont="1" applyBorder="1" applyAlignment="1">
      <alignment horizontal="center" vertical="center"/>
    </xf>
    <xf numFmtId="0" fontId="14" fillId="0" borderId="2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/>
    </xf>
    <xf numFmtId="0" fontId="14" fillId="0" borderId="11" xfId="5" applyFont="1" applyBorder="1" applyAlignment="1">
      <alignment horizontal="center" vertical="center"/>
    </xf>
    <xf numFmtId="3" fontId="14" fillId="0" borderId="9" xfId="5" applyNumberFormat="1" applyFont="1" applyBorder="1" applyAlignment="1">
      <alignment horizontal="center" vertical="center"/>
    </xf>
    <xf numFmtId="3" fontId="14" fillId="0" borderId="25" xfId="5" applyNumberFormat="1" applyFont="1" applyBorder="1" applyAlignment="1">
      <alignment horizontal="center" vertical="center"/>
    </xf>
    <xf numFmtId="1" fontId="31" fillId="0" borderId="9" xfId="5" applyNumberFormat="1" applyFont="1" applyBorder="1" applyAlignment="1">
      <alignment horizontal="center" vertical="center"/>
    </xf>
    <xf numFmtId="1" fontId="31" fillId="0" borderId="25" xfId="5" applyNumberFormat="1" applyFont="1" applyBorder="1" applyAlignment="1">
      <alignment horizontal="center" vertical="center"/>
    </xf>
    <xf numFmtId="3" fontId="31" fillId="0" borderId="9" xfId="5" applyNumberFormat="1" applyFont="1" applyBorder="1" applyAlignment="1">
      <alignment horizontal="center" vertical="center"/>
    </xf>
    <xf numFmtId="3" fontId="31" fillId="0" borderId="25" xfId="5" applyNumberFormat="1" applyFont="1" applyBorder="1" applyAlignment="1">
      <alignment horizontal="center" vertical="center"/>
    </xf>
    <xf numFmtId="1" fontId="31" fillId="0" borderId="2" xfId="5" applyNumberFormat="1" applyFont="1" applyBorder="1" applyAlignment="1">
      <alignment horizontal="center" vertical="center"/>
    </xf>
    <xf numFmtId="3" fontId="31" fillId="0" borderId="21" xfId="5" applyNumberFormat="1" applyFont="1" applyBorder="1" applyAlignment="1">
      <alignment horizontal="center" vertical="center"/>
    </xf>
    <xf numFmtId="3" fontId="31" fillId="0" borderId="33" xfId="5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2" fontId="14" fillId="0" borderId="9" xfId="5" applyNumberFormat="1" applyFont="1" applyBorder="1" applyAlignment="1">
      <alignment horizontal="center" vertical="center"/>
    </xf>
    <xf numFmtId="2" fontId="14" fillId="0" borderId="25" xfId="5" applyNumberFormat="1" applyFont="1" applyBorder="1" applyAlignment="1">
      <alignment horizontal="center" vertical="center"/>
    </xf>
    <xf numFmtId="176" fontId="14" fillId="0" borderId="9" xfId="5" applyNumberFormat="1" applyFont="1" applyBorder="1" applyAlignment="1">
      <alignment horizontal="center" vertical="center"/>
    </xf>
    <xf numFmtId="176" fontId="14" fillId="0" borderId="25" xfId="5" applyNumberFormat="1" applyFont="1" applyBorder="1" applyAlignment="1">
      <alignment horizontal="center" vertical="center"/>
    </xf>
    <xf numFmtId="3" fontId="31" fillId="0" borderId="11" xfId="5" applyNumberFormat="1" applyFont="1" applyBorder="1" applyAlignment="1">
      <alignment horizontal="center" vertical="center"/>
    </xf>
    <xf numFmtId="3" fontId="31" fillId="0" borderId="2" xfId="5" applyNumberFormat="1" applyFont="1" applyBorder="1" applyAlignment="1">
      <alignment horizontal="center" vertical="center"/>
    </xf>
    <xf numFmtId="0" fontId="14" fillId="0" borderId="7" xfId="5" applyFont="1" applyBorder="1" applyAlignment="1">
      <alignment horizontal="center" vertical="center"/>
    </xf>
    <xf numFmtId="0" fontId="14" fillId="0" borderId="13" xfId="5" applyFont="1" applyBorder="1" applyAlignment="1">
      <alignment horizontal="center" vertical="center"/>
    </xf>
    <xf numFmtId="3" fontId="14" fillId="0" borderId="2" xfId="11" applyNumberFormat="1" applyFont="1" applyFill="1" applyBorder="1" applyAlignment="1">
      <alignment horizontal="center" vertical="center"/>
    </xf>
    <xf numFmtId="0" fontId="14" fillId="0" borderId="7" xfId="5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34" xfId="0" applyFont="1" applyBorder="1" applyAlignment="1">
      <alignment horizontal="center" wrapText="1"/>
    </xf>
    <xf numFmtId="0" fontId="14" fillId="0" borderId="35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3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31" fillId="8" borderId="17" xfId="0" applyFont="1" applyFill="1" applyBorder="1" applyAlignment="1">
      <alignment horizontal="center" vertical="center"/>
    </xf>
    <xf numFmtId="0" fontId="31" fillId="8" borderId="14" xfId="0" applyFont="1" applyFill="1" applyBorder="1" applyAlignment="1">
      <alignment horizontal="center" vertical="center"/>
    </xf>
    <xf numFmtId="0" fontId="31" fillId="8" borderId="17" xfId="0" applyFont="1" applyFill="1" applyBorder="1" applyAlignment="1">
      <alignment horizontal="center" vertical="center" wrapText="1"/>
    </xf>
    <xf numFmtId="0" fontId="31" fillId="8" borderId="14" xfId="0" applyFont="1" applyFill="1" applyBorder="1" applyAlignment="1">
      <alignment horizontal="center" vertical="center" wrapText="1"/>
    </xf>
    <xf numFmtId="0" fontId="64" fillId="0" borderId="8" xfId="0" applyFont="1" applyBorder="1" applyAlignment="1">
      <alignment horizontal="left" vertical="center"/>
    </xf>
    <xf numFmtId="0" fontId="31" fillId="6" borderId="9" xfId="0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center" vertical="center"/>
    </xf>
    <xf numFmtId="0" fontId="31" fillId="6" borderId="25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31" fillId="7" borderId="30" xfId="0" applyFont="1" applyFill="1" applyBorder="1" applyAlignment="1">
      <alignment horizontal="center" vertical="center"/>
    </xf>
    <xf numFmtId="0" fontId="31" fillId="7" borderId="25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31" fillId="9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179" fontId="14" fillId="5" borderId="2" xfId="0" applyNumberFormat="1" applyFont="1" applyFill="1" applyBorder="1" applyAlignment="1">
      <alignment horizontal="left" vertical="center"/>
    </xf>
    <xf numFmtId="0" fontId="23" fillId="0" borderId="9" xfId="14" applyFont="1" applyBorder="1" applyAlignment="1">
      <alignment horizontal="center" vertical="center"/>
    </xf>
    <xf numFmtId="0" fontId="23" fillId="0" borderId="25" xfId="14" applyFont="1" applyBorder="1" applyAlignment="1">
      <alignment horizontal="center" vertical="center"/>
    </xf>
    <xf numFmtId="0" fontId="22" fillId="0" borderId="41" xfId="14" applyFont="1" applyBorder="1" applyAlignment="1">
      <alignment horizontal="left"/>
    </xf>
    <xf numFmtId="0" fontId="22" fillId="0" borderId="42" xfId="14" applyFont="1" applyBorder="1" applyAlignment="1">
      <alignment horizontal="left"/>
    </xf>
    <xf numFmtId="0" fontId="22" fillId="0" borderId="43" xfId="14" applyFont="1" applyBorder="1" applyAlignment="1">
      <alignment horizontal="left"/>
    </xf>
    <xf numFmtId="0" fontId="23" fillId="0" borderId="30" xfId="14" applyFont="1" applyBorder="1" applyAlignment="1">
      <alignment horizontal="center" vertical="center"/>
    </xf>
    <xf numFmtId="0" fontId="23" fillId="0" borderId="17" xfId="14" applyFont="1" applyBorder="1" applyAlignment="1">
      <alignment horizontal="center" vertical="center"/>
    </xf>
    <xf numFmtId="0" fontId="23" fillId="0" borderId="14" xfId="14" applyFont="1" applyBorder="1" applyAlignment="1">
      <alignment horizontal="center" vertical="center"/>
    </xf>
    <xf numFmtId="0" fontId="21" fillId="0" borderId="9" xfId="14" applyFont="1" applyBorder="1" applyAlignment="1">
      <alignment horizontal="center"/>
    </xf>
    <xf numFmtId="0" fontId="21" fillId="0" borderId="30" xfId="14" applyFont="1" applyBorder="1" applyAlignment="1">
      <alignment horizontal="center"/>
    </xf>
    <xf numFmtId="0" fontId="21" fillId="0" borderId="25" xfId="14" applyFont="1" applyBorder="1" applyAlignment="1">
      <alignment horizontal="center"/>
    </xf>
    <xf numFmtId="0" fontId="22" fillId="0" borderId="9" xfId="14" applyFont="1" applyBorder="1" applyAlignment="1">
      <alignment horizontal="left"/>
    </xf>
    <xf numFmtId="0" fontId="22" fillId="0" borderId="30" xfId="14" applyFont="1" applyBorder="1" applyAlignment="1">
      <alignment horizontal="left"/>
    </xf>
    <xf numFmtId="0" fontId="22" fillId="0" borderId="25" xfId="14" applyFont="1" applyBorder="1" applyAlignment="1">
      <alignment horizontal="left"/>
    </xf>
    <xf numFmtId="0" fontId="22" fillId="0" borderId="2" xfId="14" applyFont="1" applyBorder="1" applyAlignment="1">
      <alignment horizontal="left"/>
    </xf>
    <xf numFmtId="0" fontId="23" fillId="0" borderId="2" xfId="14" applyFont="1" applyBorder="1" applyAlignment="1">
      <alignment horizontal="center" vertical="center"/>
    </xf>
    <xf numFmtId="0" fontId="22" fillId="0" borderId="14" xfId="14" applyFont="1" applyBorder="1" applyAlignment="1">
      <alignment horizontal="left"/>
    </xf>
    <xf numFmtId="0" fontId="31" fillId="0" borderId="2" xfId="0" applyFont="1" applyBorder="1"/>
    <xf numFmtId="0" fontId="31" fillId="0" borderId="4" xfId="0" applyFont="1" applyBorder="1" applyAlignment="1">
      <alignment horizontal="center"/>
    </xf>
    <xf numFmtId="0" fontId="31" fillId="0" borderId="3" xfId="0" applyFont="1" applyBorder="1" applyAlignment="1">
      <alignment wrapText="1"/>
    </xf>
    <xf numFmtId="0" fontId="31" fillId="0" borderId="2" xfId="0" applyFont="1" applyBorder="1" applyAlignment="1">
      <alignment horizontal="center" wrapText="1"/>
    </xf>
    <xf numFmtId="0" fontId="31" fillId="0" borderId="7" xfId="0" applyFont="1" applyBorder="1" applyAlignment="1">
      <alignment horizontal="center" vertical="center"/>
    </xf>
    <xf numFmtId="0" fontId="14" fillId="0" borderId="36" xfId="0" applyFont="1" applyBorder="1"/>
    <xf numFmtId="193" fontId="31" fillId="0" borderId="2" xfId="11" applyNumberFormat="1" applyFont="1" applyFill="1" applyBorder="1" applyAlignment="1">
      <alignment horizontal="center"/>
    </xf>
    <xf numFmtId="0" fontId="31" fillId="0" borderId="7" xfId="0" applyFont="1" applyBorder="1"/>
    <xf numFmtId="203" fontId="14" fillId="0" borderId="2" xfId="0" applyNumberFormat="1" applyFont="1" applyBorder="1" applyAlignment="1">
      <alignment horizontal="center"/>
    </xf>
    <xf numFmtId="0" fontId="14" fillId="0" borderId="44" xfId="0" applyFont="1" applyBorder="1" applyAlignment="1">
      <alignment horizontal="left"/>
    </xf>
    <xf numFmtId="0" fontId="14" fillId="0" borderId="4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0" borderId="11" xfId="0" applyFont="1" applyBorder="1"/>
    <xf numFmtId="0" fontId="14" fillId="0" borderId="13" xfId="0" applyFont="1" applyBorder="1"/>
    <xf numFmtId="203" fontId="14" fillId="0" borderId="7" xfId="0" applyNumberFormat="1" applyFont="1" applyBorder="1" applyAlignment="1">
      <alignment horizontal="center"/>
    </xf>
    <xf numFmtId="190" fontId="14" fillId="0" borderId="2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98" fontId="14" fillId="0" borderId="0" xfId="0" applyNumberFormat="1" applyFont="1"/>
    <xf numFmtId="193" fontId="14" fillId="0" borderId="0" xfId="0" applyNumberFormat="1" applyFont="1"/>
    <xf numFmtId="193" fontId="31" fillId="0" borderId="2" xfId="11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75" fillId="0" borderId="4" xfId="0" applyFont="1" applyBorder="1"/>
    <xf numFmtId="0" fontId="75" fillId="0" borderId="5" xfId="0" applyFont="1" applyBorder="1"/>
    <xf numFmtId="0" fontId="77" fillId="0" borderId="5" xfId="0" applyFont="1" applyBorder="1"/>
    <xf numFmtId="0" fontId="75" fillId="0" borderId="6" xfId="0" applyFont="1" applyBorder="1"/>
    <xf numFmtId="197" fontId="14" fillId="0" borderId="2" xfId="0" applyNumberFormat="1" applyFont="1" applyBorder="1" applyAlignment="1">
      <alignment horizontal="center"/>
    </xf>
    <xf numFmtId="197" fontId="14" fillId="0" borderId="7" xfId="0" applyNumberFormat="1" applyFont="1" applyBorder="1" applyAlignment="1">
      <alignment horizontal="center"/>
    </xf>
    <xf numFmtId="3" fontId="14" fillId="0" borderId="11" xfId="0" applyNumberFormat="1" applyFont="1" applyBorder="1" applyAlignment="1">
      <alignment horizontal="center"/>
    </xf>
    <xf numFmtId="3" fontId="14" fillId="0" borderId="13" xfId="0" applyNumberFormat="1" applyFont="1" applyBorder="1" applyAlignment="1">
      <alignment horizontal="center"/>
    </xf>
    <xf numFmtId="0" fontId="14" fillId="0" borderId="46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/>
    </xf>
    <xf numFmtId="0" fontId="31" fillId="0" borderId="4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/>
    </xf>
    <xf numFmtId="197" fontId="14" fillId="0" borderId="25" xfId="0" applyNumberFormat="1" applyFont="1" applyBorder="1" applyAlignment="1">
      <alignment horizontal="center"/>
    </xf>
    <xf numFmtId="3" fontId="14" fillId="0" borderId="3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/>
    </xf>
    <xf numFmtId="0" fontId="31" fillId="0" borderId="5" xfId="0" applyFont="1" applyBorder="1" applyAlignment="1">
      <alignment horizontal="center" vertical="center" wrapText="1"/>
    </xf>
    <xf numFmtId="185" fontId="31" fillId="0" borderId="48" xfId="0" applyNumberFormat="1" applyFont="1" applyBorder="1" applyAlignment="1">
      <alignment horizontal="center" vertical="center" wrapText="1"/>
    </xf>
    <xf numFmtId="185" fontId="31" fillId="0" borderId="5" xfId="0" applyNumberFormat="1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</cellXfs>
  <cellStyles count="15">
    <cellStyle name="Euro" xfId="1" xr:uid="{00000000-0005-0000-0000-000000000000}"/>
    <cellStyle name="Normal 2" xfId="2" xr:uid="{00000000-0005-0000-0000-000001000000}"/>
    <cellStyle name="Normal_AMIGO AGRO (HOGS INVTY 06)" xfId="3" xr:uid="{00000000-0005-0000-0000-000002000000}"/>
    <cellStyle name="Normal_Sheet2" xfId="4" xr:uid="{00000000-0005-0000-0000-000003000000}"/>
    <cellStyle name="Normal_Sheet3" xfId="5" xr:uid="{00000000-0005-0000-0000-000004000000}"/>
    <cellStyle name="Percent 2" xfId="6" xr:uid="{00000000-0005-0000-0000-000005000000}"/>
    <cellStyle name="百分比" xfId="7" builtinId="5"/>
    <cellStyle name="常规" xfId="0" builtinId="0"/>
    <cellStyle name="常规 2" xfId="12" xr:uid="{82907693-CA91-411D-82CC-49956B83C243}"/>
    <cellStyle name="常规 3" xfId="13" xr:uid="{FA031BCD-847C-4C57-BB50-26EE90CE2A6B}"/>
    <cellStyle name="常规 4" xfId="14" xr:uid="{CFBBBA6A-D6F1-40D5-8E18-2E6C3B49F2E7}"/>
    <cellStyle name="常规_Sheet2" xfId="8" xr:uid="{00000000-0005-0000-0000-000008000000}"/>
    <cellStyle name="常规_范霍夫数－计算结果" xfId="9" xr:uid="{00000000-0005-0000-0000-000009000000}"/>
    <cellStyle name="超链接" xfId="10" builtinId="8"/>
    <cellStyle name="千位分隔" xfId="11" builtinId="3"/>
  </cellStyles>
  <dxfs count="3"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631009</xdr:colOff>
      <xdr:row>3</xdr:row>
      <xdr:rowOff>60053</xdr:rowOff>
    </xdr:to>
    <xdr:pic>
      <xdr:nvPicPr>
        <xdr:cNvPr id="77382" name="Picture 3">
          <a:extLst>
            <a:ext uri="{FF2B5EF4-FFF2-40B4-BE49-F238E27FC236}">
              <a16:creationId xmlns:a16="http://schemas.microsoft.com/office/drawing/2014/main" id="{AA46EAA2-61F1-457D-ACAB-D3BF5E10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"/>
          <a:ext cx="288925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93839</xdr:colOff>
      <xdr:row>3</xdr:row>
      <xdr:rowOff>26811</xdr:rowOff>
    </xdr:from>
    <xdr:to>
      <xdr:col>3</xdr:col>
      <xdr:colOff>98617</xdr:colOff>
      <xdr:row>6</xdr:row>
      <xdr:rowOff>97104</xdr:rowOff>
    </xdr:to>
    <xdr:pic>
      <xdr:nvPicPr>
        <xdr:cNvPr id="77383" name="图片 1">
          <a:extLst>
            <a:ext uri="{FF2B5EF4-FFF2-40B4-BE49-F238E27FC236}">
              <a16:creationId xmlns:a16="http://schemas.microsoft.com/office/drawing/2014/main" id="{A9CC20F7-B996-4F07-A0E4-4F2B95F2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672" y="619478"/>
          <a:ext cx="2116365" cy="579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536222</xdr:colOff>
      <xdr:row>4</xdr:row>
      <xdr:rowOff>46548</xdr:rowOff>
    </xdr:from>
    <xdr:to>
      <xdr:col>4</xdr:col>
      <xdr:colOff>1544602</xdr:colOff>
      <xdr:row>7</xdr:row>
      <xdr:rowOff>22314</xdr:rowOff>
    </xdr:to>
    <xdr:pic>
      <xdr:nvPicPr>
        <xdr:cNvPr id="77384" name="Picture 4">
          <a:extLst>
            <a:ext uri="{FF2B5EF4-FFF2-40B4-BE49-F238E27FC236}">
              <a16:creationId xmlns:a16="http://schemas.microsoft.com/office/drawing/2014/main" id="{B52CA2E7-8777-478E-A9B9-D10E1038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722" y="787381"/>
          <a:ext cx="3210278" cy="478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421822</xdr:colOff>
      <xdr:row>93</xdr:row>
      <xdr:rowOff>23768</xdr:rowOff>
    </xdr:to>
    <xdr:pic>
      <xdr:nvPicPr>
        <xdr:cNvPr id="77385" name="图片 3">
          <a:extLst>
            <a:ext uri="{FF2B5EF4-FFF2-40B4-BE49-F238E27FC236}">
              <a16:creationId xmlns:a16="http://schemas.microsoft.com/office/drawing/2014/main" id="{5E34BCAC-0B7A-4940-B9B2-66658E34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5650"/>
          <a:ext cx="4806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3505200</xdr:colOff>
      <xdr:row>94</xdr:row>
      <xdr:rowOff>88900</xdr:rowOff>
    </xdr:from>
    <xdr:to>
      <xdr:col>4</xdr:col>
      <xdr:colOff>19776</xdr:colOff>
      <xdr:row>97</xdr:row>
      <xdr:rowOff>353</xdr:rowOff>
    </xdr:to>
    <xdr:pic>
      <xdr:nvPicPr>
        <xdr:cNvPr id="77386" name="图片 4">
          <a:extLst>
            <a:ext uri="{FF2B5EF4-FFF2-40B4-BE49-F238E27FC236}">
              <a16:creationId xmlns:a16="http://schemas.microsoft.com/office/drawing/2014/main" id="{1326E91D-B73D-41FB-9B0B-5459D8BA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5309850"/>
          <a:ext cx="43180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2117</xdr:colOff>
      <xdr:row>96</xdr:row>
      <xdr:rowOff>158750</xdr:rowOff>
    </xdr:from>
    <xdr:to>
      <xdr:col>3</xdr:col>
      <xdr:colOff>493889</xdr:colOff>
      <xdr:row>100</xdr:row>
      <xdr:rowOff>1</xdr:rowOff>
    </xdr:to>
    <xdr:pic>
      <xdr:nvPicPr>
        <xdr:cNvPr id="77387" name="Picture 5">
          <a:extLst>
            <a:ext uri="{FF2B5EF4-FFF2-40B4-BE49-F238E27FC236}">
              <a16:creationId xmlns:a16="http://schemas.microsoft.com/office/drawing/2014/main" id="{5438E3D8-D74D-4D87-9452-FF9EDBC2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21487694"/>
          <a:ext cx="2608439" cy="49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</xdr:colOff>
      <xdr:row>97</xdr:row>
      <xdr:rowOff>0</xdr:rowOff>
    </xdr:from>
    <xdr:to>
      <xdr:col>4</xdr:col>
      <xdr:colOff>2271748</xdr:colOff>
      <xdr:row>100</xdr:row>
      <xdr:rowOff>0</xdr:rowOff>
    </xdr:to>
    <xdr:pic>
      <xdr:nvPicPr>
        <xdr:cNvPr id="77388" name="Picture 6">
          <a:extLst>
            <a:ext uri="{FF2B5EF4-FFF2-40B4-BE49-F238E27FC236}">
              <a16:creationId xmlns:a16="http://schemas.microsoft.com/office/drawing/2014/main" id="{3D63557B-D2CF-4503-AA6C-1BF4F295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5779" y="21491222"/>
          <a:ext cx="2257777" cy="489656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4</xdr:col>
      <xdr:colOff>1814</xdr:colOff>
      <xdr:row>180</xdr:row>
      <xdr:rowOff>23767</xdr:rowOff>
    </xdr:to>
    <xdr:pic>
      <xdr:nvPicPr>
        <xdr:cNvPr id="77389" name="图片 5">
          <a:extLst>
            <a:ext uri="{FF2B5EF4-FFF2-40B4-BE49-F238E27FC236}">
              <a16:creationId xmlns:a16="http://schemas.microsoft.com/office/drawing/2014/main" id="{CDF402F3-EBDB-4FD7-928C-515499A3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362150"/>
          <a:ext cx="4318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768350</xdr:colOff>
      <xdr:row>1</xdr:row>
      <xdr:rowOff>120650</xdr:rowOff>
    </xdr:from>
    <xdr:to>
      <xdr:col>2</xdr:col>
      <xdr:colOff>749300</xdr:colOff>
      <xdr:row>4</xdr:row>
      <xdr:rowOff>140018</xdr:rowOff>
    </xdr:to>
    <xdr:pic>
      <xdr:nvPicPr>
        <xdr:cNvPr id="76693" name="图片 3">
          <a:extLst>
            <a:ext uri="{FF2B5EF4-FFF2-40B4-BE49-F238E27FC236}">
              <a16:creationId xmlns:a16="http://schemas.microsoft.com/office/drawing/2014/main" id="{E225E8B4-60FB-4BB7-8798-140683B7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317500"/>
          <a:ext cx="38862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263172</xdr:colOff>
      <xdr:row>6</xdr:row>
      <xdr:rowOff>150989</xdr:rowOff>
    </xdr:from>
    <xdr:to>
      <xdr:col>2</xdr:col>
      <xdr:colOff>899689</xdr:colOff>
      <xdr:row>10</xdr:row>
      <xdr:rowOff>58245</xdr:rowOff>
    </xdr:to>
    <xdr:pic>
      <xdr:nvPicPr>
        <xdr:cNvPr id="76694" name="图片 4">
          <a:extLst>
            <a:ext uri="{FF2B5EF4-FFF2-40B4-BE49-F238E27FC236}">
              <a16:creationId xmlns:a16="http://schemas.microsoft.com/office/drawing/2014/main" id="{ED8BC111-E295-4639-A868-52C2282E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2" y="1124656"/>
          <a:ext cx="4555772" cy="57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929216</xdr:colOff>
      <xdr:row>6</xdr:row>
      <xdr:rowOff>150989</xdr:rowOff>
    </xdr:from>
    <xdr:to>
      <xdr:col>4</xdr:col>
      <xdr:colOff>1028876</xdr:colOff>
      <xdr:row>10</xdr:row>
      <xdr:rowOff>59091</xdr:rowOff>
    </xdr:to>
    <xdr:pic>
      <xdr:nvPicPr>
        <xdr:cNvPr id="76695" name="图片 8">
          <a:extLst>
            <a:ext uri="{FF2B5EF4-FFF2-40B4-BE49-F238E27FC236}">
              <a16:creationId xmlns:a16="http://schemas.microsoft.com/office/drawing/2014/main" id="{E4B7E634-A1D3-4222-819C-4C88F066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7994" y="1124656"/>
          <a:ext cx="4052006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539750</xdr:colOff>
      <xdr:row>33</xdr:row>
      <xdr:rowOff>2117</xdr:rowOff>
    </xdr:from>
    <xdr:to>
      <xdr:col>2</xdr:col>
      <xdr:colOff>1315332</xdr:colOff>
      <xdr:row>34</xdr:row>
      <xdr:rowOff>190499</xdr:rowOff>
    </xdr:to>
    <xdr:pic>
      <xdr:nvPicPr>
        <xdr:cNvPr id="76696" name="图片 5">
          <a:extLst>
            <a:ext uri="{FF2B5EF4-FFF2-40B4-BE49-F238E27FC236}">
              <a16:creationId xmlns:a16="http://schemas.microsoft.com/office/drawing/2014/main" id="{D721C603-905B-45D1-AD28-060A47E4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7424561"/>
          <a:ext cx="4695472" cy="484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292100</xdr:colOff>
      <xdr:row>57</xdr:row>
      <xdr:rowOff>57150</xdr:rowOff>
    </xdr:from>
    <xdr:to>
      <xdr:col>3</xdr:col>
      <xdr:colOff>0</xdr:colOff>
      <xdr:row>61</xdr:row>
      <xdr:rowOff>134020</xdr:rowOff>
    </xdr:to>
    <xdr:pic>
      <xdr:nvPicPr>
        <xdr:cNvPr id="76697" name="图片 1">
          <a:extLst>
            <a:ext uri="{FF2B5EF4-FFF2-40B4-BE49-F238E27FC236}">
              <a16:creationId xmlns:a16="http://schemas.microsoft.com/office/drawing/2014/main" id="{832DC113-CBCF-4200-8909-ADF7D218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0452100"/>
          <a:ext cx="53276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214312</xdr:colOff>
      <xdr:row>91</xdr:row>
      <xdr:rowOff>26988</xdr:rowOff>
    </xdr:from>
    <xdr:to>
      <xdr:col>3</xdr:col>
      <xdr:colOff>1775460</xdr:colOff>
      <xdr:row>94</xdr:row>
      <xdr:rowOff>60961</xdr:rowOff>
    </xdr:to>
    <xdr:pic>
      <xdr:nvPicPr>
        <xdr:cNvPr id="76698" name="Picture 4">
          <a:extLst>
            <a:ext uri="{FF2B5EF4-FFF2-40B4-BE49-F238E27FC236}">
              <a16:creationId xmlns:a16="http://schemas.microsoft.com/office/drawing/2014/main" id="{288DC32C-21E6-455A-9C63-70043F36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19680238"/>
          <a:ext cx="719137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1073150</xdr:colOff>
      <xdr:row>149</xdr:row>
      <xdr:rowOff>285750</xdr:rowOff>
    </xdr:from>
    <xdr:to>
      <xdr:col>3</xdr:col>
      <xdr:colOff>0</xdr:colOff>
      <xdr:row>152</xdr:row>
      <xdr:rowOff>138113</xdr:rowOff>
    </xdr:to>
    <xdr:pic>
      <xdr:nvPicPr>
        <xdr:cNvPr id="76699" name="Picture 5">
          <a:extLst>
            <a:ext uri="{FF2B5EF4-FFF2-40B4-BE49-F238E27FC236}">
              <a16:creationId xmlns:a16="http://schemas.microsoft.com/office/drawing/2014/main" id="{7D4484A0-EF09-4ADC-9BD7-C9552A9C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" y="24676100"/>
          <a:ext cx="45466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2571750</xdr:colOff>
      <xdr:row>153</xdr:row>
      <xdr:rowOff>171450</xdr:rowOff>
    </xdr:from>
    <xdr:to>
      <xdr:col>3</xdr:col>
      <xdr:colOff>0</xdr:colOff>
      <xdr:row>155</xdr:row>
      <xdr:rowOff>172403</xdr:rowOff>
    </xdr:to>
    <xdr:pic>
      <xdr:nvPicPr>
        <xdr:cNvPr id="76700" name="Picture 6">
          <a:extLst>
            <a:ext uri="{FF2B5EF4-FFF2-40B4-BE49-F238E27FC236}">
              <a16:creationId xmlns:a16="http://schemas.microsoft.com/office/drawing/2014/main" id="{CC36CEEB-C7E6-40FE-8533-F9E87F5B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330150"/>
          <a:ext cx="31623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2260600</xdr:colOff>
      <xdr:row>208</xdr:row>
      <xdr:rowOff>50800</xdr:rowOff>
    </xdr:from>
    <xdr:to>
      <xdr:col>2</xdr:col>
      <xdr:colOff>1505903</xdr:colOff>
      <xdr:row>211</xdr:row>
      <xdr:rowOff>34926</xdr:rowOff>
    </xdr:to>
    <xdr:pic>
      <xdr:nvPicPr>
        <xdr:cNvPr id="76701" name="Picture 7">
          <a:extLst>
            <a:ext uri="{FF2B5EF4-FFF2-40B4-BE49-F238E27FC236}">
              <a16:creationId xmlns:a16="http://schemas.microsoft.com/office/drawing/2014/main" id="{BD0418A2-8703-4E45-B2A0-C7044B94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37439600"/>
          <a:ext cx="31623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1308100</xdr:colOff>
      <xdr:row>0</xdr:row>
      <xdr:rowOff>342900</xdr:rowOff>
    </xdr:from>
    <xdr:to>
      <xdr:col>2</xdr:col>
      <xdr:colOff>559294</xdr:colOff>
      <xdr:row>3</xdr:row>
      <xdr:rowOff>353</xdr:rowOff>
    </xdr:to>
    <xdr:pic>
      <xdr:nvPicPr>
        <xdr:cNvPr id="78095" name="Picture 1">
          <a:extLst>
            <a:ext uri="{FF2B5EF4-FFF2-40B4-BE49-F238E27FC236}">
              <a16:creationId xmlns:a16="http://schemas.microsoft.com/office/drawing/2014/main" id="{B8B36D09-1CAF-45FE-BDD2-AE016003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196850"/>
          <a:ext cx="30162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285751</xdr:colOff>
      <xdr:row>4</xdr:row>
      <xdr:rowOff>150284</xdr:rowOff>
    </xdr:from>
    <xdr:to>
      <xdr:col>3</xdr:col>
      <xdr:colOff>482530</xdr:colOff>
      <xdr:row>18</xdr:row>
      <xdr:rowOff>57927</xdr:rowOff>
    </xdr:to>
    <xdr:pic>
      <xdr:nvPicPr>
        <xdr:cNvPr id="78096" name="Picture 2">
          <a:extLst>
            <a:ext uri="{FF2B5EF4-FFF2-40B4-BE49-F238E27FC236}">
              <a16:creationId xmlns:a16="http://schemas.microsoft.com/office/drawing/2014/main" id="{399A622F-05E3-425A-9A24-5C2B6E70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848784"/>
          <a:ext cx="5174897" cy="226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158749</xdr:colOff>
      <xdr:row>106</xdr:row>
      <xdr:rowOff>152400</xdr:rowOff>
    </xdr:from>
    <xdr:to>
      <xdr:col>3</xdr:col>
      <xdr:colOff>515548</xdr:colOff>
      <xdr:row>121</xdr:row>
      <xdr:rowOff>20532</xdr:rowOff>
    </xdr:to>
    <xdr:pic>
      <xdr:nvPicPr>
        <xdr:cNvPr id="78097" name="Picture 4">
          <a:extLst>
            <a:ext uri="{FF2B5EF4-FFF2-40B4-BE49-F238E27FC236}">
              <a16:creationId xmlns:a16="http://schemas.microsoft.com/office/drawing/2014/main" id="{ADA8F9CB-92EC-4105-9843-03F9DDEB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23111178"/>
          <a:ext cx="5359047" cy="2399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388762</xdr:colOff>
      <xdr:row>185</xdr:row>
      <xdr:rowOff>116180</xdr:rowOff>
    </xdr:from>
    <xdr:to>
      <xdr:col>4</xdr:col>
      <xdr:colOff>22367</xdr:colOff>
      <xdr:row>192</xdr:row>
      <xdr:rowOff>111126</xdr:rowOff>
    </xdr:to>
    <xdr:pic>
      <xdr:nvPicPr>
        <xdr:cNvPr id="78098" name="Picture 3">
          <a:extLst>
            <a:ext uri="{FF2B5EF4-FFF2-40B4-BE49-F238E27FC236}">
              <a16:creationId xmlns:a16="http://schemas.microsoft.com/office/drawing/2014/main" id="{DC9FDB8E-F5F4-4024-B4FC-35624A29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762" y="40135291"/>
          <a:ext cx="6246636" cy="1180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226783</xdr:colOff>
      <xdr:row>2</xdr:row>
      <xdr:rowOff>18142</xdr:rowOff>
    </xdr:from>
    <xdr:to>
      <xdr:col>10</xdr:col>
      <xdr:colOff>1064983</xdr:colOff>
      <xdr:row>2</xdr:row>
      <xdr:rowOff>363582</xdr:rowOff>
    </xdr:to>
    <xdr:pic>
      <xdr:nvPicPr>
        <xdr:cNvPr id="10" name="图片 6">
          <a:extLst>
            <a:ext uri="{FF2B5EF4-FFF2-40B4-BE49-F238E27FC236}">
              <a16:creationId xmlns:a16="http://schemas.microsoft.com/office/drawing/2014/main" id="{7B4EB813-6B8D-434B-8B35-E5519942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854" y="662213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36286</xdr:colOff>
      <xdr:row>2</xdr:row>
      <xdr:rowOff>63501</xdr:rowOff>
    </xdr:from>
    <xdr:to>
      <xdr:col>19</xdr:col>
      <xdr:colOff>874486</xdr:colOff>
      <xdr:row>3</xdr:row>
      <xdr:rowOff>25220</xdr:rowOff>
    </xdr:to>
    <xdr:pic>
      <xdr:nvPicPr>
        <xdr:cNvPr id="11" name="图片 6">
          <a:extLst>
            <a:ext uri="{FF2B5EF4-FFF2-40B4-BE49-F238E27FC236}">
              <a16:creationId xmlns:a16="http://schemas.microsoft.com/office/drawing/2014/main" id="{27B77113-7B47-419B-BBD3-3A910D2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0" y="707572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838200</xdr:colOff>
      <xdr:row>2</xdr:row>
      <xdr:rowOff>342900</xdr:rowOff>
    </xdr:to>
    <xdr:pic>
      <xdr:nvPicPr>
        <xdr:cNvPr id="12" name="图片 6">
          <a:extLst>
            <a:ext uri="{FF2B5EF4-FFF2-40B4-BE49-F238E27FC236}">
              <a16:creationId xmlns:a16="http://schemas.microsoft.com/office/drawing/2014/main" id="{9DB26BF9-1609-48EA-A584-0B8104E2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0143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97971</xdr:colOff>
      <xdr:row>2</xdr:row>
      <xdr:rowOff>25400</xdr:rowOff>
    </xdr:from>
    <xdr:to>
      <xdr:col>37</xdr:col>
      <xdr:colOff>938711</xdr:colOff>
      <xdr:row>2</xdr:row>
      <xdr:rowOff>362585</xdr:rowOff>
    </xdr:to>
    <xdr:pic>
      <xdr:nvPicPr>
        <xdr:cNvPr id="13" name="图片 6">
          <a:extLst>
            <a:ext uri="{FF2B5EF4-FFF2-40B4-BE49-F238E27FC236}">
              <a16:creationId xmlns:a16="http://schemas.microsoft.com/office/drawing/2014/main" id="{F054F885-A914-4151-B84C-23607AB5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69971" y="6694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54429</xdr:colOff>
      <xdr:row>2</xdr:row>
      <xdr:rowOff>0</xdr:rowOff>
    </xdr:from>
    <xdr:to>
      <xdr:col>46</xdr:col>
      <xdr:colOff>901519</xdr:colOff>
      <xdr:row>2</xdr:row>
      <xdr:rowOff>342900</xdr:rowOff>
    </xdr:to>
    <xdr:pic>
      <xdr:nvPicPr>
        <xdr:cNvPr id="14" name="图片 6">
          <a:extLst>
            <a:ext uri="{FF2B5EF4-FFF2-40B4-BE49-F238E27FC236}">
              <a16:creationId xmlns:a16="http://schemas.microsoft.com/office/drawing/2014/main" id="{9B3FDCAB-C345-4D89-ABF4-B77E35D8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15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55</xdr:col>
      <xdr:colOff>199571</xdr:colOff>
      <xdr:row>2</xdr:row>
      <xdr:rowOff>27214</xdr:rowOff>
    </xdr:from>
    <xdr:to>
      <xdr:col>55</xdr:col>
      <xdr:colOff>1053646</xdr:colOff>
      <xdr:row>2</xdr:row>
      <xdr:rowOff>365669</xdr:rowOff>
    </xdr:to>
    <xdr:pic>
      <xdr:nvPicPr>
        <xdr:cNvPr id="15" name="图片 6">
          <a:extLst>
            <a:ext uri="{FF2B5EF4-FFF2-40B4-BE49-F238E27FC236}">
              <a16:creationId xmlns:a16="http://schemas.microsoft.com/office/drawing/2014/main" id="{20319B2F-624E-496E-AE4E-AF35E63E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1714" y="67128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83</xdr:col>
      <xdr:colOff>0</xdr:colOff>
      <xdr:row>2</xdr:row>
      <xdr:rowOff>18142</xdr:rowOff>
    </xdr:from>
    <xdr:to>
      <xdr:col>84</xdr:col>
      <xdr:colOff>63923</xdr:colOff>
      <xdr:row>2</xdr:row>
      <xdr:rowOff>363582</xdr:rowOff>
    </xdr:to>
    <xdr:pic>
      <xdr:nvPicPr>
        <xdr:cNvPr id="16" name="图片 6">
          <a:extLst>
            <a:ext uri="{FF2B5EF4-FFF2-40B4-BE49-F238E27FC236}">
              <a16:creationId xmlns:a16="http://schemas.microsoft.com/office/drawing/2014/main" id="{73D2A8B0-C630-47A5-A638-FDF60ADB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027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64</xdr:col>
      <xdr:colOff>208643</xdr:colOff>
      <xdr:row>2</xdr:row>
      <xdr:rowOff>18142</xdr:rowOff>
    </xdr:from>
    <xdr:ext cx="838200" cy="342900"/>
    <xdr:pic>
      <xdr:nvPicPr>
        <xdr:cNvPr id="17" name="图片 6">
          <a:extLst>
            <a:ext uri="{FF2B5EF4-FFF2-40B4-BE49-F238E27FC236}">
              <a16:creationId xmlns:a16="http://schemas.microsoft.com/office/drawing/2014/main" id="{8E170DE5-0DFC-454A-8D5B-EF062983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4929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73</xdr:col>
      <xdr:colOff>208643</xdr:colOff>
      <xdr:row>2</xdr:row>
      <xdr:rowOff>18142</xdr:rowOff>
    </xdr:from>
    <xdr:ext cx="838200" cy="342900"/>
    <xdr:pic>
      <xdr:nvPicPr>
        <xdr:cNvPr id="18" name="图片 6">
          <a:extLst>
            <a:ext uri="{FF2B5EF4-FFF2-40B4-BE49-F238E27FC236}">
              <a16:creationId xmlns:a16="http://schemas.microsoft.com/office/drawing/2014/main" id="{D01B582D-8C85-4D57-9D1C-C083EF25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32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82</xdr:col>
      <xdr:colOff>208643</xdr:colOff>
      <xdr:row>2</xdr:row>
      <xdr:rowOff>18142</xdr:rowOff>
    </xdr:from>
    <xdr:ext cx="838200" cy="342900"/>
    <xdr:pic>
      <xdr:nvPicPr>
        <xdr:cNvPr id="19" name="图片 6">
          <a:extLst>
            <a:ext uri="{FF2B5EF4-FFF2-40B4-BE49-F238E27FC236}">
              <a16:creationId xmlns:a16="http://schemas.microsoft.com/office/drawing/2014/main" id="{36786023-DEB2-4D15-B80F-B831133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0" name="图片 6">
          <a:extLst>
            <a:ext uri="{FF2B5EF4-FFF2-40B4-BE49-F238E27FC236}">
              <a16:creationId xmlns:a16="http://schemas.microsoft.com/office/drawing/2014/main" id="{43CAAFD8-E61B-498E-B3E9-A99E693A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97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1" name="图片 6">
          <a:extLst>
            <a:ext uri="{FF2B5EF4-FFF2-40B4-BE49-F238E27FC236}">
              <a16:creationId xmlns:a16="http://schemas.microsoft.com/office/drawing/2014/main" id="{1C4FD7A4-9FD9-4A31-9A9E-EF4B2C58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4300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2" name="图片 6">
          <a:extLst>
            <a:ext uri="{FF2B5EF4-FFF2-40B4-BE49-F238E27FC236}">
              <a16:creationId xmlns:a16="http://schemas.microsoft.com/office/drawing/2014/main" id="{1DC3C0B3-45D1-45B0-828A-B8DF839F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3" name="图片 6">
          <a:extLst>
            <a:ext uri="{FF2B5EF4-FFF2-40B4-BE49-F238E27FC236}">
              <a16:creationId xmlns:a16="http://schemas.microsoft.com/office/drawing/2014/main" id="{E8C5FC1A-F62D-4029-A1DE-6BAF49AB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4950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21952</xdr:rowOff>
    </xdr:from>
    <xdr:ext cx="838200" cy="342900"/>
    <xdr:pic>
      <xdr:nvPicPr>
        <xdr:cNvPr id="24" name="图片 6">
          <a:extLst>
            <a:ext uri="{FF2B5EF4-FFF2-40B4-BE49-F238E27FC236}">
              <a16:creationId xmlns:a16="http://schemas.microsoft.com/office/drawing/2014/main" id="{78F2AC52-FD7D-4D82-B59A-C0CE11C2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1388" y="604658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34;&#28113;&#20848;/&#21442;&#32771;&#39033;&#30446;/&#20859;&#27542;&#22330;&#39033;&#30446;/3716/ER%20Calculation_Deqingyuan_37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034;&#28113;&#20848;\&#21442;&#32771;&#39033;&#30446;\&#20859;&#27542;&#22330;&#39033;&#30446;\3716\ER%20Calculation_Deqingyuan_37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034;&#28113;&#20848;\&#20859;&#27542;&#22330;\&#27491;&#37030;\02%20ji'an-GS11238\3.%20Validation\MR\2nd\1st%20ER%20-%20Zhengbang%20Ji'an%20AMMS%20Project-V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asic data"/>
      <sheetName val="ER"/>
      <sheetName val="Sheet1"/>
      <sheetName val="Sheet2"/>
      <sheetName val="Sheet3"/>
      <sheetName val="Sheet4"/>
      <sheetName val="Sheet5"/>
      <sheetName val="Sheet6"/>
      <sheetName val="Sheet7"/>
      <sheetName val="Wsite"/>
      <sheetName val="Electricity"/>
      <sheetName val="Biogas"/>
      <sheetName val="Temperature"/>
    </sheetNames>
    <sheetDataSet>
      <sheetData sheetId="0"/>
      <sheetData sheetId="1"/>
      <sheetData sheetId="2">
        <row r="1">
          <cell r="B1">
            <v>32861</v>
          </cell>
        </row>
        <row r="2">
          <cell r="B2">
            <v>54261</v>
          </cell>
        </row>
        <row r="8">
          <cell r="B8">
            <v>12282.917114928456</v>
          </cell>
        </row>
        <row r="17">
          <cell r="B17">
            <v>9116.4939179598041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asic data"/>
      <sheetName val="ER"/>
      <sheetName val="Sheet1"/>
      <sheetName val="Sheet2"/>
      <sheetName val="Sheet3"/>
      <sheetName val="Sheet4"/>
      <sheetName val="Sheet5"/>
      <sheetName val="Sheet6"/>
      <sheetName val="Sheet7"/>
      <sheetName val="Wsite"/>
      <sheetName val="Electricity"/>
      <sheetName val="Biogas"/>
      <sheetName val="Temperature"/>
    </sheetNames>
    <sheetDataSet>
      <sheetData sheetId="0"/>
      <sheetData sheetId="1"/>
      <sheetData sheetId="2">
        <row r="1">
          <cell r="B1">
            <v>32861</v>
          </cell>
        </row>
        <row r="2">
          <cell r="B2">
            <v>54261</v>
          </cell>
        </row>
        <row r="8">
          <cell r="B8">
            <v>12282.917114928456</v>
          </cell>
        </row>
        <row r="17">
          <cell r="B17">
            <v>9116.4939179598041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DG Outcomes"/>
      <sheetName val="Baseline Emission"/>
      <sheetName val="Project Emission"/>
      <sheetName val="Leakage"/>
      <sheetName val="monitoring results"/>
      <sheetName val="Reliability Check"/>
      <sheetName val="2020-10"/>
      <sheetName val="2020-11"/>
      <sheetName val="2020-12"/>
      <sheetName val="2021-1"/>
      <sheetName val="2021-2"/>
      <sheetName val="2021-3"/>
      <sheetName val="2021-4"/>
      <sheetName val="2021-5"/>
      <sheetName val="2021-6"/>
      <sheetName val="2021-7"/>
    </sheetNames>
    <sheetDataSet>
      <sheetData sheetId="0" refreshError="1"/>
      <sheetData sheetId="1" refreshError="1"/>
      <sheetData sheetId="2" refreshError="1">
        <row r="10">
          <cell r="B10" t="str">
            <v>Market Swine</v>
          </cell>
          <cell r="C10" t="str">
            <v>Breeding Swine</v>
          </cell>
        </row>
        <row r="13">
          <cell r="B13">
            <v>6.7000000000000002E-4</v>
          </cell>
          <cell r="C13">
            <v>6.7000000000000002E-4</v>
          </cell>
        </row>
        <row r="17">
          <cell r="B17">
            <v>0.28999999999999998</v>
          </cell>
          <cell r="C17">
            <v>0.28999999999999998</v>
          </cell>
        </row>
        <row r="18">
          <cell r="D18" t="str">
            <v>No of heads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zoomScale="85" zoomScaleNormal="85" workbookViewId="0">
      <selection activeCell="C14" sqref="C14"/>
    </sheetView>
  </sheetViews>
  <sheetFormatPr defaultRowHeight="13.5" x14ac:dyDescent="0.3"/>
  <cols>
    <col min="1" max="1" width="9.26953125" style="3" customWidth="1"/>
    <col min="2" max="2" width="52.08984375" style="3" customWidth="1"/>
    <col min="3" max="3" width="48" style="3" customWidth="1"/>
    <col min="4" max="4" width="8.7265625" style="3"/>
    <col min="5" max="5" width="9.90625" style="3" customWidth="1"/>
    <col min="6" max="6" width="9.81640625" style="3" bestFit="1" customWidth="1"/>
    <col min="7" max="7" width="8.7265625" style="3"/>
    <col min="8" max="8" width="12.36328125" style="3" bestFit="1" customWidth="1"/>
    <col min="9" max="16384" width="8.7265625" style="3"/>
  </cols>
  <sheetData>
    <row r="1" spans="1:8" x14ac:dyDescent="0.3">
      <c r="A1" s="1"/>
      <c r="B1" s="2"/>
      <c r="C1" s="2"/>
      <c r="D1" s="2"/>
      <c r="E1" s="2"/>
      <c r="F1" s="2"/>
    </row>
    <row r="2" spans="1:8" x14ac:dyDescent="0.3">
      <c r="A2" s="1"/>
      <c r="B2" s="4"/>
      <c r="C2" s="4"/>
      <c r="D2" s="4"/>
      <c r="E2" s="2"/>
      <c r="F2" s="2"/>
    </row>
    <row r="3" spans="1:8" x14ac:dyDescent="0.3">
      <c r="A3" s="1"/>
      <c r="B3" s="4"/>
      <c r="C3" s="4"/>
      <c r="D3" s="4"/>
      <c r="E3" s="2"/>
      <c r="F3" s="2"/>
    </row>
    <row r="4" spans="1:8" ht="14" thickBot="1" x14ac:dyDescent="0.35">
      <c r="A4" s="1"/>
      <c r="B4" s="5"/>
      <c r="C4" s="4"/>
      <c r="D4" s="4"/>
      <c r="E4" s="2"/>
      <c r="F4" s="2"/>
    </row>
    <row r="5" spans="1:8" ht="27" x14ac:dyDescent="0.3">
      <c r="A5" s="1"/>
      <c r="B5" s="6" t="s">
        <v>72</v>
      </c>
      <c r="C5" s="374" t="s">
        <v>160</v>
      </c>
      <c r="D5" s="4"/>
      <c r="E5" s="2"/>
      <c r="F5" s="2"/>
    </row>
    <row r="6" spans="1:8" x14ac:dyDescent="0.3">
      <c r="A6" s="1"/>
      <c r="B6" s="7" t="s">
        <v>73</v>
      </c>
      <c r="C6" s="375" t="s">
        <v>159</v>
      </c>
      <c r="D6" s="4"/>
      <c r="E6" s="2"/>
      <c r="F6" s="2"/>
    </row>
    <row r="7" spans="1:8" ht="23.5" customHeight="1" x14ac:dyDescent="0.3">
      <c r="A7" s="1"/>
      <c r="B7" s="7" t="s">
        <v>74</v>
      </c>
      <c r="C7" s="375">
        <v>2</v>
      </c>
      <c r="D7" s="4"/>
      <c r="E7" s="2"/>
      <c r="F7" s="2"/>
    </row>
    <row r="8" spans="1:8" x14ac:dyDescent="0.3">
      <c r="A8" s="8"/>
      <c r="B8" s="7" t="s">
        <v>75</v>
      </c>
      <c r="C8" s="375" t="s">
        <v>368</v>
      </c>
      <c r="D8" s="8"/>
      <c r="E8" s="8"/>
      <c r="F8" s="8"/>
    </row>
    <row r="9" spans="1:8" ht="14" thickBot="1" x14ac:dyDescent="0.35">
      <c r="A9" s="8"/>
      <c r="B9" s="9" t="s">
        <v>76</v>
      </c>
      <c r="C9" s="376" t="s">
        <v>328</v>
      </c>
      <c r="D9" s="8"/>
      <c r="E9" s="10"/>
      <c r="F9" s="8"/>
    </row>
    <row r="10" spans="1:8" x14ac:dyDescent="0.3">
      <c r="C10" s="11"/>
    </row>
    <row r="12" spans="1:8" x14ac:dyDescent="0.3">
      <c r="F12" s="12"/>
      <c r="G12" s="13"/>
      <c r="H12" s="14"/>
    </row>
    <row r="13" spans="1:8" x14ac:dyDescent="0.3">
      <c r="D13" s="13"/>
      <c r="F13" s="12"/>
      <c r="G13" s="13"/>
    </row>
    <row r="15" spans="1:8" x14ac:dyDescent="0.3">
      <c r="F15" s="15"/>
    </row>
    <row r="23" spans="6:6" x14ac:dyDescent="0.3">
      <c r="F23" s="12"/>
    </row>
  </sheetData>
  <phoneticPr fontId="1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91A-BAC1-40FB-ABC7-AFB7843289C6}">
  <dimension ref="A1:G142"/>
  <sheetViews>
    <sheetView topLeftCell="A124" workbookViewId="0">
      <selection activeCell="G140" sqref="G140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24.8</v>
      </c>
      <c r="C5" s="140">
        <v>68.5</v>
      </c>
      <c r="D5" s="140">
        <v>97.3</v>
      </c>
      <c r="E5" s="140">
        <v>51.1</v>
      </c>
      <c r="F5" s="140">
        <v>70.099999999999994</v>
      </c>
      <c r="G5" s="140">
        <v>114.3</v>
      </c>
    </row>
    <row r="6" spans="1:7" x14ac:dyDescent="0.25">
      <c r="A6" s="138">
        <v>2</v>
      </c>
      <c r="B6" s="140">
        <v>17.399999999999999</v>
      </c>
      <c r="C6" s="140">
        <v>52.8</v>
      </c>
      <c r="D6" s="140">
        <v>81.900000000000006</v>
      </c>
      <c r="E6" s="140">
        <v>25.7</v>
      </c>
      <c r="F6" s="140">
        <v>68</v>
      </c>
      <c r="G6" s="140">
        <v>119.4</v>
      </c>
    </row>
    <row r="7" spans="1:7" ht="14.5" thickBot="1" x14ac:dyDescent="0.3">
      <c r="A7" s="141">
        <v>3</v>
      </c>
      <c r="B7" s="142"/>
      <c r="C7" s="142"/>
      <c r="D7" s="142"/>
      <c r="E7" s="142">
        <v>46.6</v>
      </c>
      <c r="F7" s="142">
        <v>75.7</v>
      </c>
      <c r="G7" s="142">
        <v>102.4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20.2</v>
      </c>
      <c r="C11" s="140">
        <v>65.400000000000006</v>
      </c>
      <c r="D11" s="140">
        <v>75.3</v>
      </c>
      <c r="E11" s="140">
        <v>42</v>
      </c>
      <c r="F11" s="140">
        <v>73.400000000000006</v>
      </c>
      <c r="G11" s="140">
        <v>108.2</v>
      </c>
    </row>
    <row r="12" spans="1:7" x14ac:dyDescent="0.25">
      <c r="A12" s="138">
        <v>2</v>
      </c>
      <c r="B12" s="140">
        <v>25</v>
      </c>
      <c r="C12" s="140">
        <v>59.8</v>
      </c>
      <c r="D12" s="140">
        <v>87.7</v>
      </c>
      <c r="E12" s="140"/>
      <c r="F12" s="140"/>
      <c r="G12" s="140"/>
    </row>
    <row r="13" spans="1:7" x14ac:dyDescent="0.25">
      <c r="A13" s="138">
        <v>3</v>
      </c>
      <c r="B13" s="140">
        <v>25.7</v>
      </c>
      <c r="C13" s="140">
        <v>40.200000000000003</v>
      </c>
      <c r="D13" s="140">
        <v>82.5</v>
      </c>
      <c r="E13" s="139"/>
      <c r="F13" s="139"/>
      <c r="G13" s="139"/>
    </row>
    <row r="14" spans="1:7" x14ac:dyDescent="0.25">
      <c r="A14" s="138">
        <v>4</v>
      </c>
      <c r="B14" s="140">
        <v>15</v>
      </c>
      <c r="C14" s="140">
        <v>35</v>
      </c>
      <c r="D14" s="140">
        <v>81.3</v>
      </c>
      <c r="E14" s="139"/>
      <c r="F14" s="139"/>
      <c r="G14" s="139"/>
    </row>
    <row r="15" spans="1:7" ht="14.5" thickBot="1" x14ac:dyDescent="0.3">
      <c r="A15" s="141">
        <v>5</v>
      </c>
      <c r="B15" s="142">
        <v>28.4</v>
      </c>
      <c r="C15" s="142">
        <v>70.900000000000006</v>
      </c>
      <c r="D15" s="142">
        <v>99.8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27</v>
      </c>
      <c r="C19" s="140">
        <v>56.3</v>
      </c>
      <c r="D19" s="140">
        <v>106.5</v>
      </c>
      <c r="E19" s="140">
        <v>54.5</v>
      </c>
      <c r="F19" s="140">
        <v>60.7</v>
      </c>
      <c r="G19" s="140">
        <v>109.7</v>
      </c>
    </row>
    <row r="20" spans="1:7" x14ac:dyDescent="0.25">
      <c r="A20" s="138">
        <v>2</v>
      </c>
      <c r="B20" s="140">
        <v>16</v>
      </c>
      <c r="C20" s="140">
        <v>72.5</v>
      </c>
      <c r="D20" s="140">
        <v>83.2</v>
      </c>
      <c r="E20" s="140">
        <v>51.8</v>
      </c>
      <c r="F20" s="140">
        <v>77.5</v>
      </c>
      <c r="G20" s="140">
        <v>110.6</v>
      </c>
    </row>
    <row r="21" spans="1:7" x14ac:dyDescent="0.25">
      <c r="A21" s="138">
        <v>3</v>
      </c>
      <c r="B21" s="140">
        <v>29.2</v>
      </c>
      <c r="C21" s="140">
        <v>41.8</v>
      </c>
      <c r="D21" s="140">
        <v>82</v>
      </c>
      <c r="E21" s="140">
        <v>33.4</v>
      </c>
      <c r="F21" s="140">
        <v>71.2</v>
      </c>
      <c r="G21" s="140">
        <v>117.4</v>
      </c>
    </row>
    <row r="22" spans="1:7" x14ac:dyDescent="0.25">
      <c r="A22" s="138">
        <v>4</v>
      </c>
      <c r="B22" s="140">
        <v>22.9</v>
      </c>
      <c r="C22" s="140">
        <v>66.3</v>
      </c>
      <c r="D22" s="140">
        <v>102.1</v>
      </c>
      <c r="E22" s="140">
        <v>28</v>
      </c>
      <c r="F22" s="140">
        <v>67.5</v>
      </c>
      <c r="G22" s="140">
        <v>116.9</v>
      </c>
    </row>
    <row r="23" spans="1:7" x14ac:dyDescent="0.25">
      <c r="A23" s="138">
        <v>5</v>
      </c>
      <c r="B23" s="140">
        <v>28.5</v>
      </c>
      <c r="C23" s="140">
        <v>55.8</v>
      </c>
      <c r="D23" s="140">
        <v>86.4</v>
      </c>
      <c r="E23" s="140">
        <v>53.7</v>
      </c>
      <c r="F23" s="140">
        <v>88.9</v>
      </c>
      <c r="G23" s="140">
        <v>112.2</v>
      </c>
    </row>
    <row r="24" spans="1:7" x14ac:dyDescent="0.25">
      <c r="A24" s="138">
        <v>6</v>
      </c>
      <c r="B24" s="140">
        <v>28.3</v>
      </c>
      <c r="C24" s="140">
        <v>67.7</v>
      </c>
      <c r="D24" s="140">
        <v>89.8</v>
      </c>
      <c r="E24" s="140">
        <v>42.4</v>
      </c>
      <c r="F24" s="140">
        <v>69.7</v>
      </c>
      <c r="G24" s="140">
        <v>109.8</v>
      </c>
    </row>
    <row r="25" spans="1:7" x14ac:dyDescent="0.25">
      <c r="A25" s="138">
        <v>7</v>
      </c>
      <c r="B25" s="140">
        <v>24.2</v>
      </c>
      <c r="C25" s="140">
        <v>42.6</v>
      </c>
      <c r="D25" s="140">
        <v>76.8</v>
      </c>
      <c r="E25" s="140">
        <v>50.5</v>
      </c>
      <c r="F25" s="140">
        <v>70</v>
      </c>
      <c r="G25" s="140">
        <v>117.1</v>
      </c>
    </row>
    <row r="26" spans="1:7" x14ac:dyDescent="0.25">
      <c r="A26" s="138">
        <v>8</v>
      </c>
      <c r="B26" s="140">
        <v>34.700000000000003</v>
      </c>
      <c r="C26" s="140">
        <v>43.2</v>
      </c>
      <c r="D26" s="140">
        <v>93.3</v>
      </c>
      <c r="E26" s="140">
        <v>29.8</v>
      </c>
      <c r="F26" s="140">
        <v>84.5</v>
      </c>
      <c r="G26" s="140">
        <v>99.9</v>
      </c>
    </row>
    <row r="27" spans="1:7" x14ac:dyDescent="0.25">
      <c r="A27" s="138">
        <v>9</v>
      </c>
      <c r="B27" s="140">
        <v>16.899999999999999</v>
      </c>
      <c r="C27" s="140">
        <v>60.5</v>
      </c>
      <c r="D27" s="140">
        <v>96.9</v>
      </c>
      <c r="E27" s="140">
        <v>51.3</v>
      </c>
      <c r="F27" s="140">
        <v>76.2</v>
      </c>
      <c r="G27" s="140">
        <v>106.4</v>
      </c>
    </row>
    <row r="28" spans="1:7" x14ac:dyDescent="0.25">
      <c r="A28" s="138">
        <v>10</v>
      </c>
      <c r="B28" s="140">
        <v>22.1</v>
      </c>
      <c r="C28" s="140">
        <v>42.2</v>
      </c>
      <c r="D28" s="140">
        <v>107.5</v>
      </c>
      <c r="E28" s="140">
        <v>25.2</v>
      </c>
      <c r="F28" s="140">
        <v>65.400000000000006</v>
      </c>
      <c r="G28" s="140">
        <v>106</v>
      </c>
    </row>
    <row r="29" spans="1:7" x14ac:dyDescent="0.25">
      <c r="A29" s="138">
        <v>11</v>
      </c>
      <c r="B29" s="140">
        <v>27.4</v>
      </c>
      <c r="C29" s="140">
        <v>62</v>
      </c>
      <c r="D29" s="140">
        <v>110</v>
      </c>
      <c r="E29" s="140"/>
      <c r="F29" s="140"/>
      <c r="G29" s="140"/>
    </row>
    <row r="30" spans="1:7" x14ac:dyDescent="0.25">
      <c r="A30" s="138">
        <v>12</v>
      </c>
      <c r="B30" s="140">
        <v>31.3</v>
      </c>
      <c r="C30" s="140">
        <v>44.3</v>
      </c>
      <c r="D30" s="140">
        <v>76.8</v>
      </c>
      <c r="E30" s="140"/>
      <c r="F30" s="140"/>
      <c r="G30" s="140"/>
    </row>
    <row r="31" spans="1:7" x14ac:dyDescent="0.25">
      <c r="A31" s="138">
        <v>13</v>
      </c>
      <c r="B31" s="140">
        <v>19.5</v>
      </c>
      <c r="C31" s="140">
        <v>66.099999999999994</v>
      </c>
      <c r="D31" s="140">
        <v>75.099999999999994</v>
      </c>
      <c r="E31" s="140"/>
      <c r="F31" s="140"/>
      <c r="G31" s="140"/>
    </row>
    <row r="32" spans="1:7" x14ac:dyDescent="0.25">
      <c r="A32" s="138">
        <v>14</v>
      </c>
      <c r="B32" s="140">
        <v>21</v>
      </c>
      <c r="C32" s="140">
        <v>41.9</v>
      </c>
      <c r="D32" s="140">
        <v>102.1</v>
      </c>
      <c r="E32" s="140"/>
      <c r="F32" s="140"/>
      <c r="G32" s="140"/>
    </row>
    <row r="33" spans="1:7" ht="14.5" thickBot="1" x14ac:dyDescent="0.3">
      <c r="A33" s="143">
        <v>15</v>
      </c>
      <c r="B33" s="142">
        <v>16.399999999999999</v>
      </c>
      <c r="C33" s="142">
        <v>47.9</v>
      </c>
      <c r="D33" s="142">
        <v>105.4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32.6</v>
      </c>
      <c r="C37" s="140">
        <v>38.1</v>
      </c>
      <c r="D37" s="140">
        <v>80.8</v>
      </c>
      <c r="E37" s="140">
        <v>45</v>
      </c>
      <c r="F37" s="140">
        <v>79.2</v>
      </c>
      <c r="G37" s="140">
        <v>109.7</v>
      </c>
    </row>
    <row r="38" spans="1:7" x14ac:dyDescent="0.25">
      <c r="A38" s="138">
        <v>2</v>
      </c>
      <c r="B38" s="140">
        <v>26.7</v>
      </c>
      <c r="C38" s="140">
        <v>69.7</v>
      </c>
      <c r="D38" s="140">
        <v>75.400000000000006</v>
      </c>
      <c r="E38" s="140">
        <v>33.4</v>
      </c>
      <c r="F38" s="140">
        <v>67.099999999999994</v>
      </c>
      <c r="G38" s="140">
        <v>110</v>
      </c>
    </row>
    <row r="39" spans="1:7" x14ac:dyDescent="0.25">
      <c r="A39" s="138">
        <v>3</v>
      </c>
      <c r="B39" s="140">
        <v>18.8</v>
      </c>
      <c r="C39" s="140">
        <v>50.8</v>
      </c>
      <c r="D39" s="140">
        <v>84.9</v>
      </c>
      <c r="E39" s="140">
        <v>34.5</v>
      </c>
      <c r="F39" s="140">
        <v>73</v>
      </c>
      <c r="G39" s="140">
        <v>100.8</v>
      </c>
    </row>
    <row r="40" spans="1:7" x14ac:dyDescent="0.25">
      <c r="A40" s="138">
        <v>4</v>
      </c>
      <c r="B40" s="140">
        <v>31.3</v>
      </c>
      <c r="C40" s="140">
        <v>43</v>
      </c>
      <c r="D40" s="140">
        <v>87.4</v>
      </c>
      <c r="E40" s="140">
        <v>30.6</v>
      </c>
      <c r="F40" s="140">
        <v>75.099999999999994</v>
      </c>
      <c r="G40" s="140">
        <v>113.1</v>
      </c>
    </row>
    <row r="41" spans="1:7" x14ac:dyDescent="0.25">
      <c r="A41" s="138">
        <v>5</v>
      </c>
      <c r="B41" s="140">
        <v>29.9</v>
      </c>
      <c r="C41" s="140">
        <v>45.6</v>
      </c>
      <c r="D41" s="140">
        <v>86.7</v>
      </c>
      <c r="E41" s="140">
        <v>35.6</v>
      </c>
      <c r="F41" s="140">
        <v>69.2</v>
      </c>
      <c r="G41" s="140">
        <v>100.8</v>
      </c>
    </row>
    <row r="42" spans="1:7" x14ac:dyDescent="0.25">
      <c r="A42" s="138">
        <v>6</v>
      </c>
      <c r="B42" s="140">
        <v>30.5</v>
      </c>
      <c r="C42" s="140">
        <v>49.5</v>
      </c>
      <c r="D42" s="140">
        <v>77.099999999999994</v>
      </c>
      <c r="E42" s="140">
        <v>46.3</v>
      </c>
      <c r="F42" s="140">
        <v>71.599999999999994</v>
      </c>
      <c r="G42" s="140">
        <v>96.7</v>
      </c>
    </row>
    <row r="43" spans="1:7" x14ac:dyDescent="0.25">
      <c r="A43" s="138">
        <v>7</v>
      </c>
      <c r="B43" s="140">
        <v>19.399999999999999</v>
      </c>
      <c r="C43" s="140">
        <v>50.7</v>
      </c>
      <c r="D43" s="140">
        <v>98.7</v>
      </c>
      <c r="E43" s="140">
        <v>28.6</v>
      </c>
      <c r="F43" s="140">
        <v>80.599999999999994</v>
      </c>
      <c r="G43" s="140">
        <v>114.2</v>
      </c>
    </row>
    <row r="44" spans="1:7" x14ac:dyDescent="0.25">
      <c r="A44" s="138">
        <v>8</v>
      </c>
      <c r="B44" s="140">
        <v>22.6</v>
      </c>
      <c r="C44" s="140">
        <v>70.900000000000006</v>
      </c>
      <c r="D44" s="140">
        <v>75.400000000000006</v>
      </c>
      <c r="E44" s="139"/>
      <c r="F44" s="139"/>
      <c r="G44" s="139"/>
    </row>
    <row r="45" spans="1:7" x14ac:dyDescent="0.25">
      <c r="A45" s="138">
        <v>9</v>
      </c>
      <c r="B45" s="140">
        <v>22.7</v>
      </c>
      <c r="C45" s="140">
        <v>51.9</v>
      </c>
      <c r="D45" s="140">
        <v>96.4</v>
      </c>
      <c r="E45" s="139"/>
      <c r="F45" s="139"/>
      <c r="G45" s="139"/>
    </row>
    <row r="46" spans="1:7" x14ac:dyDescent="0.25">
      <c r="A46" s="138">
        <v>10</v>
      </c>
      <c r="B46" s="140">
        <v>19.399999999999999</v>
      </c>
      <c r="C46" s="140">
        <v>68.599999999999994</v>
      </c>
      <c r="D46" s="140">
        <v>94.1</v>
      </c>
      <c r="E46" s="139"/>
      <c r="F46" s="139"/>
      <c r="G46" s="139"/>
    </row>
    <row r="47" spans="1:7" x14ac:dyDescent="0.25">
      <c r="A47" s="138">
        <v>11</v>
      </c>
      <c r="B47" s="140">
        <v>31.6</v>
      </c>
      <c r="C47" s="140">
        <v>65.400000000000006</v>
      </c>
      <c r="D47" s="140">
        <v>94.4</v>
      </c>
      <c r="E47" s="139"/>
      <c r="F47" s="139"/>
      <c r="G47" s="139"/>
    </row>
    <row r="48" spans="1:7" x14ac:dyDescent="0.25">
      <c r="A48" s="138">
        <v>12</v>
      </c>
      <c r="B48" s="140">
        <v>25</v>
      </c>
      <c r="C48" s="140">
        <v>61.3</v>
      </c>
      <c r="D48" s="140">
        <v>92</v>
      </c>
      <c r="E48" s="139"/>
      <c r="F48" s="139"/>
      <c r="G48" s="139"/>
    </row>
    <row r="49" spans="1:7" x14ac:dyDescent="0.25">
      <c r="A49" s="138">
        <v>13</v>
      </c>
      <c r="B49" s="140">
        <v>19.8</v>
      </c>
      <c r="C49" s="140">
        <v>65.599999999999994</v>
      </c>
      <c r="D49" s="140">
        <v>86.7</v>
      </c>
      <c r="E49" s="139"/>
      <c r="F49" s="139"/>
      <c r="G49" s="139"/>
    </row>
    <row r="50" spans="1:7" x14ac:dyDescent="0.25">
      <c r="A50" s="138">
        <v>14</v>
      </c>
      <c r="B50" s="140">
        <v>31.5</v>
      </c>
      <c r="C50" s="140">
        <v>63.6</v>
      </c>
      <c r="D50" s="140">
        <v>84.8</v>
      </c>
      <c r="E50" s="139"/>
      <c r="F50" s="139"/>
      <c r="G50" s="139"/>
    </row>
    <row r="51" spans="1:7" x14ac:dyDescent="0.25">
      <c r="A51" s="138">
        <v>15</v>
      </c>
      <c r="B51" s="140">
        <v>24.2</v>
      </c>
      <c r="C51" s="140">
        <v>62.8</v>
      </c>
      <c r="D51" s="140">
        <v>104.5</v>
      </c>
      <c r="E51" s="139"/>
      <c r="F51" s="139"/>
      <c r="G51" s="139"/>
    </row>
    <row r="52" spans="1:7" x14ac:dyDescent="0.25">
      <c r="A52" s="138">
        <v>16</v>
      </c>
      <c r="B52" s="140">
        <v>24.6</v>
      </c>
      <c r="C52" s="140">
        <v>36</v>
      </c>
      <c r="D52" s="140">
        <v>102.7</v>
      </c>
      <c r="E52" s="139"/>
      <c r="F52" s="139"/>
      <c r="G52" s="139"/>
    </row>
    <row r="53" spans="1:7" x14ac:dyDescent="0.25">
      <c r="A53" s="138">
        <v>17</v>
      </c>
      <c r="B53" s="140">
        <v>21.7</v>
      </c>
      <c r="C53" s="140">
        <v>50</v>
      </c>
      <c r="D53" s="140">
        <v>94.5</v>
      </c>
      <c r="E53" s="139"/>
      <c r="F53" s="139"/>
      <c r="G53" s="139"/>
    </row>
    <row r="54" spans="1:7" x14ac:dyDescent="0.25">
      <c r="A54" s="138">
        <v>18</v>
      </c>
      <c r="B54" s="140">
        <v>33.6</v>
      </c>
      <c r="C54" s="140">
        <v>41.1</v>
      </c>
      <c r="D54" s="140">
        <v>110</v>
      </c>
      <c r="E54" s="139"/>
      <c r="F54" s="139"/>
      <c r="G54" s="139"/>
    </row>
    <row r="55" spans="1:7" ht="14.5" thickBot="1" x14ac:dyDescent="0.3">
      <c r="A55" s="141">
        <v>19</v>
      </c>
      <c r="B55" s="142">
        <v>27.6</v>
      </c>
      <c r="C55" s="142">
        <v>49.4</v>
      </c>
      <c r="D55" s="142">
        <v>87.9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21.9</v>
      </c>
      <c r="C59" s="140">
        <v>69.400000000000006</v>
      </c>
      <c r="D59" s="140">
        <v>88.9</v>
      </c>
      <c r="E59" s="140">
        <v>27.1</v>
      </c>
      <c r="F59" s="140">
        <v>79</v>
      </c>
      <c r="G59" s="140">
        <v>116.3</v>
      </c>
    </row>
    <row r="60" spans="1:7" x14ac:dyDescent="0.25">
      <c r="A60" s="138">
        <v>2</v>
      </c>
      <c r="B60" s="140">
        <v>17.899999999999999</v>
      </c>
      <c r="C60" s="140">
        <v>51.6</v>
      </c>
      <c r="D60" s="140">
        <v>75.7</v>
      </c>
      <c r="E60" s="140">
        <v>27.1</v>
      </c>
      <c r="F60" s="140">
        <v>76.599999999999994</v>
      </c>
      <c r="G60" s="140">
        <v>97.1</v>
      </c>
    </row>
    <row r="61" spans="1:7" x14ac:dyDescent="0.25">
      <c r="A61" s="138">
        <v>3</v>
      </c>
      <c r="B61" s="140">
        <v>25.4</v>
      </c>
      <c r="C61" s="140">
        <v>46.8</v>
      </c>
      <c r="D61" s="140">
        <v>76.099999999999994</v>
      </c>
      <c r="E61" s="140">
        <v>48.7</v>
      </c>
      <c r="F61" s="140">
        <v>73.900000000000006</v>
      </c>
      <c r="G61" s="140">
        <v>106.4</v>
      </c>
    </row>
    <row r="62" spans="1:7" x14ac:dyDescent="0.25">
      <c r="A62" s="138">
        <v>4</v>
      </c>
      <c r="B62" s="140">
        <v>24.1</v>
      </c>
      <c r="C62" s="140">
        <v>37</v>
      </c>
      <c r="D62" s="140">
        <v>99.9</v>
      </c>
      <c r="E62" s="140">
        <v>29.2</v>
      </c>
      <c r="F62" s="140">
        <v>67.3</v>
      </c>
      <c r="G62" s="140">
        <v>119.9</v>
      </c>
    </row>
    <row r="63" spans="1:7" x14ac:dyDescent="0.25">
      <c r="A63" s="138">
        <v>5</v>
      </c>
      <c r="B63" s="140">
        <v>29.5</v>
      </c>
      <c r="C63" s="140">
        <v>35.299999999999997</v>
      </c>
      <c r="D63" s="140">
        <v>87.2</v>
      </c>
      <c r="E63" s="140">
        <v>38</v>
      </c>
      <c r="F63" s="140">
        <v>86.4</v>
      </c>
      <c r="G63" s="140">
        <v>119.2</v>
      </c>
    </row>
    <row r="64" spans="1:7" x14ac:dyDescent="0.25">
      <c r="A64" s="144">
        <v>6</v>
      </c>
      <c r="B64" s="140">
        <v>31.2</v>
      </c>
      <c r="C64" s="140">
        <v>64</v>
      </c>
      <c r="D64" s="140">
        <v>101.7</v>
      </c>
      <c r="E64" s="140">
        <v>45.2</v>
      </c>
      <c r="F64" s="140">
        <v>73</v>
      </c>
      <c r="G64" s="140">
        <v>91.8</v>
      </c>
    </row>
    <row r="65" spans="1:7" ht="14.5" thickBot="1" x14ac:dyDescent="0.3">
      <c r="A65" s="141">
        <v>7</v>
      </c>
      <c r="B65" s="142">
        <v>24.2</v>
      </c>
      <c r="C65" s="142">
        <v>72.2</v>
      </c>
      <c r="D65" s="142">
        <v>97.5</v>
      </c>
      <c r="E65" s="142">
        <v>57.9</v>
      </c>
      <c r="F65" s="142">
        <v>76.7</v>
      </c>
      <c r="G65" s="142">
        <v>95.3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29.7</v>
      </c>
      <c r="C69" s="140">
        <v>41.6</v>
      </c>
      <c r="D69" s="140">
        <v>104.9</v>
      </c>
      <c r="E69" s="140">
        <v>37.700000000000003</v>
      </c>
      <c r="F69" s="140">
        <v>82.1</v>
      </c>
      <c r="G69" s="140">
        <v>92.6</v>
      </c>
    </row>
    <row r="70" spans="1:7" x14ac:dyDescent="0.25">
      <c r="A70" s="138">
        <v>2</v>
      </c>
      <c r="B70" s="140">
        <v>22</v>
      </c>
      <c r="C70" s="140">
        <v>41</v>
      </c>
      <c r="D70" s="140">
        <v>107.6</v>
      </c>
      <c r="E70" s="140">
        <v>28</v>
      </c>
      <c r="F70" s="140">
        <v>64.7</v>
      </c>
      <c r="G70" s="140">
        <v>114.4</v>
      </c>
    </row>
    <row r="71" spans="1:7" x14ac:dyDescent="0.25">
      <c r="A71" s="138">
        <v>3</v>
      </c>
      <c r="B71" s="140">
        <v>28.6</v>
      </c>
      <c r="C71" s="140">
        <v>41.4</v>
      </c>
      <c r="D71" s="140">
        <v>83.8</v>
      </c>
      <c r="E71" s="140">
        <v>47.5</v>
      </c>
      <c r="F71" s="140">
        <v>77.7</v>
      </c>
      <c r="G71" s="140">
        <v>116.5</v>
      </c>
    </row>
    <row r="72" spans="1:7" x14ac:dyDescent="0.25">
      <c r="A72" s="138">
        <v>4</v>
      </c>
      <c r="B72" s="140">
        <v>20.3</v>
      </c>
      <c r="C72" s="140">
        <v>57</v>
      </c>
      <c r="D72" s="140">
        <v>80.2</v>
      </c>
      <c r="E72" s="140">
        <v>30.9</v>
      </c>
      <c r="F72" s="140">
        <v>62</v>
      </c>
      <c r="G72" s="140">
        <v>99.3</v>
      </c>
    </row>
    <row r="73" spans="1:7" x14ac:dyDescent="0.25">
      <c r="A73" s="138">
        <v>5</v>
      </c>
      <c r="B73" s="140">
        <v>15.7</v>
      </c>
      <c r="C73" s="140">
        <v>71.7</v>
      </c>
      <c r="D73" s="140">
        <v>97</v>
      </c>
      <c r="E73" s="140">
        <v>50.8</v>
      </c>
      <c r="F73" s="140">
        <v>88.4</v>
      </c>
      <c r="G73" s="140">
        <v>115.8</v>
      </c>
    </row>
    <row r="74" spans="1:7" x14ac:dyDescent="0.25">
      <c r="A74" s="138">
        <v>6</v>
      </c>
      <c r="B74" s="140">
        <v>19.600000000000001</v>
      </c>
      <c r="C74" s="140">
        <v>59.5</v>
      </c>
      <c r="D74" s="140">
        <v>100.8</v>
      </c>
      <c r="E74" s="140">
        <v>32.1</v>
      </c>
      <c r="F74" s="140">
        <v>86.3</v>
      </c>
      <c r="G74" s="140">
        <v>105.7</v>
      </c>
    </row>
    <row r="75" spans="1:7" x14ac:dyDescent="0.25">
      <c r="A75" s="138">
        <v>7</v>
      </c>
      <c r="B75" s="140">
        <v>15.4</v>
      </c>
      <c r="C75" s="140">
        <v>39.4</v>
      </c>
      <c r="D75" s="140">
        <v>97.5</v>
      </c>
      <c r="E75" s="140">
        <v>50.5</v>
      </c>
      <c r="F75" s="140">
        <v>88.2</v>
      </c>
      <c r="G75" s="140">
        <v>100.3</v>
      </c>
    </row>
    <row r="76" spans="1:7" x14ac:dyDescent="0.25">
      <c r="A76" s="138">
        <v>8</v>
      </c>
      <c r="B76" s="140">
        <v>25.1</v>
      </c>
      <c r="C76" s="140">
        <v>72.400000000000006</v>
      </c>
      <c r="D76" s="140">
        <v>79.900000000000006</v>
      </c>
      <c r="E76" s="140">
        <v>26.7</v>
      </c>
      <c r="F76" s="140">
        <v>89.3</v>
      </c>
      <c r="G76" s="140">
        <v>103.3</v>
      </c>
    </row>
    <row r="77" spans="1:7" x14ac:dyDescent="0.25">
      <c r="A77" s="138">
        <v>9</v>
      </c>
      <c r="B77" s="140">
        <v>21.9</v>
      </c>
      <c r="C77" s="140">
        <v>60</v>
      </c>
      <c r="D77" s="140">
        <v>106.2</v>
      </c>
      <c r="E77" s="140">
        <v>31.6</v>
      </c>
      <c r="F77" s="140">
        <v>79.099999999999994</v>
      </c>
      <c r="G77" s="140">
        <v>101.3</v>
      </c>
    </row>
    <row r="78" spans="1:7" x14ac:dyDescent="0.25">
      <c r="A78" s="138">
        <v>10</v>
      </c>
      <c r="B78" s="140">
        <v>32.1</v>
      </c>
      <c r="C78" s="140">
        <v>39.1</v>
      </c>
      <c r="D78" s="140">
        <v>102.8</v>
      </c>
      <c r="E78" s="140">
        <v>50.5</v>
      </c>
      <c r="F78" s="140">
        <v>87.1</v>
      </c>
      <c r="G78" s="140">
        <v>115.6</v>
      </c>
    </row>
    <row r="79" spans="1:7" x14ac:dyDescent="0.25">
      <c r="A79" s="138">
        <v>11</v>
      </c>
      <c r="B79" s="140">
        <v>23.1</v>
      </c>
      <c r="C79" s="140">
        <v>63</v>
      </c>
      <c r="D79" s="140">
        <v>81.099999999999994</v>
      </c>
      <c r="E79" s="140">
        <v>34.299999999999997</v>
      </c>
      <c r="F79" s="140">
        <v>67.099999999999994</v>
      </c>
      <c r="G79" s="140">
        <v>90.6</v>
      </c>
    </row>
    <row r="80" spans="1:7" x14ac:dyDescent="0.25">
      <c r="A80" s="138">
        <v>12</v>
      </c>
      <c r="B80" s="140">
        <v>25.4</v>
      </c>
      <c r="C80" s="140">
        <v>38.200000000000003</v>
      </c>
      <c r="D80" s="140">
        <v>98.6</v>
      </c>
      <c r="E80" s="140">
        <v>55</v>
      </c>
      <c r="F80" s="140">
        <v>90</v>
      </c>
      <c r="G80" s="140">
        <v>114.2</v>
      </c>
    </row>
    <row r="81" spans="1:7" x14ac:dyDescent="0.25">
      <c r="A81" s="138">
        <v>13</v>
      </c>
      <c r="B81" s="140">
        <v>20.399999999999999</v>
      </c>
      <c r="C81" s="140">
        <v>61.2</v>
      </c>
      <c r="D81" s="140">
        <v>80.2</v>
      </c>
      <c r="E81" s="140">
        <v>27.5</v>
      </c>
      <c r="F81" s="140">
        <v>76.099999999999994</v>
      </c>
      <c r="G81" s="140">
        <v>111.1</v>
      </c>
    </row>
    <row r="82" spans="1:7" x14ac:dyDescent="0.25">
      <c r="A82" s="138">
        <v>14</v>
      </c>
      <c r="B82" s="140">
        <v>30.1</v>
      </c>
      <c r="C82" s="140">
        <v>39.6</v>
      </c>
      <c r="D82" s="140">
        <v>75.8</v>
      </c>
      <c r="E82" s="140">
        <v>44.6</v>
      </c>
      <c r="F82" s="140">
        <v>63.2</v>
      </c>
      <c r="G82" s="140">
        <v>113</v>
      </c>
    </row>
    <row r="83" spans="1:7" x14ac:dyDescent="0.25">
      <c r="A83" s="138">
        <v>15</v>
      </c>
      <c r="B83" s="140">
        <v>25.7</v>
      </c>
      <c r="C83" s="140">
        <v>67.5</v>
      </c>
      <c r="D83" s="140">
        <v>86.8</v>
      </c>
      <c r="E83" s="140">
        <v>32.4</v>
      </c>
      <c r="F83" s="140">
        <v>87.9</v>
      </c>
      <c r="G83" s="140">
        <v>109.4</v>
      </c>
    </row>
    <row r="84" spans="1:7" x14ac:dyDescent="0.25">
      <c r="A84" s="138">
        <v>16</v>
      </c>
      <c r="B84" s="140">
        <v>31.1</v>
      </c>
      <c r="C84" s="140">
        <v>71.900000000000006</v>
      </c>
      <c r="D84" s="140">
        <v>82.1</v>
      </c>
      <c r="E84" s="140"/>
      <c r="F84" s="140"/>
      <c r="G84" s="140"/>
    </row>
    <row r="85" spans="1:7" ht="14.5" thickBot="1" x14ac:dyDescent="0.3">
      <c r="A85" s="143">
        <v>17</v>
      </c>
      <c r="B85" s="142">
        <v>30.6</v>
      </c>
      <c r="C85" s="142">
        <v>55.9</v>
      </c>
      <c r="D85" s="142">
        <v>97.9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22.1</v>
      </c>
      <c r="C89" s="140">
        <v>65.599999999999994</v>
      </c>
      <c r="D89" s="140">
        <v>79.599999999999994</v>
      </c>
      <c r="E89" s="140">
        <v>56.5</v>
      </c>
      <c r="F89" s="140">
        <v>85.1</v>
      </c>
      <c r="G89" s="140">
        <v>98.1</v>
      </c>
    </row>
    <row r="90" spans="1:7" x14ac:dyDescent="0.25">
      <c r="A90" s="138">
        <v>2</v>
      </c>
      <c r="B90" s="140">
        <v>26.5</v>
      </c>
      <c r="C90" s="140">
        <v>63</v>
      </c>
      <c r="D90" s="140">
        <v>76.599999999999994</v>
      </c>
      <c r="E90" s="140">
        <v>43.8</v>
      </c>
      <c r="F90" s="140">
        <v>72.599999999999994</v>
      </c>
      <c r="G90" s="140">
        <v>93.1</v>
      </c>
    </row>
    <row r="91" spans="1:7" x14ac:dyDescent="0.25">
      <c r="A91" s="138">
        <v>3</v>
      </c>
      <c r="B91" s="140">
        <v>34.6</v>
      </c>
      <c r="C91" s="140">
        <v>66.7</v>
      </c>
      <c r="D91" s="140">
        <v>104.9</v>
      </c>
      <c r="E91" s="140">
        <v>33.299999999999997</v>
      </c>
      <c r="F91" s="140">
        <v>67.400000000000006</v>
      </c>
      <c r="G91" s="140">
        <v>106.6</v>
      </c>
    </row>
    <row r="92" spans="1:7" x14ac:dyDescent="0.25">
      <c r="A92" s="138">
        <v>4</v>
      </c>
      <c r="B92" s="140">
        <v>17.5</v>
      </c>
      <c r="C92" s="140">
        <v>60</v>
      </c>
      <c r="D92" s="140">
        <v>105.3</v>
      </c>
      <c r="E92" s="140">
        <v>49</v>
      </c>
      <c r="F92" s="140">
        <v>72</v>
      </c>
      <c r="G92" s="140">
        <v>116.6</v>
      </c>
    </row>
    <row r="93" spans="1:7" x14ac:dyDescent="0.25">
      <c r="A93" s="138">
        <v>5</v>
      </c>
      <c r="B93" s="140">
        <v>21.3</v>
      </c>
      <c r="C93" s="140">
        <v>35</v>
      </c>
      <c r="D93" s="140">
        <v>85.8</v>
      </c>
      <c r="E93" s="140">
        <v>57.2</v>
      </c>
      <c r="F93" s="140">
        <v>76.3</v>
      </c>
      <c r="G93" s="140">
        <v>99.4</v>
      </c>
    </row>
    <row r="94" spans="1:7" x14ac:dyDescent="0.25">
      <c r="A94" s="138">
        <v>6</v>
      </c>
      <c r="B94" s="140">
        <v>16.100000000000001</v>
      </c>
      <c r="C94" s="140">
        <v>46</v>
      </c>
      <c r="D94" s="140">
        <v>87.1</v>
      </c>
      <c r="E94" s="140">
        <v>36.6</v>
      </c>
      <c r="F94" s="140">
        <v>87.7</v>
      </c>
      <c r="G94" s="140">
        <v>94.2</v>
      </c>
    </row>
    <row r="95" spans="1:7" x14ac:dyDescent="0.25">
      <c r="A95" s="138">
        <v>7</v>
      </c>
      <c r="B95" s="140">
        <v>29.5</v>
      </c>
      <c r="C95" s="140">
        <v>62.3</v>
      </c>
      <c r="D95" s="140">
        <v>78.5</v>
      </c>
      <c r="E95" s="140">
        <v>41.2</v>
      </c>
      <c r="F95" s="140">
        <v>82.1</v>
      </c>
      <c r="G95" s="140">
        <v>116.6</v>
      </c>
    </row>
    <row r="96" spans="1:7" x14ac:dyDescent="0.25">
      <c r="A96" s="138">
        <v>8</v>
      </c>
      <c r="B96" s="140">
        <v>20.9</v>
      </c>
      <c r="C96" s="140">
        <v>64</v>
      </c>
      <c r="D96" s="140">
        <v>105.4</v>
      </c>
      <c r="E96" s="139"/>
      <c r="F96" s="139"/>
      <c r="G96" s="139"/>
    </row>
    <row r="97" spans="1:7" x14ac:dyDescent="0.25">
      <c r="A97" s="138">
        <v>9</v>
      </c>
      <c r="B97" s="140">
        <v>19.5</v>
      </c>
      <c r="C97" s="140">
        <v>57.1</v>
      </c>
      <c r="D97" s="140">
        <v>99.3</v>
      </c>
      <c r="E97" s="139"/>
      <c r="F97" s="139"/>
      <c r="G97" s="139"/>
    </row>
    <row r="98" spans="1:7" x14ac:dyDescent="0.25">
      <c r="A98" s="138">
        <v>10</v>
      </c>
      <c r="B98" s="140">
        <v>25</v>
      </c>
      <c r="C98" s="140">
        <v>45.8</v>
      </c>
      <c r="D98" s="140">
        <v>77.5</v>
      </c>
      <c r="E98" s="139"/>
      <c r="F98" s="139"/>
      <c r="G98" s="139"/>
    </row>
    <row r="99" spans="1:7" x14ac:dyDescent="0.25">
      <c r="A99" s="138">
        <v>11</v>
      </c>
      <c r="B99" s="140">
        <v>20.2</v>
      </c>
      <c r="C99" s="140">
        <v>40.9</v>
      </c>
      <c r="D99" s="140">
        <v>100.3</v>
      </c>
      <c r="E99" s="139"/>
      <c r="F99" s="139"/>
      <c r="G99" s="139"/>
    </row>
    <row r="100" spans="1:7" x14ac:dyDescent="0.25">
      <c r="A100" s="138">
        <v>12</v>
      </c>
      <c r="B100" s="140">
        <v>25.9</v>
      </c>
      <c r="C100" s="140">
        <v>38.4</v>
      </c>
      <c r="D100" s="140">
        <v>83</v>
      </c>
      <c r="E100" s="139"/>
      <c r="F100" s="139"/>
      <c r="G100" s="139"/>
    </row>
    <row r="101" spans="1:7" x14ac:dyDescent="0.25">
      <c r="A101" s="138">
        <v>13</v>
      </c>
      <c r="B101" s="140">
        <v>19.3</v>
      </c>
      <c r="C101" s="140">
        <v>72.900000000000006</v>
      </c>
      <c r="D101" s="140">
        <v>91</v>
      </c>
      <c r="E101" s="139"/>
      <c r="F101" s="139"/>
      <c r="G101" s="139"/>
    </row>
    <row r="102" spans="1:7" x14ac:dyDescent="0.25">
      <c r="A102" s="138">
        <v>14</v>
      </c>
      <c r="B102" s="140">
        <v>28.7</v>
      </c>
      <c r="C102" s="140">
        <v>58.1</v>
      </c>
      <c r="D102" s="140">
        <v>82.2</v>
      </c>
      <c r="E102" s="139"/>
      <c r="F102" s="139"/>
      <c r="G102" s="139"/>
    </row>
    <row r="103" spans="1:7" x14ac:dyDescent="0.25">
      <c r="A103" s="138">
        <v>15</v>
      </c>
      <c r="B103" s="140">
        <v>26.6</v>
      </c>
      <c r="C103" s="140">
        <v>39.700000000000003</v>
      </c>
      <c r="D103" s="140">
        <v>103.1</v>
      </c>
      <c r="E103" s="139"/>
      <c r="F103" s="139"/>
      <c r="G103" s="139"/>
    </row>
    <row r="104" spans="1:7" x14ac:dyDescent="0.25">
      <c r="A104" s="138">
        <v>16</v>
      </c>
      <c r="B104" s="140">
        <v>18.2</v>
      </c>
      <c r="C104" s="140">
        <v>74.3</v>
      </c>
      <c r="D104" s="140">
        <v>93.6</v>
      </c>
      <c r="E104" s="139"/>
      <c r="F104" s="139"/>
      <c r="G104" s="139"/>
    </row>
    <row r="105" spans="1:7" x14ac:dyDescent="0.25">
      <c r="A105" s="138">
        <v>17</v>
      </c>
      <c r="B105" s="140">
        <v>22.1</v>
      </c>
      <c r="C105" s="140">
        <v>69.599999999999994</v>
      </c>
      <c r="D105" s="140">
        <v>84.8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78.900000000000006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33.200000000000003</v>
      </c>
      <c r="C110" s="140">
        <v>67.099999999999994</v>
      </c>
      <c r="D110" s="140">
        <v>90.5</v>
      </c>
      <c r="E110" s="140">
        <v>25.3</v>
      </c>
      <c r="F110" s="140">
        <v>75.599999999999994</v>
      </c>
      <c r="G110" s="140">
        <v>99.4</v>
      </c>
    </row>
    <row r="111" spans="1:7" x14ac:dyDescent="0.25">
      <c r="A111" s="138">
        <v>2</v>
      </c>
      <c r="B111" s="140">
        <v>32.1</v>
      </c>
      <c r="C111" s="140">
        <v>56.1</v>
      </c>
      <c r="D111" s="140">
        <v>99</v>
      </c>
      <c r="E111" s="140">
        <v>59.9</v>
      </c>
      <c r="F111" s="140">
        <v>72.7</v>
      </c>
      <c r="G111" s="140">
        <v>99.3</v>
      </c>
    </row>
    <row r="112" spans="1:7" ht="14.5" thickBot="1" x14ac:dyDescent="0.3">
      <c r="A112" s="143">
        <v>3</v>
      </c>
      <c r="B112" s="145"/>
      <c r="C112" s="145"/>
      <c r="D112" s="145"/>
      <c r="E112" s="145">
        <v>55.3</v>
      </c>
      <c r="F112" s="145">
        <v>61.5</v>
      </c>
      <c r="G112" s="145">
        <v>101.5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23.3</v>
      </c>
      <c r="C116" s="140">
        <v>60.8</v>
      </c>
      <c r="D116" s="140">
        <v>93.7</v>
      </c>
      <c r="E116" s="140">
        <v>36.799999999999997</v>
      </c>
      <c r="F116" s="140">
        <v>80</v>
      </c>
      <c r="G116" s="140">
        <v>97.4</v>
      </c>
    </row>
    <row r="117" spans="1:7" x14ac:dyDescent="0.25">
      <c r="A117" s="138">
        <v>2</v>
      </c>
      <c r="B117" s="140">
        <v>16.2</v>
      </c>
      <c r="C117" s="140">
        <v>72.099999999999994</v>
      </c>
      <c r="D117" s="140">
        <v>80</v>
      </c>
      <c r="E117" s="140">
        <v>25.7</v>
      </c>
      <c r="F117" s="140">
        <v>83.6</v>
      </c>
      <c r="G117" s="140">
        <v>107.4</v>
      </c>
    </row>
    <row r="118" spans="1:7" x14ac:dyDescent="0.25">
      <c r="A118" s="138">
        <v>3</v>
      </c>
      <c r="B118" s="140">
        <v>16.2</v>
      </c>
      <c r="C118" s="140">
        <v>67.5</v>
      </c>
      <c r="D118" s="140">
        <v>86</v>
      </c>
      <c r="E118" s="140">
        <v>52.4</v>
      </c>
      <c r="F118" s="140">
        <v>66.7</v>
      </c>
      <c r="G118" s="140">
        <v>98.4</v>
      </c>
    </row>
    <row r="119" spans="1:7" x14ac:dyDescent="0.25">
      <c r="A119" s="138">
        <v>4</v>
      </c>
      <c r="B119" s="140">
        <v>32.4</v>
      </c>
      <c r="C119" s="140">
        <v>72.2</v>
      </c>
      <c r="D119" s="140">
        <v>95.4</v>
      </c>
      <c r="E119" s="140">
        <v>41.7</v>
      </c>
      <c r="F119" s="140">
        <v>86.8</v>
      </c>
      <c r="G119" s="140">
        <v>118.8</v>
      </c>
    </row>
    <row r="120" spans="1:7" x14ac:dyDescent="0.25">
      <c r="A120" s="138">
        <v>5</v>
      </c>
      <c r="B120" s="139"/>
      <c r="C120" s="139"/>
      <c r="D120" s="139"/>
      <c r="E120" s="140">
        <v>26.3</v>
      </c>
      <c r="F120" s="140">
        <v>88.7</v>
      </c>
      <c r="G120" s="140">
        <v>112.8</v>
      </c>
    </row>
    <row r="121" spans="1:7" x14ac:dyDescent="0.25">
      <c r="A121" s="138">
        <v>6</v>
      </c>
      <c r="B121" s="139"/>
      <c r="C121" s="139"/>
      <c r="D121" s="139"/>
      <c r="E121" s="140">
        <v>28.9</v>
      </c>
      <c r="F121" s="140">
        <v>85.5</v>
      </c>
      <c r="G121" s="140">
        <v>116.7</v>
      </c>
    </row>
    <row r="122" spans="1:7" x14ac:dyDescent="0.25">
      <c r="A122" s="138">
        <v>7</v>
      </c>
      <c r="B122" s="139"/>
      <c r="C122" s="139"/>
      <c r="D122" s="139"/>
      <c r="E122" s="140">
        <v>26</v>
      </c>
      <c r="F122" s="140">
        <v>64.7</v>
      </c>
      <c r="G122" s="140">
        <v>106</v>
      </c>
    </row>
    <row r="123" spans="1:7" x14ac:dyDescent="0.25">
      <c r="A123" s="138">
        <v>8</v>
      </c>
      <c r="B123" s="139"/>
      <c r="C123" s="139"/>
      <c r="D123" s="139"/>
      <c r="E123" s="140">
        <v>54.9</v>
      </c>
      <c r="F123" s="140">
        <v>67.400000000000006</v>
      </c>
      <c r="G123" s="140">
        <v>90.6</v>
      </c>
    </row>
    <row r="124" spans="1:7" ht="14.5" thickBot="1" x14ac:dyDescent="0.3">
      <c r="A124" s="143">
        <v>9</v>
      </c>
      <c r="B124" s="145"/>
      <c r="C124" s="145"/>
      <c r="D124" s="145"/>
      <c r="E124" s="145">
        <v>41.3</v>
      </c>
      <c r="F124" s="145">
        <v>78.8</v>
      </c>
      <c r="G124" s="145">
        <v>107.6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57.116666666666674</v>
      </c>
      <c r="C129" s="147">
        <f>AVERAGE(E5:G7)</f>
        <v>74.811111111111117</v>
      </c>
      <c r="D129" s="138">
        <v>2058</v>
      </c>
      <c r="E129" s="138">
        <v>4182</v>
      </c>
      <c r="F129" s="138">
        <f>D129*B129</f>
        <v>117546.10000000002</v>
      </c>
      <c r="G129" s="138">
        <f>E129*C129</f>
        <v>312860.06666666671</v>
      </c>
    </row>
    <row r="130" spans="1:7" x14ac:dyDescent="0.25">
      <c r="A130" s="139" t="str">
        <f>A8</f>
        <v>Dongyuan Huangtian swine Farm</v>
      </c>
      <c r="B130" s="146">
        <f>AVERAGE((B11:D15))</f>
        <v>54.146666666666654</v>
      </c>
      <c r="C130" s="146">
        <f>AVERAGE(E11:G11)</f>
        <v>74.533333333333346</v>
      </c>
      <c r="D130" s="138">
        <v>6272</v>
      </c>
      <c r="E130" s="138">
        <v>1403</v>
      </c>
      <c r="F130" s="138">
        <f t="shared" ref="F130:G137" si="0">D130*B130</f>
        <v>339607.89333333325</v>
      </c>
      <c r="G130" s="138">
        <f t="shared" si="0"/>
        <v>104570.26666666668</v>
      </c>
    </row>
    <row r="131" spans="1:7" x14ac:dyDescent="0.25">
      <c r="A131" s="139" t="str">
        <f>A16</f>
        <v>Enping Shahu swine  Farm</v>
      </c>
      <c r="B131" s="146">
        <f>AVERAGE(B19:D33)</f>
        <v>57.120000000000005</v>
      </c>
      <c r="C131" s="146">
        <f>AVERAGE(E19:G28)</f>
        <v>75.273333333333326</v>
      </c>
      <c r="D131" s="138">
        <v>22171</v>
      </c>
      <c r="E131" s="138">
        <v>15406</v>
      </c>
      <c r="F131" s="138">
        <f t="shared" si="0"/>
        <v>1266407.52</v>
      </c>
      <c r="G131" s="138">
        <f t="shared" si="0"/>
        <v>1159660.9733333332</v>
      </c>
    </row>
    <row r="132" spans="1:7" x14ac:dyDescent="0.25">
      <c r="A132" s="139" t="str">
        <f>A34</f>
        <v>Langtian Yuehui swine Farm</v>
      </c>
      <c r="B132" s="146">
        <f>AVERAGE(B37:D55)</f>
        <v>56.875438596491222</v>
      </c>
      <c r="C132" s="146">
        <f>AVERAGE(E37:G43)</f>
        <v>72.147619047619045</v>
      </c>
      <c r="D132" s="138">
        <v>28130</v>
      </c>
      <c r="E132" s="138">
        <v>9766</v>
      </c>
      <c r="F132" s="138">
        <f t="shared" si="0"/>
        <v>1599906.087719298</v>
      </c>
      <c r="G132" s="138">
        <f t="shared" si="0"/>
        <v>704593.64761904755</v>
      </c>
    </row>
    <row r="133" spans="1:7" x14ac:dyDescent="0.25">
      <c r="A133" s="139" t="str">
        <f>A56</f>
        <v>Qujiang Fengwan swine Farm</v>
      </c>
      <c r="B133" s="146">
        <f>AVERAGE(B59:D65)</f>
        <v>56.071428571428584</v>
      </c>
      <c r="C133" s="146">
        <f>AVERAGE(E59:G65)</f>
        <v>73.909523809523805</v>
      </c>
      <c r="D133" s="138">
        <v>9008</v>
      </c>
      <c r="E133" s="138">
        <v>11365</v>
      </c>
      <c r="F133" s="138">
        <f t="shared" si="0"/>
        <v>505091.4285714287</v>
      </c>
      <c r="G133" s="138">
        <f t="shared" si="0"/>
        <v>839981.73809523799</v>
      </c>
    </row>
    <row r="134" spans="1:7" x14ac:dyDescent="0.25">
      <c r="A134" s="139" t="str">
        <f>A66</f>
        <v>Pingyuan Zhongshi swine Farm</v>
      </c>
      <c r="B134" s="146">
        <f>AVERAGE(B69:D85)</f>
        <v>56.870588235294107</v>
      </c>
      <c r="C134" s="146">
        <f>AVERAGE(E69:G83)</f>
        <v>74.942222222222199</v>
      </c>
      <c r="D134" s="138">
        <v>25713</v>
      </c>
      <c r="E134" s="138">
        <v>23109</v>
      </c>
      <c r="F134" s="138">
        <f t="shared" si="0"/>
        <v>1462313.4352941173</v>
      </c>
      <c r="G134" s="138">
        <f t="shared" si="0"/>
        <v>1731839.8133333328</v>
      </c>
    </row>
    <row r="135" spans="1:7" x14ac:dyDescent="0.25">
      <c r="A135" s="139" t="str">
        <f>A86</f>
        <v>Yangchun Tanshui swine Farm</v>
      </c>
      <c r="B135" s="146">
        <f>AVERAGE(B89:D106)</f>
        <v>57.121153846153831</v>
      </c>
      <c r="C135" s="146">
        <f>AVERAGE(E89:G95)</f>
        <v>75.495238095238093</v>
      </c>
      <c r="D135" s="138">
        <v>26456</v>
      </c>
      <c r="E135" s="138">
        <v>11136</v>
      </c>
      <c r="F135" s="138">
        <f t="shared" si="0"/>
        <v>1511197.2461538457</v>
      </c>
      <c r="G135" s="138">
        <f t="shared" si="0"/>
        <v>840714.97142857139</v>
      </c>
    </row>
    <row r="136" spans="1:7" x14ac:dyDescent="0.25">
      <c r="A136" s="139" t="str">
        <f>A107</f>
        <v>Xinfeng Shatian swine Farm</v>
      </c>
      <c r="B136" s="146">
        <f>AVERAGE(B110:D112)</f>
        <v>63</v>
      </c>
      <c r="C136" s="146">
        <f>AVERAGE(E110:G112)</f>
        <v>72.277777777777771</v>
      </c>
      <c r="D136" s="138">
        <v>1907</v>
      </c>
      <c r="E136" s="138">
        <v>3794</v>
      </c>
      <c r="F136" s="138">
        <f t="shared" si="0"/>
        <v>120141</v>
      </c>
      <c r="G136" s="138">
        <f t="shared" si="0"/>
        <v>274221.88888888888</v>
      </c>
    </row>
    <row r="137" spans="1:7" x14ac:dyDescent="0.25">
      <c r="A137" s="139" t="str">
        <f>A113</f>
        <v>Kaiping Cangcheng swine Farm</v>
      </c>
      <c r="B137" s="146">
        <f>AVERAGE(B116:D119)</f>
        <v>59.65</v>
      </c>
      <c r="C137" s="146">
        <f>AVERAGE(E116:G124)</f>
        <v>73.774074074074079</v>
      </c>
      <c r="D137" s="138">
        <v>5732</v>
      </c>
      <c r="E137" s="138">
        <v>13341</v>
      </c>
      <c r="F137" s="138">
        <f t="shared" si="0"/>
        <v>341913.8</v>
      </c>
      <c r="G137" s="138">
        <f t="shared" si="0"/>
        <v>984219.92222222232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93502</v>
      </c>
      <c r="F138" s="138">
        <f t="shared" ref="F138:G138" si="1">SUM(F129:F137)</f>
        <v>7264124.5110720228</v>
      </c>
      <c r="G138" s="138">
        <f t="shared" si="1"/>
        <v>6952663.2882539677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56.9</v>
      </c>
      <c r="D142" s="148">
        <f>ROUNDDOWN(G138/E138,1)</f>
        <v>74.3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1114-5B0C-4437-BE57-B1B6167A5D92}">
  <dimension ref="A1:G142"/>
  <sheetViews>
    <sheetView topLeftCell="A112" workbookViewId="0">
      <selection sqref="A1:G124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28.5</v>
      </c>
      <c r="C5" s="140">
        <v>72.900000000000006</v>
      </c>
      <c r="D5" s="140">
        <v>101.1</v>
      </c>
      <c r="E5" s="140">
        <v>56.3</v>
      </c>
      <c r="F5" s="140">
        <v>73</v>
      </c>
      <c r="G5" s="140">
        <v>102.9</v>
      </c>
    </row>
    <row r="6" spans="1:7" x14ac:dyDescent="0.25">
      <c r="A6" s="138">
        <v>2</v>
      </c>
      <c r="B6" s="140">
        <v>20.100000000000001</v>
      </c>
      <c r="C6" s="140">
        <v>67.3</v>
      </c>
      <c r="D6" s="140">
        <v>79.599999999999994</v>
      </c>
      <c r="E6" s="140">
        <v>48.9</v>
      </c>
      <c r="F6" s="140">
        <v>63.3</v>
      </c>
      <c r="G6" s="140">
        <v>118.1</v>
      </c>
    </row>
    <row r="7" spans="1:7" ht="14.5" thickBot="1" x14ac:dyDescent="0.3">
      <c r="A7" s="141">
        <v>3</v>
      </c>
      <c r="B7" s="142"/>
      <c r="C7" s="142"/>
      <c r="D7" s="142"/>
      <c r="E7" s="142">
        <v>55.9</v>
      </c>
      <c r="F7" s="142">
        <v>77.400000000000006</v>
      </c>
      <c r="G7" s="142">
        <v>101.7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26.3</v>
      </c>
      <c r="C11" s="140">
        <v>38.1</v>
      </c>
      <c r="D11" s="140">
        <v>102.7</v>
      </c>
      <c r="E11" s="140">
        <v>32.700000000000003</v>
      </c>
      <c r="F11" s="140">
        <v>80.900000000000006</v>
      </c>
      <c r="G11" s="140">
        <v>99.2</v>
      </c>
    </row>
    <row r="12" spans="1:7" x14ac:dyDescent="0.25">
      <c r="A12" s="138">
        <v>2</v>
      </c>
      <c r="B12" s="140">
        <v>15.3</v>
      </c>
      <c r="C12" s="140">
        <v>38.200000000000003</v>
      </c>
      <c r="D12" s="140">
        <v>102.5</v>
      </c>
      <c r="E12" s="140"/>
      <c r="F12" s="140"/>
      <c r="G12" s="140"/>
    </row>
    <row r="13" spans="1:7" x14ac:dyDescent="0.25">
      <c r="A13" s="138">
        <v>3</v>
      </c>
      <c r="B13" s="140">
        <v>29.7</v>
      </c>
      <c r="C13" s="140">
        <v>40.5</v>
      </c>
      <c r="D13" s="140">
        <v>100.2</v>
      </c>
      <c r="E13" s="139"/>
      <c r="F13" s="139"/>
      <c r="G13" s="139"/>
    </row>
    <row r="14" spans="1:7" x14ac:dyDescent="0.25">
      <c r="A14" s="138">
        <v>4</v>
      </c>
      <c r="B14" s="140">
        <v>18.5</v>
      </c>
      <c r="C14" s="140">
        <v>41.7</v>
      </c>
      <c r="D14" s="140">
        <v>81.8</v>
      </c>
      <c r="E14" s="139"/>
      <c r="F14" s="139"/>
      <c r="G14" s="139"/>
    </row>
    <row r="15" spans="1:7" ht="14.5" thickBot="1" x14ac:dyDescent="0.3">
      <c r="A15" s="141">
        <v>5</v>
      </c>
      <c r="B15" s="142">
        <v>19.3</v>
      </c>
      <c r="C15" s="142">
        <v>70.8</v>
      </c>
      <c r="D15" s="142">
        <v>104.1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24.6</v>
      </c>
      <c r="C19" s="140">
        <v>63</v>
      </c>
      <c r="D19" s="140">
        <v>82.2</v>
      </c>
      <c r="E19" s="140">
        <v>56.5</v>
      </c>
      <c r="F19" s="140">
        <v>67.7</v>
      </c>
      <c r="G19" s="140">
        <v>114.6</v>
      </c>
    </row>
    <row r="20" spans="1:7" x14ac:dyDescent="0.25">
      <c r="A20" s="138">
        <v>2</v>
      </c>
      <c r="B20" s="140">
        <v>26.5</v>
      </c>
      <c r="C20" s="140">
        <v>68.599999999999994</v>
      </c>
      <c r="D20" s="140">
        <v>99.3</v>
      </c>
      <c r="E20" s="140">
        <v>35.1</v>
      </c>
      <c r="F20" s="140">
        <v>63.7</v>
      </c>
      <c r="G20" s="140">
        <v>111</v>
      </c>
    </row>
    <row r="21" spans="1:7" x14ac:dyDescent="0.25">
      <c r="A21" s="138">
        <v>3</v>
      </c>
      <c r="B21" s="140">
        <v>19.7</v>
      </c>
      <c r="C21" s="140">
        <v>39.5</v>
      </c>
      <c r="D21" s="140">
        <v>86.3</v>
      </c>
      <c r="E21" s="140">
        <v>53.6</v>
      </c>
      <c r="F21" s="140">
        <v>63.3</v>
      </c>
      <c r="G21" s="140">
        <v>115.1</v>
      </c>
    </row>
    <row r="22" spans="1:7" x14ac:dyDescent="0.25">
      <c r="A22" s="138">
        <v>4</v>
      </c>
      <c r="B22" s="140">
        <v>22.3</v>
      </c>
      <c r="C22" s="140">
        <v>49.6</v>
      </c>
      <c r="D22" s="140">
        <v>109.8</v>
      </c>
      <c r="E22" s="140">
        <v>39.700000000000003</v>
      </c>
      <c r="F22" s="140">
        <v>63.4</v>
      </c>
      <c r="G22" s="140">
        <v>96.5</v>
      </c>
    </row>
    <row r="23" spans="1:7" x14ac:dyDescent="0.25">
      <c r="A23" s="138">
        <v>5</v>
      </c>
      <c r="B23" s="140">
        <v>33</v>
      </c>
      <c r="C23" s="140">
        <v>39.700000000000003</v>
      </c>
      <c r="D23" s="140">
        <v>76.7</v>
      </c>
      <c r="E23" s="140">
        <v>58.4</v>
      </c>
      <c r="F23" s="140">
        <v>64.7</v>
      </c>
      <c r="G23" s="140">
        <v>117.3</v>
      </c>
    </row>
    <row r="24" spans="1:7" x14ac:dyDescent="0.25">
      <c r="A24" s="138">
        <v>6</v>
      </c>
      <c r="B24" s="140">
        <v>17.8</v>
      </c>
      <c r="C24" s="140">
        <v>41.5</v>
      </c>
      <c r="D24" s="140">
        <v>82.6</v>
      </c>
      <c r="E24" s="140">
        <v>41.8</v>
      </c>
      <c r="F24" s="140">
        <v>83.1</v>
      </c>
      <c r="G24" s="140">
        <v>90.7</v>
      </c>
    </row>
    <row r="25" spans="1:7" x14ac:dyDescent="0.25">
      <c r="A25" s="138">
        <v>7</v>
      </c>
      <c r="B25" s="140">
        <v>34.5</v>
      </c>
      <c r="C25" s="140">
        <v>73.5</v>
      </c>
      <c r="D25" s="140">
        <v>76.400000000000006</v>
      </c>
      <c r="E25" s="140">
        <v>47.3</v>
      </c>
      <c r="F25" s="140">
        <v>80.400000000000006</v>
      </c>
      <c r="G25" s="140">
        <v>103.8</v>
      </c>
    </row>
    <row r="26" spans="1:7" x14ac:dyDescent="0.25">
      <c r="A26" s="138">
        <v>8</v>
      </c>
      <c r="B26" s="140">
        <v>34.5</v>
      </c>
      <c r="C26" s="140">
        <v>69.900000000000006</v>
      </c>
      <c r="D26" s="140">
        <v>81.900000000000006</v>
      </c>
      <c r="E26" s="140">
        <v>57.1</v>
      </c>
      <c r="F26" s="140">
        <v>72.8</v>
      </c>
      <c r="G26" s="140">
        <v>102.5</v>
      </c>
    </row>
    <row r="27" spans="1:7" x14ac:dyDescent="0.25">
      <c r="A27" s="138">
        <v>9</v>
      </c>
      <c r="B27" s="140">
        <v>21.6</v>
      </c>
      <c r="C27" s="140">
        <v>63.1</v>
      </c>
      <c r="D27" s="140">
        <v>93.4</v>
      </c>
      <c r="E27" s="140">
        <v>34.5</v>
      </c>
      <c r="F27" s="140">
        <v>84.9</v>
      </c>
      <c r="G27" s="140">
        <v>94.5</v>
      </c>
    </row>
    <row r="28" spans="1:7" x14ac:dyDescent="0.25">
      <c r="A28" s="138">
        <v>10</v>
      </c>
      <c r="B28" s="140">
        <v>29.2</v>
      </c>
      <c r="C28" s="140">
        <v>38.9</v>
      </c>
      <c r="D28" s="140">
        <v>77.7</v>
      </c>
      <c r="E28" s="140">
        <v>54.9</v>
      </c>
      <c r="F28" s="140">
        <v>68</v>
      </c>
      <c r="G28" s="140">
        <v>97.2</v>
      </c>
    </row>
    <row r="29" spans="1:7" x14ac:dyDescent="0.25">
      <c r="A29" s="138">
        <v>11</v>
      </c>
      <c r="B29" s="140">
        <v>16.399999999999999</v>
      </c>
      <c r="C29" s="140">
        <v>58.5</v>
      </c>
      <c r="D29" s="140">
        <v>109.4</v>
      </c>
      <c r="E29" s="140"/>
      <c r="F29" s="140"/>
      <c r="G29" s="140"/>
    </row>
    <row r="30" spans="1:7" x14ac:dyDescent="0.25">
      <c r="A30" s="138">
        <v>12</v>
      </c>
      <c r="B30" s="140">
        <v>30.3</v>
      </c>
      <c r="C30" s="140">
        <v>51.7</v>
      </c>
      <c r="D30" s="140">
        <v>93.9</v>
      </c>
      <c r="E30" s="140"/>
      <c r="F30" s="140"/>
      <c r="G30" s="140"/>
    </row>
    <row r="31" spans="1:7" x14ac:dyDescent="0.25">
      <c r="A31" s="138">
        <v>13</v>
      </c>
      <c r="B31" s="140">
        <v>27.5</v>
      </c>
      <c r="C31" s="140">
        <v>63.7</v>
      </c>
      <c r="D31" s="140">
        <v>94.2</v>
      </c>
      <c r="E31" s="140"/>
      <c r="F31" s="140"/>
      <c r="G31" s="140"/>
    </row>
    <row r="32" spans="1:7" x14ac:dyDescent="0.25">
      <c r="A32" s="138">
        <v>14</v>
      </c>
      <c r="B32" s="140">
        <v>15.6</v>
      </c>
      <c r="C32" s="140">
        <v>55.2</v>
      </c>
      <c r="D32" s="140">
        <v>81.599999999999994</v>
      </c>
      <c r="E32" s="140"/>
      <c r="F32" s="140"/>
      <c r="G32" s="140"/>
    </row>
    <row r="33" spans="1:7" ht="14.5" thickBot="1" x14ac:dyDescent="0.3">
      <c r="A33" s="143">
        <v>15</v>
      </c>
      <c r="B33" s="142">
        <v>30.2</v>
      </c>
      <c r="C33" s="142">
        <v>44</v>
      </c>
      <c r="D33" s="142">
        <v>99.6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18.100000000000001</v>
      </c>
      <c r="C37" s="140">
        <v>51.1</v>
      </c>
      <c r="D37" s="140">
        <v>96.6</v>
      </c>
      <c r="E37" s="140">
        <v>35.6</v>
      </c>
      <c r="F37" s="140">
        <v>61.5</v>
      </c>
      <c r="G37" s="140">
        <v>96.5</v>
      </c>
    </row>
    <row r="38" spans="1:7" x14ac:dyDescent="0.25">
      <c r="A38" s="138">
        <v>2</v>
      </c>
      <c r="B38" s="140">
        <v>28.1</v>
      </c>
      <c r="C38" s="140">
        <v>67.8</v>
      </c>
      <c r="D38" s="140">
        <v>90.1</v>
      </c>
      <c r="E38" s="140">
        <v>42.2</v>
      </c>
      <c r="F38" s="140">
        <v>76.400000000000006</v>
      </c>
      <c r="G38" s="140">
        <v>98.2</v>
      </c>
    </row>
    <row r="39" spans="1:7" x14ac:dyDescent="0.25">
      <c r="A39" s="138">
        <v>3</v>
      </c>
      <c r="B39" s="140">
        <v>32.6</v>
      </c>
      <c r="C39" s="140">
        <v>35.5</v>
      </c>
      <c r="D39" s="140">
        <v>93.7</v>
      </c>
      <c r="E39" s="140">
        <v>32.6</v>
      </c>
      <c r="F39" s="140">
        <v>69.8</v>
      </c>
      <c r="G39" s="140">
        <v>109.1</v>
      </c>
    </row>
    <row r="40" spans="1:7" x14ac:dyDescent="0.25">
      <c r="A40" s="138">
        <v>4</v>
      </c>
      <c r="B40" s="140">
        <v>28.1</v>
      </c>
      <c r="C40" s="140">
        <v>40.700000000000003</v>
      </c>
      <c r="D40" s="140">
        <v>96.6</v>
      </c>
      <c r="E40" s="140">
        <v>43.9</v>
      </c>
      <c r="F40" s="140">
        <v>85.5</v>
      </c>
      <c r="G40" s="140">
        <v>116.4</v>
      </c>
    </row>
    <row r="41" spans="1:7" x14ac:dyDescent="0.25">
      <c r="A41" s="138">
        <v>5</v>
      </c>
      <c r="B41" s="140">
        <v>22.4</v>
      </c>
      <c r="C41" s="140">
        <v>65.5</v>
      </c>
      <c r="D41" s="140">
        <v>88.8</v>
      </c>
      <c r="E41" s="140">
        <v>47.3</v>
      </c>
      <c r="F41" s="140">
        <v>60.3</v>
      </c>
      <c r="G41" s="140">
        <v>104.7</v>
      </c>
    </row>
    <row r="42" spans="1:7" x14ac:dyDescent="0.25">
      <c r="A42" s="138">
        <v>6</v>
      </c>
      <c r="B42" s="140">
        <v>33.799999999999997</v>
      </c>
      <c r="C42" s="140">
        <v>70.2</v>
      </c>
      <c r="D42" s="140">
        <v>99</v>
      </c>
      <c r="E42" s="140">
        <v>28.4</v>
      </c>
      <c r="F42" s="140">
        <v>69.099999999999994</v>
      </c>
      <c r="G42" s="140">
        <v>117.8</v>
      </c>
    </row>
    <row r="43" spans="1:7" x14ac:dyDescent="0.25">
      <c r="A43" s="138">
        <v>7</v>
      </c>
      <c r="B43" s="140">
        <v>30.3</v>
      </c>
      <c r="C43" s="140">
        <v>40.1</v>
      </c>
      <c r="D43" s="140">
        <v>95.6</v>
      </c>
      <c r="E43" s="140">
        <v>56.1</v>
      </c>
      <c r="F43" s="140">
        <v>71.2</v>
      </c>
      <c r="G43" s="140">
        <v>105.3</v>
      </c>
    </row>
    <row r="44" spans="1:7" x14ac:dyDescent="0.25">
      <c r="A44" s="138">
        <v>8</v>
      </c>
      <c r="B44" s="140">
        <v>24.1</v>
      </c>
      <c r="C44" s="140">
        <v>53.2</v>
      </c>
      <c r="D44" s="140">
        <v>99.5</v>
      </c>
      <c r="E44" s="139"/>
      <c r="F44" s="139"/>
      <c r="G44" s="139"/>
    </row>
    <row r="45" spans="1:7" x14ac:dyDescent="0.25">
      <c r="A45" s="138">
        <v>9</v>
      </c>
      <c r="B45" s="140">
        <v>20.399999999999999</v>
      </c>
      <c r="C45" s="140">
        <v>63.5</v>
      </c>
      <c r="D45" s="140">
        <v>79.099999999999994</v>
      </c>
      <c r="E45" s="139"/>
      <c r="F45" s="139"/>
      <c r="G45" s="139"/>
    </row>
    <row r="46" spans="1:7" x14ac:dyDescent="0.25">
      <c r="A46" s="138">
        <v>10</v>
      </c>
      <c r="B46" s="140">
        <v>19.7</v>
      </c>
      <c r="C46" s="140">
        <v>42.5</v>
      </c>
      <c r="D46" s="140">
        <v>106</v>
      </c>
      <c r="E46" s="139"/>
      <c r="F46" s="139"/>
      <c r="G46" s="139"/>
    </row>
    <row r="47" spans="1:7" x14ac:dyDescent="0.25">
      <c r="A47" s="138">
        <v>11</v>
      </c>
      <c r="B47" s="140">
        <v>25.8</v>
      </c>
      <c r="C47" s="140">
        <v>67.5</v>
      </c>
      <c r="D47" s="140">
        <v>105.7</v>
      </c>
      <c r="E47" s="139"/>
      <c r="F47" s="139"/>
      <c r="G47" s="139"/>
    </row>
    <row r="48" spans="1:7" x14ac:dyDescent="0.25">
      <c r="A48" s="138">
        <v>12</v>
      </c>
      <c r="B48" s="140">
        <v>25.2</v>
      </c>
      <c r="C48" s="140">
        <v>57.3</v>
      </c>
      <c r="D48" s="140">
        <v>94.8</v>
      </c>
      <c r="E48" s="139"/>
      <c r="F48" s="139"/>
      <c r="G48" s="139"/>
    </row>
    <row r="49" spans="1:7" x14ac:dyDescent="0.25">
      <c r="A49" s="138">
        <v>13</v>
      </c>
      <c r="B49" s="140">
        <v>25.7</v>
      </c>
      <c r="C49" s="140">
        <v>59.3</v>
      </c>
      <c r="D49" s="140">
        <v>94.6</v>
      </c>
      <c r="E49" s="139"/>
      <c r="F49" s="139"/>
      <c r="G49" s="139"/>
    </row>
    <row r="50" spans="1:7" x14ac:dyDescent="0.25">
      <c r="A50" s="138">
        <v>14</v>
      </c>
      <c r="B50" s="140">
        <v>24.3</v>
      </c>
      <c r="C50" s="140">
        <v>66.900000000000006</v>
      </c>
      <c r="D50" s="140">
        <v>90.8</v>
      </c>
      <c r="E50" s="139"/>
      <c r="F50" s="139"/>
      <c r="G50" s="139"/>
    </row>
    <row r="51" spans="1:7" x14ac:dyDescent="0.25">
      <c r="A51" s="138">
        <v>15</v>
      </c>
      <c r="B51" s="140">
        <v>34.9</v>
      </c>
      <c r="C51" s="140">
        <v>54.4</v>
      </c>
      <c r="D51" s="140">
        <v>95.7</v>
      </c>
      <c r="E51" s="139"/>
      <c r="F51" s="139"/>
      <c r="G51" s="139"/>
    </row>
    <row r="52" spans="1:7" x14ac:dyDescent="0.25">
      <c r="A52" s="138">
        <v>16</v>
      </c>
      <c r="B52" s="140">
        <v>23.6</v>
      </c>
      <c r="C52" s="140">
        <v>40.4</v>
      </c>
      <c r="D52" s="140">
        <v>82.5</v>
      </c>
      <c r="E52" s="139"/>
      <c r="F52" s="139"/>
      <c r="G52" s="139"/>
    </row>
    <row r="53" spans="1:7" x14ac:dyDescent="0.25">
      <c r="A53" s="138">
        <v>17</v>
      </c>
      <c r="B53" s="140">
        <v>16.100000000000001</v>
      </c>
      <c r="C53" s="140">
        <v>35.6</v>
      </c>
      <c r="D53" s="140">
        <v>79.099999999999994</v>
      </c>
      <c r="E53" s="139"/>
      <c r="F53" s="139"/>
      <c r="G53" s="139"/>
    </row>
    <row r="54" spans="1:7" x14ac:dyDescent="0.25">
      <c r="A54" s="138">
        <v>18</v>
      </c>
      <c r="B54" s="140">
        <v>34.4</v>
      </c>
      <c r="C54" s="140">
        <v>49.9</v>
      </c>
      <c r="D54" s="140">
        <v>95.5</v>
      </c>
      <c r="E54" s="139"/>
      <c r="F54" s="139"/>
      <c r="G54" s="139"/>
    </row>
    <row r="55" spans="1:7" ht="14.5" thickBot="1" x14ac:dyDescent="0.3">
      <c r="A55" s="141">
        <v>19</v>
      </c>
      <c r="B55" s="142">
        <v>19.399999999999999</v>
      </c>
      <c r="C55" s="142">
        <v>52.7</v>
      </c>
      <c r="D55" s="142">
        <v>97.7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27</v>
      </c>
      <c r="C59" s="140">
        <v>68.8</v>
      </c>
      <c r="D59" s="140">
        <v>109.3</v>
      </c>
      <c r="E59" s="140">
        <v>34.5</v>
      </c>
      <c r="F59" s="140">
        <v>85.4</v>
      </c>
      <c r="G59" s="140">
        <v>104.5</v>
      </c>
    </row>
    <row r="60" spans="1:7" x14ac:dyDescent="0.25">
      <c r="A60" s="138">
        <v>2</v>
      </c>
      <c r="B60" s="140">
        <v>25.1</v>
      </c>
      <c r="C60" s="140">
        <v>68.8</v>
      </c>
      <c r="D60" s="140">
        <v>76.8</v>
      </c>
      <c r="E60" s="140">
        <v>53.5</v>
      </c>
      <c r="F60" s="140">
        <v>63.3</v>
      </c>
      <c r="G60" s="140">
        <v>111.5</v>
      </c>
    </row>
    <row r="61" spans="1:7" x14ac:dyDescent="0.25">
      <c r="A61" s="138">
        <v>3</v>
      </c>
      <c r="B61" s="140">
        <v>22.2</v>
      </c>
      <c r="C61" s="140">
        <v>58.9</v>
      </c>
      <c r="D61" s="140">
        <v>108.4</v>
      </c>
      <c r="E61" s="140">
        <v>59.6</v>
      </c>
      <c r="F61" s="140">
        <v>65</v>
      </c>
      <c r="G61" s="140">
        <v>116.3</v>
      </c>
    </row>
    <row r="62" spans="1:7" x14ac:dyDescent="0.25">
      <c r="A62" s="138">
        <v>4</v>
      </c>
      <c r="B62" s="140">
        <v>28.8</v>
      </c>
      <c r="C62" s="140">
        <v>38</v>
      </c>
      <c r="D62" s="140">
        <v>108</v>
      </c>
      <c r="E62" s="140">
        <v>35.1</v>
      </c>
      <c r="F62" s="140">
        <v>77.400000000000006</v>
      </c>
      <c r="G62" s="140">
        <v>96.3</v>
      </c>
    </row>
    <row r="63" spans="1:7" x14ac:dyDescent="0.25">
      <c r="A63" s="138">
        <v>5</v>
      </c>
      <c r="B63" s="140">
        <v>23.9</v>
      </c>
      <c r="C63" s="140">
        <v>37.799999999999997</v>
      </c>
      <c r="D63" s="140">
        <v>87</v>
      </c>
      <c r="E63" s="140">
        <v>32.5</v>
      </c>
      <c r="F63" s="140">
        <v>81.5</v>
      </c>
      <c r="G63" s="140">
        <v>117.3</v>
      </c>
    </row>
    <row r="64" spans="1:7" x14ac:dyDescent="0.25">
      <c r="A64" s="144">
        <v>6</v>
      </c>
      <c r="B64" s="140">
        <v>24.2</v>
      </c>
      <c r="C64" s="140">
        <v>50.4</v>
      </c>
      <c r="D64" s="140">
        <v>77.2</v>
      </c>
      <c r="E64" s="140">
        <v>28</v>
      </c>
      <c r="F64" s="140">
        <v>81.400000000000006</v>
      </c>
      <c r="G64" s="140">
        <v>98.9</v>
      </c>
    </row>
    <row r="65" spans="1:7" ht="14.5" thickBot="1" x14ac:dyDescent="0.3">
      <c r="A65" s="141">
        <v>7</v>
      </c>
      <c r="B65" s="142">
        <v>33.4</v>
      </c>
      <c r="C65" s="142">
        <v>52.3</v>
      </c>
      <c r="D65" s="142">
        <v>75.3</v>
      </c>
      <c r="E65" s="142">
        <v>51.2</v>
      </c>
      <c r="F65" s="142">
        <v>83.8</v>
      </c>
      <c r="G65" s="142">
        <v>97.4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28.7</v>
      </c>
      <c r="C69" s="140">
        <v>49.2</v>
      </c>
      <c r="D69" s="140">
        <v>98.6</v>
      </c>
      <c r="E69" s="140">
        <v>44.1</v>
      </c>
      <c r="F69" s="140">
        <v>66.099999999999994</v>
      </c>
      <c r="G69" s="140">
        <v>99.8</v>
      </c>
    </row>
    <row r="70" spans="1:7" x14ac:dyDescent="0.25">
      <c r="A70" s="138">
        <v>2</v>
      </c>
      <c r="B70" s="140">
        <v>24.1</v>
      </c>
      <c r="C70" s="140">
        <v>65.599999999999994</v>
      </c>
      <c r="D70" s="140">
        <v>92.4</v>
      </c>
      <c r="E70" s="140">
        <v>28.3</v>
      </c>
      <c r="F70" s="140">
        <v>72.900000000000006</v>
      </c>
      <c r="G70" s="140">
        <v>115.8</v>
      </c>
    </row>
    <row r="71" spans="1:7" x14ac:dyDescent="0.25">
      <c r="A71" s="138">
        <v>3</v>
      </c>
      <c r="B71" s="140">
        <v>16</v>
      </c>
      <c r="C71" s="140">
        <v>63.7</v>
      </c>
      <c r="D71" s="140">
        <v>89.4</v>
      </c>
      <c r="E71" s="140">
        <v>26.4</v>
      </c>
      <c r="F71" s="140">
        <v>67</v>
      </c>
      <c r="G71" s="140">
        <v>95.6</v>
      </c>
    </row>
    <row r="72" spans="1:7" x14ac:dyDescent="0.25">
      <c r="A72" s="138">
        <v>4</v>
      </c>
      <c r="B72" s="140">
        <v>33.1</v>
      </c>
      <c r="C72" s="140">
        <v>58.3</v>
      </c>
      <c r="D72" s="140">
        <v>76.3</v>
      </c>
      <c r="E72" s="140">
        <v>59.9</v>
      </c>
      <c r="F72" s="140">
        <v>65</v>
      </c>
      <c r="G72" s="140">
        <v>119.1</v>
      </c>
    </row>
    <row r="73" spans="1:7" x14ac:dyDescent="0.25">
      <c r="A73" s="138">
        <v>5</v>
      </c>
      <c r="B73" s="140">
        <v>30.5</v>
      </c>
      <c r="C73" s="140">
        <v>59.1</v>
      </c>
      <c r="D73" s="140">
        <v>94.8</v>
      </c>
      <c r="E73" s="140">
        <v>26.8</v>
      </c>
      <c r="F73" s="140">
        <v>68.599999999999994</v>
      </c>
      <c r="G73" s="140">
        <v>118.6</v>
      </c>
    </row>
    <row r="74" spans="1:7" x14ac:dyDescent="0.25">
      <c r="A74" s="138">
        <v>6</v>
      </c>
      <c r="B74" s="140">
        <v>31.9</v>
      </c>
      <c r="C74" s="140">
        <v>43.6</v>
      </c>
      <c r="D74" s="140">
        <v>105</v>
      </c>
      <c r="E74" s="140">
        <v>51.1</v>
      </c>
      <c r="F74" s="140">
        <v>84.1</v>
      </c>
      <c r="G74" s="140">
        <v>101.3</v>
      </c>
    </row>
    <row r="75" spans="1:7" x14ac:dyDescent="0.25">
      <c r="A75" s="138">
        <v>7</v>
      </c>
      <c r="B75" s="140">
        <v>25.5</v>
      </c>
      <c r="C75" s="140">
        <v>72.7</v>
      </c>
      <c r="D75" s="140">
        <v>103.8</v>
      </c>
      <c r="E75" s="140">
        <v>55.7</v>
      </c>
      <c r="F75" s="140">
        <v>71.5</v>
      </c>
      <c r="G75" s="140">
        <v>108.5</v>
      </c>
    </row>
    <row r="76" spans="1:7" x14ac:dyDescent="0.25">
      <c r="A76" s="138">
        <v>8</v>
      </c>
      <c r="B76" s="140">
        <v>21.2</v>
      </c>
      <c r="C76" s="140">
        <v>56.7</v>
      </c>
      <c r="D76" s="140">
        <v>98</v>
      </c>
      <c r="E76" s="140">
        <v>44.4</v>
      </c>
      <c r="F76" s="140">
        <v>76.2</v>
      </c>
      <c r="G76" s="140">
        <v>117.7</v>
      </c>
    </row>
    <row r="77" spans="1:7" x14ac:dyDescent="0.25">
      <c r="A77" s="138">
        <v>9</v>
      </c>
      <c r="B77" s="140">
        <v>26.9</v>
      </c>
      <c r="C77" s="140">
        <v>36.299999999999997</v>
      </c>
      <c r="D77" s="140">
        <v>78.3</v>
      </c>
      <c r="E77" s="140">
        <v>36.9</v>
      </c>
      <c r="F77" s="140">
        <v>87.1</v>
      </c>
      <c r="G77" s="140">
        <v>112.6</v>
      </c>
    </row>
    <row r="78" spans="1:7" x14ac:dyDescent="0.25">
      <c r="A78" s="138">
        <v>10</v>
      </c>
      <c r="B78" s="140">
        <v>22.2</v>
      </c>
      <c r="C78" s="140">
        <v>50.6</v>
      </c>
      <c r="D78" s="140">
        <v>81.8</v>
      </c>
      <c r="E78" s="140">
        <v>28.6</v>
      </c>
      <c r="F78" s="140">
        <v>70.5</v>
      </c>
      <c r="G78" s="140">
        <v>104.7</v>
      </c>
    </row>
    <row r="79" spans="1:7" x14ac:dyDescent="0.25">
      <c r="A79" s="138">
        <v>11</v>
      </c>
      <c r="B79" s="140">
        <v>17.5</v>
      </c>
      <c r="C79" s="140">
        <v>52.8</v>
      </c>
      <c r="D79" s="140">
        <v>102.3</v>
      </c>
      <c r="E79" s="140">
        <v>50.3</v>
      </c>
      <c r="F79" s="140">
        <v>66.400000000000006</v>
      </c>
      <c r="G79" s="140">
        <v>116.4</v>
      </c>
    </row>
    <row r="80" spans="1:7" x14ac:dyDescent="0.25">
      <c r="A80" s="138">
        <v>12</v>
      </c>
      <c r="B80" s="140">
        <v>30.2</v>
      </c>
      <c r="C80" s="140">
        <v>59.3</v>
      </c>
      <c r="D80" s="140">
        <v>102.6</v>
      </c>
      <c r="E80" s="140">
        <v>53.6</v>
      </c>
      <c r="F80" s="140">
        <v>68.3</v>
      </c>
      <c r="G80" s="140">
        <v>99.8</v>
      </c>
    </row>
    <row r="81" spans="1:7" x14ac:dyDescent="0.25">
      <c r="A81" s="138">
        <v>13</v>
      </c>
      <c r="B81" s="140">
        <v>29.2</v>
      </c>
      <c r="C81" s="140">
        <v>49.9</v>
      </c>
      <c r="D81" s="140">
        <v>102.5</v>
      </c>
      <c r="E81" s="140">
        <v>49</v>
      </c>
      <c r="F81" s="140">
        <v>73.3</v>
      </c>
      <c r="G81" s="140">
        <v>102.9</v>
      </c>
    </row>
    <row r="82" spans="1:7" x14ac:dyDescent="0.25">
      <c r="A82" s="138">
        <v>14</v>
      </c>
      <c r="B82" s="140">
        <v>21.2</v>
      </c>
      <c r="C82" s="140">
        <v>62.9</v>
      </c>
      <c r="D82" s="140">
        <v>105.5</v>
      </c>
      <c r="E82" s="140">
        <v>36.6</v>
      </c>
      <c r="F82" s="140">
        <v>61.1</v>
      </c>
      <c r="G82" s="140">
        <v>108.3</v>
      </c>
    </row>
    <row r="83" spans="1:7" x14ac:dyDescent="0.25">
      <c r="A83" s="138">
        <v>15</v>
      </c>
      <c r="B83" s="140">
        <v>26</v>
      </c>
      <c r="C83" s="140">
        <v>41.6</v>
      </c>
      <c r="D83" s="140">
        <v>85.4</v>
      </c>
      <c r="E83" s="140">
        <v>32.6</v>
      </c>
      <c r="F83" s="140">
        <v>72.099999999999994</v>
      </c>
      <c r="G83" s="140">
        <v>99.3</v>
      </c>
    </row>
    <row r="84" spans="1:7" x14ac:dyDescent="0.25">
      <c r="A84" s="138">
        <v>16</v>
      </c>
      <c r="B84" s="140">
        <v>23.4</v>
      </c>
      <c r="C84" s="140">
        <v>74.900000000000006</v>
      </c>
      <c r="D84" s="140">
        <v>81.900000000000006</v>
      </c>
      <c r="E84" s="140"/>
      <c r="F84" s="140"/>
      <c r="G84" s="140"/>
    </row>
    <row r="85" spans="1:7" ht="14.5" thickBot="1" x14ac:dyDescent="0.3">
      <c r="A85" s="143">
        <v>17</v>
      </c>
      <c r="B85" s="142">
        <v>29.9</v>
      </c>
      <c r="C85" s="142">
        <v>71.8</v>
      </c>
      <c r="D85" s="142">
        <v>108.3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30.5</v>
      </c>
      <c r="C89" s="140">
        <v>62</v>
      </c>
      <c r="D89" s="140">
        <v>81</v>
      </c>
      <c r="E89" s="140">
        <v>58.1</v>
      </c>
      <c r="F89" s="140">
        <v>77.400000000000006</v>
      </c>
      <c r="G89" s="140">
        <v>119.5</v>
      </c>
    </row>
    <row r="90" spans="1:7" x14ac:dyDescent="0.25">
      <c r="A90" s="138">
        <v>2</v>
      </c>
      <c r="B90" s="140">
        <v>21.4</v>
      </c>
      <c r="C90" s="140">
        <v>38.1</v>
      </c>
      <c r="D90" s="140">
        <v>77.400000000000006</v>
      </c>
      <c r="E90" s="140">
        <v>51.6</v>
      </c>
      <c r="F90" s="140">
        <v>77.599999999999994</v>
      </c>
      <c r="G90" s="140">
        <v>110.1</v>
      </c>
    </row>
    <row r="91" spans="1:7" x14ac:dyDescent="0.25">
      <c r="A91" s="138">
        <v>3</v>
      </c>
      <c r="B91" s="140">
        <v>34.1</v>
      </c>
      <c r="C91" s="140">
        <v>47.5</v>
      </c>
      <c r="D91" s="140">
        <v>93.3</v>
      </c>
      <c r="E91" s="140">
        <v>38.799999999999997</v>
      </c>
      <c r="F91" s="140">
        <v>87.1</v>
      </c>
      <c r="G91" s="140">
        <v>103.6</v>
      </c>
    </row>
    <row r="92" spans="1:7" x14ac:dyDescent="0.25">
      <c r="A92" s="138">
        <v>4</v>
      </c>
      <c r="B92" s="140">
        <v>17</v>
      </c>
      <c r="C92" s="140">
        <v>64.8</v>
      </c>
      <c r="D92" s="140">
        <v>95.9</v>
      </c>
      <c r="E92" s="140">
        <v>48.5</v>
      </c>
      <c r="F92" s="140">
        <v>70.7</v>
      </c>
      <c r="G92" s="140">
        <v>116.6</v>
      </c>
    </row>
    <row r="93" spans="1:7" x14ac:dyDescent="0.25">
      <c r="A93" s="138">
        <v>5</v>
      </c>
      <c r="B93" s="140">
        <v>27.1</v>
      </c>
      <c r="C93" s="140">
        <v>59.7</v>
      </c>
      <c r="D93" s="140">
        <v>83.9</v>
      </c>
      <c r="E93" s="140">
        <v>34.700000000000003</v>
      </c>
      <c r="F93" s="140">
        <v>74.099999999999994</v>
      </c>
      <c r="G93" s="140">
        <v>115.7</v>
      </c>
    </row>
    <row r="94" spans="1:7" x14ac:dyDescent="0.25">
      <c r="A94" s="138">
        <v>6</v>
      </c>
      <c r="B94" s="140">
        <v>28.8</v>
      </c>
      <c r="C94" s="140">
        <v>72.3</v>
      </c>
      <c r="D94" s="140">
        <v>75.400000000000006</v>
      </c>
      <c r="E94" s="140">
        <v>48.4</v>
      </c>
      <c r="F94" s="140">
        <v>68.099999999999994</v>
      </c>
      <c r="G94" s="140">
        <v>114.9</v>
      </c>
    </row>
    <row r="95" spans="1:7" x14ac:dyDescent="0.25">
      <c r="A95" s="138">
        <v>7</v>
      </c>
      <c r="B95" s="140">
        <v>33.200000000000003</v>
      </c>
      <c r="C95" s="140">
        <v>35.799999999999997</v>
      </c>
      <c r="D95" s="140">
        <v>86.5</v>
      </c>
      <c r="E95" s="140">
        <v>40.5</v>
      </c>
      <c r="F95" s="140">
        <v>63.3</v>
      </c>
      <c r="G95" s="140">
        <v>96.3</v>
      </c>
    </row>
    <row r="96" spans="1:7" x14ac:dyDescent="0.25">
      <c r="A96" s="138">
        <v>8</v>
      </c>
      <c r="B96" s="140">
        <v>24</v>
      </c>
      <c r="C96" s="140">
        <v>40.1</v>
      </c>
      <c r="D96" s="140">
        <v>100.8</v>
      </c>
      <c r="E96" s="139"/>
      <c r="F96" s="139"/>
      <c r="G96" s="139"/>
    </row>
    <row r="97" spans="1:7" x14ac:dyDescent="0.25">
      <c r="A97" s="138">
        <v>9</v>
      </c>
      <c r="B97" s="140">
        <v>27.5</v>
      </c>
      <c r="C97" s="140">
        <v>54.5</v>
      </c>
      <c r="D97" s="140">
        <v>83.7</v>
      </c>
      <c r="E97" s="139"/>
      <c r="F97" s="139"/>
      <c r="G97" s="139"/>
    </row>
    <row r="98" spans="1:7" x14ac:dyDescent="0.25">
      <c r="A98" s="138">
        <v>10</v>
      </c>
      <c r="B98" s="140">
        <v>20.6</v>
      </c>
      <c r="C98" s="140">
        <v>40.200000000000003</v>
      </c>
      <c r="D98" s="140">
        <v>86.4</v>
      </c>
      <c r="E98" s="139"/>
      <c r="F98" s="139"/>
      <c r="G98" s="139"/>
    </row>
    <row r="99" spans="1:7" x14ac:dyDescent="0.25">
      <c r="A99" s="138">
        <v>11</v>
      </c>
      <c r="B99" s="140">
        <v>23.4</v>
      </c>
      <c r="C99" s="140">
        <v>44</v>
      </c>
      <c r="D99" s="140">
        <v>92</v>
      </c>
      <c r="E99" s="139"/>
      <c r="F99" s="139"/>
      <c r="G99" s="139"/>
    </row>
    <row r="100" spans="1:7" x14ac:dyDescent="0.25">
      <c r="A100" s="138">
        <v>12</v>
      </c>
      <c r="B100" s="140">
        <v>16.5</v>
      </c>
      <c r="C100" s="140">
        <v>50.8</v>
      </c>
      <c r="D100" s="140">
        <v>91.2</v>
      </c>
      <c r="E100" s="139"/>
      <c r="F100" s="139"/>
      <c r="G100" s="139"/>
    </row>
    <row r="101" spans="1:7" x14ac:dyDescent="0.25">
      <c r="A101" s="138">
        <v>13</v>
      </c>
      <c r="B101" s="140">
        <v>28.5</v>
      </c>
      <c r="C101" s="140">
        <v>74.7</v>
      </c>
      <c r="D101" s="140">
        <v>104.6</v>
      </c>
      <c r="E101" s="139"/>
      <c r="F101" s="139"/>
      <c r="G101" s="139"/>
    </row>
    <row r="102" spans="1:7" x14ac:dyDescent="0.25">
      <c r="A102" s="138">
        <v>14</v>
      </c>
      <c r="B102" s="140">
        <v>27.4</v>
      </c>
      <c r="C102" s="140">
        <v>37.299999999999997</v>
      </c>
      <c r="D102" s="140">
        <v>103.4</v>
      </c>
      <c r="E102" s="139"/>
      <c r="F102" s="139"/>
      <c r="G102" s="139"/>
    </row>
    <row r="103" spans="1:7" x14ac:dyDescent="0.25">
      <c r="A103" s="138">
        <v>15</v>
      </c>
      <c r="B103" s="140">
        <v>28.5</v>
      </c>
      <c r="C103" s="140">
        <v>65</v>
      </c>
      <c r="D103" s="140">
        <v>78.2</v>
      </c>
      <c r="E103" s="139"/>
      <c r="F103" s="139"/>
      <c r="G103" s="139"/>
    </row>
    <row r="104" spans="1:7" x14ac:dyDescent="0.25">
      <c r="A104" s="138">
        <v>16</v>
      </c>
      <c r="B104" s="140">
        <v>34.6</v>
      </c>
      <c r="C104" s="140">
        <v>54.5</v>
      </c>
      <c r="D104" s="140">
        <v>96</v>
      </c>
      <c r="E104" s="139"/>
      <c r="F104" s="139"/>
      <c r="G104" s="139"/>
    </row>
    <row r="105" spans="1:7" x14ac:dyDescent="0.25">
      <c r="A105" s="138">
        <v>17</v>
      </c>
      <c r="B105" s="140">
        <v>34.299999999999997</v>
      </c>
      <c r="C105" s="140">
        <v>66.8</v>
      </c>
      <c r="D105" s="140">
        <v>102.3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100.4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17</v>
      </c>
      <c r="C110" s="140">
        <v>66.8</v>
      </c>
      <c r="D110" s="140">
        <v>96.3</v>
      </c>
      <c r="E110" s="140">
        <v>44.7</v>
      </c>
      <c r="F110" s="140">
        <v>72.900000000000006</v>
      </c>
      <c r="G110" s="140">
        <v>111.6</v>
      </c>
    </row>
    <row r="111" spans="1:7" x14ac:dyDescent="0.25">
      <c r="A111" s="138">
        <v>2</v>
      </c>
      <c r="B111" s="140">
        <v>21.5</v>
      </c>
      <c r="C111" s="140">
        <v>40.799999999999997</v>
      </c>
      <c r="D111" s="140">
        <v>81.599999999999994</v>
      </c>
      <c r="E111" s="140">
        <v>38.299999999999997</v>
      </c>
      <c r="F111" s="140">
        <v>63.2</v>
      </c>
      <c r="G111" s="140">
        <v>103.9</v>
      </c>
    </row>
    <row r="112" spans="1:7" ht="14.5" thickBot="1" x14ac:dyDescent="0.3">
      <c r="A112" s="143">
        <v>3</v>
      </c>
      <c r="B112" s="145"/>
      <c r="C112" s="145"/>
      <c r="D112" s="145"/>
      <c r="E112" s="145">
        <v>38.5</v>
      </c>
      <c r="F112" s="145">
        <v>75.099999999999994</v>
      </c>
      <c r="G112" s="145">
        <v>101.5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15.6</v>
      </c>
      <c r="C116" s="140">
        <v>56.8</v>
      </c>
      <c r="D116" s="140">
        <v>86.4</v>
      </c>
      <c r="E116" s="140">
        <v>38.700000000000003</v>
      </c>
      <c r="F116" s="140">
        <v>85.1</v>
      </c>
      <c r="G116" s="140">
        <v>117.8</v>
      </c>
    </row>
    <row r="117" spans="1:7" x14ac:dyDescent="0.25">
      <c r="A117" s="138">
        <v>2</v>
      </c>
      <c r="B117" s="140">
        <v>27.1</v>
      </c>
      <c r="C117" s="140">
        <v>40.6</v>
      </c>
      <c r="D117" s="140">
        <v>84.5</v>
      </c>
      <c r="E117" s="140">
        <v>49.7</v>
      </c>
      <c r="F117" s="140">
        <v>61.9</v>
      </c>
      <c r="G117" s="140">
        <v>116.2</v>
      </c>
    </row>
    <row r="118" spans="1:7" x14ac:dyDescent="0.25">
      <c r="A118" s="138">
        <v>3</v>
      </c>
      <c r="B118" s="140">
        <v>29.8</v>
      </c>
      <c r="C118" s="140">
        <v>67.099999999999994</v>
      </c>
      <c r="D118" s="140">
        <v>82.8</v>
      </c>
      <c r="E118" s="140">
        <v>46.4</v>
      </c>
      <c r="F118" s="140">
        <v>82.5</v>
      </c>
      <c r="G118" s="140">
        <v>114.2</v>
      </c>
    </row>
    <row r="119" spans="1:7" x14ac:dyDescent="0.25">
      <c r="A119" s="138">
        <v>4</v>
      </c>
      <c r="B119" s="140">
        <v>24.4</v>
      </c>
      <c r="C119" s="140">
        <v>53.7</v>
      </c>
      <c r="D119" s="140">
        <v>100.8</v>
      </c>
      <c r="E119" s="140">
        <v>44.9</v>
      </c>
      <c r="F119" s="140">
        <v>60.2</v>
      </c>
      <c r="G119" s="140">
        <v>108.6</v>
      </c>
    </row>
    <row r="120" spans="1:7" x14ac:dyDescent="0.25">
      <c r="A120" s="138">
        <v>5</v>
      </c>
      <c r="B120" s="139"/>
      <c r="C120" s="139"/>
      <c r="D120" s="139"/>
      <c r="E120" s="140">
        <v>28.5</v>
      </c>
      <c r="F120" s="140">
        <v>75.3</v>
      </c>
      <c r="G120" s="140">
        <v>110.6</v>
      </c>
    </row>
    <row r="121" spans="1:7" x14ac:dyDescent="0.25">
      <c r="A121" s="138">
        <v>6</v>
      </c>
      <c r="B121" s="139"/>
      <c r="C121" s="139"/>
      <c r="D121" s="139"/>
      <c r="E121" s="140">
        <v>51.1</v>
      </c>
      <c r="F121" s="140">
        <v>66.3</v>
      </c>
      <c r="G121" s="140">
        <v>115.1</v>
      </c>
    </row>
    <row r="122" spans="1:7" x14ac:dyDescent="0.25">
      <c r="A122" s="138">
        <v>7</v>
      </c>
      <c r="B122" s="139"/>
      <c r="C122" s="139"/>
      <c r="D122" s="139"/>
      <c r="E122" s="140">
        <v>58.4</v>
      </c>
      <c r="F122" s="140">
        <v>89.1</v>
      </c>
      <c r="G122" s="140">
        <v>96.3</v>
      </c>
    </row>
    <row r="123" spans="1:7" x14ac:dyDescent="0.25">
      <c r="A123" s="138">
        <v>8</v>
      </c>
      <c r="B123" s="139"/>
      <c r="C123" s="139"/>
      <c r="D123" s="139"/>
      <c r="E123" s="140">
        <v>58.1</v>
      </c>
      <c r="F123" s="140">
        <v>73.2</v>
      </c>
      <c r="G123" s="140">
        <v>111.1</v>
      </c>
    </row>
    <row r="124" spans="1:7" ht="14.5" thickBot="1" x14ac:dyDescent="0.3">
      <c r="A124" s="143">
        <v>9</v>
      </c>
      <c r="B124" s="145"/>
      <c r="C124" s="145"/>
      <c r="D124" s="145"/>
      <c r="E124" s="145">
        <v>44.7</v>
      </c>
      <c r="F124" s="145">
        <v>70.7</v>
      </c>
      <c r="G124" s="145">
        <v>92.1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61.583333333333336</v>
      </c>
      <c r="C129" s="147">
        <f>AVERAGE(E5:G7)</f>
        <v>77.5</v>
      </c>
      <c r="D129" s="138">
        <v>2058</v>
      </c>
      <c r="E129" s="138">
        <v>4263</v>
      </c>
      <c r="F129" s="138">
        <f>D129*B129</f>
        <v>126738.5</v>
      </c>
      <c r="G129" s="138">
        <f>E129*C129</f>
        <v>330382.5</v>
      </c>
    </row>
    <row r="130" spans="1:7" x14ac:dyDescent="0.25">
      <c r="A130" s="139" t="str">
        <f>A8</f>
        <v>Dongyuan Huangtian swine Farm</v>
      </c>
      <c r="B130" s="146">
        <f>AVERAGE((B11:D15))</f>
        <v>55.313333333333325</v>
      </c>
      <c r="C130" s="146">
        <f>AVERAGE(E11:G11)</f>
        <v>70.933333333333337</v>
      </c>
      <c r="D130" s="138">
        <v>6272</v>
      </c>
      <c r="E130" s="138">
        <v>1451</v>
      </c>
      <c r="F130" s="138">
        <f t="shared" ref="F130:G137" si="0">D130*B130</f>
        <v>346925.22666666663</v>
      </c>
      <c r="G130" s="138">
        <f t="shared" si="0"/>
        <v>102924.26666666668</v>
      </c>
    </row>
    <row r="131" spans="1:7" x14ac:dyDescent="0.25">
      <c r="A131" s="139" t="str">
        <f>A16</f>
        <v>Enping Shahu swine  Farm</v>
      </c>
      <c r="B131" s="146">
        <f>AVERAGE(B19:D33)</f>
        <v>56.646666666666661</v>
      </c>
      <c r="C131" s="146">
        <f>AVERAGE(E19:G28)</f>
        <v>74.47</v>
      </c>
      <c r="D131" s="138">
        <v>22171</v>
      </c>
      <c r="E131" s="138">
        <v>15292</v>
      </c>
      <c r="F131" s="138">
        <f t="shared" si="0"/>
        <v>1255913.2466666666</v>
      </c>
      <c r="G131" s="138">
        <f t="shared" si="0"/>
        <v>1138795.24</v>
      </c>
    </row>
    <row r="132" spans="1:7" x14ac:dyDescent="0.25">
      <c r="A132" s="139" t="str">
        <f>A34</f>
        <v>Langtian Yuehui swine Farm</v>
      </c>
      <c r="B132" s="146">
        <f>AVERAGE(B37:D55)</f>
        <v>57.587719298245617</v>
      </c>
      <c r="C132" s="146">
        <f>AVERAGE(E37:G43)</f>
        <v>72.757142857142853</v>
      </c>
      <c r="D132" s="138">
        <v>28130</v>
      </c>
      <c r="E132" s="138">
        <v>10001</v>
      </c>
      <c r="F132" s="138">
        <f t="shared" si="0"/>
        <v>1619942.5438596492</v>
      </c>
      <c r="G132" s="138">
        <f t="shared" si="0"/>
        <v>727644.1857142857</v>
      </c>
    </row>
    <row r="133" spans="1:7" x14ac:dyDescent="0.25">
      <c r="A133" s="139" t="str">
        <f>A56</f>
        <v>Qujiang Fengwan swine Farm</v>
      </c>
      <c r="B133" s="146">
        <f>AVERAGE(B59:D65)</f>
        <v>57.219047619047615</v>
      </c>
      <c r="C133" s="146">
        <f>AVERAGE(E59:G65)</f>
        <v>74.971428571428575</v>
      </c>
      <c r="D133" s="138">
        <v>9008</v>
      </c>
      <c r="E133" s="138">
        <v>11265</v>
      </c>
      <c r="F133" s="138">
        <f t="shared" si="0"/>
        <v>515429.18095238094</v>
      </c>
      <c r="G133" s="138">
        <f t="shared" si="0"/>
        <v>844553.14285714284</v>
      </c>
    </row>
    <row r="134" spans="1:7" x14ac:dyDescent="0.25">
      <c r="A134" s="139" t="str">
        <f>A66</f>
        <v>Pingyuan Zhongshi swine Farm</v>
      </c>
      <c r="B134" s="146">
        <f>AVERAGE(B69:D85)</f>
        <v>59.086274509803935</v>
      </c>
      <c r="C134" s="146">
        <f>AVERAGE(E69:G83)</f>
        <v>73.664444444444456</v>
      </c>
      <c r="D134" s="138">
        <v>25713</v>
      </c>
      <c r="E134" s="138">
        <v>22734</v>
      </c>
      <c r="F134" s="138">
        <f t="shared" si="0"/>
        <v>1519285.3764705886</v>
      </c>
      <c r="G134" s="138">
        <f t="shared" si="0"/>
        <v>1674687.4800000002</v>
      </c>
    </row>
    <row r="135" spans="1:7" x14ac:dyDescent="0.25">
      <c r="A135" s="139" t="str">
        <f>A86</f>
        <v>Yangchun Tanshui swine Farm</v>
      </c>
      <c r="B135" s="146">
        <f>AVERAGE(B89:D106)</f>
        <v>57.65192307692309</v>
      </c>
      <c r="C135" s="146">
        <f>AVERAGE(E89:G95)</f>
        <v>76.933333333333337</v>
      </c>
      <c r="D135" s="138">
        <v>26456</v>
      </c>
      <c r="E135" s="138">
        <v>11230</v>
      </c>
      <c r="F135" s="138">
        <f t="shared" si="0"/>
        <v>1525239.2769230772</v>
      </c>
      <c r="G135" s="138">
        <f t="shared" si="0"/>
        <v>863961.33333333337</v>
      </c>
    </row>
    <row r="136" spans="1:7" x14ac:dyDescent="0.25">
      <c r="A136" s="139" t="str">
        <f>A107</f>
        <v>Xinfeng Shatian swine Farm</v>
      </c>
      <c r="B136" s="146">
        <f>AVERAGE(B110:D112)</f>
        <v>54</v>
      </c>
      <c r="C136" s="146">
        <f>AVERAGE(E110:G112)</f>
        <v>72.188888888888897</v>
      </c>
      <c r="D136" s="138">
        <v>1907</v>
      </c>
      <c r="E136" s="138">
        <v>3758</v>
      </c>
      <c r="F136" s="138">
        <f t="shared" si="0"/>
        <v>102978</v>
      </c>
      <c r="G136" s="138">
        <f t="shared" si="0"/>
        <v>271285.84444444446</v>
      </c>
    </row>
    <row r="137" spans="1:7" x14ac:dyDescent="0.25">
      <c r="A137" s="139" t="str">
        <f>A113</f>
        <v>Kaiping Cangcheng swine Farm</v>
      </c>
      <c r="B137" s="146">
        <f>AVERAGE(B116:D119)</f>
        <v>55.800000000000004</v>
      </c>
      <c r="C137" s="146">
        <f>AVERAGE(E116:G124)</f>
        <v>76.548148148148144</v>
      </c>
      <c r="D137" s="138">
        <v>5732</v>
      </c>
      <c r="E137" s="138">
        <v>13738</v>
      </c>
      <c r="F137" s="138">
        <f t="shared" si="0"/>
        <v>319845.60000000003</v>
      </c>
      <c r="G137" s="138">
        <f t="shared" si="0"/>
        <v>1051618.4592592593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93732</v>
      </c>
      <c r="F138" s="138">
        <f t="shared" ref="F138:G138" si="1">SUM(F129:F137)</f>
        <v>7332296.9515390284</v>
      </c>
      <c r="G138" s="138">
        <f t="shared" si="1"/>
        <v>7005852.4522751318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57.5</v>
      </c>
      <c r="D142" s="148">
        <f>ROUNDDOWN(G138/E138,1)</f>
        <v>74.7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D8E8-DCEA-4AE7-A6A5-B5810101E15E}">
  <dimension ref="A1:G142"/>
  <sheetViews>
    <sheetView topLeftCell="A112" workbookViewId="0">
      <selection activeCell="E140" sqref="E140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30.9</v>
      </c>
      <c r="C5" s="140">
        <v>54.1</v>
      </c>
      <c r="D5" s="140">
        <v>97</v>
      </c>
      <c r="E5" s="140">
        <v>26.8</v>
      </c>
      <c r="F5" s="140">
        <v>76.3</v>
      </c>
      <c r="G5" s="140">
        <v>94.7</v>
      </c>
    </row>
    <row r="6" spans="1:7" x14ac:dyDescent="0.25">
      <c r="A6" s="138">
        <v>2</v>
      </c>
      <c r="B6" s="140">
        <v>22.5</v>
      </c>
      <c r="C6" s="140">
        <v>41.1</v>
      </c>
      <c r="D6" s="140">
        <v>75</v>
      </c>
      <c r="E6" s="140">
        <v>40.700000000000003</v>
      </c>
      <c r="F6" s="140">
        <v>68.8</v>
      </c>
      <c r="G6" s="140">
        <v>98.9</v>
      </c>
    </row>
    <row r="7" spans="1:7" ht="14.5" thickBot="1" x14ac:dyDescent="0.3">
      <c r="A7" s="141">
        <v>3</v>
      </c>
      <c r="B7" s="142"/>
      <c r="C7" s="142"/>
      <c r="D7" s="142"/>
      <c r="E7" s="142">
        <v>57.7</v>
      </c>
      <c r="F7" s="142">
        <v>66.400000000000006</v>
      </c>
      <c r="G7" s="142">
        <v>98.8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31.1</v>
      </c>
      <c r="C11" s="140">
        <v>44.8</v>
      </c>
      <c r="D11" s="140">
        <v>98.5</v>
      </c>
      <c r="E11" s="140">
        <v>52.7</v>
      </c>
      <c r="F11" s="140">
        <v>65.5</v>
      </c>
      <c r="G11" s="140">
        <v>99.4</v>
      </c>
    </row>
    <row r="12" spans="1:7" x14ac:dyDescent="0.25">
      <c r="A12" s="138">
        <v>2</v>
      </c>
      <c r="B12" s="140">
        <v>33.1</v>
      </c>
      <c r="C12" s="140">
        <v>44.7</v>
      </c>
      <c r="D12" s="140">
        <v>93.7</v>
      </c>
      <c r="E12" s="140"/>
      <c r="F12" s="140"/>
      <c r="G12" s="140"/>
    </row>
    <row r="13" spans="1:7" x14ac:dyDescent="0.25">
      <c r="A13" s="138">
        <v>3</v>
      </c>
      <c r="B13" s="140">
        <v>21</v>
      </c>
      <c r="C13" s="140">
        <v>64.7</v>
      </c>
      <c r="D13" s="140">
        <v>87.7</v>
      </c>
      <c r="E13" s="139"/>
      <c r="F13" s="139"/>
      <c r="G13" s="139"/>
    </row>
    <row r="14" spans="1:7" x14ac:dyDescent="0.25">
      <c r="A14" s="138">
        <v>4</v>
      </c>
      <c r="B14" s="140">
        <v>32.299999999999997</v>
      </c>
      <c r="C14" s="140">
        <v>44.3</v>
      </c>
      <c r="D14" s="140">
        <v>105.4</v>
      </c>
      <c r="E14" s="139"/>
      <c r="F14" s="139"/>
      <c r="G14" s="139"/>
    </row>
    <row r="15" spans="1:7" ht="14.5" thickBot="1" x14ac:dyDescent="0.3">
      <c r="A15" s="141">
        <v>5</v>
      </c>
      <c r="B15" s="142">
        <v>23.4</v>
      </c>
      <c r="C15" s="142">
        <v>39.1</v>
      </c>
      <c r="D15" s="142">
        <v>82.9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21.5</v>
      </c>
      <c r="C19" s="140">
        <v>35.200000000000003</v>
      </c>
      <c r="D19" s="140">
        <v>103.7</v>
      </c>
      <c r="E19" s="140">
        <v>49.3</v>
      </c>
      <c r="F19" s="140">
        <v>72.400000000000006</v>
      </c>
      <c r="G19" s="140">
        <v>103.7</v>
      </c>
    </row>
    <row r="20" spans="1:7" x14ac:dyDescent="0.25">
      <c r="A20" s="138">
        <v>2</v>
      </c>
      <c r="B20" s="140">
        <v>26.2</v>
      </c>
      <c r="C20" s="140">
        <v>61.6</v>
      </c>
      <c r="D20" s="140">
        <v>88</v>
      </c>
      <c r="E20" s="140">
        <v>55.4</v>
      </c>
      <c r="F20" s="140">
        <v>60.3</v>
      </c>
      <c r="G20" s="140">
        <v>116.8</v>
      </c>
    </row>
    <row r="21" spans="1:7" x14ac:dyDescent="0.25">
      <c r="A21" s="138">
        <v>3</v>
      </c>
      <c r="B21" s="140">
        <v>27.6</v>
      </c>
      <c r="C21" s="140">
        <v>57.5</v>
      </c>
      <c r="D21" s="140">
        <v>79.3</v>
      </c>
      <c r="E21" s="140">
        <v>55.2</v>
      </c>
      <c r="F21" s="140">
        <v>78.099999999999994</v>
      </c>
      <c r="G21" s="140">
        <v>106.6</v>
      </c>
    </row>
    <row r="22" spans="1:7" x14ac:dyDescent="0.25">
      <c r="A22" s="138">
        <v>4</v>
      </c>
      <c r="B22" s="140">
        <v>18.7</v>
      </c>
      <c r="C22" s="140">
        <v>45.1</v>
      </c>
      <c r="D22" s="140">
        <v>108.1</v>
      </c>
      <c r="E22" s="140">
        <v>44.3</v>
      </c>
      <c r="F22" s="140">
        <v>82.7</v>
      </c>
      <c r="G22" s="140">
        <v>108.9</v>
      </c>
    </row>
    <row r="23" spans="1:7" x14ac:dyDescent="0.25">
      <c r="A23" s="138">
        <v>5</v>
      </c>
      <c r="B23" s="140">
        <v>29.7</v>
      </c>
      <c r="C23" s="140">
        <v>56</v>
      </c>
      <c r="D23" s="140">
        <v>75.099999999999994</v>
      </c>
      <c r="E23" s="140">
        <v>42.3</v>
      </c>
      <c r="F23" s="140">
        <v>86.7</v>
      </c>
      <c r="G23" s="140">
        <v>111.5</v>
      </c>
    </row>
    <row r="24" spans="1:7" x14ac:dyDescent="0.25">
      <c r="A24" s="138">
        <v>6</v>
      </c>
      <c r="B24" s="140">
        <v>25.2</v>
      </c>
      <c r="C24" s="140">
        <v>71</v>
      </c>
      <c r="D24" s="140">
        <v>84.2</v>
      </c>
      <c r="E24" s="140">
        <v>30</v>
      </c>
      <c r="F24" s="140">
        <v>74.400000000000006</v>
      </c>
      <c r="G24" s="140">
        <v>118.6</v>
      </c>
    </row>
    <row r="25" spans="1:7" x14ac:dyDescent="0.25">
      <c r="A25" s="138">
        <v>7</v>
      </c>
      <c r="B25" s="140">
        <v>18.100000000000001</v>
      </c>
      <c r="C25" s="140">
        <v>35.6</v>
      </c>
      <c r="D25" s="140">
        <v>82</v>
      </c>
      <c r="E25" s="140">
        <v>59.4</v>
      </c>
      <c r="F25" s="140">
        <v>78.2</v>
      </c>
      <c r="G25" s="140">
        <v>99.4</v>
      </c>
    </row>
    <row r="26" spans="1:7" x14ac:dyDescent="0.25">
      <c r="A26" s="138">
        <v>8</v>
      </c>
      <c r="B26" s="140">
        <v>16.7</v>
      </c>
      <c r="C26" s="140">
        <v>63.5</v>
      </c>
      <c r="D26" s="140">
        <v>105.8</v>
      </c>
      <c r="E26" s="140">
        <v>58.7</v>
      </c>
      <c r="F26" s="140">
        <v>61.1</v>
      </c>
      <c r="G26" s="140">
        <v>99.2</v>
      </c>
    </row>
    <row r="27" spans="1:7" x14ac:dyDescent="0.25">
      <c r="A27" s="138">
        <v>9</v>
      </c>
      <c r="B27" s="140">
        <v>17.399999999999999</v>
      </c>
      <c r="C27" s="140">
        <v>39.1</v>
      </c>
      <c r="D27" s="140">
        <v>109.7</v>
      </c>
      <c r="E27" s="140">
        <v>55.4</v>
      </c>
      <c r="F27" s="140">
        <v>62.7</v>
      </c>
      <c r="G27" s="140">
        <v>119.9</v>
      </c>
    </row>
    <row r="28" spans="1:7" x14ac:dyDescent="0.25">
      <c r="A28" s="138">
        <v>10</v>
      </c>
      <c r="B28" s="140">
        <v>20.399999999999999</v>
      </c>
      <c r="C28" s="140">
        <v>36</v>
      </c>
      <c r="D28" s="140">
        <v>77.8</v>
      </c>
      <c r="E28" s="140">
        <v>43.6</v>
      </c>
      <c r="F28" s="140">
        <v>64.2</v>
      </c>
      <c r="G28" s="140">
        <v>94.4</v>
      </c>
    </row>
    <row r="29" spans="1:7" x14ac:dyDescent="0.25">
      <c r="A29" s="138">
        <v>11</v>
      </c>
      <c r="B29" s="140">
        <v>28.6</v>
      </c>
      <c r="C29" s="140">
        <v>47.1</v>
      </c>
      <c r="D29" s="140">
        <v>107.8</v>
      </c>
      <c r="E29" s="140"/>
      <c r="F29" s="140"/>
      <c r="G29" s="140"/>
    </row>
    <row r="30" spans="1:7" x14ac:dyDescent="0.25">
      <c r="A30" s="138">
        <v>12</v>
      </c>
      <c r="B30" s="140">
        <v>31.6</v>
      </c>
      <c r="C30" s="140">
        <v>41.7</v>
      </c>
      <c r="D30" s="140">
        <v>81.8</v>
      </c>
      <c r="E30" s="140"/>
      <c r="F30" s="140"/>
      <c r="G30" s="140"/>
    </row>
    <row r="31" spans="1:7" x14ac:dyDescent="0.25">
      <c r="A31" s="138">
        <v>13</v>
      </c>
      <c r="B31" s="140">
        <v>31.5</v>
      </c>
      <c r="C31" s="140">
        <v>47.1</v>
      </c>
      <c r="D31" s="140">
        <v>77.5</v>
      </c>
      <c r="E31" s="140"/>
      <c r="F31" s="140"/>
      <c r="G31" s="140"/>
    </row>
    <row r="32" spans="1:7" x14ac:dyDescent="0.25">
      <c r="A32" s="138">
        <v>14</v>
      </c>
      <c r="B32" s="140">
        <v>30.7</v>
      </c>
      <c r="C32" s="140">
        <v>66.900000000000006</v>
      </c>
      <c r="D32" s="140">
        <v>95.7</v>
      </c>
      <c r="E32" s="140"/>
      <c r="F32" s="140"/>
      <c r="G32" s="140"/>
    </row>
    <row r="33" spans="1:7" ht="14.5" thickBot="1" x14ac:dyDescent="0.3">
      <c r="A33" s="143">
        <v>15</v>
      </c>
      <c r="B33" s="142">
        <v>19.100000000000001</v>
      </c>
      <c r="C33" s="142">
        <v>61</v>
      </c>
      <c r="D33" s="142">
        <v>76.8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18.7</v>
      </c>
      <c r="C37" s="140">
        <v>37.1</v>
      </c>
      <c r="D37" s="140">
        <v>107.4</v>
      </c>
      <c r="E37" s="140">
        <v>57</v>
      </c>
      <c r="F37" s="140">
        <v>78.5</v>
      </c>
      <c r="G37" s="140">
        <v>99.8</v>
      </c>
    </row>
    <row r="38" spans="1:7" x14ac:dyDescent="0.25">
      <c r="A38" s="138">
        <v>2</v>
      </c>
      <c r="B38" s="140">
        <v>21</v>
      </c>
      <c r="C38" s="140">
        <v>36.9</v>
      </c>
      <c r="D38" s="140">
        <v>76.2</v>
      </c>
      <c r="E38" s="140">
        <v>55.1</v>
      </c>
      <c r="F38" s="140">
        <v>69.400000000000006</v>
      </c>
      <c r="G38" s="140">
        <v>103.9</v>
      </c>
    </row>
    <row r="39" spans="1:7" x14ac:dyDescent="0.25">
      <c r="A39" s="138">
        <v>3</v>
      </c>
      <c r="B39" s="140">
        <v>20.100000000000001</v>
      </c>
      <c r="C39" s="140">
        <v>55.4</v>
      </c>
      <c r="D39" s="140">
        <v>90.8</v>
      </c>
      <c r="E39" s="140">
        <v>52.9</v>
      </c>
      <c r="F39" s="140">
        <v>76.099999999999994</v>
      </c>
      <c r="G39" s="140">
        <v>120</v>
      </c>
    </row>
    <row r="40" spans="1:7" x14ac:dyDescent="0.25">
      <c r="A40" s="138">
        <v>4</v>
      </c>
      <c r="B40" s="140">
        <v>22.7</v>
      </c>
      <c r="C40" s="140">
        <v>72.5</v>
      </c>
      <c r="D40" s="140">
        <v>75.900000000000006</v>
      </c>
      <c r="E40" s="140">
        <v>39.9</v>
      </c>
      <c r="F40" s="140">
        <v>71.7</v>
      </c>
      <c r="G40" s="140">
        <v>99.5</v>
      </c>
    </row>
    <row r="41" spans="1:7" x14ac:dyDescent="0.25">
      <c r="A41" s="138">
        <v>5</v>
      </c>
      <c r="B41" s="140">
        <v>33.1</v>
      </c>
      <c r="C41" s="140">
        <v>37.6</v>
      </c>
      <c r="D41" s="140">
        <v>79.400000000000006</v>
      </c>
      <c r="E41" s="140">
        <v>41.3</v>
      </c>
      <c r="F41" s="140">
        <v>66</v>
      </c>
      <c r="G41" s="140">
        <v>90.4</v>
      </c>
    </row>
    <row r="42" spans="1:7" x14ac:dyDescent="0.25">
      <c r="A42" s="138">
        <v>6</v>
      </c>
      <c r="B42" s="140">
        <v>17.7</v>
      </c>
      <c r="C42" s="140">
        <v>64.900000000000006</v>
      </c>
      <c r="D42" s="140">
        <v>98.1</v>
      </c>
      <c r="E42" s="140">
        <v>26.4</v>
      </c>
      <c r="F42" s="140">
        <v>60.3</v>
      </c>
      <c r="G42" s="140">
        <v>110.9</v>
      </c>
    </row>
    <row r="43" spans="1:7" x14ac:dyDescent="0.25">
      <c r="A43" s="138">
        <v>7</v>
      </c>
      <c r="B43" s="140">
        <v>16.7</v>
      </c>
      <c r="C43" s="140">
        <v>65.099999999999994</v>
      </c>
      <c r="D43" s="140">
        <v>99.1</v>
      </c>
      <c r="E43" s="140">
        <v>41.2</v>
      </c>
      <c r="F43" s="140">
        <v>90</v>
      </c>
      <c r="G43" s="140">
        <v>92.9</v>
      </c>
    </row>
    <row r="44" spans="1:7" x14ac:dyDescent="0.25">
      <c r="A44" s="138">
        <v>8</v>
      </c>
      <c r="B44" s="140">
        <v>18.899999999999999</v>
      </c>
      <c r="C44" s="140">
        <v>68.3</v>
      </c>
      <c r="D44" s="140">
        <v>84.4</v>
      </c>
      <c r="E44" s="139"/>
      <c r="F44" s="139"/>
      <c r="G44" s="139"/>
    </row>
    <row r="45" spans="1:7" x14ac:dyDescent="0.25">
      <c r="A45" s="138">
        <v>9</v>
      </c>
      <c r="B45" s="140">
        <v>30.5</v>
      </c>
      <c r="C45" s="140">
        <v>38.799999999999997</v>
      </c>
      <c r="D45" s="140">
        <v>93.9</v>
      </c>
      <c r="E45" s="139"/>
      <c r="F45" s="139"/>
      <c r="G45" s="139"/>
    </row>
    <row r="46" spans="1:7" x14ac:dyDescent="0.25">
      <c r="A46" s="138">
        <v>10</v>
      </c>
      <c r="B46" s="140">
        <v>16.899999999999999</v>
      </c>
      <c r="C46" s="140">
        <v>36.200000000000003</v>
      </c>
      <c r="D46" s="140">
        <v>77.400000000000006</v>
      </c>
      <c r="E46" s="139"/>
      <c r="F46" s="139"/>
      <c r="G46" s="139"/>
    </row>
    <row r="47" spans="1:7" x14ac:dyDescent="0.25">
      <c r="A47" s="138">
        <v>11</v>
      </c>
      <c r="B47" s="140">
        <v>33.299999999999997</v>
      </c>
      <c r="C47" s="140">
        <v>59</v>
      </c>
      <c r="D47" s="140">
        <v>85.4</v>
      </c>
      <c r="E47" s="139"/>
      <c r="F47" s="139"/>
      <c r="G47" s="139"/>
    </row>
    <row r="48" spans="1:7" x14ac:dyDescent="0.25">
      <c r="A48" s="138">
        <v>12</v>
      </c>
      <c r="B48" s="140">
        <v>17.899999999999999</v>
      </c>
      <c r="C48" s="140">
        <v>55.3</v>
      </c>
      <c r="D48" s="140">
        <v>107.2</v>
      </c>
      <c r="E48" s="139"/>
      <c r="F48" s="139"/>
      <c r="G48" s="139"/>
    </row>
    <row r="49" spans="1:7" x14ac:dyDescent="0.25">
      <c r="A49" s="138">
        <v>13</v>
      </c>
      <c r="B49" s="140">
        <v>32.4</v>
      </c>
      <c r="C49" s="140">
        <v>71.099999999999994</v>
      </c>
      <c r="D49" s="140">
        <v>95.8</v>
      </c>
      <c r="E49" s="139"/>
      <c r="F49" s="139"/>
      <c r="G49" s="139"/>
    </row>
    <row r="50" spans="1:7" x14ac:dyDescent="0.25">
      <c r="A50" s="138">
        <v>14</v>
      </c>
      <c r="B50" s="140">
        <v>31.4</v>
      </c>
      <c r="C50" s="140">
        <v>55.5</v>
      </c>
      <c r="D50" s="140">
        <v>88.3</v>
      </c>
      <c r="E50" s="139"/>
      <c r="F50" s="139"/>
      <c r="G50" s="139"/>
    </row>
    <row r="51" spans="1:7" x14ac:dyDescent="0.25">
      <c r="A51" s="138">
        <v>15</v>
      </c>
      <c r="B51" s="140">
        <v>32.1</v>
      </c>
      <c r="C51" s="140">
        <v>45.4</v>
      </c>
      <c r="D51" s="140">
        <v>101.7</v>
      </c>
      <c r="E51" s="139"/>
      <c r="F51" s="139"/>
      <c r="G51" s="139"/>
    </row>
    <row r="52" spans="1:7" x14ac:dyDescent="0.25">
      <c r="A52" s="138">
        <v>16</v>
      </c>
      <c r="B52" s="140">
        <v>18.5</v>
      </c>
      <c r="C52" s="140">
        <v>55.8</v>
      </c>
      <c r="D52" s="140">
        <v>80.400000000000006</v>
      </c>
      <c r="E52" s="139"/>
      <c r="F52" s="139"/>
      <c r="G52" s="139"/>
    </row>
    <row r="53" spans="1:7" x14ac:dyDescent="0.25">
      <c r="A53" s="138">
        <v>17</v>
      </c>
      <c r="B53" s="140">
        <v>23.9</v>
      </c>
      <c r="C53" s="140">
        <v>58.3</v>
      </c>
      <c r="D53" s="140">
        <v>108.8</v>
      </c>
      <c r="E53" s="139"/>
      <c r="F53" s="139"/>
      <c r="G53" s="139"/>
    </row>
    <row r="54" spans="1:7" x14ac:dyDescent="0.25">
      <c r="A54" s="138">
        <v>18</v>
      </c>
      <c r="B54" s="140">
        <v>29.4</v>
      </c>
      <c r="C54" s="140">
        <v>48.1</v>
      </c>
      <c r="D54" s="140">
        <v>108.8</v>
      </c>
      <c r="E54" s="139"/>
      <c r="F54" s="139"/>
      <c r="G54" s="139"/>
    </row>
    <row r="55" spans="1:7" ht="14.5" thickBot="1" x14ac:dyDescent="0.3">
      <c r="A55" s="141">
        <v>19</v>
      </c>
      <c r="B55" s="142">
        <v>19.5</v>
      </c>
      <c r="C55" s="142">
        <v>74</v>
      </c>
      <c r="D55" s="142">
        <v>91.2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20.2</v>
      </c>
      <c r="C59" s="140">
        <v>39.299999999999997</v>
      </c>
      <c r="D59" s="140">
        <v>87.2</v>
      </c>
      <c r="E59" s="140">
        <v>43.7</v>
      </c>
      <c r="F59" s="140">
        <v>89.5</v>
      </c>
      <c r="G59" s="140">
        <v>94.3</v>
      </c>
    </row>
    <row r="60" spans="1:7" x14ac:dyDescent="0.25">
      <c r="A60" s="138">
        <v>2</v>
      </c>
      <c r="B60" s="140">
        <v>26.6</v>
      </c>
      <c r="C60" s="140">
        <v>41.9</v>
      </c>
      <c r="D60" s="140">
        <v>104.6</v>
      </c>
      <c r="E60" s="140">
        <v>58.3</v>
      </c>
      <c r="F60" s="140">
        <v>75.400000000000006</v>
      </c>
      <c r="G60" s="140">
        <v>110.4</v>
      </c>
    </row>
    <row r="61" spans="1:7" x14ac:dyDescent="0.25">
      <c r="A61" s="138">
        <v>3</v>
      </c>
      <c r="B61" s="140">
        <v>28.5</v>
      </c>
      <c r="C61" s="140">
        <v>43</v>
      </c>
      <c r="D61" s="140">
        <v>101.1</v>
      </c>
      <c r="E61" s="140">
        <v>36.9</v>
      </c>
      <c r="F61" s="140">
        <v>71.599999999999994</v>
      </c>
      <c r="G61" s="140">
        <v>90.1</v>
      </c>
    </row>
    <row r="62" spans="1:7" x14ac:dyDescent="0.25">
      <c r="A62" s="138">
        <v>4</v>
      </c>
      <c r="B62" s="140">
        <v>25.4</v>
      </c>
      <c r="C62" s="140">
        <v>38.4</v>
      </c>
      <c r="D62" s="140">
        <v>107</v>
      </c>
      <c r="E62" s="140">
        <v>28.6</v>
      </c>
      <c r="F62" s="140">
        <v>81.5</v>
      </c>
      <c r="G62" s="140">
        <v>115.5</v>
      </c>
    </row>
    <row r="63" spans="1:7" x14ac:dyDescent="0.25">
      <c r="A63" s="138">
        <v>5</v>
      </c>
      <c r="B63" s="140">
        <v>20.100000000000001</v>
      </c>
      <c r="C63" s="140">
        <v>63.4</v>
      </c>
      <c r="D63" s="140">
        <v>103.7</v>
      </c>
      <c r="E63" s="140">
        <v>54.4</v>
      </c>
      <c r="F63" s="140">
        <v>64.3</v>
      </c>
      <c r="G63" s="140">
        <v>93.5</v>
      </c>
    </row>
    <row r="64" spans="1:7" x14ac:dyDescent="0.25">
      <c r="A64" s="144">
        <v>6</v>
      </c>
      <c r="B64" s="140">
        <v>22.3</v>
      </c>
      <c r="C64" s="140">
        <v>71.5</v>
      </c>
      <c r="D64" s="140">
        <v>99.6</v>
      </c>
      <c r="E64" s="140">
        <v>27.4</v>
      </c>
      <c r="F64" s="140">
        <v>89.6</v>
      </c>
      <c r="G64" s="140">
        <v>116</v>
      </c>
    </row>
    <row r="65" spans="1:7" ht="14.5" thickBot="1" x14ac:dyDescent="0.3">
      <c r="A65" s="141">
        <v>7</v>
      </c>
      <c r="B65" s="142">
        <v>22.6</v>
      </c>
      <c r="C65" s="142">
        <v>52</v>
      </c>
      <c r="D65" s="142">
        <v>76.400000000000006</v>
      </c>
      <c r="E65" s="142">
        <v>48.2</v>
      </c>
      <c r="F65" s="142">
        <v>74.7</v>
      </c>
      <c r="G65" s="142">
        <v>92.4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31.2</v>
      </c>
      <c r="C69" s="140">
        <v>52.4</v>
      </c>
      <c r="D69" s="140">
        <v>82.3</v>
      </c>
      <c r="E69" s="140">
        <v>53.3</v>
      </c>
      <c r="F69" s="140">
        <v>85.2</v>
      </c>
      <c r="G69" s="140">
        <v>114.8</v>
      </c>
    </row>
    <row r="70" spans="1:7" x14ac:dyDescent="0.25">
      <c r="A70" s="138">
        <v>2</v>
      </c>
      <c r="B70" s="140">
        <v>29.5</v>
      </c>
      <c r="C70" s="140">
        <v>68.599999999999994</v>
      </c>
      <c r="D70" s="140">
        <v>97</v>
      </c>
      <c r="E70" s="140">
        <v>46.2</v>
      </c>
      <c r="F70" s="140">
        <v>61.3</v>
      </c>
      <c r="G70" s="140">
        <v>117.2</v>
      </c>
    </row>
    <row r="71" spans="1:7" x14ac:dyDescent="0.25">
      <c r="A71" s="138">
        <v>3</v>
      </c>
      <c r="B71" s="140">
        <v>20.3</v>
      </c>
      <c r="C71" s="140">
        <v>73</v>
      </c>
      <c r="D71" s="140">
        <v>81.7</v>
      </c>
      <c r="E71" s="140">
        <v>30.4</v>
      </c>
      <c r="F71" s="140">
        <v>72</v>
      </c>
      <c r="G71" s="140">
        <v>109.2</v>
      </c>
    </row>
    <row r="72" spans="1:7" x14ac:dyDescent="0.25">
      <c r="A72" s="138">
        <v>4</v>
      </c>
      <c r="B72" s="140">
        <v>17</v>
      </c>
      <c r="C72" s="140">
        <v>64.2</v>
      </c>
      <c r="D72" s="140">
        <v>101.1</v>
      </c>
      <c r="E72" s="140">
        <v>33.799999999999997</v>
      </c>
      <c r="F72" s="140">
        <v>69.400000000000006</v>
      </c>
      <c r="G72" s="140">
        <v>102.7</v>
      </c>
    </row>
    <row r="73" spans="1:7" x14ac:dyDescent="0.25">
      <c r="A73" s="138">
        <v>5</v>
      </c>
      <c r="B73" s="140">
        <v>19.8</v>
      </c>
      <c r="C73" s="140">
        <v>58.5</v>
      </c>
      <c r="D73" s="140">
        <v>85.9</v>
      </c>
      <c r="E73" s="140">
        <v>27.2</v>
      </c>
      <c r="F73" s="140">
        <v>71.5</v>
      </c>
      <c r="G73" s="140">
        <v>108.5</v>
      </c>
    </row>
    <row r="74" spans="1:7" x14ac:dyDescent="0.25">
      <c r="A74" s="138">
        <v>6</v>
      </c>
      <c r="B74" s="140">
        <v>27.4</v>
      </c>
      <c r="C74" s="140">
        <v>62.4</v>
      </c>
      <c r="D74" s="140">
        <v>109.4</v>
      </c>
      <c r="E74" s="140">
        <v>27.7</v>
      </c>
      <c r="F74" s="140">
        <v>73.400000000000006</v>
      </c>
      <c r="G74" s="140">
        <v>93.9</v>
      </c>
    </row>
    <row r="75" spans="1:7" x14ac:dyDescent="0.25">
      <c r="A75" s="138">
        <v>7</v>
      </c>
      <c r="B75" s="140">
        <v>29.2</v>
      </c>
      <c r="C75" s="140">
        <v>65.2</v>
      </c>
      <c r="D75" s="140">
        <v>101.1</v>
      </c>
      <c r="E75" s="140">
        <v>52.8</v>
      </c>
      <c r="F75" s="140">
        <v>70.5</v>
      </c>
      <c r="G75" s="140">
        <v>117</v>
      </c>
    </row>
    <row r="76" spans="1:7" x14ac:dyDescent="0.25">
      <c r="A76" s="138">
        <v>8</v>
      </c>
      <c r="B76" s="140">
        <v>30.9</v>
      </c>
      <c r="C76" s="140">
        <v>55.9</v>
      </c>
      <c r="D76" s="140">
        <v>107.2</v>
      </c>
      <c r="E76" s="140">
        <v>49.1</v>
      </c>
      <c r="F76" s="140">
        <v>72.8</v>
      </c>
      <c r="G76" s="140">
        <v>118.4</v>
      </c>
    </row>
    <row r="77" spans="1:7" x14ac:dyDescent="0.25">
      <c r="A77" s="138">
        <v>9</v>
      </c>
      <c r="B77" s="140">
        <v>23.2</v>
      </c>
      <c r="C77" s="140">
        <v>41.5</v>
      </c>
      <c r="D77" s="140">
        <v>100.9</v>
      </c>
      <c r="E77" s="140">
        <v>59.1</v>
      </c>
      <c r="F77" s="140">
        <v>89.1</v>
      </c>
      <c r="G77" s="140">
        <v>113.1</v>
      </c>
    </row>
    <row r="78" spans="1:7" x14ac:dyDescent="0.25">
      <c r="A78" s="138">
        <v>10</v>
      </c>
      <c r="B78" s="140">
        <v>16.7</v>
      </c>
      <c r="C78" s="140">
        <v>68.7</v>
      </c>
      <c r="D78" s="140">
        <v>109.2</v>
      </c>
      <c r="E78" s="140">
        <v>44.3</v>
      </c>
      <c r="F78" s="140">
        <v>69.400000000000006</v>
      </c>
      <c r="G78" s="140">
        <v>101.4</v>
      </c>
    </row>
    <row r="79" spans="1:7" x14ac:dyDescent="0.25">
      <c r="A79" s="138">
        <v>11</v>
      </c>
      <c r="B79" s="140">
        <v>16.600000000000001</v>
      </c>
      <c r="C79" s="140">
        <v>67.7</v>
      </c>
      <c r="D79" s="140">
        <v>85.8</v>
      </c>
      <c r="E79" s="140">
        <v>54.1</v>
      </c>
      <c r="F79" s="140">
        <v>77.400000000000006</v>
      </c>
      <c r="G79" s="140">
        <v>91.8</v>
      </c>
    </row>
    <row r="80" spans="1:7" x14ac:dyDescent="0.25">
      <c r="A80" s="138">
        <v>12</v>
      </c>
      <c r="B80" s="140">
        <v>16.2</v>
      </c>
      <c r="C80" s="140">
        <v>38.9</v>
      </c>
      <c r="D80" s="140">
        <v>84.1</v>
      </c>
      <c r="E80" s="140">
        <v>32</v>
      </c>
      <c r="F80" s="140">
        <v>88.9</v>
      </c>
      <c r="G80" s="140">
        <v>94.7</v>
      </c>
    </row>
    <row r="81" spans="1:7" x14ac:dyDescent="0.25">
      <c r="A81" s="138">
        <v>13</v>
      </c>
      <c r="B81" s="140">
        <v>31.7</v>
      </c>
      <c r="C81" s="140">
        <v>58.9</v>
      </c>
      <c r="D81" s="140">
        <v>76.3</v>
      </c>
      <c r="E81" s="140">
        <v>52</v>
      </c>
      <c r="F81" s="140">
        <v>60.2</v>
      </c>
      <c r="G81" s="140">
        <v>95</v>
      </c>
    </row>
    <row r="82" spans="1:7" x14ac:dyDescent="0.25">
      <c r="A82" s="138">
        <v>14</v>
      </c>
      <c r="B82" s="140">
        <v>16.600000000000001</v>
      </c>
      <c r="C82" s="140">
        <v>36.700000000000003</v>
      </c>
      <c r="D82" s="140">
        <v>104.2</v>
      </c>
      <c r="E82" s="140">
        <v>30.8</v>
      </c>
      <c r="F82" s="140">
        <v>69</v>
      </c>
      <c r="G82" s="140">
        <v>99.7</v>
      </c>
    </row>
    <row r="83" spans="1:7" x14ac:dyDescent="0.25">
      <c r="A83" s="138">
        <v>15</v>
      </c>
      <c r="B83" s="140">
        <v>29.8</v>
      </c>
      <c r="C83" s="140">
        <v>42.2</v>
      </c>
      <c r="D83" s="140">
        <v>87.3</v>
      </c>
      <c r="E83" s="140">
        <v>56.5</v>
      </c>
      <c r="F83" s="140">
        <v>69.400000000000006</v>
      </c>
      <c r="G83" s="140">
        <v>117.7</v>
      </c>
    </row>
    <row r="84" spans="1:7" x14ac:dyDescent="0.25">
      <c r="A84" s="138">
        <v>16</v>
      </c>
      <c r="B84" s="140">
        <v>23.8</v>
      </c>
      <c r="C84" s="140">
        <v>57</v>
      </c>
      <c r="D84" s="140">
        <v>100.1</v>
      </c>
      <c r="E84" s="140"/>
      <c r="F84" s="140"/>
      <c r="G84" s="140"/>
    </row>
    <row r="85" spans="1:7" ht="14.5" thickBot="1" x14ac:dyDescent="0.3">
      <c r="A85" s="143">
        <v>17</v>
      </c>
      <c r="B85" s="142">
        <v>26.1</v>
      </c>
      <c r="C85" s="142">
        <v>64.3</v>
      </c>
      <c r="D85" s="142">
        <v>104.4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33.799999999999997</v>
      </c>
      <c r="C89" s="140">
        <v>53</v>
      </c>
      <c r="D89" s="140">
        <v>75.7</v>
      </c>
      <c r="E89" s="140">
        <v>27.4</v>
      </c>
      <c r="F89" s="140">
        <v>88</v>
      </c>
      <c r="G89" s="140">
        <v>100.4</v>
      </c>
    </row>
    <row r="90" spans="1:7" x14ac:dyDescent="0.25">
      <c r="A90" s="138">
        <v>2</v>
      </c>
      <c r="B90" s="140">
        <v>29.1</v>
      </c>
      <c r="C90" s="140">
        <v>47.1</v>
      </c>
      <c r="D90" s="140">
        <v>89.1</v>
      </c>
      <c r="E90" s="140">
        <v>26.1</v>
      </c>
      <c r="F90" s="140">
        <v>69.900000000000006</v>
      </c>
      <c r="G90" s="140">
        <v>115.6</v>
      </c>
    </row>
    <row r="91" spans="1:7" x14ac:dyDescent="0.25">
      <c r="A91" s="138">
        <v>3</v>
      </c>
      <c r="B91" s="140">
        <v>18</v>
      </c>
      <c r="C91" s="140">
        <v>59.7</v>
      </c>
      <c r="D91" s="140">
        <v>92.3</v>
      </c>
      <c r="E91" s="140">
        <v>47.8</v>
      </c>
      <c r="F91" s="140">
        <v>74.400000000000006</v>
      </c>
      <c r="G91" s="140">
        <v>93.3</v>
      </c>
    </row>
    <row r="92" spans="1:7" x14ac:dyDescent="0.25">
      <c r="A92" s="138">
        <v>4</v>
      </c>
      <c r="B92" s="140">
        <v>17.899999999999999</v>
      </c>
      <c r="C92" s="140">
        <v>64.400000000000006</v>
      </c>
      <c r="D92" s="140">
        <v>93.5</v>
      </c>
      <c r="E92" s="140">
        <v>40.5</v>
      </c>
      <c r="F92" s="140">
        <v>70.099999999999994</v>
      </c>
      <c r="G92" s="140">
        <v>110.3</v>
      </c>
    </row>
    <row r="93" spans="1:7" x14ac:dyDescent="0.25">
      <c r="A93" s="138">
        <v>5</v>
      </c>
      <c r="B93" s="140">
        <v>23</v>
      </c>
      <c r="C93" s="140">
        <v>70.3</v>
      </c>
      <c r="D93" s="140">
        <v>104.7</v>
      </c>
      <c r="E93" s="140">
        <v>42.7</v>
      </c>
      <c r="F93" s="140">
        <v>69.3</v>
      </c>
      <c r="G93" s="140">
        <v>113.5</v>
      </c>
    </row>
    <row r="94" spans="1:7" x14ac:dyDescent="0.25">
      <c r="A94" s="138">
        <v>6</v>
      </c>
      <c r="B94" s="140">
        <v>22.4</v>
      </c>
      <c r="C94" s="140">
        <v>72.7</v>
      </c>
      <c r="D94" s="140">
        <v>105.9</v>
      </c>
      <c r="E94" s="140">
        <v>26</v>
      </c>
      <c r="F94" s="140">
        <v>60.3</v>
      </c>
      <c r="G94" s="140">
        <v>113.1</v>
      </c>
    </row>
    <row r="95" spans="1:7" x14ac:dyDescent="0.25">
      <c r="A95" s="138">
        <v>7</v>
      </c>
      <c r="B95" s="140">
        <v>24.8</v>
      </c>
      <c r="C95" s="140">
        <v>65.599999999999994</v>
      </c>
      <c r="D95" s="140">
        <v>105.9</v>
      </c>
      <c r="E95" s="140">
        <v>52.7</v>
      </c>
      <c r="F95" s="140">
        <v>74.5</v>
      </c>
      <c r="G95" s="140">
        <v>92.9</v>
      </c>
    </row>
    <row r="96" spans="1:7" x14ac:dyDescent="0.25">
      <c r="A96" s="138">
        <v>8</v>
      </c>
      <c r="B96" s="140">
        <v>19.8</v>
      </c>
      <c r="C96" s="140">
        <v>72.599999999999994</v>
      </c>
      <c r="D96" s="140">
        <v>75.099999999999994</v>
      </c>
      <c r="E96" s="139"/>
      <c r="F96" s="139"/>
      <c r="G96" s="139"/>
    </row>
    <row r="97" spans="1:7" x14ac:dyDescent="0.25">
      <c r="A97" s="138">
        <v>9</v>
      </c>
      <c r="B97" s="140">
        <v>21</v>
      </c>
      <c r="C97" s="140">
        <v>74.7</v>
      </c>
      <c r="D97" s="140">
        <v>100.1</v>
      </c>
      <c r="E97" s="139"/>
      <c r="F97" s="139"/>
      <c r="G97" s="139"/>
    </row>
    <row r="98" spans="1:7" x14ac:dyDescent="0.25">
      <c r="A98" s="138">
        <v>10</v>
      </c>
      <c r="B98" s="140">
        <v>15.4</v>
      </c>
      <c r="C98" s="140">
        <v>73.5</v>
      </c>
      <c r="D98" s="140">
        <v>77.3</v>
      </c>
      <c r="E98" s="139"/>
      <c r="F98" s="139"/>
      <c r="G98" s="139"/>
    </row>
    <row r="99" spans="1:7" x14ac:dyDescent="0.25">
      <c r="A99" s="138">
        <v>11</v>
      </c>
      <c r="B99" s="140">
        <v>21.5</v>
      </c>
      <c r="C99" s="140">
        <v>53.3</v>
      </c>
      <c r="D99" s="140">
        <v>100</v>
      </c>
      <c r="E99" s="139"/>
      <c r="F99" s="139"/>
      <c r="G99" s="139"/>
    </row>
    <row r="100" spans="1:7" x14ac:dyDescent="0.25">
      <c r="A100" s="138">
        <v>12</v>
      </c>
      <c r="B100" s="140">
        <v>30.5</v>
      </c>
      <c r="C100" s="140">
        <v>48.8</v>
      </c>
      <c r="D100" s="140">
        <v>79.599999999999994</v>
      </c>
      <c r="E100" s="139"/>
      <c r="F100" s="139"/>
      <c r="G100" s="139"/>
    </row>
    <row r="101" spans="1:7" x14ac:dyDescent="0.25">
      <c r="A101" s="138">
        <v>13</v>
      </c>
      <c r="B101" s="140">
        <v>19.8</v>
      </c>
      <c r="C101" s="140">
        <v>42.6</v>
      </c>
      <c r="D101" s="140">
        <v>79.599999999999994</v>
      </c>
      <c r="E101" s="139"/>
      <c r="F101" s="139"/>
      <c r="G101" s="139"/>
    </row>
    <row r="102" spans="1:7" x14ac:dyDescent="0.25">
      <c r="A102" s="138">
        <v>14</v>
      </c>
      <c r="B102" s="140">
        <v>15.2</v>
      </c>
      <c r="C102" s="140">
        <v>73.900000000000006</v>
      </c>
      <c r="D102" s="140">
        <v>80.2</v>
      </c>
      <c r="E102" s="139"/>
      <c r="F102" s="139"/>
      <c r="G102" s="139"/>
    </row>
    <row r="103" spans="1:7" x14ac:dyDescent="0.25">
      <c r="A103" s="138">
        <v>15</v>
      </c>
      <c r="B103" s="140">
        <v>23.3</v>
      </c>
      <c r="C103" s="140">
        <v>36.5</v>
      </c>
      <c r="D103" s="140">
        <v>78.900000000000006</v>
      </c>
      <c r="E103" s="139"/>
      <c r="F103" s="139"/>
      <c r="G103" s="139"/>
    </row>
    <row r="104" spans="1:7" x14ac:dyDescent="0.25">
      <c r="A104" s="138">
        <v>16</v>
      </c>
      <c r="B104" s="140">
        <v>23.7</v>
      </c>
      <c r="C104" s="140">
        <v>57.5</v>
      </c>
      <c r="D104" s="140">
        <v>105.3</v>
      </c>
      <c r="E104" s="139"/>
      <c r="F104" s="139"/>
      <c r="G104" s="139"/>
    </row>
    <row r="105" spans="1:7" x14ac:dyDescent="0.25">
      <c r="A105" s="138">
        <v>17</v>
      </c>
      <c r="B105" s="140">
        <v>25.2</v>
      </c>
      <c r="C105" s="140">
        <v>54.7</v>
      </c>
      <c r="D105" s="140">
        <v>85.9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90.3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17</v>
      </c>
      <c r="C110" s="140">
        <v>44</v>
      </c>
      <c r="D110" s="140">
        <v>101.6</v>
      </c>
      <c r="E110" s="140">
        <v>42.5</v>
      </c>
      <c r="F110" s="140">
        <v>88</v>
      </c>
      <c r="G110" s="140">
        <v>108.9</v>
      </c>
    </row>
    <row r="111" spans="1:7" x14ac:dyDescent="0.25">
      <c r="A111" s="138">
        <v>2</v>
      </c>
      <c r="B111" s="140">
        <v>20.3</v>
      </c>
      <c r="C111" s="140">
        <v>47.8</v>
      </c>
      <c r="D111" s="140">
        <v>95.4</v>
      </c>
      <c r="E111" s="140">
        <v>25.9</v>
      </c>
      <c r="F111" s="140">
        <v>72.3</v>
      </c>
      <c r="G111" s="140">
        <v>94.3</v>
      </c>
    </row>
    <row r="112" spans="1:7" ht="14.5" thickBot="1" x14ac:dyDescent="0.3">
      <c r="A112" s="143">
        <v>3</v>
      </c>
      <c r="B112" s="145"/>
      <c r="C112" s="145"/>
      <c r="D112" s="145"/>
      <c r="E112" s="145">
        <v>26.8</v>
      </c>
      <c r="F112" s="145">
        <v>61.2</v>
      </c>
      <c r="G112" s="145">
        <v>102.7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26.5</v>
      </c>
      <c r="C116" s="140">
        <v>72.3</v>
      </c>
      <c r="D116" s="140">
        <v>102.8</v>
      </c>
      <c r="E116" s="140">
        <v>54.2</v>
      </c>
      <c r="F116" s="140">
        <v>84.5</v>
      </c>
      <c r="G116" s="140">
        <v>109.7</v>
      </c>
    </row>
    <row r="117" spans="1:7" x14ac:dyDescent="0.25">
      <c r="A117" s="138">
        <v>2</v>
      </c>
      <c r="B117" s="140">
        <v>30.6</v>
      </c>
      <c r="C117" s="140">
        <v>51.6</v>
      </c>
      <c r="D117" s="140">
        <v>107.8</v>
      </c>
      <c r="E117" s="140">
        <v>52.8</v>
      </c>
      <c r="F117" s="140">
        <v>61.7</v>
      </c>
      <c r="G117" s="140">
        <v>95.9</v>
      </c>
    </row>
    <row r="118" spans="1:7" x14ac:dyDescent="0.25">
      <c r="A118" s="138">
        <v>3</v>
      </c>
      <c r="B118" s="140">
        <v>22.8</v>
      </c>
      <c r="C118" s="140">
        <v>68.900000000000006</v>
      </c>
      <c r="D118" s="140">
        <v>88.4</v>
      </c>
      <c r="E118" s="140">
        <v>59</v>
      </c>
      <c r="F118" s="140">
        <v>77.900000000000006</v>
      </c>
      <c r="G118" s="140">
        <v>92.2</v>
      </c>
    </row>
    <row r="119" spans="1:7" x14ac:dyDescent="0.25">
      <c r="A119" s="138">
        <v>4</v>
      </c>
      <c r="B119" s="140">
        <v>26.6</v>
      </c>
      <c r="C119" s="140">
        <v>53.2</v>
      </c>
      <c r="D119" s="140">
        <v>80.400000000000006</v>
      </c>
      <c r="E119" s="140">
        <v>37.4</v>
      </c>
      <c r="F119" s="140">
        <v>77.099999999999994</v>
      </c>
      <c r="G119" s="140">
        <v>94.9</v>
      </c>
    </row>
    <row r="120" spans="1:7" x14ac:dyDescent="0.25">
      <c r="A120" s="138">
        <v>5</v>
      </c>
      <c r="B120" s="139"/>
      <c r="C120" s="139"/>
      <c r="D120" s="139"/>
      <c r="E120" s="140">
        <v>49.7</v>
      </c>
      <c r="F120" s="140">
        <v>76.7</v>
      </c>
      <c r="G120" s="140">
        <v>116.1</v>
      </c>
    </row>
    <row r="121" spans="1:7" x14ac:dyDescent="0.25">
      <c r="A121" s="138">
        <v>6</v>
      </c>
      <c r="B121" s="139"/>
      <c r="C121" s="139"/>
      <c r="D121" s="139"/>
      <c r="E121" s="140">
        <v>57.9</v>
      </c>
      <c r="F121" s="140">
        <v>88.9</v>
      </c>
      <c r="G121" s="140">
        <v>90.1</v>
      </c>
    </row>
    <row r="122" spans="1:7" x14ac:dyDescent="0.25">
      <c r="A122" s="138">
        <v>7</v>
      </c>
      <c r="B122" s="139"/>
      <c r="C122" s="139"/>
      <c r="D122" s="139"/>
      <c r="E122" s="140">
        <v>43.7</v>
      </c>
      <c r="F122" s="140">
        <v>80.3</v>
      </c>
      <c r="G122" s="140">
        <v>93.2</v>
      </c>
    </row>
    <row r="123" spans="1:7" x14ac:dyDescent="0.25">
      <c r="A123" s="138">
        <v>8</v>
      </c>
      <c r="B123" s="139"/>
      <c r="C123" s="139"/>
      <c r="D123" s="139"/>
      <c r="E123" s="140">
        <v>25.2</v>
      </c>
      <c r="F123" s="140">
        <v>65.5</v>
      </c>
      <c r="G123" s="140">
        <v>112</v>
      </c>
    </row>
    <row r="124" spans="1:7" ht="14.5" thickBot="1" x14ac:dyDescent="0.3">
      <c r="A124" s="143">
        <v>9</v>
      </c>
      <c r="B124" s="145"/>
      <c r="C124" s="145"/>
      <c r="D124" s="145"/>
      <c r="E124" s="145">
        <v>25.1</v>
      </c>
      <c r="F124" s="145">
        <v>70.8</v>
      </c>
      <c r="G124" s="145">
        <v>119.1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53.433333333333337</v>
      </c>
      <c r="C129" s="147">
        <f>AVERAGE(E5:G7)</f>
        <v>69.900000000000006</v>
      </c>
      <c r="D129" s="138">
        <v>2058</v>
      </c>
      <c r="E129" s="138">
        <v>4168</v>
      </c>
      <c r="F129" s="138">
        <f>D129*B129</f>
        <v>109965.8</v>
      </c>
      <c r="G129" s="138">
        <f>E129*C129</f>
        <v>291343.2</v>
      </c>
    </row>
    <row r="130" spans="1:7" x14ac:dyDescent="0.25">
      <c r="A130" s="139" t="str">
        <f>A8</f>
        <v>Dongyuan Huangtian swine Farm</v>
      </c>
      <c r="B130" s="146">
        <f>AVERAGE((B11:D15))</f>
        <v>56.446666666666651</v>
      </c>
      <c r="C130" s="146">
        <f>AVERAGE(E11:G11)</f>
        <v>72.533333333333346</v>
      </c>
      <c r="D130" s="138">
        <v>6272</v>
      </c>
      <c r="E130" s="138">
        <v>1414</v>
      </c>
      <c r="F130" s="138">
        <f t="shared" ref="F130:G137" si="0">D130*B130</f>
        <v>354033.49333333323</v>
      </c>
      <c r="G130" s="138">
        <f t="shared" si="0"/>
        <v>102562.13333333335</v>
      </c>
    </row>
    <row r="131" spans="1:7" x14ac:dyDescent="0.25">
      <c r="A131" s="139" t="str">
        <f>A16</f>
        <v>Enping Shahu swine  Farm</v>
      </c>
      <c r="B131" s="146">
        <f>AVERAGE(B19:D33)</f>
        <v>55.126666666666665</v>
      </c>
      <c r="C131" s="146">
        <f>AVERAGE(E19:G28)</f>
        <v>76.446666666666673</v>
      </c>
      <c r="D131" s="138">
        <v>22171</v>
      </c>
      <c r="E131" s="138">
        <v>15052</v>
      </c>
      <c r="F131" s="138">
        <f t="shared" si="0"/>
        <v>1222213.3266666667</v>
      </c>
      <c r="G131" s="138">
        <f t="shared" si="0"/>
        <v>1150675.2266666668</v>
      </c>
    </row>
    <row r="132" spans="1:7" x14ac:dyDescent="0.25">
      <c r="A132" s="139" t="str">
        <f>A34</f>
        <v>Langtian Yuehui swine Farm</v>
      </c>
      <c r="B132" s="146">
        <f>AVERAGE(B37:D55)</f>
        <v>56.845614035087749</v>
      </c>
      <c r="C132" s="146">
        <f>AVERAGE(E37:G43)</f>
        <v>73.485714285714295</v>
      </c>
      <c r="D132" s="138">
        <v>28130</v>
      </c>
      <c r="E132" s="138">
        <v>9765</v>
      </c>
      <c r="F132" s="138">
        <f t="shared" si="0"/>
        <v>1599067.1228070185</v>
      </c>
      <c r="G132" s="138">
        <f t="shared" si="0"/>
        <v>717588.00000000012</v>
      </c>
    </row>
    <row r="133" spans="1:7" x14ac:dyDescent="0.25">
      <c r="A133" s="139" t="str">
        <f>A56</f>
        <v>Qujiang Fengwan swine Farm</v>
      </c>
      <c r="B133" s="146">
        <f>AVERAGE(B59:D65)</f>
        <v>56.895238095238092</v>
      </c>
      <c r="C133" s="146">
        <f>AVERAGE(E59:G65)</f>
        <v>74.109523809523822</v>
      </c>
      <c r="D133" s="138">
        <v>9008</v>
      </c>
      <c r="E133" s="138">
        <v>11030</v>
      </c>
      <c r="F133" s="138">
        <f t="shared" si="0"/>
        <v>512512.30476190476</v>
      </c>
      <c r="G133" s="138">
        <f t="shared" si="0"/>
        <v>817428.04761904781</v>
      </c>
    </row>
    <row r="134" spans="1:7" x14ac:dyDescent="0.25">
      <c r="A134" s="139" t="str">
        <f>A66</f>
        <v>Pingyuan Zhongshi swine Farm</v>
      </c>
      <c r="B134" s="146">
        <f>AVERAGE(B69:D85)</f>
        <v>58.825490196078441</v>
      </c>
      <c r="C134" s="146">
        <f>AVERAGE(E69:G83)</f>
        <v>74.308888888888887</v>
      </c>
      <c r="D134" s="138">
        <v>25713</v>
      </c>
      <c r="E134" s="138">
        <v>22964</v>
      </c>
      <c r="F134" s="138">
        <f t="shared" si="0"/>
        <v>1512579.8294117649</v>
      </c>
      <c r="G134" s="138">
        <f t="shared" si="0"/>
        <v>1706429.3244444444</v>
      </c>
    </row>
    <row r="135" spans="1:7" x14ac:dyDescent="0.25">
      <c r="A135" s="139" t="str">
        <f>A86</f>
        <v>Yangchun Tanshui swine Farm</v>
      </c>
      <c r="B135" s="146">
        <f>AVERAGE(B89:D106)</f>
        <v>58.167307692307681</v>
      </c>
      <c r="C135" s="146">
        <f>AVERAGE(E89:G95)</f>
        <v>71.847619047619048</v>
      </c>
      <c r="D135" s="138">
        <v>26456</v>
      </c>
      <c r="E135" s="138">
        <v>11501</v>
      </c>
      <c r="F135" s="138">
        <f t="shared" si="0"/>
        <v>1538874.2923076921</v>
      </c>
      <c r="G135" s="138">
        <f t="shared" si="0"/>
        <v>826319.46666666667</v>
      </c>
    </row>
    <row r="136" spans="1:7" x14ac:dyDescent="0.25">
      <c r="A136" s="139" t="str">
        <f>A107</f>
        <v>Xinfeng Shatian swine Farm</v>
      </c>
      <c r="B136" s="146">
        <f>AVERAGE(B110:D112)</f>
        <v>54.35</v>
      </c>
      <c r="C136" s="146">
        <f>AVERAGE(E110:G112)</f>
        <v>69.177777777777791</v>
      </c>
      <c r="D136" s="138">
        <v>1907</v>
      </c>
      <c r="E136" s="138">
        <v>3656</v>
      </c>
      <c r="F136" s="138">
        <f t="shared" si="0"/>
        <v>103645.45</v>
      </c>
      <c r="G136" s="138">
        <f t="shared" si="0"/>
        <v>252913.95555555561</v>
      </c>
    </row>
    <row r="137" spans="1:7" x14ac:dyDescent="0.25">
      <c r="A137" s="139" t="str">
        <f>A113</f>
        <v>Kaiping Cangcheng swine Farm</v>
      </c>
      <c r="B137" s="146">
        <f>AVERAGE(B116:D119)</f>
        <v>60.991666666666674</v>
      </c>
      <c r="C137" s="146">
        <f>AVERAGE(E116:G124)</f>
        <v>74.503703703703707</v>
      </c>
      <c r="D137" s="138">
        <v>5732</v>
      </c>
      <c r="E137" s="138">
        <v>13802</v>
      </c>
      <c r="F137" s="138">
        <f t="shared" si="0"/>
        <v>349604.2333333334</v>
      </c>
      <c r="G137" s="138">
        <f t="shared" si="0"/>
        <v>1028300.1185185185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93352</v>
      </c>
      <c r="F138" s="138">
        <f t="shared" ref="F138:G138" si="1">SUM(F129:F137)</f>
        <v>7302495.8526217137</v>
      </c>
      <c r="G138" s="138">
        <f t="shared" si="1"/>
        <v>6893559.4728042325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57.2</v>
      </c>
      <c r="D142" s="148">
        <f>ROUNDDOWN(G138/E138,1)</f>
        <v>73.8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84EE-E8A9-46C7-BCA4-E1B0898AA72C}">
  <dimension ref="A1:G142"/>
  <sheetViews>
    <sheetView topLeftCell="A115" workbookViewId="0">
      <selection sqref="A1:G124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27" t="s">
        <v>344</v>
      </c>
      <c r="B2" s="528"/>
      <c r="C2" s="528"/>
      <c r="D2" s="528"/>
      <c r="E2" s="528"/>
      <c r="F2" s="528"/>
      <c r="G2" s="529"/>
    </row>
    <row r="3" spans="1:7" ht="14.5" x14ac:dyDescent="0.3">
      <c r="A3" s="137"/>
      <c r="B3" s="516" t="s">
        <v>345</v>
      </c>
      <c r="C3" s="521"/>
      <c r="D3" s="517"/>
      <c r="E3" s="516" t="s">
        <v>346</v>
      </c>
      <c r="F3" s="521"/>
      <c r="G3" s="517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28.6</v>
      </c>
      <c r="C5" s="140">
        <v>48.6</v>
      </c>
      <c r="D5" s="140">
        <v>79.7</v>
      </c>
      <c r="E5" s="140">
        <v>25.6</v>
      </c>
      <c r="F5" s="140">
        <v>88.1</v>
      </c>
      <c r="G5" s="140">
        <v>102.8</v>
      </c>
    </row>
    <row r="6" spans="1:7" x14ac:dyDescent="0.25">
      <c r="A6" s="138">
        <v>2</v>
      </c>
      <c r="B6" s="140">
        <v>24</v>
      </c>
      <c r="C6" s="140">
        <v>66.3</v>
      </c>
      <c r="D6" s="140">
        <v>86.5</v>
      </c>
      <c r="E6" s="140">
        <v>47.1</v>
      </c>
      <c r="F6" s="140">
        <v>72.8</v>
      </c>
      <c r="G6" s="140">
        <v>95.9</v>
      </c>
    </row>
    <row r="7" spans="1:7" ht="14.5" thickBot="1" x14ac:dyDescent="0.3">
      <c r="A7" s="141">
        <v>3</v>
      </c>
      <c r="B7" s="142"/>
      <c r="C7" s="142"/>
      <c r="D7" s="142"/>
      <c r="E7" s="142">
        <v>26.8</v>
      </c>
      <c r="F7" s="142">
        <v>81.2</v>
      </c>
      <c r="G7" s="142">
        <v>91.1</v>
      </c>
    </row>
    <row r="8" spans="1:7" ht="14.5" thickTop="1" x14ac:dyDescent="0.25">
      <c r="A8" s="518" t="s">
        <v>354</v>
      </c>
      <c r="B8" s="519"/>
      <c r="C8" s="519"/>
      <c r="D8" s="519"/>
      <c r="E8" s="519"/>
      <c r="F8" s="519"/>
      <c r="G8" s="520"/>
    </row>
    <row r="9" spans="1:7" ht="14.5" x14ac:dyDescent="0.3">
      <c r="A9" s="137"/>
      <c r="B9" s="516" t="s">
        <v>345</v>
      </c>
      <c r="C9" s="521"/>
      <c r="D9" s="517"/>
      <c r="E9" s="516" t="s">
        <v>346</v>
      </c>
      <c r="F9" s="521"/>
      <c r="G9" s="517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18.8</v>
      </c>
      <c r="C11" s="140">
        <v>48.8</v>
      </c>
      <c r="D11" s="140">
        <v>86.8</v>
      </c>
      <c r="E11" s="140">
        <v>44.8</v>
      </c>
      <c r="F11" s="140">
        <v>85.5</v>
      </c>
      <c r="G11" s="140">
        <v>104</v>
      </c>
    </row>
    <row r="12" spans="1:7" x14ac:dyDescent="0.25">
      <c r="A12" s="138">
        <v>2</v>
      </c>
      <c r="B12" s="140">
        <v>25.6</v>
      </c>
      <c r="C12" s="140">
        <v>71.5</v>
      </c>
      <c r="D12" s="140">
        <v>82.4</v>
      </c>
      <c r="E12" s="140"/>
      <c r="F12" s="140"/>
      <c r="G12" s="140"/>
    </row>
    <row r="13" spans="1:7" x14ac:dyDescent="0.25">
      <c r="A13" s="138">
        <v>3</v>
      </c>
      <c r="B13" s="140">
        <v>30.6</v>
      </c>
      <c r="C13" s="140">
        <v>49.4</v>
      </c>
      <c r="D13" s="140">
        <v>106.8</v>
      </c>
      <c r="E13" s="139"/>
      <c r="F13" s="139"/>
      <c r="G13" s="139"/>
    </row>
    <row r="14" spans="1:7" x14ac:dyDescent="0.25">
      <c r="A14" s="138">
        <v>4</v>
      </c>
      <c r="B14" s="140">
        <v>28.9</v>
      </c>
      <c r="C14" s="140">
        <v>69.900000000000006</v>
      </c>
      <c r="D14" s="140">
        <v>106.7</v>
      </c>
      <c r="E14" s="139"/>
      <c r="F14" s="139"/>
      <c r="G14" s="139"/>
    </row>
    <row r="15" spans="1:7" ht="14.5" thickBot="1" x14ac:dyDescent="0.3">
      <c r="A15" s="141">
        <v>5</v>
      </c>
      <c r="B15" s="142">
        <v>29.6</v>
      </c>
      <c r="C15" s="142">
        <v>51.6</v>
      </c>
      <c r="D15" s="142">
        <v>83</v>
      </c>
      <c r="E15" s="142"/>
      <c r="F15" s="142"/>
      <c r="G15" s="142"/>
    </row>
    <row r="16" spans="1:7" ht="14.5" thickTop="1" x14ac:dyDescent="0.25">
      <c r="A16" s="518" t="s">
        <v>355</v>
      </c>
      <c r="B16" s="519"/>
      <c r="C16" s="519"/>
      <c r="D16" s="519"/>
      <c r="E16" s="519"/>
      <c r="F16" s="519"/>
      <c r="G16" s="520"/>
    </row>
    <row r="17" spans="1:7" ht="14.5" x14ac:dyDescent="0.3">
      <c r="A17" s="137"/>
      <c r="B17" s="516" t="s">
        <v>345</v>
      </c>
      <c r="C17" s="521"/>
      <c r="D17" s="517"/>
      <c r="E17" s="516" t="s">
        <v>346</v>
      </c>
      <c r="F17" s="521"/>
      <c r="G17" s="517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28.9</v>
      </c>
      <c r="C19" s="140">
        <v>51.6</v>
      </c>
      <c r="D19" s="140">
        <v>109</v>
      </c>
      <c r="E19" s="140">
        <v>35.5</v>
      </c>
      <c r="F19" s="140">
        <v>69.5</v>
      </c>
      <c r="G19" s="140">
        <v>111.6</v>
      </c>
    </row>
    <row r="20" spans="1:7" x14ac:dyDescent="0.25">
      <c r="A20" s="138">
        <v>2</v>
      </c>
      <c r="B20" s="140">
        <v>17.8</v>
      </c>
      <c r="C20" s="140">
        <v>35.5</v>
      </c>
      <c r="D20" s="140">
        <v>75.400000000000006</v>
      </c>
      <c r="E20" s="140">
        <v>49</v>
      </c>
      <c r="F20" s="140">
        <v>71.599999999999994</v>
      </c>
      <c r="G20" s="140">
        <v>114.7</v>
      </c>
    </row>
    <row r="21" spans="1:7" x14ac:dyDescent="0.25">
      <c r="A21" s="138">
        <v>3</v>
      </c>
      <c r="B21" s="140">
        <v>29.1</v>
      </c>
      <c r="C21" s="140">
        <v>51.7</v>
      </c>
      <c r="D21" s="140">
        <v>89.5</v>
      </c>
      <c r="E21" s="140">
        <v>55.3</v>
      </c>
      <c r="F21" s="140">
        <v>61.5</v>
      </c>
      <c r="G21" s="140">
        <v>106.7</v>
      </c>
    </row>
    <row r="22" spans="1:7" x14ac:dyDescent="0.25">
      <c r="A22" s="138">
        <v>4</v>
      </c>
      <c r="B22" s="140">
        <v>26</v>
      </c>
      <c r="C22" s="140">
        <v>49.7</v>
      </c>
      <c r="D22" s="140">
        <v>81.2</v>
      </c>
      <c r="E22" s="140">
        <v>32.6</v>
      </c>
      <c r="F22" s="140">
        <v>84.5</v>
      </c>
      <c r="G22" s="140">
        <v>90.7</v>
      </c>
    </row>
    <row r="23" spans="1:7" x14ac:dyDescent="0.25">
      <c r="A23" s="138">
        <v>5</v>
      </c>
      <c r="B23" s="140">
        <v>29.1</v>
      </c>
      <c r="C23" s="140">
        <v>65.099999999999994</v>
      </c>
      <c r="D23" s="140">
        <v>93.9</v>
      </c>
      <c r="E23" s="140">
        <v>58.8</v>
      </c>
      <c r="F23" s="140">
        <v>69.400000000000006</v>
      </c>
      <c r="G23" s="140">
        <v>118.1</v>
      </c>
    </row>
    <row r="24" spans="1:7" x14ac:dyDescent="0.25">
      <c r="A24" s="138">
        <v>6</v>
      </c>
      <c r="B24" s="140">
        <v>18.100000000000001</v>
      </c>
      <c r="C24" s="140">
        <v>47</v>
      </c>
      <c r="D24" s="140">
        <v>75.599999999999994</v>
      </c>
      <c r="E24" s="140">
        <v>59.8</v>
      </c>
      <c r="F24" s="140">
        <v>67.3</v>
      </c>
      <c r="G24" s="140">
        <v>117.6</v>
      </c>
    </row>
    <row r="25" spans="1:7" x14ac:dyDescent="0.25">
      <c r="A25" s="138">
        <v>7</v>
      </c>
      <c r="B25" s="140">
        <v>32.6</v>
      </c>
      <c r="C25" s="140">
        <v>45.3</v>
      </c>
      <c r="D25" s="140">
        <v>81.5</v>
      </c>
      <c r="E25" s="140">
        <v>52.6</v>
      </c>
      <c r="F25" s="140">
        <v>60.3</v>
      </c>
      <c r="G25" s="140">
        <v>115</v>
      </c>
    </row>
    <row r="26" spans="1:7" x14ac:dyDescent="0.25">
      <c r="A26" s="138">
        <v>8</v>
      </c>
      <c r="B26" s="140">
        <v>20.5</v>
      </c>
      <c r="C26" s="140">
        <v>69.400000000000006</v>
      </c>
      <c r="D26" s="140">
        <v>89</v>
      </c>
      <c r="E26" s="140">
        <v>38.9</v>
      </c>
      <c r="F26" s="140">
        <v>62.3</v>
      </c>
      <c r="G26" s="140">
        <v>95.2</v>
      </c>
    </row>
    <row r="27" spans="1:7" x14ac:dyDescent="0.25">
      <c r="A27" s="138">
        <v>9</v>
      </c>
      <c r="B27" s="140">
        <v>33</v>
      </c>
      <c r="C27" s="140">
        <v>42.1</v>
      </c>
      <c r="D27" s="140">
        <v>90.7</v>
      </c>
      <c r="E27" s="140">
        <v>54.5</v>
      </c>
      <c r="F27" s="140">
        <v>72.400000000000006</v>
      </c>
      <c r="G27" s="140">
        <v>105.7</v>
      </c>
    </row>
    <row r="28" spans="1:7" x14ac:dyDescent="0.25">
      <c r="A28" s="138">
        <v>10</v>
      </c>
      <c r="B28" s="140">
        <v>33.4</v>
      </c>
      <c r="C28" s="140">
        <v>36.799999999999997</v>
      </c>
      <c r="D28" s="140">
        <v>98.6</v>
      </c>
      <c r="E28" s="140">
        <v>50.6</v>
      </c>
      <c r="F28" s="140">
        <v>69.400000000000006</v>
      </c>
      <c r="G28" s="140">
        <v>119</v>
      </c>
    </row>
    <row r="29" spans="1:7" x14ac:dyDescent="0.25">
      <c r="A29" s="138">
        <v>11</v>
      </c>
      <c r="B29" s="140">
        <v>34.299999999999997</v>
      </c>
      <c r="C29" s="140">
        <v>74.900000000000006</v>
      </c>
      <c r="D29" s="140">
        <v>101.2</v>
      </c>
      <c r="E29" s="140"/>
      <c r="F29" s="140"/>
      <c r="G29" s="140"/>
    </row>
    <row r="30" spans="1:7" x14ac:dyDescent="0.25">
      <c r="A30" s="138">
        <v>12</v>
      </c>
      <c r="B30" s="140">
        <v>24</v>
      </c>
      <c r="C30" s="140">
        <v>67.900000000000006</v>
      </c>
      <c r="D30" s="140">
        <v>91.2</v>
      </c>
      <c r="E30" s="140"/>
      <c r="F30" s="140"/>
      <c r="G30" s="140"/>
    </row>
    <row r="31" spans="1:7" x14ac:dyDescent="0.25">
      <c r="A31" s="138">
        <v>13</v>
      </c>
      <c r="B31" s="140">
        <v>17.399999999999999</v>
      </c>
      <c r="C31" s="140">
        <v>60.8</v>
      </c>
      <c r="D31" s="140">
        <v>95.4</v>
      </c>
      <c r="E31" s="140"/>
      <c r="F31" s="140"/>
      <c r="G31" s="140"/>
    </row>
    <row r="32" spans="1:7" x14ac:dyDescent="0.25">
      <c r="A32" s="138">
        <v>14</v>
      </c>
      <c r="B32" s="140">
        <v>27.3</v>
      </c>
      <c r="C32" s="140">
        <v>62.9</v>
      </c>
      <c r="D32" s="140">
        <v>101.9</v>
      </c>
      <c r="E32" s="140"/>
      <c r="F32" s="140"/>
      <c r="G32" s="140"/>
    </row>
    <row r="33" spans="1:7" ht="14.5" thickBot="1" x14ac:dyDescent="0.3">
      <c r="A33" s="143">
        <v>15</v>
      </c>
      <c r="B33" s="142">
        <v>27.1</v>
      </c>
      <c r="C33" s="142">
        <v>44.5</v>
      </c>
      <c r="D33" s="142">
        <v>98.3</v>
      </c>
      <c r="E33" s="142"/>
      <c r="F33" s="142"/>
      <c r="G33" s="142"/>
    </row>
    <row r="34" spans="1:7" ht="14.5" thickTop="1" x14ac:dyDescent="0.25">
      <c r="A34" s="518" t="s">
        <v>356</v>
      </c>
      <c r="B34" s="519"/>
      <c r="C34" s="519"/>
      <c r="D34" s="519"/>
      <c r="E34" s="519"/>
      <c r="F34" s="519"/>
      <c r="G34" s="520"/>
    </row>
    <row r="35" spans="1:7" ht="14.5" x14ac:dyDescent="0.3">
      <c r="A35" s="137"/>
      <c r="B35" s="516" t="s">
        <v>345</v>
      </c>
      <c r="C35" s="521"/>
      <c r="D35" s="517"/>
      <c r="E35" s="516" t="s">
        <v>346</v>
      </c>
      <c r="F35" s="521"/>
      <c r="G35" s="517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27.2</v>
      </c>
      <c r="C37" s="140">
        <v>39.5</v>
      </c>
      <c r="D37" s="140">
        <v>102.9</v>
      </c>
      <c r="E37" s="140">
        <v>47.5</v>
      </c>
      <c r="F37" s="140">
        <v>89.7</v>
      </c>
      <c r="G37" s="140">
        <v>91.5</v>
      </c>
    </row>
    <row r="38" spans="1:7" x14ac:dyDescent="0.25">
      <c r="A38" s="138">
        <v>2</v>
      </c>
      <c r="B38" s="140">
        <v>18.399999999999999</v>
      </c>
      <c r="C38" s="140">
        <v>71.3</v>
      </c>
      <c r="D38" s="140">
        <v>88</v>
      </c>
      <c r="E38" s="140">
        <v>41.3</v>
      </c>
      <c r="F38" s="140">
        <v>74.900000000000006</v>
      </c>
      <c r="G38" s="140">
        <v>113.9</v>
      </c>
    </row>
    <row r="39" spans="1:7" x14ac:dyDescent="0.25">
      <c r="A39" s="138">
        <v>3</v>
      </c>
      <c r="B39" s="140">
        <v>29.7</v>
      </c>
      <c r="C39" s="140">
        <v>41.4</v>
      </c>
      <c r="D39" s="140">
        <v>96.7</v>
      </c>
      <c r="E39" s="140">
        <v>42.9</v>
      </c>
      <c r="F39" s="140">
        <v>89.2</v>
      </c>
      <c r="G39" s="140">
        <v>116.1</v>
      </c>
    </row>
    <row r="40" spans="1:7" x14ac:dyDescent="0.25">
      <c r="A40" s="138">
        <v>4</v>
      </c>
      <c r="B40" s="140">
        <v>21.9</v>
      </c>
      <c r="C40" s="140">
        <v>44</v>
      </c>
      <c r="D40" s="140">
        <v>94.9</v>
      </c>
      <c r="E40" s="140">
        <v>55.3</v>
      </c>
      <c r="F40" s="140">
        <v>80.5</v>
      </c>
      <c r="G40" s="140">
        <v>107.4</v>
      </c>
    </row>
    <row r="41" spans="1:7" x14ac:dyDescent="0.25">
      <c r="A41" s="138">
        <v>5</v>
      </c>
      <c r="B41" s="140">
        <v>32.6</v>
      </c>
      <c r="C41" s="140">
        <v>37</v>
      </c>
      <c r="D41" s="140">
        <v>101.6</v>
      </c>
      <c r="E41" s="140">
        <v>46</v>
      </c>
      <c r="F41" s="140">
        <v>60.9</v>
      </c>
      <c r="G41" s="140">
        <v>97.4</v>
      </c>
    </row>
    <row r="42" spans="1:7" x14ac:dyDescent="0.25">
      <c r="A42" s="138">
        <v>6</v>
      </c>
      <c r="B42" s="140">
        <v>34.9</v>
      </c>
      <c r="C42" s="140">
        <v>39.9</v>
      </c>
      <c r="D42" s="140">
        <v>97.8</v>
      </c>
      <c r="E42" s="140">
        <v>57.5</v>
      </c>
      <c r="F42" s="140">
        <v>65.400000000000006</v>
      </c>
      <c r="G42" s="140">
        <v>99.6</v>
      </c>
    </row>
    <row r="43" spans="1:7" x14ac:dyDescent="0.25">
      <c r="A43" s="138">
        <v>7</v>
      </c>
      <c r="B43" s="140">
        <v>28.5</v>
      </c>
      <c r="C43" s="140">
        <v>48.2</v>
      </c>
      <c r="D43" s="140">
        <v>81.599999999999994</v>
      </c>
      <c r="E43" s="140">
        <v>34.5</v>
      </c>
      <c r="F43" s="140">
        <v>86.1</v>
      </c>
      <c r="G43" s="140">
        <v>95.5</v>
      </c>
    </row>
    <row r="44" spans="1:7" x14ac:dyDescent="0.25">
      <c r="A44" s="138">
        <v>8</v>
      </c>
      <c r="B44" s="140">
        <v>18.7</v>
      </c>
      <c r="C44" s="140">
        <v>50.5</v>
      </c>
      <c r="D44" s="140">
        <v>85.4</v>
      </c>
      <c r="E44" s="139"/>
      <c r="F44" s="139"/>
      <c r="G44" s="139"/>
    </row>
    <row r="45" spans="1:7" x14ac:dyDescent="0.25">
      <c r="A45" s="138">
        <v>9</v>
      </c>
      <c r="B45" s="140">
        <v>27</v>
      </c>
      <c r="C45" s="140">
        <v>67</v>
      </c>
      <c r="D45" s="140">
        <v>77.400000000000006</v>
      </c>
      <c r="E45" s="139"/>
      <c r="F45" s="139"/>
      <c r="G45" s="139"/>
    </row>
    <row r="46" spans="1:7" x14ac:dyDescent="0.25">
      <c r="A46" s="138">
        <v>10</v>
      </c>
      <c r="B46" s="140">
        <v>19.7</v>
      </c>
      <c r="C46" s="140">
        <v>61</v>
      </c>
      <c r="D46" s="140">
        <v>102.1</v>
      </c>
      <c r="E46" s="139"/>
      <c r="F46" s="139"/>
      <c r="G46" s="139"/>
    </row>
    <row r="47" spans="1:7" x14ac:dyDescent="0.25">
      <c r="A47" s="138">
        <v>11</v>
      </c>
      <c r="B47" s="140">
        <v>27.9</v>
      </c>
      <c r="C47" s="140">
        <v>46.8</v>
      </c>
      <c r="D47" s="140">
        <v>103</v>
      </c>
      <c r="E47" s="139"/>
      <c r="F47" s="139"/>
      <c r="G47" s="139"/>
    </row>
    <row r="48" spans="1:7" x14ac:dyDescent="0.25">
      <c r="A48" s="138">
        <v>12</v>
      </c>
      <c r="B48" s="140">
        <v>28.6</v>
      </c>
      <c r="C48" s="140">
        <v>61</v>
      </c>
      <c r="D48" s="140">
        <v>96.4</v>
      </c>
      <c r="E48" s="139"/>
      <c r="F48" s="139"/>
      <c r="G48" s="139"/>
    </row>
    <row r="49" spans="1:7" x14ac:dyDescent="0.25">
      <c r="A49" s="138">
        <v>13</v>
      </c>
      <c r="B49" s="140">
        <v>30.3</v>
      </c>
      <c r="C49" s="140">
        <v>63.8</v>
      </c>
      <c r="D49" s="140">
        <v>80.099999999999994</v>
      </c>
      <c r="E49" s="139"/>
      <c r="F49" s="139"/>
      <c r="G49" s="139"/>
    </row>
    <row r="50" spans="1:7" x14ac:dyDescent="0.25">
      <c r="A50" s="138">
        <v>14</v>
      </c>
      <c r="B50" s="140">
        <v>16.100000000000001</v>
      </c>
      <c r="C50" s="140">
        <v>65.2</v>
      </c>
      <c r="D50" s="140">
        <v>100.9</v>
      </c>
      <c r="E50" s="139"/>
      <c r="F50" s="139"/>
      <c r="G50" s="139"/>
    </row>
    <row r="51" spans="1:7" x14ac:dyDescent="0.25">
      <c r="A51" s="138">
        <v>15</v>
      </c>
      <c r="B51" s="140">
        <v>20.2</v>
      </c>
      <c r="C51" s="140">
        <v>73.099999999999994</v>
      </c>
      <c r="D51" s="140">
        <v>102.1</v>
      </c>
      <c r="E51" s="139"/>
      <c r="F51" s="139"/>
      <c r="G51" s="139"/>
    </row>
    <row r="52" spans="1:7" x14ac:dyDescent="0.25">
      <c r="A52" s="138">
        <v>16</v>
      </c>
      <c r="B52" s="140">
        <v>24.2</v>
      </c>
      <c r="C52" s="140">
        <v>70.8</v>
      </c>
      <c r="D52" s="140">
        <v>93.5</v>
      </c>
      <c r="E52" s="139"/>
      <c r="F52" s="139"/>
      <c r="G52" s="139"/>
    </row>
    <row r="53" spans="1:7" x14ac:dyDescent="0.25">
      <c r="A53" s="138">
        <v>17</v>
      </c>
      <c r="B53" s="140">
        <v>24.2</v>
      </c>
      <c r="C53" s="140">
        <v>73.7</v>
      </c>
      <c r="D53" s="140">
        <v>84.6</v>
      </c>
      <c r="E53" s="139"/>
      <c r="F53" s="139"/>
      <c r="G53" s="139"/>
    </row>
    <row r="54" spans="1:7" x14ac:dyDescent="0.25">
      <c r="A54" s="138">
        <v>18</v>
      </c>
      <c r="B54" s="140">
        <v>25.7</v>
      </c>
      <c r="C54" s="140">
        <v>52.8</v>
      </c>
      <c r="D54" s="140">
        <v>91.2</v>
      </c>
      <c r="E54" s="139"/>
      <c r="F54" s="139"/>
      <c r="G54" s="139"/>
    </row>
    <row r="55" spans="1:7" ht="14.5" thickBot="1" x14ac:dyDescent="0.3">
      <c r="A55" s="141">
        <v>19</v>
      </c>
      <c r="B55" s="142">
        <v>21.3</v>
      </c>
      <c r="C55" s="142">
        <v>64.2</v>
      </c>
      <c r="D55" s="142">
        <v>103</v>
      </c>
      <c r="E55" s="142"/>
      <c r="F55" s="142"/>
      <c r="G55" s="142"/>
    </row>
    <row r="56" spans="1:7" ht="14.5" thickTop="1" x14ac:dyDescent="0.25">
      <c r="A56" s="518" t="s">
        <v>357</v>
      </c>
      <c r="B56" s="519"/>
      <c r="C56" s="519"/>
      <c r="D56" s="519"/>
      <c r="E56" s="519"/>
      <c r="F56" s="519"/>
      <c r="G56" s="520"/>
    </row>
    <row r="57" spans="1:7" ht="14.5" x14ac:dyDescent="0.3">
      <c r="A57" s="137"/>
      <c r="B57" s="516" t="s">
        <v>345</v>
      </c>
      <c r="C57" s="521"/>
      <c r="D57" s="517"/>
      <c r="E57" s="516" t="s">
        <v>346</v>
      </c>
      <c r="F57" s="521"/>
      <c r="G57" s="517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27.4</v>
      </c>
      <c r="C59" s="140">
        <v>60.8</v>
      </c>
      <c r="D59" s="140">
        <v>83.1</v>
      </c>
      <c r="E59" s="140">
        <v>48</v>
      </c>
      <c r="F59" s="140">
        <v>68.3</v>
      </c>
      <c r="G59" s="140">
        <v>103.2</v>
      </c>
    </row>
    <row r="60" spans="1:7" x14ac:dyDescent="0.25">
      <c r="A60" s="138">
        <v>2</v>
      </c>
      <c r="B60" s="140">
        <v>32.4</v>
      </c>
      <c r="C60" s="140">
        <v>56.3</v>
      </c>
      <c r="D60" s="140">
        <v>79.7</v>
      </c>
      <c r="E60" s="140">
        <v>33.6</v>
      </c>
      <c r="F60" s="140">
        <v>88.1</v>
      </c>
      <c r="G60" s="140">
        <v>116</v>
      </c>
    </row>
    <row r="61" spans="1:7" x14ac:dyDescent="0.25">
      <c r="A61" s="138">
        <v>3</v>
      </c>
      <c r="B61" s="140">
        <v>29</v>
      </c>
      <c r="C61" s="140">
        <v>63.5</v>
      </c>
      <c r="D61" s="140">
        <v>87</v>
      </c>
      <c r="E61" s="140">
        <v>27.6</v>
      </c>
      <c r="F61" s="140">
        <v>72.3</v>
      </c>
      <c r="G61" s="140">
        <v>108.7</v>
      </c>
    </row>
    <row r="62" spans="1:7" x14ac:dyDescent="0.25">
      <c r="A62" s="138">
        <v>4</v>
      </c>
      <c r="B62" s="140">
        <v>15.1</v>
      </c>
      <c r="C62" s="140">
        <v>42.1</v>
      </c>
      <c r="D62" s="140">
        <v>88.2</v>
      </c>
      <c r="E62" s="140">
        <v>34.799999999999997</v>
      </c>
      <c r="F62" s="140">
        <v>68.099999999999994</v>
      </c>
      <c r="G62" s="140">
        <v>93.3</v>
      </c>
    </row>
    <row r="63" spans="1:7" x14ac:dyDescent="0.25">
      <c r="A63" s="138">
        <v>5</v>
      </c>
      <c r="B63" s="140">
        <v>31.1</v>
      </c>
      <c r="C63" s="140">
        <v>65.2</v>
      </c>
      <c r="D63" s="140">
        <v>87.4</v>
      </c>
      <c r="E63" s="140">
        <v>43.2</v>
      </c>
      <c r="F63" s="140">
        <v>85.2</v>
      </c>
      <c r="G63" s="140">
        <v>99.3</v>
      </c>
    </row>
    <row r="64" spans="1:7" x14ac:dyDescent="0.25">
      <c r="A64" s="144">
        <v>6</v>
      </c>
      <c r="B64" s="140">
        <v>33.200000000000003</v>
      </c>
      <c r="C64" s="140">
        <v>44</v>
      </c>
      <c r="D64" s="140">
        <v>97</v>
      </c>
      <c r="E64" s="140">
        <v>41.3</v>
      </c>
      <c r="F64" s="140">
        <v>64.400000000000006</v>
      </c>
      <c r="G64" s="140">
        <v>100.2</v>
      </c>
    </row>
    <row r="65" spans="1:7" ht="14.5" thickBot="1" x14ac:dyDescent="0.3">
      <c r="A65" s="141">
        <v>7</v>
      </c>
      <c r="B65" s="142">
        <v>32.700000000000003</v>
      </c>
      <c r="C65" s="142">
        <v>53.5</v>
      </c>
      <c r="D65" s="142">
        <v>77.7</v>
      </c>
      <c r="E65" s="142">
        <v>29.3</v>
      </c>
      <c r="F65" s="142">
        <v>83</v>
      </c>
      <c r="G65" s="142">
        <v>93.5</v>
      </c>
    </row>
    <row r="66" spans="1:7" ht="14.5" thickTop="1" x14ac:dyDescent="0.25">
      <c r="A66" s="518" t="s">
        <v>358</v>
      </c>
      <c r="B66" s="519"/>
      <c r="C66" s="519"/>
      <c r="D66" s="519"/>
      <c r="E66" s="519"/>
      <c r="F66" s="519"/>
      <c r="G66" s="520"/>
    </row>
    <row r="67" spans="1:7" ht="14.5" x14ac:dyDescent="0.3">
      <c r="A67" s="137"/>
      <c r="B67" s="516" t="s">
        <v>345</v>
      </c>
      <c r="C67" s="521"/>
      <c r="D67" s="517"/>
      <c r="E67" s="516" t="s">
        <v>346</v>
      </c>
      <c r="F67" s="521"/>
      <c r="G67" s="517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19.5</v>
      </c>
      <c r="C69" s="140">
        <v>44.8</v>
      </c>
      <c r="D69" s="140">
        <v>77.5</v>
      </c>
      <c r="E69" s="140">
        <v>45.4</v>
      </c>
      <c r="F69" s="140">
        <v>80.3</v>
      </c>
      <c r="G69" s="140">
        <v>113.1</v>
      </c>
    </row>
    <row r="70" spans="1:7" x14ac:dyDescent="0.25">
      <c r="A70" s="138">
        <v>2</v>
      </c>
      <c r="B70" s="140">
        <v>23.3</v>
      </c>
      <c r="C70" s="140">
        <v>57.9</v>
      </c>
      <c r="D70" s="140">
        <v>87.6</v>
      </c>
      <c r="E70" s="140">
        <v>51.8</v>
      </c>
      <c r="F70" s="140">
        <v>79.5</v>
      </c>
      <c r="G70" s="140">
        <v>92.1</v>
      </c>
    </row>
    <row r="71" spans="1:7" x14ac:dyDescent="0.25">
      <c r="A71" s="138">
        <v>3</v>
      </c>
      <c r="B71" s="140">
        <v>21.8</v>
      </c>
      <c r="C71" s="140">
        <v>44.8</v>
      </c>
      <c r="D71" s="140">
        <v>77.900000000000006</v>
      </c>
      <c r="E71" s="140">
        <v>44.5</v>
      </c>
      <c r="F71" s="140">
        <v>69.2</v>
      </c>
      <c r="G71" s="140">
        <v>103.9</v>
      </c>
    </row>
    <row r="72" spans="1:7" x14ac:dyDescent="0.25">
      <c r="A72" s="138">
        <v>4</v>
      </c>
      <c r="B72" s="140">
        <v>32.5</v>
      </c>
      <c r="C72" s="140">
        <v>70.7</v>
      </c>
      <c r="D72" s="140">
        <v>78.2</v>
      </c>
      <c r="E72" s="140">
        <v>44.6</v>
      </c>
      <c r="F72" s="140">
        <v>87.9</v>
      </c>
      <c r="G72" s="140">
        <v>93.6</v>
      </c>
    </row>
    <row r="73" spans="1:7" x14ac:dyDescent="0.25">
      <c r="A73" s="138">
        <v>5</v>
      </c>
      <c r="B73" s="140">
        <v>15.2</v>
      </c>
      <c r="C73" s="140">
        <v>67.3</v>
      </c>
      <c r="D73" s="140">
        <v>75.2</v>
      </c>
      <c r="E73" s="140">
        <v>56.1</v>
      </c>
      <c r="F73" s="140">
        <v>78.099999999999994</v>
      </c>
      <c r="G73" s="140">
        <v>113.1</v>
      </c>
    </row>
    <row r="74" spans="1:7" x14ac:dyDescent="0.25">
      <c r="A74" s="138">
        <v>6</v>
      </c>
      <c r="B74" s="140">
        <v>17.2</v>
      </c>
      <c r="C74" s="140">
        <v>65.7</v>
      </c>
      <c r="D74" s="140">
        <v>89.3</v>
      </c>
      <c r="E74" s="140">
        <v>35.299999999999997</v>
      </c>
      <c r="F74" s="140">
        <v>68</v>
      </c>
      <c r="G74" s="140">
        <v>103</v>
      </c>
    </row>
    <row r="75" spans="1:7" x14ac:dyDescent="0.25">
      <c r="A75" s="138">
        <v>7</v>
      </c>
      <c r="B75" s="140">
        <v>25.7</v>
      </c>
      <c r="C75" s="140">
        <v>37.4</v>
      </c>
      <c r="D75" s="140">
        <v>96.4</v>
      </c>
      <c r="E75" s="140">
        <v>42.7</v>
      </c>
      <c r="F75" s="140">
        <v>81.900000000000006</v>
      </c>
      <c r="G75" s="140">
        <v>118.1</v>
      </c>
    </row>
    <row r="76" spans="1:7" x14ac:dyDescent="0.25">
      <c r="A76" s="138">
        <v>8</v>
      </c>
      <c r="B76" s="140">
        <v>21.9</v>
      </c>
      <c r="C76" s="140">
        <v>53.7</v>
      </c>
      <c r="D76" s="140">
        <v>103.3</v>
      </c>
      <c r="E76" s="140">
        <v>57.8</v>
      </c>
      <c r="F76" s="140">
        <v>88.2</v>
      </c>
      <c r="G76" s="140">
        <v>95.1</v>
      </c>
    </row>
    <row r="77" spans="1:7" x14ac:dyDescent="0.25">
      <c r="A77" s="138">
        <v>9</v>
      </c>
      <c r="B77" s="140">
        <v>18.899999999999999</v>
      </c>
      <c r="C77" s="140">
        <v>66.3</v>
      </c>
      <c r="D77" s="140">
        <v>93.6</v>
      </c>
      <c r="E77" s="140">
        <v>49.4</v>
      </c>
      <c r="F77" s="140">
        <v>66.400000000000006</v>
      </c>
      <c r="G77" s="140">
        <v>100.5</v>
      </c>
    </row>
    <row r="78" spans="1:7" x14ac:dyDescent="0.25">
      <c r="A78" s="138">
        <v>10</v>
      </c>
      <c r="B78" s="140">
        <v>23.7</v>
      </c>
      <c r="C78" s="140">
        <v>71.3</v>
      </c>
      <c r="D78" s="140">
        <v>89.5</v>
      </c>
      <c r="E78" s="140">
        <v>34</v>
      </c>
      <c r="F78" s="140">
        <v>77.3</v>
      </c>
      <c r="G78" s="140">
        <v>97.8</v>
      </c>
    </row>
    <row r="79" spans="1:7" x14ac:dyDescent="0.25">
      <c r="A79" s="138">
        <v>11</v>
      </c>
      <c r="B79" s="140">
        <v>24.6</v>
      </c>
      <c r="C79" s="140">
        <v>59.3</v>
      </c>
      <c r="D79" s="140">
        <v>109.2</v>
      </c>
      <c r="E79" s="140">
        <v>27.7</v>
      </c>
      <c r="F79" s="140">
        <v>61.3</v>
      </c>
      <c r="G79" s="140">
        <v>111.2</v>
      </c>
    </row>
    <row r="80" spans="1:7" x14ac:dyDescent="0.25">
      <c r="A80" s="138">
        <v>12</v>
      </c>
      <c r="B80" s="140">
        <v>19.7</v>
      </c>
      <c r="C80" s="140">
        <v>51.8</v>
      </c>
      <c r="D80" s="140">
        <v>76</v>
      </c>
      <c r="E80" s="140">
        <v>32.700000000000003</v>
      </c>
      <c r="F80" s="140">
        <v>82.6</v>
      </c>
      <c r="G80" s="140">
        <v>116.4</v>
      </c>
    </row>
    <row r="81" spans="1:7" x14ac:dyDescent="0.25">
      <c r="A81" s="138">
        <v>13</v>
      </c>
      <c r="B81" s="140">
        <v>33.9</v>
      </c>
      <c r="C81" s="140">
        <v>55.8</v>
      </c>
      <c r="D81" s="140">
        <v>93.2</v>
      </c>
      <c r="E81" s="140">
        <v>35.799999999999997</v>
      </c>
      <c r="F81" s="140">
        <v>68.3</v>
      </c>
      <c r="G81" s="140">
        <v>116.3</v>
      </c>
    </row>
    <row r="82" spans="1:7" x14ac:dyDescent="0.25">
      <c r="A82" s="138">
        <v>14</v>
      </c>
      <c r="B82" s="140">
        <v>27.2</v>
      </c>
      <c r="C82" s="140">
        <v>38.299999999999997</v>
      </c>
      <c r="D82" s="140">
        <v>106.6</v>
      </c>
      <c r="E82" s="140">
        <v>34.799999999999997</v>
      </c>
      <c r="F82" s="140">
        <v>87.9</v>
      </c>
      <c r="G82" s="140">
        <v>113.5</v>
      </c>
    </row>
    <row r="83" spans="1:7" x14ac:dyDescent="0.25">
      <c r="A83" s="138">
        <v>15</v>
      </c>
      <c r="B83" s="140">
        <v>15.8</v>
      </c>
      <c r="C83" s="140">
        <v>65.5</v>
      </c>
      <c r="D83" s="140">
        <v>94.1</v>
      </c>
      <c r="E83" s="140">
        <v>52.3</v>
      </c>
      <c r="F83" s="140">
        <v>87.7</v>
      </c>
      <c r="G83" s="140">
        <v>105.3</v>
      </c>
    </row>
    <row r="84" spans="1:7" x14ac:dyDescent="0.25">
      <c r="A84" s="138">
        <v>16</v>
      </c>
      <c r="B84" s="140">
        <v>15.1</v>
      </c>
      <c r="C84" s="140">
        <v>44.5</v>
      </c>
      <c r="D84" s="140">
        <v>80.900000000000006</v>
      </c>
      <c r="E84" s="140"/>
      <c r="F84" s="140"/>
      <c r="G84" s="140"/>
    </row>
    <row r="85" spans="1:7" ht="14.5" thickBot="1" x14ac:dyDescent="0.3">
      <c r="A85" s="143">
        <v>17</v>
      </c>
      <c r="B85" s="142">
        <v>31.2</v>
      </c>
      <c r="C85" s="142">
        <v>54.7</v>
      </c>
      <c r="D85" s="142">
        <v>105.6</v>
      </c>
      <c r="E85" s="145"/>
      <c r="F85" s="145"/>
      <c r="G85" s="145"/>
    </row>
    <row r="86" spans="1:7" ht="14.5" thickTop="1" x14ac:dyDescent="0.25">
      <c r="A86" s="518" t="s">
        <v>359</v>
      </c>
      <c r="B86" s="519"/>
      <c r="C86" s="519"/>
      <c r="D86" s="519"/>
      <c r="E86" s="519"/>
      <c r="F86" s="519"/>
      <c r="G86" s="520"/>
    </row>
    <row r="87" spans="1:7" ht="14.5" x14ac:dyDescent="0.3">
      <c r="A87" s="137"/>
      <c r="B87" s="516" t="s">
        <v>345</v>
      </c>
      <c r="C87" s="521"/>
      <c r="D87" s="517"/>
      <c r="E87" s="516" t="s">
        <v>346</v>
      </c>
      <c r="F87" s="521"/>
      <c r="G87" s="517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32.4</v>
      </c>
      <c r="C89" s="140">
        <v>39.200000000000003</v>
      </c>
      <c r="D89" s="140">
        <v>104.4</v>
      </c>
      <c r="E89" s="140">
        <v>49.2</v>
      </c>
      <c r="F89" s="140">
        <v>82.9</v>
      </c>
      <c r="G89" s="140">
        <v>94.4</v>
      </c>
    </row>
    <row r="90" spans="1:7" x14ac:dyDescent="0.25">
      <c r="A90" s="138">
        <v>2</v>
      </c>
      <c r="B90" s="140">
        <v>34</v>
      </c>
      <c r="C90" s="140">
        <v>60</v>
      </c>
      <c r="D90" s="140">
        <v>104.3</v>
      </c>
      <c r="E90" s="140">
        <v>35.6</v>
      </c>
      <c r="F90" s="140">
        <v>82.4</v>
      </c>
      <c r="G90" s="140">
        <v>117.4</v>
      </c>
    </row>
    <row r="91" spans="1:7" x14ac:dyDescent="0.25">
      <c r="A91" s="138">
        <v>3</v>
      </c>
      <c r="B91" s="140">
        <v>17.3</v>
      </c>
      <c r="C91" s="140">
        <v>62.6</v>
      </c>
      <c r="D91" s="140">
        <v>100.5</v>
      </c>
      <c r="E91" s="140">
        <v>58.5</v>
      </c>
      <c r="F91" s="140">
        <v>76.3</v>
      </c>
      <c r="G91" s="140">
        <v>113.7</v>
      </c>
    </row>
    <row r="92" spans="1:7" x14ac:dyDescent="0.25">
      <c r="A92" s="138">
        <v>4</v>
      </c>
      <c r="B92" s="140">
        <v>21.3</v>
      </c>
      <c r="C92" s="140">
        <v>68.7</v>
      </c>
      <c r="D92" s="140">
        <v>78.3</v>
      </c>
      <c r="E92" s="140">
        <v>28.3</v>
      </c>
      <c r="F92" s="140">
        <v>83</v>
      </c>
      <c r="G92" s="140">
        <v>90.1</v>
      </c>
    </row>
    <row r="93" spans="1:7" x14ac:dyDescent="0.25">
      <c r="A93" s="138">
        <v>5</v>
      </c>
      <c r="B93" s="140">
        <v>25.6</v>
      </c>
      <c r="C93" s="140">
        <v>65.3</v>
      </c>
      <c r="D93" s="140">
        <v>89.3</v>
      </c>
      <c r="E93" s="140">
        <v>29</v>
      </c>
      <c r="F93" s="140">
        <v>82.7</v>
      </c>
      <c r="G93" s="140">
        <v>92.3</v>
      </c>
    </row>
    <row r="94" spans="1:7" x14ac:dyDescent="0.25">
      <c r="A94" s="138">
        <v>6</v>
      </c>
      <c r="B94" s="140">
        <v>25.3</v>
      </c>
      <c r="C94" s="140">
        <v>57.5</v>
      </c>
      <c r="D94" s="140">
        <v>75.900000000000006</v>
      </c>
      <c r="E94" s="140">
        <v>43.7</v>
      </c>
      <c r="F94" s="140">
        <v>64.900000000000006</v>
      </c>
      <c r="G94" s="140">
        <v>102.7</v>
      </c>
    </row>
    <row r="95" spans="1:7" x14ac:dyDescent="0.25">
      <c r="A95" s="138">
        <v>7</v>
      </c>
      <c r="B95" s="140">
        <v>33.799999999999997</v>
      </c>
      <c r="C95" s="140">
        <v>57.6</v>
      </c>
      <c r="D95" s="140">
        <v>93.3</v>
      </c>
      <c r="E95" s="140">
        <v>51.2</v>
      </c>
      <c r="F95" s="140">
        <v>89.2</v>
      </c>
      <c r="G95" s="140">
        <v>96.2</v>
      </c>
    </row>
    <row r="96" spans="1:7" x14ac:dyDescent="0.25">
      <c r="A96" s="138">
        <v>8</v>
      </c>
      <c r="B96" s="140">
        <v>15.1</v>
      </c>
      <c r="C96" s="140">
        <v>44.6</v>
      </c>
      <c r="D96" s="140">
        <v>100.5</v>
      </c>
      <c r="E96" s="139"/>
      <c r="F96" s="139"/>
      <c r="G96" s="139"/>
    </row>
    <row r="97" spans="1:7" x14ac:dyDescent="0.25">
      <c r="A97" s="138">
        <v>9</v>
      </c>
      <c r="B97" s="140">
        <v>31.9</v>
      </c>
      <c r="C97" s="140">
        <v>73.5</v>
      </c>
      <c r="D97" s="140">
        <v>95.3</v>
      </c>
      <c r="E97" s="139"/>
      <c r="F97" s="139"/>
      <c r="G97" s="139"/>
    </row>
    <row r="98" spans="1:7" x14ac:dyDescent="0.25">
      <c r="A98" s="138">
        <v>10</v>
      </c>
      <c r="B98" s="140">
        <v>19.100000000000001</v>
      </c>
      <c r="C98" s="140">
        <v>49.6</v>
      </c>
      <c r="D98" s="140">
        <v>95.1</v>
      </c>
      <c r="E98" s="139"/>
      <c r="F98" s="139"/>
      <c r="G98" s="139"/>
    </row>
    <row r="99" spans="1:7" x14ac:dyDescent="0.25">
      <c r="A99" s="138">
        <v>11</v>
      </c>
      <c r="B99" s="140">
        <v>31.8</v>
      </c>
      <c r="C99" s="140">
        <v>55.7</v>
      </c>
      <c r="D99" s="140">
        <v>85.3</v>
      </c>
      <c r="E99" s="139"/>
      <c r="F99" s="139"/>
      <c r="G99" s="139"/>
    </row>
    <row r="100" spans="1:7" x14ac:dyDescent="0.25">
      <c r="A100" s="138">
        <v>12</v>
      </c>
      <c r="B100" s="140">
        <v>25.5</v>
      </c>
      <c r="C100" s="140">
        <v>44.1</v>
      </c>
      <c r="D100" s="140">
        <v>96.1</v>
      </c>
      <c r="E100" s="139"/>
      <c r="F100" s="139"/>
      <c r="G100" s="139"/>
    </row>
    <row r="101" spans="1:7" x14ac:dyDescent="0.25">
      <c r="A101" s="138">
        <v>13</v>
      </c>
      <c r="B101" s="140">
        <v>26.7</v>
      </c>
      <c r="C101" s="140">
        <v>63.4</v>
      </c>
      <c r="D101" s="140">
        <v>103.2</v>
      </c>
      <c r="E101" s="139"/>
      <c r="F101" s="139"/>
      <c r="G101" s="139"/>
    </row>
    <row r="102" spans="1:7" x14ac:dyDescent="0.25">
      <c r="A102" s="138">
        <v>14</v>
      </c>
      <c r="B102" s="140">
        <v>24.4</v>
      </c>
      <c r="C102" s="140">
        <v>48.4</v>
      </c>
      <c r="D102" s="140">
        <v>80.900000000000006</v>
      </c>
      <c r="E102" s="139"/>
      <c r="F102" s="139"/>
      <c r="G102" s="139"/>
    </row>
    <row r="103" spans="1:7" x14ac:dyDescent="0.25">
      <c r="A103" s="138">
        <v>15</v>
      </c>
      <c r="B103" s="140">
        <v>18.5</v>
      </c>
      <c r="C103" s="140">
        <v>42.3</v>
      </c>
      <c r="D103" s="140">
        <v>77.3</v>
      </c>
      <c r="E103" s="139"/>
      <c r="F103" s="139"/>
      <c r="G103" s="139"/>
    </row>
    <row r="104" spans="1:7" x14ac:dyDescent="0.25">
      <c r="A104" s="138">
        <v>16</v>
      </c>
      <c r="B104" s="140">
        <v>21.7</v>
      </c>
      <c r="C104" s="140">
        <v>74.7</v>
      </c>
      <c r="D104" s="140">
        <v>102.6</v>
      </c>
      <c r="E104" s="139"/>
      <c r="F104" s="139"/>
      <c r="G104" s="139"/>
    </row>
    <row r="105" spans="1:7" x14ac:dyDescent="0.25">
      <c r="A105" s="138">
        <v>17</v>
      </c>
      <c r="B105" s="140">
        <v>19.3</v>
      </c>
      <c r="C105" s="140">
        <v>62.9</v>
      </c>
      <c r="D105" s="140">
        <v>99.4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84.3</v>
      </c>
      <c r="E106" s="145"/>
      <c r="F106" s="145"/>
      <c r="G106" s="145"/>
    </row>
    <row r="107" spans="1:7" ht="14.5" thickTop="1" x14ac:dyDescent="0.25">
      <c r="A107" s="518" t="s">
        <v>360</v>
      </c>
      <c r="B107" s="519"/>
      <c r="C107" s="519"/>
      <c r="D107" s="519"/>
      <c r="E107" s="519"/>
      <c r="F107" s="519"/>
      <c r="G107" s="520"/>
    </row>
    <row r="108" spans="1:7" ht="14.5" x14ac:dyDescent="0.3">
      <c r="A108" s="137"/>
      <c r="B108" s="516" t="s">
        <v>345</v>
      </c>
      <c r="C108" s="521"/>
      <c r="D108" s="517"/>
      <c r="E108" s="516" t="s">
        <v>346</v>
      </c>
      <c r="F108" s="521"/>
      <c r="G108" s="517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16.8</v>
      </c>
      <c r="C110" s="140">
        <v>43.3</v>
      </c>
      <c r="D110" s="140">
        <v>106.5</v>
      </c>
      <c r="E110" s="140">
        <v>25</v>
      </c>
      <c r="F110" s="140">
        <v>69.7</v>
      </c>
      <c r="G110" s="140">
        <v>105.5</v>
      </c>
    </row>
    <row r="111" spans="1:7" x14ac:dyDescent="0.25">
      <c r="A111" s="138">
        <v>2</v>
      </c>
      <c r="B111" s="140">
        <v>28.5</v>
      </c>
      <c r="C111" s="140">
        <v>57.1</v>
      </c>
      <c r="D111" s="140">
        <v>97.5</v>
      </c>
      <c r="E111" s="140">
        <v>54.9</v>
      </c>
      <c r="F111" s="140">
        <v>74.3</v>
      </c>
      <c r="G111" s="140">
        <v>100.7</v>
      </c>
    </row>
    <row r="112" spans="1:7" ht="14.5" thickBot="1" x14ac:dyDescent="0.3">
      <c r="A112" s="143">
        <v>3</v>
      </c>
      <c r="B112" s="145"/>
      <c r="C112" s="145"/>
      <c r="D112" s="145"/>
      <c r="E112" s="145">
        <v>27.3</v>
      </c>
      <c r="F112" s="145">
        <v>78.2</v>
      </c>
      <c r="G112" s="145">
        <v>104</v>
      </c>
    </row>
    <row r="113" spans="1:7" ht="14.5" thickTop="1" x14ac:dyDescent="0.25">
      <c r="A113" s="518" t="s">
        <v>361</v>
      </c>
      <c r="B113" s="519"/>
      <c r="C113" s="519"/>
      <c r="D113" s="519"/>
      <c r="E113" s="519"/>
      <c r="F113" s="519"/>
      <c r="G113" s="520"/>
    </row>
    <row r="114" spans="1:7" ht="14.5" x14ac:dyDescent="0.3">
      <c r="A114" s="137"/>
      <c r="B114" s="516" t="s">
        <v>345</v>
      </c>
      <c r="C114" s="521"/>
      <c r="D114" s="517"/>
      <c r="E114" s="516" t="s">
        <v>346</v>
      </c>
      <c r="F114" s="521"/>
      <c r="G114" s="517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34.4</v>
      </c>
      <c r="C116" s="140">
        <v>57.8</v>
      </c>
      <c r="D116" s="140">
        <v>101.8</v>
      </c>
      <c r="E116" s="140">
        <v>57.6</v>
      </c>
      <c r="F116" s="140">
        <v>88.2</v>
      </c>
      <c r="G116" s="140">
        <v>114.7</v>
      </c>
    </row>
    <row r="117" spans="1:7" x14ac:dyDescent="0.25">
      <c r="A117" s="138">
        <v>2</v>
      </c>
      <c r="B117" s="140">
        <v>21.3</v>
      </c>
      <c r="C117" s="140">
        <v>58.3</v>
      </c>
      <c r="D117" s="140">
        <v>79</v>
      </c>
      <c r="E117" s="140">
        <v>49.6</v>
      </c>
      <c r="F117" s="140">
        <v>70.099999999999994</v>
      </c>
      <c r="G117" s="140">
        <v>92.1</v>
      </c>
    </row>
    <row r="118" spans="1:7" x14ac:dyDescent="0.25">
      <c r="A118" s="138">
        <v>3</v>
      </c>
      <c r="B118" s="140">
        <v>26.1</v>
      </c>
      <c r="C118" s="140">
        <v>40.5</v>
      </c>
      <c r="D118" s="140">
        <v>94.8</v>
      </c>
      <c r="E118" s="140">
        <v>58.8</v>
      </c>
      <c r="F118" s="140">
        <v>84.5</v>
      </c>
      <c r="G118" s="140">
        <v>115.7</v>
      </c>
    </row>
    <row r="119" spans="1:7" x14ac:dyDescent="0.25">
      <c r="A119" s="138">
        <v>4</v>
      </c>
      <c r="B119" s="140">
        <v>21.3</v>
      </c>
      <c r="C119" s="140">
        <v>70.2</v>
      </c>
      <c r="D119" s="140">
        <v>81.099999999999994</v>
      </c>
      <c r="E119" s="140">
        <v>59.5</v>
      </c>
      <c r="F119" s="140">
        <v>89</v>
      </c>
      <c r="G119" s="140">
        <v>110.6</v>
      </c>
    </row>
    <row r="120" spans="1:7" x14ac:dyDescent="0.25">
      <c r="A120" s="138">
        <v>5</v>
      </c>
      <c r="B120" s="139"/>
      <c r="C120" s="139"/>
      <c r="D120" s="139"/>
      <c r="E120" s="140">
        <v>34</v>
      </c>
      <c r="F120" s="140">
        <v>64</v>
      </c>
      <c r="G120" s="140">
        <v>109</v>
      </c>
    </row>
    <row r="121" spans="1:7" x14ac:dyDescent="0.25">
      <c r="A121" s="138">
        <v>6</v>
      </c>
      <c r="B121" s="139"/>
      <c r="C121" s="139"/>
      <c r="D121" s="139"/>
      <c r="E121" s="140">
        <v>42.1</v>
      </c>
      <c r="F121" s="140">
        <v>62.2</v>
      </c>
      <c r="G121" s="140">
        <v>117.5</v>
      </c>
    </row>
    <row r="122" spans="1:7" x14ac:dyDescent="0.25">
      <c r="A122" s="138">
        <v>7</v>
      </c>
      <c r="B122" s="139"/>
      <c r="C122" s="139"/>
      <c r="D122" s="139"/>
      <c r="E122" s="140">
        <v>25.3</v>
      </c>
      <c r="F122" s="140">
        <v>77</v>
      </c>
      <c r="G122" s="140">
        <v>106.6</v>
      </c>
    </row>
    <row r="123" spans="1:7" x14ac:dyDescent="0.25">
      <c r="A123" s="138">
        <v>8</v>
      </c>
      <c r="B123" s="139"/>
      <c r="C123" s="139"/>
      <c r="D123" s="139"/>
      <c r="E123" s="140">
        <v>39.9</v>
      </c>
      <c r="F123" s="140">
        <v>72.3</v>
      </c>
      <c r="G123" s="140">
        <v>113.7</v>
      </c>
    </row>
    <row r="124" spans="1:7" ht="14.5" thickBot="1" x14ac:dyDescent="0.3">
      <c r="A124" s="143">
        <v>9</v>
      </c>
      <c r="B124" s="145"/>
      <c r="C124" s="145"/>
      <c r="D124" s="145"/>
      <c r="E124" s="145">
        <v>59.2</v>
      </c>
      <c r="F124" s="145">
        <v>70.599999999999994</v>
      </c>
      <c r="G124" s="145">
        <v>100.8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55.616666666666667</v>
      </c>
      <c r="C129" s="147">
        <f>AVERAGE(E5:G7)</f>
        <v>70.155555555555566</v>
      </c>
      <c r="D129" s="138">
        <v>2058</v>
      </c>
      <c r="E129" s="138">
        <v>4333</v>
      </c>
      <c r="F129" s="138">
        <f>D129*B129</f>
        <v>114459.1</v>
      </c>
      <c r="G129" s="138">
        <f>E129*C129</f>
        <v>303984.02222222229</v>
      </c>
    </row>
    <row r="130" spans="1:7" x14ac:dyDescent="0.25">
      <c r="A130" s="139" t="str">
        <f>A8</f>
        <v>Dongyuan Huangtian swine Farm</v>
      </c>
      <c r="B130" s="146">
        <f>AVERAGE((B11:D15))</f>
        <v>59.36</v>
      </c>
      <c r="C130" s="146">
        <f>AVERAGE(E11:G11)</f>
        <v>78.100000000000009</v>
      </c>
      <c r="D130" s="138">
        <v>6272</v>
      </c>
      <c r="E130" s="138">
        <v>1421</v>
      </c>
      <c r="F130" s="138">
        <f t="shared" ref="F130:G137" si="0">D130*B130</f>
        <v>372305.91999999998</v>
      </c>
      <c r="G130" s="138">
        <f t="shared" si="0"/>
        <v>110980.1</v>
      </c>
    </row>
    <row r="131" spans="1:7" x14ac:dyDescent="0.25">
      <c r="A131" s="139" t="str">
        <f>A16</f>
        <v>Enping Shahu swine  Farm</v>
      </c>
      <c r="B131" s="146">
        <f>AVERAGE(B19:D33)</f>
        <v>57.248888888888914</v>
      </c>
      <c r="C131" s="146">
        <f>AVERAGE(E19:G28)</f>
        <v>75.67</v>
      </c>
      <c r="D131" s="138">
        <v>22171</v>
      </c>
      <c r="E131" s="138">
        <v>15373</v>
      </c>
      <c r="F131" s="138">
        <f t="shared" si="0"/>
        <v>1269265.115555556</v>
      </c>
      <c r="G131" s="138">
        <f t="shared" si="0"/>
        <v>1163274.9099999999</v>
      </c>
    </row>
    <row r="132" spans="1:7" x14ac:dyDescent="0.25">
      <c r="A132" s="139" t="str">
        <f>A34</f>
        <v>Langtian Yuehui swine Farm</v>
      </c>
      <c r="B132" s="146">
        <f>AVERAGE(B37:D55)</f>
        <v>58.447368421052616</v>
      </c>
      <c r="C132" s="146">
        <f>AVERAGE(E37:G43)</f>
        <v>75.861904761904754</v>
      </c>
      <c r="D132" s="138">
        <v>28130</v>
      </c>
      <c r="E132" s="138">
        <v>9919</v>
      </c>
      <c r="F132" s="138">
        <f t="shared" si="0"/>
        <v>1644124.4736842101</v>
      </c>
      <c r="G132" s="138">
        <f t="shared" si="0"/>
        <v>752474.23333333328</v>
      </c>
    </row>
    <row r="133" spans="1:7" x14ac:dyDescent="0.25">
      <c r="A133" s="139" t="str">
        <f>A56</f>
        <v>Qujiang Fengwan swine Farm</v>
      </c>
      <c r="B133" s="146">
        <f>AVERAGE(B59:D65)</f>
        <v>56.495238095238108</v>
      </c>
      <c r="C133" s="146">
        <f>AVERAGE(E59:G65)</f>
        <v>71.495238095238093</v>
      </c>
      <c r="D133" s="138">
        <v>9008</v>
      </c>
      <c r="E133" s="138">
        <v>11231</v>
      </c>
      <c r="F133" s="138">
        <f t="shared" si="0"/>
        <v>508909.10476190486</v>
      </c>
      <c r="G133" s="138">
        <f t="shared" si="0"/>
        <v>802963.01904761908</v>
      </c>
    </row>
    <row r="134" spans="1:7" x14ac:dyDescent="0.25">
      <c r="A134" s="139" t="str">
        <f>A66</f>
        <v>Pingyuan Zhongshi swine Farm</v>
      </c>
      <c r="B134" s="146">
        <f>AVERAGE(B69:D85)</f>
        <v>56.29607843137255</v>
      </c>
      <c r="C134" s="146">
        <f>AVERAGE(E69:G83)</f>
        <v>75.611111111111128</v>
      </c>
      <c r="D134" s="138">
        <v>25713</v>
      </c>
      <c r="E134" s="138">
        <v>23070</v>
      </c>
      <c r="F134" s="138">
        <f t="shared" si="0"/>
        <v>1447541.0647058825</v>
      </c>
      <c r="G134" s="138">
        <f t="shared" si="0"/>
        <v>1744348.3333333337</v>
      </c>
    </row>
    <row r="135" spans="1:7" x14ac:dyDescent="0.25">
      <c r="A135" s="139" t="str">
        <f>A86</f>
        <v>Yangchun Tanshui swine Farm</v>
      </c>
      <c r="B135" s="146">
        <f>AVERAGE(B89:D106)</f>
        <v>58.842307692307685</v>
      </c>
      <c r="C135" s="146">
        <f>AVERAGE(E89:G95)</f>
        <v>74.461904761904776</v>
      </c>
      <c r="D135" s="138">
        <v>26456</v>
      </c>
      <c r="E135" s="138">
        <v>11148</v>
      </c>
      <c r="F135" s="138">
        <f t="shared" si="0"/>
        <v>1556732.0923076922</v>
      </c>
      <c r="G135" s="138">
        <f t="shared" si="0"/>
        <v>830101.31428571441</v>
      </c>
    </row>
    <row r="136" spans="1:7" x14ac:dyDescent="0.25">
      <c r="A136" s="139" t="str">
        <f>A107</f>
        <v>Xinfeng Shatian swine Farm</v>
      </c>
      <c r="B136" s="146">
        <f>AVERAGE(B110:D112)</f>
        <v>58.283333333333331</v>
      </c>
      <c r="C136" s="146">
        <f>AVERAGE(E110:G112)</f>
        <v>71.066666666666663</v>
      </c>
      <c r="D136" s="138">
        <v>1907</v>
      </c>
      <c r="E136" s="138">
        <v>3648</v>
      </c>
      <c r="F136" s="138">
        <f t="shared" si="0"/>
        <v>111146.31666666667</v>
      </c>
      <c r="G136" s="138">
        <f t="shared" si="0"/>
        <v>259251.19999999998</v>
      </c>
    </row>
    <row r="137" spans="1:7" x14ac:dyDescent="0.25">
      <c r="A137" s="139" t="str">
        <f>A113</f>
        <v>Kaiping Cangcheng swine Farm</v>
      </c>
      <c r="B137" s="146">
        <f>AVERAGE(B116:D119)</f>
        <v>57.216666666666669</v>
      </c>
      <c r="C137" s="146">
        <f>AVERAGE(E116:G124)</f>
        <v>77.207407407407402</v>
      </c>
      <c r="D137" s="138">
        <v>5732</v>
      </c>
      <c r="E137" s="138">
        <v>13912</v>
      </c>
      <c r="F137" s="138">
        <f t="shared" si="0"/>
        <v>327965.93333333335</v>
      </c>
      <c r="G137" s="138">
        <f t="shared" si="0"/>
        <v>1074109.4518518518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94055</v>
      </c>
      <c r="F138" s="138">
        <f t="shared" ref="F138:G138" si="1">SUM(F129:F137)</f>
        <v>7352449.121015246</v>
      </c>
      <c r="G138" s="138">
        <f t="shared" si="1"/>
        <v>7041486.5840740744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57.6</v>
      </c>
      <c r="D142" s="148">
        <f>ROUNDDOWN(G138/E138,1)</f>
        <v>74.8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84A2-C62A-4F8C-BAAE-0FDB828839CC}">
  <dimension ref="A1:G142"/>
  <sheetViews>
    <sheetView topLeftCell="A127" workbookViewId="0">
      <selection activeCell="E145" sqref="E145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31.4</v>
      </c>
      <c r="C5" s="140">
        <v>67.2</v>
      </c>
      <c r="D5" s="140">
        <v>76</v>
      </c>
      <c r="E5" s="140">
        <v>45.9</v>
      </c>
      <c r="F5" s="140">
        <v>77.099999999999994</v>
      </c>
      <c r="G5" s="140">
        <v>95.8</v>
      </c>
    </row>
    <row r="6" spans="1:7" x14ac:dyDescent="0.25">
      <c r="A6" s="138">
        <v>2</v>
      </c>
      <c r="B6" s="140">
        <v>29.8</v>
      </c>
      <c r="C6" s="140">
        <v>36.700000000000003</v>
      </c>
      <c r="D6" s="140">
        <v>104.7</v>
      </c>
      <c r="E6" s="140">
        <v>48.3</v>
      </c>
      <c r="F6" s="140">
        <v>83.2</v>
      </c>
      <c r="G6" s="140">
        <v>119.1</v>
      </c>
    </row>
    <row r="7" spans="1:7" ht="14.5" thickBot="1" x14ac:dyDescent="0.3">
      <c r="A7" s="141">
        <v>3</v>
      </c>
      <c r="B7" s="142"/>
      <c r="C7" s="142"/>
      <c r="D7" s="142"/>
      <c r="E7" s="142">
        <v>26.8</v>
      </c>
      <c r="F7" s="142">
        <v>87.4</v>
      </c>
      <c r="G7" s="142">
        <v>98.8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19.7</v>
      </c>
      <c r="C11" s="140">
        <v>49.9</v>
      </c>
      <c r="D11" s="140">
        <v>104.6</v>
      </c>
      <c r="E11" s="140">
        <v>38.200000000000003</v>
      </c>
      <c r="F11" s="140">
        <v>85.2</v>
      </c>
      <c r="G11" s="140">
        <v>100.4</v>
      </c>
    </row>
    <row r="12" spans="1:7" x14ac:dyDescent="0.25">
      <c r="A12" s="138">
        <v>2</v>
      </c>
      <c r="B12" s="140">
        <v>21.7</v>
      </c>
      <c r="C12" s="140">
        <v>40.200000000000003</v>
      </c>
      <c r="D12" s="140">
        <v>91.1</v>
      </c>
      <c r="E12" s="140"/>
      <c r="F12" s="140"/>
      <c r="G12" s="140"/>
    </row>
    <row r="13" spans="1:7" x14ac:dyDescent="0.25">
      <c r="A13" s="138">
        <v>3</v>
      </c>
      <c r="B13" s="140">
        <v>20.8</v>
      </c>
      <c r="C13" s="140">
        <v>50.6</v>
      </c>
      <c r="D13" s="140">
        <v>104.1</v>
      </c>
      <c r="E13" s="139"/>
      <c r="F13" s="139"/>
      <c r="G13" s="139"/>
    </row>
    <row r="14" spans="1:7" x14ac:dyDescent="0.25">
      <c r="A14" s="138">
        <v>4</v>
      </c>
      <c r="B14" s="140">
        <v>15.9</v>
      </c>
      <c r="C14" s="140">
        <v>35.799999999999997</v>
      </c>
      <c r="D14" s="140">
        <v>78.2</v>
      </c>
      <c r="E14" s="139"/>
      <c r="F14" s="139"/>
      <c r="G14" s="139"/>
    </row>
    <row r="15" spans="1:7" ht="14.5" thickBot="1" x14ac:dyDescent="0.3">
      <c r="A15" s="141">
        <v>5</v>
      </c>
      <c r="B15" s="142">
        <v>22.8</v>
      </c>
      <c r="C15" s="142">
        <v>70.599999999999994</v>
      </c>
      <c r="D15" s="142">
        <v>104.1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25.1</v>
      </c>
      <c r="C19" s="140">
        <v>62</v>
      </c>
      <c r="D19" s="140">
        <v>83.8</v>
      </c>
      <c r="E19" s="140">
        <v>40</v>
      </c>
      <c r="F19" s="140">
        <v>84</v>
      </c>
      <c r="G19" s="140">
        <v>114.2</v>
      </c>
    </row>
    <row r="20" spans="1:7" x14ac:dyDescent="0.25">
      <c r="A20" s="138">
        <v>2</v>
      </c>
      <c r="B20" s="140">
        <v>26.6</v>
      </c>
      <c r="C20" s="140">
        <v>55.3</v>
      </c>
      <c r="D20" s="140">
        <v>89.3</v>
      </c>
      <c r="E20" s="140">
        <v>54.8</v>
      </c>
      <c r="F20" s="140">
        <v>81.8</v>
      </c>
      <c r="G20" s="140">
        <v>107.5</v>
      </c>
    </row>
    <row r="21" spans="1:7" x14ac:dyDescent="0.25">
      <c r="A21" s="138">
        <v>3</v>
      </c>
      <c r="B21" s="140">
        <v>34.1</v>
      </c>
      <c r="C21" s="140">
        <v>60.1</v>
      </c>
      <c r="D21" s="140">
        <v>106.2</v>
      </c>
      <c r="E21" s="140">
        <v>54.4</v>
      </c>
      <c r="F21" s="140">
        <v>67.400000000000006</v>
      </c>
      <c r="G21" s="140">
        <v>99</v>
      </c>
    </row>
    <row r="22" spans="1:7" x14ac:dyDescent="0.25">
      <c r="A22" s="138">
        <v>4</v>
      </c>
      <c r="B22" s="140">
        <v>24.5</v>
      </c>
      <c r="C22" s="140">
        <v>71.099999999999994</v>
      </c>
      <c r="D22" s="140">
        <v>80.900000000000006</v>
      </c>
      <c r="E22" s="140">
        <v>49.8</v>
      </c>
      <c r="F22" s="140">
        <v>88.7</v>
      </c>
      <c r="G22" s="140">
        <v>102.1</v>
      </c>
    </row>
    <row r="23" spans="1:7" x14ac:dyDescent="0.25">
      <c r="A23" s="138">
        <v>5</v>
      </c>
      <c r="B23" s="140">
        <v>27.9</v>
      </c>
      <c r="C23" s="140">
        <v>52.7</v>
      </c>
      <c r="D23" s="140">
        <v>78.900000000000006</v>
      </c>
      <c r="E23" s="140">
        <v>26.4</v>
      </c>
      <c r="F23" s="140">
        <v>71.099999999999994</v>
      </c>
      <c r="G23" s="140">
        <v>94.4</v>
      </c>
    </row>
    <row r="24" spans="1:7" x14ac:dyDescent="0.25">
      <c r="A24" s="138">
        <v>6</v>
      </c>
      <c r="B24" s="140">
        <v>22.4</v>
      </c>
      <c r="C24" s="140">
        <v>44.5</v>
      </c>
      <c r="D24" s="140">
        <v>89.1</v>
      </c>
      <c r="E24" s="140">
        <v>30</v>
      </c>
      <c r="F24" s="140">
        <v>81</v>
      </c>
      <c r="G24" s="140">
        <v>101.4</v>
      </c>
    </row>
    <row r="25" spans="1:7" x14ac:dyDescent="0.25">
      <c r="A25" s="138">
        <v>7</v>
      </c>
      <c r="B25" s="140">
        <v>35</v>
      </c>
      <c r="C25" s="140">
        <v>56.2</v>
      </c>
      <c r="D25" s="140">
        <v>81.2</v>
      </c>
      <c r="E25" s="140">
        <v>37.1</v>
      </c>
      <c r="F25" s="140">
        <v>65.8</v>
      </c>
      <c r="G25" s="140">
        <v>116.2</v>
      </c>
    </row>
    <row r="26" spans="1:7" x14ac:dyDescent="0.25">
      <c r="A26" s="138">
        <v>8</v>
      </c>
      <c r="B26" s="140">
        <v>26.1</v>
      </c>
      <c r="C26" s="140">
        <v>47.8</v>
      </c>
      <c r="D26" s="140">
        <v>81.7</v>
      </c>
      <c r="E26" s="140">
        <v>47.3</v>
      </c>
      <c r="F26" s="140">
        <v>70.3</v>
      </c>
      <c r="G26" s="140">
        <v>107.4</v>
      </c>
    </row>
    <row r="27" spans="1:7" x14ac:dyDescent="0.25">
      <c r="A27" s="138">
        <v>9</v>
      </c>
      <c r="B27" s="140">
        <v>21.1</v>
      </c>
      <c r="C27" s="140">
        <v>63</v>
      </c>
      <c r="D27" s="140">
        <v>101.7</v>
      </c>
      <c r="E27" s="140">
        <v>45.8</v>
      </c>
      <c r="F27" s="140">
        <v>82.1</v>
      </c>
      <c r="G27" s="140">
        <v>101.9</v>
      </c>
    </row>
    <row r="28" spans="1:7" x14ac:dyDescent="0.25">
      <c r="A28" s="138">
        <v>10</v>
      </c>
      <c r="B28" s="140">
        <v>28.8</v>
      </c>
      <c r="C28" s="140">
        <v>52</v>
      </c>
      <c r="D28" s="140">
        <v>90.1</v>
      </c>
      <c r="E28" s="140">
        <v>57</v>
      </c>
      <c r="F28" s="140">
        <v>70.099999999999994</v>
      </c>
      <c r="G28" s="140">
        <v>108.4</v>
      </c>
    </row>
    <row r="29" spans="1:7" x14ac:dyDescent="0.25">
      <c r="A29" s="138">
        <v>11</v>
      </c>
      <c r="B29" s="140">
        <v>18.2</v>
      </c>
      <c r="C29" s="140">
        <v>38.9</v>
      </c>
      <c r="D29" s="140">
        <v>96.7</v>
      </c>
      <c r="E29" s="140"/>
      <c r="F29" s="140"/>
      <c r="G29" s="140"/>
    </row>
    <row r="30" spans="1:7" x14ac:dyDescent="0.25">
      <c r="A30" s="138">
        <v>12</v>
      </c>
      <c r="B30" s="140">
        <v>25.1</v>
      </c>
      <c r="C30" s="140">
        <v>44.8</v>
      </c>
      <c r="D30" s="140">
        <v>105.7</v>
      </c>
      <c r="E30" s="140"/>
      <c r="F30" s="140"/>
      <c r="G30" s="140"/>
    </row>
    <row r="31" spans="1:7" x14ac:dyDescent="0.25">
      <c r="A31" s="138">
        <v>13</v>
      </c>
      <c r="B31" s="140">
        <v>21</v>
      </c>
      <c r="C31" s="140">
        <v>72.599999999999994</v>
      </c>
      <c r="D31" s="140">
        <v>82.2</v>
      </c>
      <c r="E31" s="140"/>
      <c r="F31" s="140"/>
      <c r="G31" s="140"/>
    </row>
    <row r="32" spans="1:7" x14ac:dyDescent="0.25">
      <c r="A32" s="138">
        <v>14</v>
      </c>
      <c r="B32" s="140">
        <v>21.2</v>
      </c>
      <c r="C32" s="140">
        <v>54.3</v>
      </c>
      <c r="D32" s="140">
        <v>95.5</v>
      </c>
      <c r="E32" s="140"/>
      <c r="F32" s="140"/>
      <c r="G32" s="140"/>
    </row>
    <row r="33" spans="1:7" ht="14.5" thickBot="1" x14ac:dyDescent="0.3">
      <c r="A33" s="143">
        <v>15</v>
      </c>
      <c r="B33" s="142">
        <v>24.4</v>
      </c>
      <c r="C33" s="142">
        <v>66.5</v>
      </c>
      <c r="D33" s="142">
        <v>83.5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30.2</v>
      </c>
      <c r="C37" s="140">
        <v>51</v>
      </c>
      <c r="D37" s="140">
        <v>94.2</v>
      </c>
      <c r="E37" s="140">
        <v>41.4</v>
      </c>
      <c r="F37" s="140">
        <v>78.599999999999994</v>
      </c>
      <c r="G37" s="140">
        <v>98.6</v>
      </c>
    </row>
    <row r="38" spans="1:7" x14ac:dyDescent="0.25">
      <c r="A38" s="138">
        <v>2</v>
      </c>
      <c r="B38" s="140">
        <v>17.7</v>
      </c>
      <c r="C38" s="140">
        <v>37.299999999999997</v>
      </c>
      <c r="D38" s="140">
        <v>101.5</v>
      </c>
      <c r="E38" s="140">
        <v>32.1</v>
      </c>
      <c r="F38" s="140">
        <v>78</v>
      </c>
      <c r="G38" s="140">
        <v>105.5</v>
      </c>
    </row>
    <row r="39" spans="1:7" x14ac:dyDescent="0.25">
      <c r="A39" s="138">
        <v>3</v>
      </c>
      <c r="B39" s="140">
        <v>28.5</v>
      </c>
      <c r="C39" s="140">
        <v>65.900000000000006</v>
      </c>
      <c r="D39" s="140">
        <v>109.1</v>
      </c>
      <c r="E39" s="140">
        <v>29.3</v>
      </c>
      <c r="F39" s="140">
        <v>81.2</v>
      </c>
      <c r="G39" s="140">
        <v>93.3</v>
      </c>
    </row>
    <row r="40" spans="1:7" x14ac:dyDescent="0.25">
      <c r="A40" s="138">
        <v>4</v>
      </c>
      <c r="B40" s="140">
        <v>18.899999999999999</v>
      </c>
      <c r="C40" s="140">
        <v>61.6</v>
      </c>
      <c r="D40" s="140">
        <v>85.6</v>
      </c>
      <c r="E40" s="140">
        <v>26.6</v>
      </c>
      <c r="F40" s="140">
        <v>88.9</v>
      </c>
      <c r="G40" s="140">
        <v>114.8</v>
      </c>
    </row>
    <row r="41" spans="1:7" x14ac:dyDescent="0.25">
      <c r="A41" s="138">
        <v>5</v>
      </c>
      <c r="B41" s="140">
        <v>23.6</v>
      </c>
      <c r="C41" s="140">
        <v>46.5</v>
      </c>
      <c r="D41" s="140">
        <v>102.7</v>
      </c>
      <c r="E41" s="140">
        <v>53.9</v>
      </c>
      <c r="F41" s="140">
        <v>67.3</v>
      </c>
      <c r="G41" s="140">
        <v>99.5</v>
      </c>
    </row>
    <row r="42" spans="1:7" x14ac:dyDescent="0.25">
      <c r="A42" s="138">
        <v>6</v>
      </c>
      <c r="B42" s="140">
        <v>17.2</v>
      </c>
      <c r="C42" s="140">
        <v>46.2</v>
      </c>
      <c r="D42" s="140">
        <v>87.7</v>
      </c>
      <c r="E42" s="140">
        <v>48.2</v>
      </c>
      <c r="F42" s="140">
        <v>89.5</v>
      </c>
      <c r="G42" s="140">
        <v>96</v>
      </c>
    </row>
    <row r="43" spans="1:7" x14ac:dyDescent="0.25">
      <c r="A43" s="138">
        <v>7</v>
      </c>
      <c r="B43" s="140">
        <v>28.8</v>
      </c>
      <c r="C43" s="140">
        <v>62.4</v>
      </c>
      <c r="D43" s="140">
        <v>109.5</v>
      </c>
      <c r="E43" s="140">
        <v>38.799999999999997</v>
      </c>
      <c r="F43" s="140">
        <v>86.7</v>
      </c>
      <c r="G43" s="140">
        <v>110.6</v>
      </c>
    </row>
    <row r="44" spans="1:7" x14ac:dyDescent="0.25">
      <c r="A44" s="138">
        <v>8</v>
      </c>
      <c r="B44" s="140">
        <v>30</v>
      </c>
      <c r="C44" s="140">
        <v>45.1</v>
      </c>
      <c r="D44" s="140">
        <v>103</v>
      </c>
      <c r="E44" s="139"/>
      <c r="F44" s="139"/>
      <c r="G44" s="139"/>
    </row>
    <row r="45" spans="1:7" x14ac:dyDescent="0.25">
      <c r="A45" s="138">
        <v>9</v>
      </c>
      <c r="B45" s="140">
        <v>17.600000000000001</v>
      </c>
      <c r="C45" s="140">
        <v>67.2</v>
      </c>
      <c r="D45" s="140">
        <v>87.5</v>
      </c>
      <c r="E45" s="139"/>
      <c r="F45" s="139"/>
      <c r="G45" s="139"/>
    </row>
    <row r="46" spans="1:7" x14ac:dyDescent="0.25">
      <c r="A46" s="138">
        <v>10</v>
      </c>
      <c r="B46" s="140">
        <v>19.5</v>
      </c>
      <c r="C46" s="140">
        <v>38.200000000000003</v>
      </c>
      <c r="D46" s="140">
        <v>93.7</v>
      </c>
      <c r="E46" s="139"/>
      <c r="F46" s="139"/>
      <c r="G46" s="139"/>
    </row>
    <row r="47" spans="1:7" x14ac:dyDescent="0.25">
      <c r="A47" s="138">
        <v>11</v>
      </c>
      <c r="B47" s="140">
        <v>19.2</v>
      </c>
      <c r="C47" s="140">
        <v>35.200000000000003</v>
      </c>
      <c r="D47" s="140">
        <v>99.5</v>
      </c>
      <c r="E47" s="139"/>
      <c r="F47" s="139"/>
      <c r="G47" s="139"/>
    </row>
    <row r="48" spans="1:7" x14ac:dyDescent="0.25">
      <c r="A48" s="138">
        <v>12</v>
      </c>
      <c r="B48" s="140">
        <v>33.4</v>
      </c>
      <c r="C48" s="140">
        <v>55.8</v>
      </c>
      <c r="D48" s="140">
        <v>98.1</v>
      </c>
      <c r="E48" s="139"/>
      <c r="F48" s="139"/>
      <c r="G48" s="139"/>
    </row>
    <row r="49" spans="1:7" x14ac:dyDescent="0.25">
      <c r="A49" s="138">
        <v>13</v>
      </c>
      <c r="B49" s="140">
        <v>24.3</v>
      </c>
      <c r="C49" s="140">
        <v>55.4</v>
      </c>
      <c r="D49" s="140">
        <v>93.2</v>
      </c>
      <c r="E49" s="139"/>
      <c r="F49" s="139"/>
      <c r="G49" s="139"/>
    </row>
    <row r="50" spans="1:7" x14ac:dyDescent="0.25">
      <c r="A50" s="138">
        <v>14</v>
      </c>
      <c r="B50" s="140">
        <v>21.8</v>
      </c>
      <c r="C50" s="140">
        <v>67.8</v>
      </c>
      <c r="D50" s="140">
        <v>95</v>
      </c>
      <c r="E50" s="139"/>
      <c r="F50" s="139"/>
      <c r="G50" s="139"/>
    </row>
    <row r="51" spans="1:7" x14ac:dyDescent="0.25">
      <c r="A51" s="138">
        <v>15</v>
      </c>
      <c r="B51" s="140">
        <v>25.2</v>
      </c>
      <c r="C51" s="140">
        <v>59.5</v>
      </c>
      <c r="D51" s="140">
        <v>105.3</v>
      </c>
      <c r="E51" s="139"/>
      <c r="F51" s="139"/>
      <c r="G51" s="139"/>
    </row>
    <row r="52" spans="1:7" x14ac:dyDescent="0.25">
      <c r="A52" s="138">
        <v>16</v>
      </c>
      <c r="B52" s="140">
        <v>25.7</v>
      </c>
      <c r="C52" s="140">
        <v>57.5</v>
      </c>
      <c r="D52" s="140">
        <v>95.9</v>
      </c>
      <c r="E52" s="139"/>
      <c r="F52" s="139"/>
      <c r="G52" s="139"/>
    </row>
    <row r="53" spans="1:7" x14ac:dyDescent="0.25">
      <c r="A53" s="138">
        <v>17</v>
      </c>
      <c r="B53" s="140">
        <v>23.3</v>
      </c>
      <c r="C53" s="140">
        <v>44.2</v>
      </c>
      <c r="D53" s="140">
        <v>96.1</v>
      </c>
      <c r="E53" s="139"/>
      <c r="F53" s="139"/>
      <c r="G53" s="139"/>
    </row>
    <row r="54" spans="1:7" x14ac:dyDescent="0.25">
      <c r="A54" s="138">
        <v>18</v>
      </c>
      <c r="B54" s="140">
        <v>35</v>
      </c>
      <c r="C54" s="140">
        <v>56.8</v>
      </c>
      <c r="D54" s="140">
        <v>87.9</v>
      </c>
      <c r="E54" s="139"/>
      <c r="F54" s="139"/>
      <c r="G54" s="139"/>
    </row>
    <row r="55" spans="1:7" ht="14.5" thickBot="1" x14ac:dyDescent="0.3">
      <c r="A55" s="141">
        <v>19</v>
      </c>
      <c r="B55" s="142">
        <v>21.4</v>
      </c>
      <c r="C55" s="142">
        <v>60.6</v>
      </c>
      <c r="D55" s="142">
        <v>82.3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26.4</v>
      </c>
      <c r="C59" s="140">
        <v>50.5</v>
      </c>
      <c r="D59" s="140">
        <v>87.7</v>
      </c>
      <c r="E59" s="140">
        <v>56.8</v>
      </c>
      <c r="F59" s="140">
        <v>81.900000000000006</v>
      </c>
      <c r="G59" s="140">
        <v>93.9</v>
      </c>
    </row>
    <row r="60" spans="1:7" x14ac:dyDescent="0.25">
      <c r="A60" s="138">
        <v>2</v>
      </c>
      <c r="B60" s="140">
        <v>18.2</v>
      </c>
      <c r="C60" s="140">
        <v>54.1</v>
      </c>
      <c r="D60" s="140">
        <v>91.8</v>
      </c>
      <c r="E60" s="140">
        <v>42.3</v>
      </c>
      <c r="F60" s="140">
        <v>88.7</v>
      </c>
      <c r="G60" s="140">
        <v>97.6</v>
      </c>
    </row>
    <row r="61" spans="1:7" x14ac:dyDescent="0.25">
      <c r="A61" s="138">
        <v>3</v>
      </c>
      <c r="B61" s="140">
        <v>31.3</v>
      </c>
      <c r="C61" s="140">
        <v>41</v>
      </c>
      <c r="D61" s="140">
        <v>104</v>
      </c>
      <c r="E61" s="140">
        <v>44.3</v>
      </c>
      <c r="F61" s="140">
        <v>89.1</v>
      </c>
      <c r="G61" s="140">
        <v>93.9</v>
      </c>
    </row>
    <row r="62" spans="1:7" x14ac:dyDescent="0.25">
      <c r="A62" s="138">
        <v>4</v>
      </c>
      <c r="B62" s="140">
        <v>32.799999999999997</v>
      </c>
      <c r="C62" s="140">
        <v>69.8</v>
      </c>
      <c r="D62" s="140">
        <v>102.5</v>
      </c>
      <c r="E62" s="140">
        <v>31.4</v>
      </c>
      <c r="F62" s="140">
        <v>76.2</v>
      </c>
      <c r="G62" s="140">
        <v>117.8</v>
      </c>
    </row>
    <row r="63" spans="1:7" x14ac:dyDescent="0.25">
      <c r="A63" s="138">
        <v>5</v>
      </c>
      <c r="B63" s="140">
        <v>34.9</v>
      </c>
      <c r="C63" s="140">
        <v>61</v>
      </c>
      <c r="D63" s="140">
        <v>83.1</v>
      </c>
      <c r="E63" s="140">
        <v>30.1</v>
      </c>
      <c r="F63" s="140">
        <v>71.2</v>
      </c>
      <c r="G63" s="140">
        <v>91.2</v>
      </c>
    </row>
    <row r="64" spans="1:7" x14ac:dyDescent="0.25">
      <c r="A64" s="144">
        <v>6</v>
      </c>
      <c r="B64" s="140">
        <v>27.1</v>
      </c>
      <c r="C64" s="140">
        <v>50.6</v>
      </c>
      <c r="D64" s="140">
        <v>79.900000000000006</v>
      </c>
      <c r="E64" s="140">
        <v>47.6</v>
      </c>
      <c r="F64" s="140">
        <v>67.8</v>
      </c>
      <c r="G64" s="140">
        <v>113.2</v>
      </c>
    </row>
    <row r="65" spans="1:7" ht="14.5" thickBot="1" x14ac:dyDescent="0.3">
      <c r="A65" s="141">
        <v>7</v>
      </c>
      <c r="B65" s="142">
        <v>21.9</v>
      </c>
      <c r="C65" s="142">
        <v>46.9</v>
      </c>
      <c r="D65" s="142">
        <v>105.9</v>
      </c>
      <c r="E65" s="142">
        <v>25.9</v>
      </c>
      <c r="F65" s="142">
        <v>63.6</v>
      </c>
      <c r="G65" s="142">
        <v>98.5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34.5</v>
      </c>
      <c r="C69" s="140">
        <v>71.7</v>
      </c>
      <c r="D69" s="140">
        <v>96</v>
      </c>
      <c r="E69" s="140">
        <v>47.2</v>
      </c>
      <c r="F69" s="140">
        <v>62.6</v>
      </c>
      <c r="G69" s="140">
        <v>105</v>
      </c>
    </row>
    <row r="70" spans="1:7" x14ac:dyDescent="0.25">
      <c r="A70" s="138">
        <v>2</v>
      </c>
      <c r="B70" s="140">
        <v>29.5</v>
      </c>
      <c r="C70" s="140">
        <v>68</v>
      </c>
      <c r="D70" s="140">
        <v>94.6</v>
      </c>
      <c r="E70" s="140">
        <v>39.299999999999997</v>
      </c>
      <c r="F70" s="140">
        <v>88.6</v>
      </c>
      <c r="G70" s="140">
        <v>110.5</v>
      </c>
    </row>
    <row r="71" spans="1:7" x14ac:dyDescent="0.25">
      <c r="A71" s="138">
        <v>3</v>
      </c>
      <c r="B71" s="140">
        <v>33</v>
      </c>
      <c r="C71" s="140">
        <v>43.8</v>
      </c>
      <c r="D71" s="140">
        <v>93.7</v>
      </c>
      <c r="E71" s="140">
        <v>36.5</v>
      </c>
      <c r="F71" s="140">
        <v>76.900000000000006</v>
      </c>
      <c r="G71" s="140">
        <v>101.3</v>
      </c>
    </row>
    <row r="72" spans="1:7" x14ac:dyDescent="0.25">
      <c r="A72" s="138">
        <v>4</v>
      </c>
      <c r="B72" s="140">
        <v>15.7</v>
      </c>
      <c r="C72" s="140">
        <v>62.1</v>
      </c>
      <c r="D72" s="140">
        <v>86.8</v>
      </c>
      <c r="E72" s="140">
        <v>55.8</v>
      </c>
      <c r="F72" s="140">
        <v>87.3</v>
      </c>
      <c r="G72" s="140">
        <v>96.7</v>
      </c>
    </row>
    <row r="73" spans="1:7" x14ac:dyDescent="0.25">
      <c r="A73" s="138">
        <v>5</v>
      </c>
      <c r="B73" s="140">
        <v>27.2</v>
      </c>
      <c r="C73" s="140">
        <v>57</v>
      </c>
      <c r="D73" s="140">
        <v>76.8</v>
      </c>
      <c r="E73" s="140">
        <v>53.3</v>
      </c>
      <c r="F73" s="140">
        <v>68.599999999999994</v>
      </c>
      <c r="G73" s="140">
        <v>97.9</v>
      </c>
    </row>
    <row r="74" spans="1:7" x14ac:dyDescent="0.25">
      <c r="A74" s="138">
        <v>6</v>
      </c>
      <c r="B74" s="140">
        <v>29.1</v>
      </c>
      <c r="C74" s="140">
        <v>50.5</v>
      </c>
      <c r="D74" s="140">
        <v>98.2</v>
      </c>
      <c r="E74" s="140">
        <v>41.6</v>
      </c>
      <c r="F74" s="140">
        <v>85.1</v>
      </c>
      <c r="G74" s="140">
        <v>95.5</v>
      </c>
    </row>
    <row r="75" spans="1:7" x14ac:dyDescent="0.25">
      <c r="A75" s="138">
        <v>7</v>
      </c>
      <c r="B75" s="140">
        <v>30</v>
      </c>
      <c r="C75" s="140">
        <v>47.5</v>
      </c>
      <c r="D75" s="140">
        <v>76</v>
      </c>
      <c r="E75" s="140">
        <v>48.2</v>
      </c>
      <c r="F75" s="140">
        <v>79.599999999999994</v>
      </c>
      <c r="G75" s="140">
        <v>118.6</v>
      </c>
    </row>
    <row r="76" spans="1:7" x14ac:dyDescent="0.25">
      <c r="A76" s="138">
        <v>8</v>
      </c>
      <c r="B76" s="140">
        <v>29.5</v>
      </c>
      <c r="C76" s="140">
        <v>66.599999999999994</v>
      </c>
      <c r="D76" s="140">
        <v>101.6</v>
      </c>
      <c r="E76" s="140">
        <v>31.6</v>
      </c>
      <c r="F76" s="140">
        <v>75.400000000000006</v>
      </c>
      <c r="G76" s="140">
        <v>100.7</v>
      </c>
    </row>
    <row r="77" spans="1:7" x14ac:dyDescent="0.25">
      <c r="A77" s="138">
        <v>9</v>
      </c>
      <c r="B77" s="140">
        <v>26.2</v>
      </c>
      <c r="C77" s="140">
        <v>67.599999999999994</v>
      </c>
      <c r="D77" s="140">
        <v>91.8</v>
      </c>
      <c r="E77" s="140">
        <v>38.9</v>
      </c>
      <c r="F77" s="140">
        <v>77.2</v>
      </c>
      <c r="G77" s="140">
        <v>102.8</v>
      </c>
    </row>
    <row r="78" spans="1:7" x14ac:dyDescent="0.25">
      <c r="A78" s="138">
        <v>10</v>
      </c>
      <c r="B78" s="140">
        <v>32.799999999999997</v>
      </c>
      <c r="C78" s="140">
        <v>72.3</v>
      </c>
      <c r="D78" s="140">
        <v>109.4</v>
      </c>
      <c r="E78" s="140">
        <v>36.299999999999997</v>
      </c>
      <c r="F78" s="140">
        <v>78.400000000000006</v>
      </c>
      <c r="G78" s="140">
        <v>94.9</v>
      </c>
    </row>
    <row r="79" spans="1:7" x14ac:dyDescent="0.25">
      <c r="A79" s="138">
        <v>11</v>
      </c>
      <c r="B79" s="140">
        <v>34.4</v>
      </c>
      <c r="C79" s="140">
        <v>60.3</v>
      </c>
      <c r="D79" s="140">
        <v>90.2</v>
      </c>
      <c r="E79" s="140">
        <v>44.3</v>
      </c>
      <c r="F79" s="140">
        <v>70.2</v>
      </c>
      <c r="G79" s="140">
        <v>92.6</v>
      </c>
    </row>
    <row r="80" spans="1:7" x14ac:dyDescent="0.25">
      <c r="A80" s="138">
        <v>12</v>
      </c>
      <c r="B80" s="140">
        <v>22.4</v>
      </c>
      <c r="C80" s="140">
        <v>71.2</v>
      </c>
      <c r="D80" s="140">
        <v>93.5</v>
      </c>
      <c r="E80" s="140">
        <v>31.8</v>
      </c>
      <c r="F80" s="140">
        <v>84.7</v>
      </c>
      <c r="G80" s="140">
        <v>91.8</v>
      </c>
    </row>
    <row r="81" spans="1:7" x14ac:dyDescent="0.25">
      <c r="A81" s="138">
        <v>13</v>
      </c>
      <c r="B81" s="140">
        <v>26.2</v>
      </c>
      <c r="C81" s="140">
        <v>50.9</v>
      </c>
      <c r="D81" s="140">
        <v>100.4</v>
      </c>
      <c r="E81" s="140">
        <v>33.4</v>
      </c>
      <c r="F81" s="140">
        <v>60.5</v>
      </c>
      <c r="G81" s="140">
        <v>109.2</v>
      </c>
    </row>
    <row r="82" spans="1:7" x14ac:dyDescent="0.25">
      <c r="A82" s="138">
        <v>14</v>
      </c>
      <c r="B82" s="140">
        <v>28.3</v>
      </c>
      <c r="C82" s="140">
        <v>65.900000000000006</v>
      </c>
      <c r="D82" s="140">
        <v>89.6</v>
      </c>
      <c r="E82" s="140">
        <v>40.299999999999997</v>
      </c>
      <c r="F82" s="140">
        <v>69.7</v>
      </c>
      <c r="G82" s="140">
        <v>119</v>
      </c>
    </row>
    <row r="83" spans="1:7" x14ac:dyDescent="0.25">
      <c r="A83" s="138">
        <v>15</v>
      </c>
      <c r="B83" s="140">
        <v>34.299999999999997</v>
      </c>
      <c r="C83" s="140">
        <v>55.1</v>
      </c>
      <c r="D83" s="140">
        <v>103.8</v>
      </c>
      <c r="E83" s="140">
        <v>27.4</v>
      </c>
      <c r="F83" s="140">
        <v>77.2</v>
      </c>
      <c r="G83" s="140">
        <v>91.7</v>
      </c>
    </row>
    <row r="84" spans="1:7" x14ac:dyDescent="0.25">
      <c r="A84" s="138">
        <v>16</v>
      </c>
      <c r="B84" s="140">
        <v>30.6</v>
      </c>
      <c r="C84" s="140">
        <v>45.6</v>
      </c>
      <c r="D84" s="140">
        <v>86.4</v>
      </c>
      <c r="E84" s="140"/>
      <c r="F84" s="140"/>
      <c r="G84" s="140"/>
    </row>
    <row r="85" spans="1:7" ht="14.5" thickBot="1" x14ac:dyDescent="0.3">
      <c r="A85" s="143">
        <v>17</v>
      </c>
      <c r="B85" s="142">
        <v>22.3</v>
      </c>
      <c r="C85" s="142">
        <v>64.400000000000006</v>
      </c>
      <c r="D85" s="142">
        <v>79.3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34.799999999999997</v>
      </c>
      <c r="C89" s="140">
        <v>61.2</v>
      </c>
      <c r="D89" s="140">
        <v>89.1</v>
      </c>
      <c r="E89" s="140">
        <v>60</v>
      </c>
      <c r="F89" s="140">
        <v>82.3</v>
      </c>
      <c r="G89" s="140">
        <v>94.5</v>
      </c>
    </row>
    <row r="90" spans="1:7" x14ac:dyDescent="0.25">
      <c r="A90" s="138">
        <v>2</v>
      </c>
      <c r="B90" s="140">
        <v>19.7</v>
      </c>
      <c r="C90" s="140">
        <v>42.2</v>
      </c>
      <c r="D90" s="140">
        <v>105.6</v>
      </c>
      <c r="E90" s="140">
        <v>27.5</v>
      </c>
      <c r="F90" s="140">
        <v>85.9</v>
      </c>
      <c r="G90" s="140">
        <v>104.2</v>
      </c>
    </row>
    <row r="91" spans="1:7" x14ac:dyDescent="0.25">
      <c r="A91" s="138">
        <v>3</v>
      </c>
      <c r="B91" s="140">
        <v>15.3</v>
      </c>
      <c r="C91" s="140">
        <v>47.1</v>
      </c>
      <c r="D91" s="140">
        <v>89.5</v>
      </c>
      <c r="E91" s="140">
        <v>33.799999999999997</v>
      </c>
      <c r="F91" s="140">
        <v>74.7</v>
      </c>
      <c r="G91" s="140">
        <v>106.9</v>
      </c>
    </row>
    <row r="92" spans="1:7" x14ac:dyDescent="0.25">
      <c r="A92" s="138">
        <v>4</v>
      </c>
      <c r="B92" s="140">
        <v>24.6</v>
      </c>
      <c r="C92" s="140">
        <v>71.900000000000006</v>
      </c>
      <c r="D92" s="140">
        <v>90.3</v>
      </c>
      <c r="E92" s="140">
        <v>32.799999999999997</v>
      </c>
      <c r="F92" s="140">
        <v>60.8</v>
      </c>
      <c r="G92" s="140">
        <v>108.5</v>
      </c>
    </row>
    <row r="93" spans="1:7" x14ac:dyDescent="0.25">
      <c r="A93" s="138">
        <v>5</v>
      </c>
      <c r="B93" s="140">
        <v>19.5</v>
      </c>
      <c r="C93" s="140">
        <v>64.2</v>
      </c>
      <c r="D93" s="140">
        <v>91.7</v>
      </c>
      <c r="E93" s="140">
        <v>49.7</v>
      </c>
      <c r="F93" s="140">
        <v>64.099999999999994</v>
      </c>
      <c r="G93" s="140">
        <v>98.7</v>
      </c>
    </row>
    <row r="94" spans="1:7" x14ac:dyDescent="0.25">
      <c r="A94" s="138">
        <v>6</v>
      </c>
      <c r="B94" s="140">
        <v>19.399999999999999</v>
      </c>
      <c r="C94" s="140">
        <v>66.5</v>
      </c>
      <c r="D94" s="140">
        <v>96.9</v>
      </c>
      <c r="E94" s="140">
        <v>54.2</v>
      </c>
      <c r="F94" s="140">
        <v>75.2</v>
      </c>
      <c r="G94" s="140">
        <v>94.8</v>
      </c>
    </row>
    <row r="95" spans="1:7" x14ac:dyDescent="0.25">
      <c r="A95" s="138">
        <v>7</v>
      </c>
      <c r="B95" s="140">
        <v>29.4</v>
      </c>
      <c r="C95" s="140">
        <v>59.6</v>
      </c>
      <c r="D95" s="140">
        <v>90.3</v>
      </c>
      <c r="E95" s="140">
        <v>31.9</v>
      </c>
      <c r="F95" s="140">
        <v>61.2</v>
      </c>
      <c r="G95" s="140">
        <v>104.1</v>
      </c>
    </row>
    <row r="96" spans="1:7" x14ac:dyDescent="0.25">
      <c r="A96" s="138">
        <v>8</v>
      </c>
      <c r="B96" s="140">
        <v>30.8</v>
      </c>
      <c r="C96" s="140">
        <v>61.9</v>
      </c>
      <c r="D96" s="140">
        <v>81.599999999999994</v>
      </c>
      <c r="E96" s="139"/>
      <c r="F96" s="139"/>
      <c r="G96" s="139"/>
    </row>
    <row r="97" spans="1:7" x14ac:dyDescent="0.25">
      <c r="A97" s="138">
        <v>9</v>
      </c>
      <c r="B97" s="140">
        <v>23</v>
      </c>
      <c r="C97" s="140">
        <v>74.099999999999994</v>
      </c>
      <c r="D97" s="140">
        <v>108.2</v>
      </c>
      <c r="E97" s="139"/>
      <c r="F97" s="139"/>
      <c r="G97" s="139"/>
    </row>
    <row r="98" spans="1:7" x14ac:dyDescent="0.25">
      <c r="A98" s="138">
        <v>10</v>
      </c>
      <c r="B98" s="140">
        <v>30.8</v>
      </c>
      <c r="C98" s="140">
        <v>40.700000000000003</v>
      </c>
      <c r="D98" s="140">
        <v>87.8</v>
      </c>
      <c r="E98" s="139"/>
      <c r="F98" s="139"/>
      <c r="G98" s="139"/>
    </row>
    <row r="99" spans="1:7" x14ac:dyDescent="0.25">
      <c r="A99" s="138">
        <v>11</v>
      </c>
      <c r="B99" s="140">
        <v>33.799999999999997</v>
      </c>
      <c r="C99" s="140">
        <v>35</v>
      </c>
      <c r="D99" s="140">
        <v>82.6</v>
      </c>
      <c r="E99" s="139"/>
      <c r="F99" s="139"/>
      <c r="G99" s="139"/>
    </row>
    <row r="100" spans="1:7" x14ac:dyDescent="0.25">
      <c r="A100" s="138">
        <v>12</v>
      </c>
      <c r="B100" s="140">
        <v>34.9</v>
      </c>
      <c r="C100" s="140">
        <v>51.1</v>
      </c>
      <c r="D100" s="140">
        <v>83.1</v>
      </c>
      <c r="E100" s="139"/>
      <c r="F100" s="139"/>
      <c r="G100" s="139"/>
    </row>
    <row r="101" spans="1:7" x14ac:dyDescent="0.25">
      <c r="A101" s="138">
        <v>13</v>
      </c>
      <c r="B101" s="140">
        <v>26.8</v>
      </c>
      <c r="C101" s="140">
        <v>64.2</v>
      </c>
      <c r="D101" s="140">
        <v>78.8</v>
      </c>
      <c r="E101" s="139"/>
      <c r="F101" s="139"/>
      <c r="G101" s="139"/>
    </row>
    <row r="102" spans="1:7" x14ac:dyDescent="0.25">
      <c r="A102" s="138">
        <v>14</v>
      </c>
      <c r="B102" s="140">
        <v>15.8</v>
      </c>
      <c r="C102" s="140">
        <v>39.700000000000003</v>
      </c>
      <c r="D102" s="140">
        <v>105.6</v>
      </c>
      <c r="E102" s="139"/>
      <c r="F102" s="139"/>
      <c r="G102" s="139"/>
    </row>
    <row r="103" spans="1:7" x14ac:dyDescent="0.25">
      <c r="A103" s="138">
        <v>15</v>
      </c>
      <c r="B103" s="140">
        <v>31.3</v>
      </c>
      <c r="C103" s="140">
        <v>45.9</v>
      </c>
      <c r="D103" s="140">
        <v>101.5</v>
      </c>
      <c r="E103" s="139"/>
      <c r="F103" s="139"/>
      <c r="G103" s="139"/>
    </row>
    <row r="104" spans="1:7" x14ac:dyDescent="0.25">
      <c r="A104" s="138">
        <v>16</v>
      </c>
      <c r="B104" s="140">
        <v>32.6</v>
      </c>
      <c r="C104" s="140">
        <v>61.6</v>
      </c>
      <c r="D104" s="140">
        <v>77.599999999999994</v>
      </c>
      <c r="E104" s="139"/>
      <c r="F104" s="139"/>
      <c r="G104" s="139"/>
    </row>
    <row r="105" spans="1:7" x14ac:dyDescent="0.25">
      <c r="A105" s="138">
        <v>17</v>
      </c>
      <c r="B105" s="140">
        <v>23.4</v>
      </c>
      <c r="C105" s="140">
        <v>74.3</v>
      </c>
      <c r="D105" s="140">
        <v>96.5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104.4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31.5</v>
      </c>
      <c r="C110" s="140">
        <v>69.400000000000006</v>
      </c>
      <c r="D110" s="140">
        <v>100.2</v>
      </c>
      <c r="E110" s="140">
        <v>56.4</v>
      </c>
      <c r="F110" s="140">
        <v>88.7</v>
      </c>
      <c r="G110" s="140">
        <v>92.6</v>
      </c>
    </row>
    <row r="111" spans="1:7" x14ac:dyDescent="0.25">
      <c r="A111" s="138">
        <v>2</v>
      </c>
      <c r="B111" s="140">
        <v>30.5</v>
      </c>
      <c r="C111" s="140">
        <v>63.4</v>
      </c>
      <c r="D111" s="140">
        <v>91.9</v>
      </c>
      <c r="E111" s="140">
        <v>25.9</v>
      </c>
      <c r="F111" s="140">
        <v>60.5</v>
      </c>
      <c r="G111" s="140">
        <v>99</v>
      </c>
    </row>
    <row r="112" spans="1:7" ht="14.5" thickBot="1" x14ac:dyDescent="0.3">
      <c r="A112" s="143">
        <v>3</v>
      </c>
      <c r="B112" s="145"/>
      <c r="C112" s="145"/>
      <c r="D112" s="145"/>
      <c r="E112" s="145">
        <v>30.8</v>
      </c>
      <c r="F112" s="145">
        <v>81.099999999999994</v>
      </c>
      <c r="G112" s="145">
        <v>115.3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26.3</v>
      </c>
      <c r="C116" s="140">
        <v>35.9</v>
      </c>
      <c r="D116" s="140">
        <v>106.2</v>
      </c>
      <c r="E116" s="140">
        <v>25.3</v>
      </c>
      <c r="F116" s="140">
        <v>86.7</v>
      </c>
      <c r="G116" s="140">
        <v>102.2</v>
      </c>
    </row>
    <row r="117" spans="1:7" x14ac:dyDescent="0.25">
      <c r="A117" s="138">
        <v>2</v>
      </c>
      <c r="B117" s="140">
        <v>33</v>
      </c>
      <c r="C117" s="140">
        <v>38.799999999999997</v>
      </c>
      <c r="D117" s="140">
        <v>104.8</v>
      </c>
      <c r="E117" s="140">
        <v>57</v>
      </c>
      <c r="F117" s="140">
        <v>65.2</v>
      </c>
      <c r="G117" s="140">
        <v>102.2</v>
      </c>
    </row>
    <row r="118" spans="1:7" x14ac:dyDescent="0.25">
      <c r="A118" s="138">
        <v>3</v>
      </c>
      <c r="B118" s="140">
        <v>20.9</v>
      </c>
      <c r="C118" s="140">
        <v>43.7</v>
      </c>
      <c r="D118" s="140">
        <v>106.6</v>
      </c>
      <c r="E118" s="140">
        <v>31.1</v>
      </c>
      <c r="F118" s="140">
        <v>79.099999999999994</v>
      </c>
      <c r="G118" s="140">
        <v>97.1</v>
      </c>
    </row>
    <row r="119" spans="1:7" x14ac:dyDescent="0.25">
      <c r="A119" s="138">
        <v>4</v>
      </c>
      <c r="B119" s="140">
        <v>26.8</v>
      </c>
      <c r="C119" s="140">
        <v>36.299999999999997</v>
      </c>
      <c r="D119" s="140">
        <v>108.2</v>
      </c>
      <c r="E119" s="140">
        <v>46.1</v>
      </c>
      <c r="F119" s="140">
        <v>70.099999999999994</v>
      </c>
      <c r="G119" s="140">
        <v>110.6</v>
      </c>
    </row>
    <row r="120" spans="1:7" x14ac:dyDescent="0.25">
      <c r="A120" s="138">
        <v>5</v>
      </c>
      <c r="B120" s="139"/>
      <c r="C120" s="139"/>
      <c r="D120" s="139"/>
      <c r="E120" s="140">
        <v>50.1</v>
      </c>
      <c r="F120" s="140">
        <v>60.9</v>
      </c>
      <c r="G120" s="140">
        <v>112.7</v>
      </c>
    </row>
    <row r="121" spans="1:7" x14ac:dyDescent="0.25">
      <c r="A121" s="138">
        <v>6</v>
      </c>
      <c r="B121" s="139"/>
      <c r="C121" s="139"/>
      <c r="D121" s="139"/>
      <c r="E121" s="140">
        <v>43.1</v>
      </c>
      <c r="F121" s="140">
        <v>79.8</v>
      </c>
      <c r="G121" s="140">
        <v>109</v>
      </c>
    </row>
    <row r="122" spans="1:7" x14ac:dyDescent="0.25">
      <c r="A122" s="138">
        <v>7</v>
      </c>
      <c r="B122" s="139"/>
      <c r="C122" s="139"/>
      <c r="D122" s="139"/>
      <c r="E122" s="140">
        <v>45</v>
      </c>
      <c r="F122" s="140">
        <v>80.5</v>
      </c>
      <c r="G122" s="140">
        <v>102</v>
      </c>
    </row>
    <row r="123" spans="1:7" x14ac:dyDescent="0.25">
      <c r="A123" s="138">
        <v>8</v>
      </c>
      <c r="B123" s="139"/>
      <c r="C123" s="139"/>
      <c r="D123" s="139"/>
      <c r="E123" s="140">
        <v>54</v>
      </c>
      <c r="F123" s="140">
        <v>68.900000000000006</v>
      </c>
      <c r="G123" s="140">
        <v>103</v>
      </c>
    </row>
    <row r="124" spans="1:7" ht="14.5" thickBot="1" x14ac:dyDescent="0.3">
      <c r="A124" s="143">
        <v>9</v>
      </c>
      <c r="B124" s="145"/>
      <c r="C124" s="145"/>
      <c r="D124" s="145"/>
      <c r="E124" s="145">
        <v>59.2</v>
      </c>
      <c r="F124" s="145">
        <v>77.8</v>
      </c>
      <c r="G124" s="145">
        <v>109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57.633333333333333</v>
      </c>
      <c r="C129" s="147">
        <f>AVERAGE(E5:G7)</f>
        <v>75.822222222222223</v>
      </c>
      <c r="D129" s="138">
        <v>2058</v>
      </c>
      <c r="E129" s="138">
        <v>4253</v>
      </c>
      <c r="F129" s="138">
        <f>D129*B129</f>
        <v>118609.4</v>
      </c>
      <c r="G129" s="138">
        <f>E129*C129</f>
        <v>322471.91111111111</v>
      </c>
    </row>
    <row r="130" spans="1:7" x14ac:dyDescent="0.25">
      <c r="A130" s="139" t="str">
        <f>A8</f>
        <v>Dongyuan Huangtian swine Farm</v>
      </c>
      <c r="B130" s="146">
        <f>AVERAGE((B11:D15))</f>
        <v>55.339999999999996</v>
      </c>
      <c r="C130" s="146">
        <f>AVERAGE(E11:G11)</f>
        <v>74.600000000000009</v>
      </c>
      <c r="D130" s="138">
        <v>6272</v>
      </c>
      <c r="E130" s="138">
        <v>1384</v>
      </c>
      <c r="F130" s="138">
        <f t="shared" ref="F130:G137" si="0">D130*B130</f>
        <v>347092.47999999998</v>
      </c>
      <c r="G130" s="138">
        <f t="shared" si="0"/>
        <v>103246.40000000001</v>
      </c>
    </row>
    <row r="131" spans="1:7" x14ac:dyDescent="0.25">
      <c r="A131" s="139" t="str">
        <f>A16</f>
        <v>Enping Shahu swine  Farm</v>
      </c>
      <c r="B131" s="146">
        <f>AVERAGE(B19:D33)</f>
        <v>57.106666666666662</v>
      </c>
      <c r="C131" s="146">
        <f>AVERAGE(E19:G28)</f>
        <v>75.24666666666667</v>
      </c>
      <c r="D131" s="138">
        <v>22171</v>
      </c>
      <c r="E131" s="138">
        <v>15392</v>
      </c>
      <c r="F131" s="138">
        <f t="shared" si="0"/>
        <v>1266111.9066666665</v>
      </c>
      <c r="G131" s="138">
        <f t="shared" si="0"/>
        <v>1158196.6933333334</v>
      </c>
    </row>
    <row r="132" spans="1:7" x14ac:dyDescent="0.25">
      <c r="A132" s="139" t="str">
        <f>A34</f>
        <v>Langtian Yuehui swine Farm</v>
      </c>
      <c r="B132" s="146">
        <f>AVERAGE(B37:D55)</f>
        <v>57.95263157894739</v>
      </c>
      <c r="C132" s="146">
        <f>AVERAGE(E37:G43)</f>
        <v>74.228571428571428</v>
      </c>
      <c r="D132" s="138">
        <v>28130</v>
      </c>
      <c r="E132" s="138">
        <v>9898</v>
      </c>
      <c r="F132" s="138">
        <f t="shared" si="0"/>
        <v>1630207.5263157901</v>
      </c>
      <c r="G132" s="138">
        <f t="shared" si="0"/>
        <v>734714.4</v>
      </c>
    </row>
    <row r="133" spans="1:7" x14ac:dyDescent="0.25">
      <c r="A133" s="139" t="str">
        <f>A56</f>
        <v>Qujiang Fengwan swine Farm</v>
      </c>
      <c r="B133" s="146">
        <f>AVERAGE(B59:D65)</f>
        <v>58.161904761904779</v>
      </c>
      <c r="C133" s="146">
        <f>AVERAGE(E59:G65)</f>
        <v>72.523809523809518</v>
      </c>
      <c r="D133" s="138">
        <v>9008</v>
      </c>
      <c r="E133" s="138">
        <v>11225</v>
      </c>
      <c r="F133" s="138">
        <f t="shared" si="0"/>
        <v>523922.43809523823</v>
      </c>
      <c r="G133" s="138">
        <f t="shared" si="0"/>
        <v>814079.76190476189</v>
      </c>
    </row>
    <row r="134" spans="1:7" x14ac:dyDescent="0.25">
      <c r="A134" s="139" t="str">
        <f>A66</f>
        <v>Pingyuan Zhongshi swine Farm</v>
      </c>
      <c r="B134" s="146">
        <f>AVERAGE(B69:D85)</f>
        <v>60.286274509803938</v>
      </c>
      <c r="C134" s="146">
        <f>AVERAGE(E69:G83)</f>
        <v>72.802222222222227</v>
      </c>
      <c r="D134" s="138">
        <v>25713</v>
      </c>
      <c r="E134" s="138">
        <v>22545</v>
      </c>
      <c r="F134" s="138">
        <f t="shared" si="0"/>
        <v>1550140.9764705887</v>
      </c>
      <c r="G134" s="138">
        <f t="shared" si="0"/>
        <v>1641326.1</v>
      </c>
    </row>
    <row r="135" spans="1:7" x14ac:dyDescent="0.25">
      <c r="A135" s="139" t="str">
        <f>A86</f>
        <v>Yangchun Tanshui swine Farm</v>
      </c>
      <c r="B135" s="146">
        <f>AVERAGE(B89:D106)</f>
        <v>59.003846153846162</v>
      </c>
      <c r="C135" s="146">
        <f>AVERAGE(E89:G95)</f>
        <v>71.704761904761909</v>
      </c>
      <c r="D135" s="138">
        <v>26456</v>
      </c>
      <c r="E135" s="138">
        <v>11348</v>
      </c>
      <c r="F135" s="138">
        <f t="shared" si="0"/>
        <v>1561005.7538461541</v>
      </c>
      <c r="G135" s="138">
        <f t="shared" si="0"/>
        <v>813705.63809523813</v>
      </c>
    </row>
    <row r="136" spans="1:7" x14ac:dyDescent="0.25">
      <c r="A136" s="139" t="str">
        <f>A107</f>
        <v>Xinfeng Shatian swine Farm</v>
      </c>
      <c r="B136" s="146">
        <f>AVERAGE(B110:D112)</f>
        <v>64.483333333333334</v>
      </c>
      <c r="C136" s="146">
        <f>AVERAGE(E110:G112)</f>
        <v>72.255555555555546</v>
      </c>
      <c r="D136" s="138">
        <v>1907</v>
      </c>
      <c r="E136" s="138">
        <v>3751</v>
      </c>
      <c r="F136" s="138">
        <f t="shared" si="0"/>
        <v>122969.71666666667</v>
      </c>
      <c r="G136" s="138">
        <f t="shared" si="0"/>
        <v>271030.58888888883</v>
      </c>
    </row>
    <row r="137" spans="1:7" x14ac:dyDescent="0.25">
      <c r="A137" s="139" t="str">
        <f>A113</f>
        <v>Kaiping Cangcheng swine Farm</v>
      </c>
      <c r="B137" s="146">
        <f>AVERAGE(B116:D119)</f>
        <v>57.291666666666657</v>
      </c>
      <c r="C137" s="146">
        <f>AVERAGE(E116:G124)</f>
        <v>75.100000000000009</v>
      </c>
      <c r="D137" s="138">
        <v>5732</v>
      </c>
      <c r="E137" s="138">
        <v>13528</v>
      </c>
      <c r="F137" s="138">
        <f t="shared" si="0"/>
        <v>328395.83333333326</v>
      </c>
      <c r="G137" s="138">
        <f t="shared" si="0"/>
        <v>1015952.8000000002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93324</v>
      </c>
      <c r="F138" s="138">
        <f t="shared" ref="F138:G138" si="1">SUM(F129:F137)</f>
        <v>7448456.0313944379</v>
      </c>
      <c r="G138" s="138">
        <f t="shared" si="1"/>
        <v>6874724.293333333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58.4</v>
      </c>
      <c r="D142" s="148">
        <f>ROUNDDOWN(G138/E138,1)</f>
        <v>73.599999999999994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5773-55C0-459C-AE5D-E85335F0E5F3}">
  <dimension ref="A1:G142"/>
  <sheetViews>
    <sheetView topLeftCell="A106" workbookViewId="0">
      <selection sqref="A1:G124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29.9</v>
      </c>
      <c r="C5" s="140">
        <v>62.2</v>
      </c>
      <c r="D5" s="140">
        <v>91.6</v>
      </c>
      <c r="E5" s="140">
        <v>40.1</v>
      </c>
      <c r="F5" s="140">
        <v>82.3</v>
      </c>
      <c r="G5" s="140">
        <v>109.4</v>
      </c>
    </row>
    <row r="6" spans="1:7" x14ac:dyDescent="0.25">
      <c r="A6" s="138">
        <v>2</v>
      </c>
      <c r="B6" s="140">
        <v>32.299999999999997</v>
      </c>
      <c r="C6" s="140">
        <v>42.5</v>
      </c>
      <c r="D6" s="140">
        <v>85.7</v>
      </c>
      <c r="E6" s="140">
        <v>25.7</v>
      </c>
      <c r="F6" s="140">
        <v>78.2</v>
      </c>
      <c r="G6" s="140">
        <v>107.8</v>
      </c>
    </row>
    <row r="7" spans="1:7" ht="14.5" thickBot="1" x14ac:dyDescent="0.3">
      <c r="A7" s="141">
        <v>3</v>
      </c>
      <c r="B7" s="142"/>
      <c r="C7" s="142"/>
      <c r="D7" s="142"/>
      <c r="E7" s="142">
        <v>36</v>
      </c>
      <c r="F7" s="142">
        <v>76.099999999999994</v>
      </c>
      <c r="G7" s="142">
        <v>104.1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24.3</v>
      </c>
      <c r="C11" s="140">
        <v>42.3</v>
      </c>
      <c r="D11" s="140">
        <v>86.2</v>
      </c>
      <c r="E11" s="140">
        <v>34.9</v>
      </c>
      <c r="F11" s="140">
        <v>72.400000000000006</v>
      </c>
      <c r="G11" s="140">
        <v>118</v>
      </c>
    </row>
    <row r="12" spans="1:7" x14ac:dyDescent="0.25">
      <c r="A12" s="138">
        <v>2</v>
      </c>
      <c r="B12" s="140">
        <v>18.2</v>
      </c>
      <c r="C12" s="140">
        <v>57.6</v>
      </c>
      <c r="D12" s="140">
        <v>90.3</v>
      </c>
      <c r="E12" s="140"/>
      <c r="F12" s="140"/>
      <c r="G12" s="140"/>
    </row>
    <row r="13" spans="1:7" x14ac:dyDescent="0.25">
      <c r="A13" s="138">
        <v>3</v>
      </c>
      <c r="B13" s="140">
        <v>19.3</v>
      </c>
      <c r="C13" s="140">
        <v>45.2</v>
      </c>
      <c r="D13" s="140">
        <v>75</v>
      </c>
      <c r="E13" s="139"/>
      <c r="F13" s="139"/>
      <c r="G13" s="139"/>
    </row>
    <row r="14" spans="1:7" x14ac:dyDescent="0.25">
      <c r="A14" s="138">
        <v>4</v>
      </c>
      <c r="B14" s="140">
        <v>23.5</v>
      </c>
      <c r="C14" s="140">
        <v>68.3</v>
      </c>
      <c r="D14" s="140">
        <v>89.8</v>
      </c>
      <c r="E14" s="139"/>
      <c r="F14" s="139"/>
      <c r="G14" s="139"/>
    </row>
    <row r="15" spans="1:7" ht="14.5" thickBot="1" x14ac:dyDescent="0.3">
      <c r="A15" s="141">
        <v>5</v>
      </c>
      <c r="B15" s="142">
        <v>32.299999999999997</v>
      </c>
      <c r="C15" s="142">
        <v>74.099999999999994</v>
      </c>
      <c r="D15" s="142">
        <v>80.7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33.200000000000003</v>
      </c>
      <c r="C19" s="140">
        <v>62.8</v>
      </c>
      <c r="D19" s="140">
        <v>95.6</v>
      </c>
      <c r="E19" s="140">
        <v>59.9</v>
      </c>
      <c r="F19" s="140">
        <v>88.6</v>
      </c>
      <c r="G19" s="140">
        <v>116.2</v>
      </c>
    </row>
    <row r="20" spans="1:7" x14ac:dyDescent="0.25">
      <c r="A20" s="138">
        <v>2</v>
      </c>
      <c r="B20" s="140">
        <v>34.5</v>
      </c>
      <c r="C20" s="140">
        <v>70.7</v>
      </c>
      <c r="D20" s="140">
        <v>77.599999999999994</v>
      </c>
      <c r="E20" s="140">
        <v>38.9</v>
      </c>
      <c r="F20" s="140">
        <v>61.4</v>
      </c>
      <c r="G20" s="140">
        <v>95</v>
      </c>
    </row>
    <row r="21" spans="1:7" x14ac:dyDescent="0.25">
      <c r="A21" s="138">
        <v>3</v>
      </c>
      <c r="B21" s="140">
        <v>26.1</v>
      </c>
      <c r="C21" s="140">
        <v>58.1</v>
      </c>
      <c r="D21" s="140">
        <v>88.3</v>
      </c>
      <c r="E21" s="140">
        <v>57.5</v>
      </c>
      <c r="F21" s="140">
        <v>80.8</v>
      </c>
      <c r="G21" s="140">
        <v>91.4</v>
      </c>
    </row>
    <row r="22" spans="1:7" x14ac:dyDescent="0.25">
      <c r="A22" s="138">
        <v>4</v>
      </c>
      <c r="B22" s="140">
        <v>17.899999999999999</v>
      </c>
      <c r="C22" s="140">
        <v>52.4</v>
      </c>
      <c r="D22" s="140">
        <v>86.6</v>
      </c>
      <c r="E22" s="140">
        <v>33.1</v>
      </c>
      <c r="F22" s="140">
        <v>81.599999999999994</v>
      </c>
      <c r="G22" s="140">
        <v>102.2</v>
      </c>
    </row>
    <row r="23" spans="1:7" x14ac:dyDescent="0.25">
      <c r="A23" s="138">
        <v>5</v>
      </c>
      <c r="B23" s="140">
        <v>25.8</v>
      </c>
      <c r="C23" s="140">
        <v>67.900000000000006</v>
      </c>
      <c r="D23" s="140">
        <v>102.7</v>
      </c>
      <c r="E23" s="140">
        <v>55.2</v>
      </c>
      <c r="F23" s="140">
        <v>86.7</v>
      </c>
      <c r="G23" s="140">
        <v>109.7</v>
      </c>
    </row>
    <row r="24" spans="1:7" x14ac:dyDescent="0.25">
      <c r="A24" s="138">
        <v>6</v>
      </c>
      <c r="B24" s="140">
        <v>32.200000000000003</v>
      </c>
      <c r="C24" s="140">
        <v>56.2</v>
      </c>
      <c r="D24" s="140">
        <v>85</v>
      </c>
      <c r="E24" s="140">
        <v>36.9</v>
      </c>
      <c r="F24" s="140">
        <v>68.5</v>
      </c>
      <c r="G24" s="140">
        <v>107.1</v>
      </c>
    </row>
    <row r="25" spans="1:7" x14ac:dyDescent="0.25">
      <c r="A25" s="138">
        <v>7</v>
      </c>
      <c r="B25" s="140">
        <v>34.5</v>
      </c>
      <c r="C25" s="140">
        <v>59.7</v>
      </c>
      <c r="D25" s="140">
        <v>86.3</v>
      </c>
      <c r="E25" s="140">
        <v>36.9</v>
      </c>
      <c r="F25" s="140">
        <v>65</v>
      </c>
      <c r="G25" s="140">
        <v>96.5</v>
      </c>
    </row>
    <row r="26" spans="1:7" x14ac:dyDescent="0.25">
      <c r="A26" s="138">
        <v>8</v>
      </c>
      <c r="B26" s="140">
        <v>16.8</v>
      </c>
      <c r="C26" s="140">
        <v>69.8</v>
      </c>
      <c r="D26" s="140">
        <v>83.9</v>
      </c>
      <c r="E26" s="140">
        <v>27</v>
      </c>
      <c r="F26" s="140">
        <v>86.3</v>
      </c>
      <c r="G26" s="140">
        <v>99.1</v>
      </c>
    </row>
    <row r="27" spans="1:7" x14ac:dyDescent="0.25">
      <c r="A27" s="138">
        <v>9</v>
      </c>
      <c r="B27" s="140">
        <v>25.3</v>
      </c>
      <c r="C27" s="140">
        <v>37.700000000000003</v>
      </c>
      <c r="D27" s="140">
        <v>108.9</v>
      </c>
      <c r="E27" s="140">
        <v>51.9</v>
      </c>
      <c r="F27" s="140">
        <v>75.400000000000006</v>
      </c>
      <c r="G27" s="140">
        <v>116.2</v>
      </c>
    </row>
    <row r="28" spans="1:7" x14ac:dyDescent="0.25">
      <c r="A28" s="138">
        <v>10</v>
      </c>
      <c r="B28" s="140">
        <v>29.7</v>
      </c>
      <c r="C28" s="140">
        <v>45.7</v>
      </c>
      <c r="D28" s="140">
        <v>89.7</v>
      </c>
      <c r="E28" s="140">
        <v>34.200000000000003</v>
      </c>
      <c r="F28" s="140">
        <v>65.5</v>
      </c>
      <c r="G28" s="140">
        <v>111.2</v>
      </c>
    </row>
    <row r="29" spans="1:7" x14ac:dyDescent="0.25">
      <c r="A29" s="138">
        <v>11</v>
      </c>
      <c r="B29" s="140">
        <v>15.5</v>
      </c>
      <c r="C29" s="140">
        <v>48.6</v>
      </c>
      <c r="D29" s="140">
        <v>96.1</v>
      </c>
      <c r="E29" s="140"/>
      <c r="F29" s="140"/>
      <c r="G29" s="140"/>
    </row>
    <row r="30" spans="1:7" x14ac:dyDescent="0.25">
      <c r="A30" s="138">
        <v>12</v>
      </c>
      <c r="B30" s="140">
        <v>32.299999999999997</v>
      </c>
      <c r="C30" s="140">
        <v>53.1</v>
      </c>
      <c r="D30" s="140">
        <v>80.2</v>
      </c>
      <c r="E30" s="140"/>
      <c r="F30" s="140"/>
      <c r="G30" s="140"/>
    </row>
    <row r="31" spans="1:7" x14ac:dyDescent="0.25">
      <c r="A31" s="138">
        <v>13</v>
      </c>
      <c r="B31" s="140">
        <v>17.2</v>
      </c>
      <c r="C31" s="140">
        <v>68.099999999999994</v>
      </c>
      <c r="D31" s="140">
        <v>75.400000000000006</v>
      </c>
      <c r="E31" s="140"/>
      <c r="F31" s="140"/>
      <c r="G31" s="140"/>
    </row>
    <row r="32" spans="1:7" x14ac:dyDescent="0.25">
      <c r="A32" s="138">
        <v>14</v>
      </c>
      <c r="B32" s="140">
        <v>34.200000000000003</v>
      </c>
      <c r="C32" s="140">
        <v>52.7</v>
      </c>
      <c r="D32" s="140">
        <v>107.5</v>
      </c>
      <c r="E32" s="140"/>
      <c r="F32" s="140"/>
      <c r="G32" s="140"/>
    </row>
    <row r="33" spans="1:7" ht="14.5" thickBot="1" x14ac:dyDescent="0.3">
      <c r="A33" s="143">
        <v>15</v>
      </c>
      <c r="B33" s="142">
        <v>16.899999999999999</v>
      </c>
      <c r="C33" s="142">
        <v>43.7</v>
      </c>
      <c r="D33" s="142">
        <v>99.1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18.7</v>
      </c>
      <c r="C37" s="140">
        <v>35.5</v>
      </c>
      <c r="D37" s="140">
        <v>102.5</v>
      </c>
      <c r="E37" s="140">
        <v>36.700000000000003</v>
      </c>
      <c r="F37" s="140">
        <v>85.8</v>
      </c>
      <c r="G37" s="140">
        <v>115.1</v>
      </c>
    </row>
    <row r="38" spans="1:7" x14ac:dyDescent="0.25">
      <c r="A38" s="138">
        <v>2</v>
      </c>
      <c r="B38" s="140">
        <v>16.8</v>
      </c>
      <c r="C38" s="140">
        <v>44.8</v>
      </c>
      <c r="D38" s="140">
        <v>108.6</v>
      </c>
      <c r="E38" s="140">
        <v>29</v>
      </c>
      <c r="F38" s="140">
        <v>60.5</v>
      </c>
      <c r="G38" s="140">
        <v>94.7</v>
      </c>
    </row>
    <row r="39" spans="1:7" x14ac:dyDescent="0.25">
      <c r="A39" s="138">
        <v>3</v>
      </c>
      <c r="B39" s="140">
        <v>23.1</v>
      </c>
      <c r="C39" s="140">
        <v>65.599999999999994</v>
      </c>
      <c r="D39" s="140">
        <v>90.2</v>
      </c>
      <c r="E39" s="140">
        <v>30.4</v>
      </c>
      <c r="F39" s="140">
        <v>78.900000000000006</v>
      </c>
      <c r="G39" s="140">
        <v>104.3</v>
      </c>
    </row>
    <row r="40" spans="1:7" x14ac:dyDescent="0.25">
      <c r="A40" s="138">
        <v>4</v>
      </c>
      <c r="B40" s="140">
        <v>25.9</v>
      </c>
      <c r="C40" s="140">
        <v>73.5</v>
      </c>
      <c r="D40" s="140">
        <v>105.6</v>
      </c>
      <c r="E40" s="140">
        <v>58.5</v>
      </c>
      <c r="F40" s="140">
        <v>62.3</v>
      </c>
      <c r="G40" s="140">
        <v>109.5</v>
      </c>
    </row>
    <row r="41" spans="1:7" x14ac:dyDescent="0.25">
      <c r="A41" s="138">
        <v>5</v>
      </c>
      <c r="B41" s="140">
        <v>16.600000000000001</v>
      </c>
      <c r="C41" s="140">
        <v>67.900000000000006</v>
      </c>
      <c r="D41" s="140">
        <v>89.6</v>
      </c>
      <c r="E41" s="140">
        <v>25.7</v>
      </c>
      <c r="F41" s="140">
        <v>86.8</v>
      </c>
      <c r="G41" s="140">
        <v>115.1</v>
      </c>
    </row>
    <row r="42" spans="1:7" x14ac:dyDescent="0.25">
      <c r="A42" s="138">
        <v>6</v>
      </c>
      <c r="B42" s="140">
        <v>26.4</v>
      </c>
      <c r="C42" s="140">
        <v>55.3</v>
      </c>
      <c r="D42" s="140">
        <v>80.8</v>
      </c>
      <c r="E42" s="140">
        <v>38.799999999999997</v>
      </c>
      <c r="F42" s="140">
        <v>69.8</v>
      </c>
      <c r="G42" s="140">
        <v>120</v>
      </c>
    </row>
    <row r="43" spans="1:7" x14ac:dyDescent="0.25">
      <c r="A43" s="138">
        <v>7</v>
      </c>
      <c r="B43" s="140">
        <v>24.4</v>
      </c>
      <c r="C43" s="140">
        <v>51.6</v>
      </c>
      <c r="D43" s="140">
        <v>109.7</v>
      </c>
      <c r="E43" s="140">
        <v>49.6</v>
      </c>
      <c r="F43" s="140">
        <v>80.5</v>
      </c>
      <c r="G43" s="140">
        <v>90.7</v>
      </c>
    </row>
    <row r="44" spans="1:7" x14ac:dyDescent="0.25">
      <c r="A44" s="138">
        <v>8</v>
      </c>
      <c r="B44" s="140">
        <v>20.9</v>
      </c>
      <c r="C44" s="140">
        <v>65.5</v>
      </c>
      <c r="D44" s="140">
        <v>88.3</v>
      </c>
      <c r="E44" s="139"/>
      <c r="F44" s="139"/>
      <c r="G44" s="139"/>
    </row>
    <row r="45" spans="1:7" x14ac:dyDescent="0.25">
      <c r="A45" s="138">
        <v>9</v>
      </c>
      <c r="B45" s="140">
        <v>33.5</v>
      </c>
      <c r="C45" s="140">
        <v>57.5</v>
      </c>
      <c r="D45" s="140">
        <v>103.3</v>
      </c>
      <c r="E45" s="139"/>
      <c r="F45" s="139"/>
      <c r="G45" s="139"/>
    </row>
    <row r="46" spans="1:7" x14ac:dyDescent="0.25">
      <c r="A46" s="138">
        <v>10</v>
      </c>
      <c r="B46" s="140">
        <v>29.4</v>
      </c>
      <c r="C46" s="140">
        <v>37</v>
      </c>
      <c r="D46" s="140">
        <v>83.3</v>
      </c>
      <c r="E46" s="139"/>
      <c r="F46" s="139"/>
      <c r="G46" s="139"/>
    </row>
    <row r="47" spans="1:7" x14ac:dyDescent="0.25">
      <c r="A47" s="138">
        <v>11</v>
      </c>
      <c r="B47" s="140">
        <v>30.2</v>
      </c>
      <c r="C47" s="140">
        <v>45.3</v>
      </c>
      <c r="D47" s="140">
        <v>103.6</v>
      </c>
      <c r="E47" s="139"/>
      <c r="F47" s="139"/>
      <c r="G47" s="139"/>
    </row>
    <row r="48" spans="1:7" x14ac:dyDescent="0.25">
      <c r="A48" s="138">
        <v>12</v>
      </c>
      <c r="B48" s="140">
        <v>18.3</v>
      </c>
      <c r="C48" s="140">
        <v>48.8</v>
      </c>
      <c r="D48" s="140">
        <v>96.9</v>
      </c>
      <c r="E48" s="139"/>
      <c r="F48" s="139"/>
      <c r="G48" s="139"/>
    </row>
    <row r="49" spans="1:7" x14ac:dyDescent="0.25">
      <c r="A49" s="138">
        <v>13</v>
      </c>
      <c r="B49" s="140">
        <v>28.1</v>
      </c>
      <c r="C49" s="140">
        <v>64.7</v>
      </c>
      <c r="D49" s="140">
        <v>97.6</v>
      </c>
      <c r="E49" s="139"/>
      <c r="F49" s="139"/>
      <c r="G49" s="139"/>
    </row>
    <row r="50" spans="1:7" x14ac:dyDescent="0.25">
      <c r="A50" s="138">
        <v>14</v>
      </c>
      <c r="B50" s="140">
        <v>22.7</v>
      </c>
      <c r="C50" s="140">
        <v>36</v>
      </c>
      <c r="D50" s="140">
        <v>82.6</v>
      </c>
      <c r="E50" s="139"/>
      <c r="F50" s="139"/>
      <c r="G50" s="139"/>
    </row>
    <row r="51" spans="1:7" x14ac:dyDescent="0.25">
      <c r="A51" s="138">
        <v>15</v>
      </c>
      <c r="B51" s="140">
        <v>33.799999999999997</v>
      </c>
      <c r="C51" s="140">
        <v>66.099999999999994</v>
      </c>
      <c r="D51" s="140">
        <v>87.5</v>
      </c>
      <c r="E51" s="139"/>
      <c r="F51" s="139"/>
      <c r="G51" s="139"/>
    </row>
    <row r="52" spans="1:7" x14ac:dyDescent="0.25">
      <c r="A52" s="138">
        <v>16</v>
      </c>
      <c r="B52" s="140">
        <v>33.9</v>
      </c>
      <c r="C52" s="140">
        <v>50.5</v>
      </c>
      <c r="D52" s="140">
        <v>109.3</v>
      </c>
      <c r="E52" s="139"/>
      <c r="F52" s="139"/>
      <c r="G52" s="139"/>
    </row>
    <row r="53" spans="1:7" x14ac:dyDescent="0.25">
      <c r="A53" s="138">
        <v>17</v>
      </c>
      <c r="B53" s="140">
        <v>25.9</v>
      </c>
      <c r="C53" s="140">
        <v>38.200000000000003</v>
      </c>
      <c r="D53" s="140">
        <v>107.3</v>
      </c>
      <c r="E53" s="139"/>
      <c r="F53" s="139"/>
      <c r="G53" s="139"/>
    </row>
    <row r="54" spans="1:7" x14ac:dyDescent="0.25">
      <c r="A54" s="138">
        <v>18</v>
      </c>
      <c r="B54" s="140">
        <v>23.7</v>
      </c>
      <c r="C54" s="140">
        <v>66.5</v>
      </c>
      <c r="D54" s="140">
        <v>80.2</v>
      </c>
      <c r="E54" s="139"/>
      <c r="F54" s="139"/>
      <c r="G54" s="139"/>
    </row>
    <row r="55" spans="1:7" ht="14.5" thickBot="1" x14ac:dyDescent="0.3">
      <c r="A55" s="141">
        <v>19</v>
      </c>
      <c r="B55" s="142">
        <v>17.2</v>
      </c>
      <c r="C55" s="142">
        <v>56</v>
      </c>
      <c r="D55" s="142">
        <v>92.3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24.1</v>
      </c>
      <c r="C59" s="140">
        <v>71.900000000000006</v>
      </c>
      <c r="D59" s="140">
        <v>82.3</v>
      </c>
      <c r="E59" s="140">
        <v>34.700000000000003</v>
      </c>
      <c r="F59" s="140">
        <v>76.7</v>
      </c>
      <c r="G59" s="140">
        <v>102.3</v>
      </c>
    </row>
    <row r="60" spans="1:7" x14ac:dyDescent="0.25">
      <c r="A60" s="138">
        <v>2</v>
      </c>
      <c r="B60" s="140">
        <v>29.1</v>
      </c>
      <c r="C60" s="140">
        <v>65.900000000000006</v>
      </c>
      <c r="D60" s="140">
        <v>82.2</v>
      </c>
      <c r="E60" s="140">
        <v>55.6</v>
      </c>
      <c r="F60" s="140">
        <v>71.7</v>
      </c>
      <c r="G60" s="140">
        <v>115.5</v>
      </c>
    </row>
    <row r="61" spans="1:7" x14ac:dyDescent="0.25">
      <c r="A61" s="138">
        <v>3</v>
      </c>
      <c r="B61" s="140">
        <v>20.5</v>
      </c>
      <c r="C61" s="140">
        <v>64.3</v>
      </c>
      <c r="D61" s="140">
        <v>108.2</v>
      </c>
      <c r="E61" s="140">
        <v>47.7</v>
      </c>
      <c r="F61" s="140">
        <v>73.099999999999994</v>
      </c>
      <c r="G61" s="140">
        <v>109.6</v>
      </c>
    </row>
    <row r="62" spans="1:7" x14ac:dyDescent="0.25">
      <c r="A62" s="138">
        <v>4</v>
      </c>
      <c r="B62" s="140">
        <v>33.799999999999997</v>
      </c>
      <c r="C62" s="140">
        <v>62.5</v>
      </c>
      <c r="D62" s="140">
        <v>107.6</v>
      </c>
      <c r="E62" s="140">
        <v>27.7</v>
      </c>
      <c r="F62" s="140">
        <v>65.8</v>
      </c>
      <c r="G62" s="140">
        <v>93.4</v>
      </c>
    </row>
    <row r="63" spans="1:7" x14ac:dyDescent="0.25">
      <c r="A63" s="138">
        <v>5</v>
      </c>
      <c r="B63" s="140">
        <v>31.9</v>
      </c>
      <c r="C63" s="140">
        <v>72.900000000000006</v>
      </c>
      <c r="D63" s="140">
        <v>78.099999999999994</v>
      </c>
      <c r="E63" s="140">
        <v>52</v>
      </c>
      <c r="F63" s="140">
        <v>63.5</v>
      </c>
      <c r="G63" s="140">
        <v>102.7</v>
      </c>
    </row>
    <row r="64" spans="1:7" x14ac:dyDescent="0.25">
      <c r="A64" s="144">
        <v>6</v>
      </c>
      <c r="B64" s="140">
        <v>32.700000000000003</v>
      </c>
      <c r="C64" s="140">
        <v>42.4</v>
      </c>
      <c r="D64" s="140">
        <v>107</v>
      </c>
      <c r="E64" s="140">
        <v>36.5</v>
      </c>
      <c r="F64" s="140">
        <v>67.2</v>
      </c>
      <c r="G64" s="140">
        <v>118.9</v>
      </c>
    </row>
    <row r="65" spans="1:7" ht="14.5" thickBot="1" x14ac:dyDescent="0.3">
      <c r="A65" s="141">
        <v>7</v>
      </c>
      <c r="B65" s="142">
        <v>28.6</v>
      </c>
      <c r="C65" s="142">
        <v>46.4</v>
      </c>
      <c r="D65" s="142">
        <v>86.5</v>
      </c>
      <c r="E65" s="142">
        <v>46.3</v>
      </c>
      <c r="F65" s="142">
        <v>75</v>
      </c>
      <c r="G65" s="142">
        <v>92.7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21.7</v>
      </c>
      <c r="C69" s="140">
        <v>71.099999999999994</v>
      </c>
      <c r="D69" s="140">
        <v>78.2</v>
      </c>
      <c r="E69" s="140">
        <v>40.799999999999997</v>
      </c>
      <c r="F69" s="140">
        <v>78.2</v>
      </c>
      <c r="G69" s="140">
        <v>111.8</v>
      </c>
    </row>
    <row r="70" spans="1:7" x14ac:dyDescent="0.25">
      <c r="A70" s="138">
        <v>2</v>
      </c>
      <c r="B70" s="140">
        <v>19.7</v>
      </c>
      <c r="C70" s="140">
        <v>46.3</v>
      </c>
      <c r="D70" s="140">
        <v>92.5</v>
      </c>
      <c r="E70" s="140">
        <v>57.5</v>
      </c>
      <c r="F70" s="140">
        <v>85.6</v>
      </c>
      <c r="G70" s="140">
        <v>97.9</v>
      </c>
    </row>
    <row r="71" spans="1:7" x14ac:dyDescent="0.25">
      <c r="A71" s="138">
        <v>3</v>
      </c>
      <c r="B71" s="140">
        <v>24.9</v>
      </c>
      <c r="C71" s="140">
        <v>49.8</v>
      </c>
      <c r="D71" s="140">
        <v>96.6</v>
      </c>
      <c r="E71" s="140">
        <v>53.2</v>
      </c>
      <c r="F71" s="140">
        <v>85.1</v>
      </c>
      <c r="G71" s="140">
        <v>112.6</v>
      </c>
    </row>
    <row r="72" spans="1:7" x14ac:dyDescent="0.25">
      <c r="A72" s="138">
        <v>4</v>
      </c>
      <c r="B72" s="140">
        <v>31.2</v>
      </c>
      <c r="C72" s="140">
        <v>61.4</v>
      </c>
      <c r="D72" s="140">
        <v>93.1</v>
      </c>
      <c r="E72" s="140">
        <v>37.1</v>
      </c>
      <c r="F72" s="140">
        <v>87.2</v>
      </c>
      <c r="G72" s="140">
        <v>94.7</v>
      </c>
    </row>
    <row r="73" spans="1:7" x14ac:dyDescent="0.25">
      <c r="A73" s="138">
        <v>5</v>
      </c>
      <c r="B73" s="140">
        <v>28.9</v>
      </c>
      <c r="C73" s="140">
        <v>45.2</v>
      </c>
      <c r="D73" s="140">
        <v>87.3</v>
      </c>
      <c r="E73" s="140">
        <v>39.9</v>
      </c>
      <c r="F73" s="140">
        <v>67</v>
      </c>
      <c r="G73" s="140">
        <v>96.3</v>
      </c>
    </row>
    <row r="74" spans="1:7" x14ac:dyDescent="0.25">
      <c r="A74" s="138">
        <v>6</v>
      </c>
      <c r="B74" s="140">
        <v>18.8</v>
      </c>
      <c r="C74" s="140">
        <v>68.900000000000006</v>
      </c>
      <c r="D74" s="140">
        <v>84.8</v>
      </c>
      <c r="E74" s="140">
        <v>37.5</v>
      </c>
      <c r="F74" s="140">
        <v>82</v>
      </c>
      <c r="G74" s="140">
        <v>95.2</v>
      </c>
    </row>
    <row r="75" spans="1:7" x14ac:dyDescent="0.25">
      <c r="A75" s="138">
        <v>7</v>
      </c>
      <c r="B75" s="140">
        <v>15.2</v>
      </c>
      <c r="C75" s="140">
        <v>70.8</v>
      </c>
      <c r="D75" s="140">
        <v>107.7</v>
      </c>
      <c r="E75" s="140">
        <v>32.299999999999997</v>
      </c>
      <c r="F75" s="140">
        <v>85.4</v>
      </c>
      <c r="G75" s="140">
        <v>91.2</v>
      </c>
    </row>
    <row r="76" spans="1:7" x14ac:dyDescent="0.25">
      <c r="A76" s="138">
        <v>8</v>
      </c>
      <c r="B76" s="140">
        <v>34.9</v>
      </c>
      <c r="C76" s="140">
        <v>56.3</v>
      </c>
      <c r="D76" s="140">
        <v>106.7</v>
      </c>
      <c r="E76" s="140">
        <v>38.299999999999997</v>
      </c>
      <c r="F76" s="140">
        <v>74.5</v>
      </c>
      <c r="G76" s="140">
        <v>98.6</v>
      </c>
    </row>
    <row r="77" spans="1:7" x14ac:dyDescent="0.25">
      <c r="A77" s="138">
        <v>9</v>
      </c>
      <c r="B77" s="140">
        <v>26.5</v>
      </c>
      <c r="C77" s="140">
        <v>69</v>
      </c>
      <c r="D77" s="140">
        <v>96.1</v>
      </c>
      <c r="E77" s="140">
        <v>51.4</v>
      </c>
      <c r="F77" s="140">
        <v>61.1</v>
      </c>
      <c r="G77" s="140">
        <v>92.5</v>
      </c>
    </row>
    <row r="78" spans="1:7" x14ac:dyDescent="0.25">
      <c r="A78" s="138">
        <v>10</v>
      </c>
      <c r="B78" s="140">
        <v>19.5</v>
      </c>
      <c r="C78" s="140">
        <v>67.8</v>
      </c>
      <c r="D78" s="140">
        <v>98.7</v>
      </c>
      <c r="E78" s="140">
        <v>27.7</v>
      </c>
      <c r="F78" s="140">
        <v>81.599999999999994</v>
      </c>
      <c r="G78" s="140">
        <v>119.8</v>
      </c>
    </row>
    <row r="79" spans="1:7" x14ac:dyDescent="0.25">
      <c r="A79" s="138">
        <v>11</v>
      </c>
      <c r="B79" s="140">
        <v>28</v>
      </c>
      <c r="C79" s="140">
        <v>61.9</v>
      </c>
      <c r="D79" s="140">
        <v>102.5</v>
      </c>
      <c r="E79" s="140">
        <v>39.700000000000003</v>
      </c>
      <c r="F79" s="140">
        <v>82.6</v>
      </c>
      <c r="G79" s="140">
        <v>93.4</v>
      </c>
    </row>
    <row r="80" spans="1:7" x14ac:dyDescent="0.25">
      <c r="A80" s="138">
        <v>12</v>
      </c>
      <c r="B80" s="140">
        <v>21.6</v>
      </c>
      <c r="C80" s="140">
        <v>67.099999999999994</v>
      </c>
      <c r="D80" s="140">
        <v>106.9</v>
      </c>
      <c r="E80" s="140">
        <v>47.8</v>
      </c>
      <c r="F80" s="140">
        <v>70.5</v>
      </c>
      <c r="G80" s="140">
        <v>97.7</v>
      </c>
    </row>
    <row r="81" spans="1:7" x14ac:dyDescent="0.25">
      <c r="A81" s="138">
        <v>13</v>
      </c>
      <c r="B81" s="140">
        <v>28.2</v>
      </c>
      <c r="C81" s="140">
        <v>70.099999999999994</v>
      </c>
      <c r="D81" s="140">
        <v>107.4</v>
      </c>
      <c r="E81" s="140">
        <v>32.4</v>
      </c>
      <c r="F81" s="140">
        <v>63.9</v>
      </c>
      <c r="G81" s="140">
        <v>111.8</v>
      </c>
    </row>
    <row r="82" spans="1:7" x14ac:dyDescent="0.25">
      <c r="A82" s="138">
        <v>14</v>
      </c>
      <c r="B82" s="140">
        <v>34.200000000000003</v>
      </c>
      <c r="C82" s="140">
        <v>53.5</v>
      </c>
      <c r="D82" s="140">
        <v>101.4</v>
      </c>
      <c r="E82" s="140">
        <v>29.4</v>
      </c>
      <c r="F82" s="140">
        <v>68.8</v>
      </c>
      <c r="G82" s="140">
        <v>111.1</v>
      </c>
    </row>
    <row r="83" spans="1:7" x14ac:dyDescent="0.25">
      <c r="A83" s="138">
        <v>15</v>
      </c>
      <c r="B83" s="140">
        <v>27.1</v>
      </c>
      <c r="C83" s="140">
        <v>56</v>
      </c>
      <c r="D83" s="140">
        <v>98.7</v>
      </c>
      <c r="E83" s="140">
        <v>26.5</v>
      </c>
      <c r="F83" s="140">
        <v>89</v>
      </c>
      <c r="G83" s="140">
        <v>99.3</v>
      </c>
    </row>
    <row r="84" spans="1:7" x14ac:dyDescent="0.25">
      <c r="A84" s="138">
        <v>16</v>
      </c>
      <c r="B84" s="140">
        <v>28.9</v>
      </c>
      <c r="C84" s="140">
        <v>61.4</v>
      </c>
      <c r="D84" s="140">
        <v>77.3</v>
      </c>
      <c r="E84" s="140"/>
      <c r="F84" s="140"/>
      <c r="G84" s="140"/>
    </row>
    <row r="85" spans="1:7" ht="14.5" thickBot="1" x14ac:dyDescent="0.3">
      <c r="A85" s="143">
        <v>17</v>
      </c>
      <c r="B85" s="142">
        <v>27.2</v>
      </c>
      <c r="C85" s="142">
        <v>40.9</v>
      </c>
      <c r="D85" s="142">
        <v>86.5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18.2</v>
      </c>
      <c r="C89" s="140">
        <v>50.8</v>
      </c>
      <c r="D89" s="140">
        <v>100.6</v>
      </c>
      <c r="E89" s="140">
        <v>46.9</v>
      </c>
      <c r="F89" s="140">
        <v>81.099999999999994</v>
      </c>
      <c r="G89" s="140">
        <v>93.1</v>
      </c>
    </row>
    <row r="90" spans="1:7" x14ac:dyDescent="0.25">
      <c r="A90" s="138">
        <v>2</v>
      </c>
      <c r="B90" s="140">
        <v>24.8</v>
      </c>
      <c r="C90" s="140">
        <v>42.7</v>
      </c>
      <c r="D90" s="140">
        <v>102.3</v>
      </c>
      <c r="E90" s="140">
        <v>57.7</v>
      </c>
      <c r="F90" s="140">
        <v>74.7</v>
      </c>
      <c r="G90" s="140">
        <v>116.8</v>
      </c>
    </row>
    <row r="91" spans="1:7" x14ac:dyDescent="0.25">
      <c r="A91" s="138">
        <v>3</v>
      </c>
      <c r="B91" s="140">
        <v>32</v>
      </c>
      <c r="C91" s="140">
        <v>51.6</v>
      </c>
      <c r="D91" s="140">
        <v>79.3</v>
      </c>
      <c r="E91" s="140">
        <v>25.5</v>
      </c>
      <c r="F91" s="140">
        <v>83.9</v>
      </c>
      <c r="G91" s="140">
        <v>113.3</v>
      </c>
    </row>
    <row r="92" spans="1:7" x14ac:dyDescent="0.25">
      <c r="A92" s="138">
        <v>4</v>
      </c>
      <c r="B92" s="140">
        <v>17.399999999999999</v>
      </c>
      <c r="C92" s="140">
        <v>56.2</v>
      </c>
      <c r="D92" s="140">
        <v>100.8</v>
      </c>
      <c r="E92" s="140">
        <v>51.8</v>
      </c>
      <c r="F92" s="140">
        <v>66.5</v>
      </c>
      <c r="G92" s="140">
        <v>110.7</v>
      </c>
    </row>
    <row r="93" spans="1:7" x14ac:dyDescent="0.25">
      <c r="A93" s="138">
        <v>5</v>
      </c>
      <c r="B93" s="140">
        <v>26.7</v>
      </c>
      <c r="C93" s="140">
        <v>38.700000000000003</v>
      </c>
      <c r="D93" s="140">
        <v>91.9</v>
      </c>
      <c r="E93" s="140">
        <v>28.3</v>
      </c>
      <c r="F93" s="140">
        <v>70.8</v>
      </c>
      <c r="G93" s="140">
        <v>95.8</v>
      </c>
    </row>
    <row r="94" spans="1:7" x14ac:dyDescent="0.25">
      <c r="A94" s="138">
        <v>6</v>
      </c>
      <c r="B94" s="140">
        <v>30.5</v>
      </c>
      <c r="C94" s="140">
        <v>48.1</v>
      </c>
      <c r="D94" s="140">
        <v>99.8</v>
      </c>
      <c r="E94" s="140">
        <v>55.9</v>
      </c>
      <c r="F94" s="140">
        <v>89.4</v>
      </c>
      <c r="G94" s="140">
        <v>98.4</v>
      </c>
    </row>
    <row r="95" spans="1:7" x14ac:dyDescent="0.25">
      <c r="A95" s="138">
        <v>7</v>
      </c>
      <c r="B95" s="140">
        <v>24.1</v>
      </c>
      <c r="C95" s="140">
        <v>67.099999999999994</v>
      </c>
      <c r="D95" s="140">
        <v>75.5</v>
      </c>
      <c r="E95" s="140">
        <v>47.9</v>
      </c>
      <c r="F95" s="140">
        <v>73.8</v>
      </c>
      <c r="G95" s="140">
        <v>91.6</v>
      </c>
    </row>
    <row r="96" spans="1:7" x14ac:dyDescent="0.25">
      <c r="A96" s="138">
        <v>8</v>
      </c>
      <c r="B96" s="140">
        <v>28.6</v>
      </c>
      <c r="C96" s="140">
        <v>64.5</v>
      </c>
      <c r="D96" s="140">
        <v>108</v>
      </c>
      <c r="E96" s="139"/>
      <c r="F96" s="139"/>
      <c r="G96" s="139"/>
    </row>
    <row r="97" spans="1:7" x14ac:dyDescent="0.25">
      <c r="A97" s="138">
        <v>9</v>
      </c>
      <c r="B97" s="140">
        <v>26</v>
      </c>
      <c r="C97" s="140">
        <v>51.1</v>
      </c>
      <c r="D97" s="140">
        <v>77.400000000000006</v>
      </c>
      <c r="E97" s="139"/>
      <c r="F97" s="139"/>
      <c r="G97" s="139"/>
    </row>
    <row r="98" spans="1:7" x14ac:dyDescent="0.25">
      <c r="A98" s="138">
        <v>10</v>
      </c>
      <c r="B98" s="140">
        <v>32.200000000000003</v>
      </c>
      <c r="C98" s="140">
        <v>42.1</v>
      </c>
      <c r="D98" s="140">
        <v>110</v>
      </c>
      <c r="E98" s="139"/>
      <c r="F98" s="139"/>
      <c r="G98" s="139"/>
    </row>
    <row r="99" spans="1:7" x14ac:dyDescent="0.25">
      <c r="A99" s="138">
        <v>11</v>
      </c>
      <c r="B99" s="140">
        <v>30.3</v>
      </c>
      <c r="C99" s="140">
        <v>64.2</v>
      </c>
      <c r="D99" s="140">
        <v>79</v>
      </c>
      <c r="E99" s="139"/>
      <c r="F99" s="139"/>
      <c r="G99" s="139"/>
    </row>
    <row r="100" spans="1:7" x14ac:dyDescent="0.25">
      <c r="A100" s="138">
        <v>12</v>
      </c>
      <c r="B100" s="140">
        <v>33.299999999999997</v>
      </c>
      <c r="C100" s="140">
        <v>66.099999999999994</v>
      </c>
      <c r="D100" s="140">
        <v>109.4</v>
      </c>
      <c r="E100" s="139"/>
      <c r="F100" s="139"/>
      <c r="G100" s="139"/>
    </row>
    <row r="101" spans="1:7" x14ac:dyDescent="0.25">
      <c r="A101" s="138">
        <v>13</v>
      </c>
      <c r="B101" s="140">
        <v>34.5</v>
      </c>
      <c r="C101" s="140">
        <v>41.3</v>
      </c>
      <c r="D101" s="140">
        <v>86.2</v>
      </c>
      <c r="E101" s="139"/>
      <c r="F101" s="139"/>
      <c r="G101" s="139"/>
    </row>
    <row r="102" spans="1:7" x14ac:dyDescent="0.25">
      <c r="A102" s="138">
        <v>14</v>
      </c>
      <c r="B102" s="140">
        <v>15.8</v>
      </c>
      <c r="C102" s="140">
        <v>67.7</v>
      </c>
      <c r="D102" s="140">
        <v>97.8</v>
      </c>
      <c r="E102" s="139"/>
      <c r="F102" s="139"/>
      <c r="G102" s="139"/>
    </row>
    <row r="103" spans="1:7" x14ac:dyDescent="0.25">
      <c r="A103" s="138">
        <v>15</v>
      </c>
      <c r="B103" s="140">
        <v>32.799999999999997</v>
      </c>
      <c r="C103" s="140">
        <v>68.7</v>
      </c>
      <c r="D103" s="140">
        <v>89.6</v>
      </c>
      <c r="E103" s="139"/>
      <c r="F103" s="139"/>
      <c r="G103" s="139"/>
    </row>
    <row r="104" spans="1:7" x14ac:dyDescent="0.25">
      <c r="A104" s="138">
        <v>16</v>
      </c>
      <c r="B104" s="140">
        <v>24.9</v>
      </c>
      <c r="C104" s="140">
        <v>53.8</v>
      </c>
      <c r="D104" s="140">
        <v>77.400000000000006</v>
      </c>
      <c r="E104" s="139"/>
      <c r="F104" s="139"/>
      <c r="G104" s="139"/>
    </row>
    <row r="105" spans="1:7" x14ac:dyDescent="0.25">
      <c r="A105" s="138">
        <v>17</v>
      </c>
      <c r="B105" s="140">
        <v>18.3</v>
      </c>
      <c r="C105" s="140">
        <v>74.900000000000006</v>
      </c>
      <c r="D105" s="140">
        <v>81.3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110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16.399999999999999</v>
      </c>
      <c r="C110" s="140">
        <v>45.3</v>
      </c>
      <c r="D110" s="140">
        <v>83.2</v>
      </c>
      <c r="E110" s="140">
        <v>51.4</v>
      </c>
      <c r="F110" s="140">
        <v>80.3</v>
      </c>
      <c r="G110" s="140">
        <v>115.1</v>
      </c>
    </row>
    <row r="111" spans="1:7" x14ac:dyDescent="0.25">
      <c r="A111" s="138">
        <v>2</v>
      </c>
      <c r="B111" s="140">
        <v>32.200000000000003</v>
      </c>
      <c r="C111" s="140">
        <v>35.799999999999997</v>
      </c>
      <c r="D111" s="140">
        <v>105</v>
      </c>
      <c r="E111" s="140">
        <v>58.7</v>
      </c>
      <c r="F111" s="140">
        <v>75.900000000000006</v>
      </c>
      <c r="G111" s="140">
        <v>113.1</v>
      </c>
    </row>
    <row r="112" spans="1:7" ht="14.5" thickBot="1" x14ac:dyDescent="0.3">
      <c r="A112" s="143">
        <v>3</v>
      </c>
      <c r="B112" s="145"/>
      <c r="C112" s="145"/>
      <c r="D112" s="145"/>
      <c r="E112" s="145">
        <v>32.6</v>
      </c>
      <c r="F112" s="145">
        <v>83.6</v>
      </c>
      <c r="G112" s="145">
        <v>103.3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33.299999999999997</v>
      </c>
      <c r="C116" s="140">
        <v>53.1</v>
      </c>
      <c r="D116" s="140">
        <v>93.1</v>
      </c>
      <c r="E116" s="140">
        <v>30.4</v>
      </c>
      <c r="F116" s="140">
        <v>68.8</v>
      </c>
      <c r="G116" s="140">
        <v>102.5</v>
      </c>
    </row>
    <row r="117" spans="1:7" x14ac:dyDescent="0.25">
      <c r="A117" s="138">
        <v>2</v>
      </c>
      <c r="B117" s="140">
        <v>32.5</v>
      </c>
      <c r="C117" s="140">
        <v>67.2</v>
      </c>
      <c r="D117" s="140">
        <v>94.8</v>
      </c>
      <c r="E117" s="140">
        <v>36.9</v>
      </c>
      <c r="F117" s="140">
        <v>67.599999999999994</v>
      </c>
      <c r="G117" s="140">
        <v>98.6</v>
      </c>
    </row>
    <row r="118" spans="1:7" x14ac:dyDescent="0.25">
      <c r="A118" s="138">
        <v>3</v>
      </c>
      <c r="B118" s="140">
        <v>22.8</v>
      </c>
      <c r="C118" s="140">
        <v>37.9</v>
      </c>
      <c r="D118" s="140">
        <v>79.2</v>
      </c>
      <c r="E118" s="140">
        <v>53.3</v>
      </c>
      <c r="F118" s="140">
        <v>63.2</v>
      </c>
      <c r="G118" s="140">
        <v>115.5</v>
      </c>
    </row>
    <row r="119" spans="1:7" x14ac:dyDescent="0.25">
      <c r="A119" s="138">
        <v>4</v>
      </c>
      <c r="B119" s="140">
        <v>34</v>
      </c>
      <c r="C119" s="140">
        <v>52.4</v>
      </c>
      <c r="D119" s="140">
        <v>88.4</v>
      </c>
      <c r="E119" s="140">
        <v>35.700000000000003</v>
      </c>
      <c r="F119" s="140">
        <v>89.2</v>
      </c>
      <c r="G119" s="140">
        <v>100.7</v>
      </c>
    </row>
    <row r="120" spans="1:7" x14ac:dyDescent="0.25">
      <c r="A120" s="138">
        <v>5</v>
      </c>
      <c r="B120" s="139"/>
      <c r="C120" s="139"/>
      <c r="D120" s="139"/>
      <c r="E120" s="140">
        <v>52.8</v>
      </c>
      <c r="F120" s="140">
        <v>87.4</v>
      </c>
      <c r="G120" s="140">
        <v>119.6</v>
      </c>
    </row>
    <row r="121" spans="1:7" x14ac:dyDescent="0.25">
      <c r="A121" s="138">
        <v>6</v>
      </c>
      <c r="B121" s="139"/>
      <c r="C121" s="139"/>
      <c r="D121" s="139"/>
      <c r="E121" s="140">
        <v>42.3</v>
      </c>
      <c r="F121" s="140">
        <v>64.400000000000006</v>
      </c>
      <c r="G121" s="140">
        <v>104.6</v>
      </c>
    </row>
    <row r="122" spans="1:7" x14ac:dyDescent="0.25">
      <c r="A122" s="138">
        <v>7</v>
      </c>
      <c r="B122" s="139"/>
      <c r="C122" s="139"/>
      <c r="D122" s="139"/>
      <c r="E122" s="140">
        <v>46.7</v>
      </c>
      <c r="F122" s="140">
        <v>60.1</v>
      </c>
      <c r="G122" s="140">
        <v>107.4</v>
      </c>
    </row>
    <row r="123" spans="1:7" x14ac:dyDescent="0.25">
      <c r="A123" s="138">
        <v>8</v>
      </c>
      <c r="B123" s="139"/>
      <c r="C123" s="139"/>
      <c r="D123" s="139"/>
      <c r="E123" s="140">
        <v>25.5</v>
      </c>
      <c r="F123" s="140">
        <v>65</v>
      </c>
      <c r="G123" s="140">
        <v>106.4</v>
      </c>
    </row>
    <row r="124" spans="1:7" ht="14.5" thickBot="1" x14ac:dyDescent="0.3">
      <c r="A124" s="143">
        <v>9</v>
      </c>
      <c r="B124" s="145"/>
      <c r="C124" s="145"/>
      <c r="D124" s="145"/>
      <c r="E124" s="145">
        <v>44.3</v>
      </c>
      <c r="F124" s="145">
        <v>69</v>
      </c>
      <c r="G124" s="145">
        <v>100.2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57.366666666666667</v>
      </c>
      <c r="C129" s="147">
        <f>AVERAGE(E5:G7)</f>
        <v>73.300000000000011</v>
      </c>
      <c r="D129" s="138">
        <v>2058</v>
      </c>
      <c r="E129" s="138">
        <v>4220</v>
      </c>
      <c r="F129" s="138">
        <f>D129*B129</f>
        <v>118060.6</v>
      </c>
      <c r="G129" s="138">
        <f>E129*C129</f>
        <v>309326.00000000006</v>
      </c>
    </row>
    <row r="130" spans="1:7" x14ac:dyDescent="0.25">
      <c r="A130" s="139" t="str">
        <f>A8</f>
        <v>Dongyuan Huangtian swine Farm</v>
      </c>
      <c r="B130" s="146">
        <f>AVERAGE((B11:D15))</f>
        <v>55.139999999999993</v>
      </c>
      <c r="C130" s="146">
        <f>AVERAGE(E11:G11)</f>
        <v>75.100000000000009</v>
      </c>
      <c r="D130" s="138">
        <v>6272</v>
      </c>
      <c r="E130" s="138">
        <v>1402</v>
      </c>
      <c r="F130" s="138">
        <f t="shared" ref="F130:G137" si="0">D130*B130</f>
        <v>345838.07999999996</v>
      </c>
      <c r="G130" s="138">
        <f t="shared" si="0"/>
        <v>105290.20000000001</v>
      </c>
    </row>
    <row r="131" spans="1:7" x14ac:dyDescent="0.25">
      <c r="A131" s="139" t="str">
        <f>A16</f>
        <v>Enping Shahu swine  Farm</v>
      </c>
      <c r="B131" s="146">
        <f>AVERAGE(B19:D33)</f>
        <v>57.82666666666664</v>
      </c>
      <c r="C131" s="146">
        <f>AVERAGE(E19:G28)</f>
        <v>74.53</v>
      </c>
      <c r="D131" s="138">
        <v>22171</v>
      </c>
      <c r="E131" s="138">
        <v>15309</v>
      </c>
      <c r="F131" s="138">
        <f t="shared" si="0"/>
        <v>1282075.0266666661</v>
      </c>
      <c r="G131" s="138">
        <f t="shared" si="0"/>
        <v>1140979.77</v>
      </c>
    </row>
    <row r="132" spans="1:7" x14ac:dyDescent="0.25">
      <c r="A132" s="139" t="str">
        <f>A34</f>
        <v>Langtian Yuehui swine Farm</v>
      </c>
      <c r="B132" s="146">
        <f>AVERAGE(B37:D55)</f>
        <v>58.157894736842096</v>
      </c>
      <c r="C132" s="146">
        <f>AVERAGE(E37:G43)</f>
        <v>73.461904761904748</v>
      </c>
      <c r="D132" s="138">
        <v>28130</v>
      </c>
      <c r="E132" s="138">
        <v>10135</v>
      </c>
      <c r="F132" s="138">
        <f t="shared" si="0"/>
        <v>1635981.5789473681</v>
      </c>
      <c r="G132" s="138">
        <f t="shared" si="0"/>
        <v>744536.40476190462</v>
      </c>
    </row>
    <row r="133" spans="1:7" x14ac:dyDescent="0.25">
      <c r="A133" s="139" t="str">
        <f>A56</f>
        <v>Qujiang Fengwan swine Farm</v>
      </c>
      <c r="B133" s="146">
        <f>AVERAGE(B59:D65)</f>
        <v>60.900000000000006</v>
      </c>
      <c r="C133" s="146">
        <f>AVERAGE(E59:G65)</f>
        <v>72.790476190476198</v>
      </c>
      <c r="D133" s="138">
        <v>9008</v>
      </c>
      <c r="E133" s="138">
        <v>11078</v>
      </c>
      <c r="F133" s="138">
        <f t="shared" si="0"/>
        <v>548587.20000000007</v>
      </c>
      <c r="G133" s="138">
        <f t="shared" si="0"/>
        <v>806372.89523809531</v>
      </c>
    </row>
    <row r="134" spans="1:7" x14ac:dyDescent="0.25">
      <c r="A134" s="139" t="str">
        <f>A66</f>
        <v>Pingyuan Zhongshi swine Farm</v>
      </c>
      <c r="B134" s="146">
        <f>AVERAGE(B69:D85)</f>
        <v>60.321568627450972</v>
      </c>
      <c r="C134" s="146">
        <f>AVERAGE(E69:G83)</f>
        <v>72.842222222222247</v>
      </c>
      <c r="D134" s="138">
        <v>25713</v>
      </c>
      <c r="E134" s="138">
        <v>22453</v>
      </c>
      <c r="F134" s="138">
        <f t="shared" si="0"/>
        <v>1551048.4941176469</v>
      </c>
      <c r="G134" s="138">
        <f t="shared" si="0"/>
        <v>1635526.4155555561</v>
      </c>
    </row>
    <row r="135" spans="1:7" x14ac:dyDescent="0.25">
      <c r="A135" s="139" t="str">
        <f>A86</f>
        <v>Yangchun Tanshui swine Farm</v>
      </c>
      <c r="B135" s="146">
        <f>AVERAGE(B89:D106)</f>
        <v>59.1596153846154</v>
      </c>
      <c r="C135" s="146">
        <f>AVERAGE(E89:G95)</f>
        <v>74.947619047619057</v>
      </c>
      <c r="D135" s="138">
        <v>26456</v>
      </c>
      <c r="E135" s="138">
        <v>11289</v>
      </c>
      <c r="F135" s="138">
        <f t="shared" si="0"/>
        <v>1565126.7846153851</v>
      </c>
      <c r="G135" s="138">
        <f t="shared" si="0"/>
        <v>846083.67142857157</v>
      </c>
    </row>
    <row r="136" spans="1:7" x14ac:dyDescent="0.25">
      <c r="A136" s="139" t="str">
        <f>A107</f>
        <v>Xinfeng Shatian swine Farm</v>
      </c>
      <c r="B136" s="146">
        <f>AVERAGE(B110:D112)</f>
        <v>52.983333333333341</v>
      </c>
      <c r="C136" s="146">
        <f>AVERAGE(E110:G112)</f>
        <v>79.333333333333329</v>
      </c>
      <c r="D136" s="138">
        <v>1907</v>
      </c>
      <c r="E136" s="138">
        <v>3734</v>
      </c>
      <c r="F136" s="138">
        <f t="shared" si="0"/>
        <v>101039.21666666669</v>
      </c>
      <c r="G136" s="138">
        <f t="shared" si="0"/>
        <v>296230.66666666663</v>
      </c>
    </row>
    <row r="137" spans="1:7" x14ac:dyDescent="0.25">
      <c r="A137" s="139" t="str">
        <f>A113</f>
        <v>Kaiping Cangcheng swine Farm</v>
      </c>
      <c r="B137" s="146">
        <f>AVERAGE(B116:D119)</f>
        <v>57.391666666666659</v>
      </c>
      <c r="C137" s="146">
        <f>AVERAGE(E116:G124)</f>
        <v>72.522222222222226</v>
      </c>
      <c r="D137" s="138">
        <v>5732</v>
      </c>
      <c r="E137" s="138">
        <v>13727</v>
      </c>
      <c r="F137" s="138">
        <f t="shared" si="0"/>
        <v>328969.03333333327</v>
      </c>
      <c r="G137" s="138">
        <f t="shared" si="0"/>
        <v>995512.54444444447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93347</v>
      </c>
      <c r="F138" s="138">
        <f t="shared" ref="F138:G138" si="1">SUM(F129:F137)</f>
        <v>7476726.0143470662</v>
      </c>
      <c r="G138" s="138">
        <f t="shared" si="1"/>
        <v>6879858.5680952389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58.6</v>
      </c>
      <c r="D142" s="148">
        <f>ROUNDDOWN(G138/E138,1)</f>
        <v>73.7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F56C-5DAC-445C-BEA6-BC2FC49CEC8E}">
  <dimension ref="A1:G142"/>
  <sheetViews>
    <sheetView topLeftCell="A121" workbookViewId="0">
      <selection sqref="A1:G124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29.2</v>
      </c>
      <c r="C5" s="140">
        <v>51.2</v>
      </c>
      <c r="D5" s="140">
        <v>98.8</v>
      </c>
      <c r="E5" s="140">
        <v>46.5</v>
      </c>
      <c r="F5" s="140">
        <v>83.2</v>
      </c>
      <c r="G5" s="140">
        <v>103</v>
      </c>
    </row>
    <row r="6" spans="1:7" x14ac:dyDescent="0.25">
      <c r="A6" s="138">
        <v>2</v>
      </c>
      <c r="B6" s="140">
        <v>34.700000000000003</v>
      </c>
      <c r="C6" s="140">
        <v>70.8</v>
      </c>
      <c r="D6" s="140">
        <v>109.5</v>
      </c>
      <c r="E6" s="140">
        <v>38.200000000000003</v>
      </c>
      <c r="F6" s="140">
        <v>74.3</v>
      </c>
      <c r="G6" s="140">
        <v>112.1</v>
      </c>
    </row>
    <row r="7" spans="1:7" ht="14.5" thickBot="1" x14ac:dyDescent="0.3">
      <c r="A7" s="141">
        <v>3</v>
      </c>
      <c r="B7" s="142"/>
      <c r="C7" s="142"/>
      <c r="D7" s="142"/>
      <c r="E7" s="142">
        <v>37</v>
      </c>
      <c r="F7" s="142">
        <v>69.400000000000006</v>
      </c>
      <c r="G7" s="142">
        <v>108.7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23</v>
      </c>
      <c r="C11" s="140">
        <v>59</v>
      </c>
      <c r="D11" s="140">
        <v>82.7</v>
      </c>
      <c r="E11" s="140">
        <v>55.5</v>
      </c>
      <c r="F11" s="140">
        <v>79.599999999999994</v>
      </c>
      <c r="G11" s="140">
        <v>98.7</v>
      </c>
    </row>
    <row r="12" spans="1:7" x14ac:dyDescent="0.25">
      <c r="A12" s="138">
        <v>2</v>
      </c>
      <c r="B12" s="140">
        <v>32.5</v>
      </c>
      <c r="C12" s="140">
        <v>45.6</v>
      </c>
      <c r="D12" s="140">
        <v>106.2</v>
      </c>
      <c r="E12" s="140"/>
      <c r="F12" s="140"/>
      <c r="G12" s="140"/>
    </row>
    <row r="13" spans="1:7" x14ac:dyDescent="0.25">
      <c r="A13" s="138">
        <v>3</v>
      </c>
      <c r="B13" s="140">
        <v>34.299999999999997</v>
      </c>
      <c r="C13" s="140">
        <v>57.7</v>
      </c>
      <c r="D13" s="140">
        <v>102.2</v>
      </c>
      <c r="E13" s="139"/>
      <c r="F13" s="139"/>
      <c r="G13" s="139"/>
    </row>
    <row r="14" spans="1:7" x14ac:dyDescent="0.25">
      <c r="A14" s="138">
        <v>4</v>
      </c>
      <c r="B14" s="140">
        <v>21.1</v>
      </c>
      <c r="C14" s="140">
        <v>44.9</v>
      </c>
      <c r="D14" s="140">
        <v>80.8</v>
      </c>
      <c r="E14" s="139"/>
      <c r="F14" s="139"/>
      <c r="G14" s="139"/>
    </row>
    <row r="15" spans="1:7" ht="14.5" thickBot="1" x14ac:dyDescent="0.3">
      <c r="A15" s="141">
        <v>5</v>
      </c>
      <c r="B15" s="142">
        <v>18.3</v>
      </c>
      <c r="C15" s="142">
        <v>72.8</v>
      </c>
      <c r="D15" s="142">
        <v>78.599999999999994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22.6</v>
      </c>
      <c r="C19" s="140">
        <v>69.400000000000006</v>
      </c>
      <c r="D19" s="140">
        <v>80.7</v>
      </c>
      <c r="E19" s="140">
        <v>42.5</v>
      </c>
      <c r="F19" s="140">
        <v>83.6</v>
      </c>
      <c r="G19" s="140">
        <v>106.3</v>
      </c>
    </row>
    <row r="20" spans="1:7" x14ac:dyDescent="0.25">
      <c r="A20" s="138">
        <v>2</v>
      </c>
      <c r="B20" s="140">
        <v>35</v>
      </c>
      <c r="C20" s="140">
        <v>57</v>
      </c>
      <c r="D20" s="140">
        <v>92</v>
      </c>
      <c r="E20" s="140">
        <v>50.9</v>
      </c>
      <c r="F20" s="140">
        <v>70.3</v>
      </c>
      <c r="G20" s="140">
        <v>118</v>
      </c>
    </row>
    <row r="21" spans="1:7" x14ac:dyDescent="0.25">
      <c r="A21" s="138">
        <v>3</v>
      </c>
      <c r="B21" s="140">
        <v>32.299999999999997</v>
      </c>
      <c r="C21" s="140">
        <v>53.1</v>
      </c>
      <c r="D21" s="140">
        <v>76.3</v>
      </c>
      <c r="E21" s="140">
        <v>54.1</v>
      </c>
      <c r="F21" s="140">
        <v>63.4</v>
      </c>
      <c r="G21" s="140">
        <v>100.3</v>
      </c>
    </row>
    <row r="22" spans="1:7" x14ac:dyDescent="0.25">
      <c r="A22" s="138">
        <v>4</v>
      </c>
      <c r="B22" s="140">
        <v>21.5</v>
      </c>
      <c r="C22" s="140">
        <v>53.2</v>
      </c>
      <c r="D22" s="140">
        <v>93.2</v>
      </c>
      <c r="E22" s="140">
        <v>45.9</v>
      </c>
      <c r="F22" s="140">
        <v>76.8</v>
      </c>
      <c r="G22" s="140">
        <v>91.7</v>
      </c>
    </row>
    <row r="23" spans="1:7" x14ac:dyDescent="0.25">
      <c r="A23" s="138">
        <v>5</v>
      </c>
      <c r="B23" s="140">
        <v>23.2</v>
      </c>
      <c r="C23" s="140">
        <v>73.400000000000006</v>
      </c>
      <c r="D23" s="140">
        <v>106.1</v>
      </c>
      <c r="E23" s="140">
        <v>49.8</v>
      </c>
      <c r="F23" s="140">
        <v>85.5</v>
      </c>
      <c r="G23" s="140">
        <v>93.2</v>
      </c>
    </row>
    <row r="24" spans="1:7" x14ac:dyDescent="0.25">
      <c r="A24" s="138">
        <v>6</v>
      </c>
      <c r="B24" s="140">
        <v>27.7</v>
      </c>
      <c r="C24" s="140">
        <v>69.599999999999994</v>
      </c>
      <c r="D24" s="140">
        <v>93.4</v>
      </c>
      <c r="E24" s="140">
        <v>60</v>
      </c>
      <c r="F24" s="140">
        <v>84.8</v>
      </c>
      <c r="G24" s="140">
        <v>95.7</v>
      </c>
    </row>
    <row r="25" spans="1:7" x14ac:dyDescent="0.25">
      <c r="A25" s="138">
        <v>7</v>
      </c>
      <c r="B25" s="140">
        <v>18.899999999999999</v>
      </c>
      <c r="C25" s="140">
        <v>45.3</v>
      </c>
      <c r="D25" s="140">
        <v>100.6</v>
      </c>
      <c r="E25" s="140">
        <v>58.4</v>
      </c>
      <c r="F25" s="140">
        <v>62</v>
      </c>
      <c r="G25" s="140">
        <v>114</v>
      </c>
    </row>
    <row r="26" spans="1:7" x14ac:dyDescent="0.25">
      <c r="A26" s="138">
        <v>8</v>
      </c>
      <c r="B26" s="140">
        <v>30</v>
      </c>
      <c r="C26" s="140">
        <v>48.6</v>
      </c>
      <c r="D26" s="140">
        <v>98.7</v>
      </c>
      <c r="E26" s="140">
        <v>36.6</v>
      </c>
      <c r="F26" s="140">
        <v>62.4</v>
      </c>
      <c r="G26" s="140">
        <v>112.2</v>
      </c>
    </row>
    <row r="27" spans="1:7" x14ac:dyDescent="0.25">
      <c r="A27" s="138">
        <v>9</v>
      </c>
      <c r="B27" s="140">
        <v>33.299999999999997</v>
      </c>
      <c r="C27" s="140">
        <v>40</v>
      </c>
      <c r="D27" s="140">
        <v>76.8</v>
      </c>
      <c r="E27" s="140">
        <v>35.299999999999997</v>
      </c>
      <c r="F27" s="140">
        <v>86.6</v>
      </c>
      <c r="G27" s="140">
        <v>94.9</v>
      </c>
    </row>
    <row r="28" spans="1:7" x14ac:dyDescent="0.25">
      <c r="A28" s="138">
        <v>10</v>
      </c>
      <c r="B28" s="140">
        <v>21.8</v>
      </c>
      <c r="C28" s="140">
        <v>55.4</v>
      </c>
      <c r="D28" s="140">
        <v>93.4</v>
      </c>
      <c r="E28" s="140">
        <v>29.1</v>
      </c>
      <c r="F28" s="140">
        <v>79.3</v>
      </c>
      <c r="G28" s="140">
        <v>97.3</v>
      </c>
    </row>
    <row r="29" spans="1:7" x14ac:dyDescent="0.25">
      <c r="A29" s="138">
        <v>11</v>
      </c>
      <c r="B29" s="140">
        <v>18.899999999999999</v>
      </c>
      <c r="C29" s="140">
        <v>38.799999999999997</v>
      </c>
      <c r="D29" s="140">
        <v>91</v>
      </c>
      <c r="E29" s="140"/>
      <c r="F29" s="140"/>
      <c r="G29" s="140"/>
    </row>
    <row r="30" spans="1:7" x14ac:dyDescent="0.25">
      <c r="A30" s="138">
        <v>12</v>
      </c>
      <c r="B30" s="140">
        <v>32.1</v>
      </c>
      <c r="C30" s="140">
        <v>56.9</v>
      </c>
      <c r="D30" s="140">
        <v>98.8</v>
      </c>
      <c r="E30" s="140"/>
      <c r="F30" s="140"/>
      <c r="G30" s="140"/>
    </row>
    <row r="31" spans="1:7" x14ac:dyDescent="0.25">
      <c r="A31" s="138">
        <v>13</v>
      </c>
      <c r="B31" s="140">
        <v>32</v>
      </c>
      <c r="C31" s="140">
        <v>65.8</v>
      </c>
      <c r="D31" s="140">
        <v>77.3</v>
      </c>
      <c r="E31" s="140"/>
      <c r="F31" s="140"/>
      <c r="G31" s="140"/>
    </row>
    <row r="32" spans="1:7" x14ac:dyDescent="0.25">
      <c r="A32" s="138">
        <v>14</v>
      </c>
      <c r="B32" s="140">
        <v>26.7</v>
      </c>
      <c r="C32" s="140">
        <v>70.400000000000006</v>
      </c>
      <c r="D32" s="140">
        <v>97.9</v>
      </c>
      <c r="E32" s="140"/>
      <c r="F32" s="140"/>
      <c r="G32" s="140"/>
    </row>
    <row r="33" spans="1:7" ht="14.5" thickBot="1" x14ac:dyDescent="0.3">
      <c r="A33" s="143">
        <v>15</v>
      </c>
      <c r="B33" s="142">
        <v>16.8</v>
      </c>
      <c r="C33" s="142">
        <v>49.6</v>
      </c>
      <c r="D33" s="142">
        <v>91.8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22</v>
      </c>
      <c r="C37" s="140">
        <v>36</v>
      </c>
      <c r="D37" s="140">
        <v>80.8</v>
      </c>
      <c r="E37" s="140">
        <v>53.1</v>
      </c>
      <c r="F37" s="140">
        <v>82.9</v>
      </c>
      <c r="G37" s="140">
        <v>97.7</v>
      </c>
    </row>
    <row r="38" spans="1:7" x14ac:dyDescent="0.25">
      <c r="A38" s="138">
        <v>2</v>
      </c>
      <c r="B38" s="140">
        <v>31.7</v>
      </c>
      <c r="C38" s="140">
        <v>68.3</v>
      </c>
      <c r="D38" s="140">
        <v>90.4</v>
      </c>
      <c r="E38" s="140">
        <v>25.5</v>
      </c>
      <c r="F38" s="140">
        <v>75.599999999999994</v>
      </c>
      <c r="G38" s="140">
        <v>93.5</v>
      </c>
    </row>
    <row r="39" spans="1:7" x14ac:dyDescent="0.25">
      <c r="A39" s="138">
        <v>3</v>
      </c>
      <c r="B39" s="140">
        <v>29.2</v>
      </c>
      <c r="C39" s="140">
        <v>57.7</v>
      </c>
      <c r="D39" s="140">
        <v>101.9</v>
      </c>
      <c r="E39" s="140">
        <v>55.4</v>
      </c>
      <c r="F39" s="140">
        <v>74.5</v>
      </c>
      <c r="G39" s="140">
        <v>107.9</v>
      </c>
    </row>
    <row r="40" spans="1:7" x14ac:dyDescent="0.25">
      <c r="A40" s="138">
        <v>4</v>
      </c>
      <c r="B40" s="140">
        <v>16.7</v>
      </c>
      <c r="C40" s="140">
        <v>55.5</v>
      </c>
      <c r="D40" s="140">
        <v>96.5</v>
      </c>
      <c r="E40" s="140">
        <v>30.9</v>
      </c>
      <c r="F40" s="140">
        <v>68.8</v>
      </c>
      <c r="G40" s="140">
        <v>104.7</v>
      </c>
    </row>
    <row r="41" spans="1:7" x14ac:dyDescent="0.25">
      <c r="A41" s="138">
        <v>5</v>
      </c>
      <c r="B41" s="140">
        <v>23.9</v>
      </c>
      <c r="C41" s="140">
        <v>62.2</v>
      </c>
      <c r="D41" s="140">
        <v>109.1</v>
      </c>
      <c r="E41" s="140">
        <v>53.4</v>
      </c>
      <c r="F41" s="140">
        <v>65.2</v>
      </c>
      <c r="G41" s="140">
        <v>102.1</v>
      </c>
    </row>
    <row r="42" spans="1:7" x14ac:dyDescent="0.25">
      <c r="A42" s="138">
        <v>6</v>
      </c>
      <c r="B42" s="140">
        <v>22</v>
      </c>
      <c r="C42" s="140">
        <v>60.4</v>
      </c>
      <c r="D42" s="140">
        <v>97.5</v>
      </c>
      <c r="E42" s="140">
        <v>39.700000000000003</v>
      </c>
      <c r="F42" s="140">
        <v>85</v>
      </c>
      <c r="G42" s="140">
        <v>98.6</v>
      </c>
    </row>
    <row r="43" spans="1:7" x14ac:dyDescent="0.25">
      <c r="A43" s="138">
        <v>7</v>
      </c>
      <c r="B43" s="140">
        <v>27.4</v>
      </c>
      <c r="C43" s="140">
        <v>68.8</v>
      </c>
      <c r="D43" s="140">
        <v>94.2</v>
      </c>
      <c r="E43" s="140">
        <v>44.3</v>
      </c>
      <c r="F43" s="140">
        <v>77.599999999999994</v>
      </c>
      <c r="G43" s="140">
        <v>90.8</v>
      </c>
    </row>
    <row r="44" spans="1:7" x14ac:dyDescent="0.25">
      <c r="A44" s="138">
        <v>8</v>
      </c>
      <c r="B44" s="140">
        <v>28.2</v>
      </c>
      <c r="C44" s="140">
        <v>44.5</v>
      </c>
      <c r="D44" s="140">
        <v>82.1</v>
      </c>
      <c r="E44" s="139"/>
      <c r="F44" s="139"/>
      <c r="G44" s="139"/>
    </row>
    <row r="45" spans="1:7" x14ac:dyDescent="0.25">
      <c r="A45" s="138">
        <v>9</v>
      </c>
      <c r="B45" s="140">
        <v>16.600000000000001</v>
      </c>
      <c r="C45" s="140">
        <v>70.900000000000006</v>
      </c>
      <c r="D45" s="140">
        <v>93.2</v>
      </c>
      <c r="E45" s="139"/>
      <c r="F45" s="139"/>
      <c r="G45" s="139"/>
    </row>
    <row r="46" spans="1:7" x14ac:dyDescent="0.25">
      <c r="A46" s="138">
        <v>10</v>
      </c>
      <c r="B46" s="140">
        <v>23.8</v>
      </c>
      <c r="C46" s="140">
        <v>75</v>
      </c>
      <c r="D46" s="140">
        <v>103.1</v>
      </c>
      <c r="E46" s="139"/>
      <c r="F46" s="139"/>
      <c r="G46" s="139"/>
    </row>
    <row r="47" spans="1:7" x14ac:dyDescent="0.25">
      <c r="A47" s="138">
        <v>11</v>
      </c>
      <c r="B47" s="140">
        <v>27.3</v>
      </c>
      <c r="C47" s="140">
        <v>74.7</v>
      </c>
      <c r="D47" s="140">
        <v>76.599999999999994</v>
      </c>
      <c r="E47" s="139"/>
      <c r="F47" s="139"/>
      <c r="G47" s="139"/>
    </row>
    <row r="48" spans="1:7" x14ac:dyDescent="0.25">
      <c r="A48" s="138">
        <v>12</v>
      </c>
      <c r="B48" s="140">
        <v>29.4</v>
      </c>
      <c r="C48" s="140">
        <v>41.1</v>
      </c>
      <c r="D48" s="140">
        <v>86.8</v>
      </c>
      <c r="E48" s="139"/>
      <c r="F48" s="139"/>
      <c r="G48" s="139"/>
    </row>
    <row r="49" spans="1:7" x14ac:dyDescent="0.25">
      <c r="A49" s="138">
        <v>13</v>
      </c>
      <c r="B49" s="140">
        <v>23.8</v>
      </c>
      <c r="C49" s="140">
        <v>69.7</v>
      </c>
      <c r="D49" s="140">
        <v>104.8</v>
      </c>
      <c r="E49" s="139"/>
      <c r="F49" s="139"/>
      <c r="G49" s="139"/>
    </row>
    <row r="50" spans="1:7" x14ac:dyDescent="0.25">
      <c r="A50" s="138">
        <v>14</v>
      </c>
      <c r="B50" s="140">
        <v>33.6</v>
      </c>
      <c r="C50" s="140">
        <v>50.1</v>
      </c>
      <c r="D50" s="140">
        <v>91.9</v>
      </c>
      <c r="E50" s="139"/>
      <c r="F50" s="139"/>
      <c r="G50" s="139"/>
    </row>
    <row r="51" spans="1:7" x14ac:dyDescent="0.25">
      <c r="A51" s="138">
        <v>15</v>
      </c>
      <c r="B51" s="140">
        <v>21.2</v>
      </c>
      <c r="C51" s="140">
        <v>65.900000000000006</v>
      </c>
      <c r="D51" s="140">
        <v>96.7</v>
      </c>
      <c r="E51" s="139"/>
      <c r="F51" s="139"/>
      <c r="G51" s="139"/>
    </row>
    <row r="52" spans="1:7" x14ac:dyDescent="0.25">
      <c r="A52" s="138">
        <v>16</v>
      </c>
      <c r="B52" s="140">
        <v>17.2</v>
      </c>
      <c r="C52" s="140">
        <v>64.400000000000006</v>
      </c>
      <c r="D52" s="140">
        <v>109.3</v>
      </c>
      <c r="E52" s="139"/>
      <c r="F52" s="139"/>
      <c r="G52" s="139"/>
    </row>
    <row r="53" spans="1:7" x14ac:dyDescent="0.25">
      <c r="A53" s="138">
        <v>17</v>
      </c>
      <c r="B53" s="140">
        <v>29.7</v>
      </c>
      <c r="C53" s="140">
        <v>74.8</v>
      </c>
      <c r="D53" s="140">
        <v>80.8</v>
      </c>
      <c r="E53" s="139"/>
      <c r="F53" s="139"/>
      <c r="G53" s="139"/>
    </row>
    <row r="54" spans="1:7" x14ac:dyDescent="0.25">
      <c r="A54" s="138">
        <v>18</v>
      </c>
      <c r="B54" s="140">
        <v>27.7</v>
      </c>
      <c r="C54" s="140">
        <v>56.5</v>
      </c>
      <c r="D54" s="140">
        <v>91.7</v>
      </c>
      <c r="E54" s="139"/>
      <c r="F54" s="139"/>
      <c r="G54" s="139"/>
    </row>
    <row r="55" spans="1:7" ht="14.5" thickBot="1" x14ac:dyDescent="0.3">
      <c r="A55" s="141">
        <v>19</v>
      </c>
      <c r="B55" s="142">
        <v>27.5</v>
      </c>
      <c r="C55" s="142">
        <v>45.2</v>
      </c>
      <c r="D55" s="142">
        <v>105.1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16.3</v>
      </c>
      <c r="C59" s="140">
        <v>63.4</v>
      </c>
      <c r="D59" s="140">
        <v>87.3</v>
      </c>
      <c r="E59" s="140">
        <v>25</v>
      </c>
      <c r="F59" s="140">
        <v>73.5</v>
      </c>
      <c r="G59" s="140">
        <v>108.4</v>
      </c>
    </row>
    <row r="60" spans="1:7" x14ac:dyDescent="0.25">
      <c r="A60" s="138">
        <v>2</v>
      </c>
      <c r="B60" s="140">
        <v>23.1</v>
      </c>
      <c r="C60" s="140">
        <v>60.3</v>
      </c>
      <c r="D60" s="140">
        <v>90.8</v>
      </c>
      <c r="E60" s="140">
        <v>35</v>
      </c>
      <c r="F60" s="140">
        <v>60.5</v>
      </c>
      <c r="G60" s="140">
        <v>119.1</v>
      </c>
    </row>
    <row r="61" spans="1:7" x14ac:dyDescent="0.25">
      <c r="A61" s="138">
        <v>3</v>
      </c>
      <c r="B61" s="140">
        <v>32</v>
      </c>
      <c r="C61" s="140">
        <v>44</v>
      </c>
      <c r="D61" s="140">
        <v>75.2</v>
      </c>
      <c r="E61" s="140">
        <v>38.700000000000003</v>
      </c>
      <c r="F61" s="140">
        <v>84.3</v>
      </c>
      <c r="G61" s="140">
        <v>105.6</v>
      </c>
    </row>
    <row r="62" spans="1:7" x14ac:dyDescent="0.25">
      <c r="A62" s="138">
        <v>4</v>
      </c>
      <c r="B62" s="140">
        <v>33.299999999999997</v>
      </c>
      <c r="C62" s="140">
        <v>53</v>
      </c>
      <c r="D62" s="140">
        <v>108.2</v>
      </c>
      <c r="E62" s="140">
        <v>28.7</v>
      </c>
      <c r="F62" s="140">
        <v>84.8</v>
      </c>
      <c r="G62" s="140">
        <v>94.2</v>
      </c>
    </row>
    <row r="63" spans="1:7" x14ac:dyDescent="0.25">
      <c r="A63" s="138">
        <v>5</v>
      </c>
      <c r="B63" s="140">
        <v>16.899999999999999</v>
      </c>
      <c r="C63" s="140">
        <v>53.4</v>
      </c>
      <c r="D63" s="140">
        <v>89.1</v>
      </c>
      <c r="E63" s="140">
        <v>48.5</v>
      </c>
      <c r="F63" s="140">
        <v>79.099999999999994</v>
      </c>
      <c r="G63" s="140">
        <v>104.6</v>
      </c>
    </row>
    <row r="64" spans="1:7" x14ac:dyDescent="0.25">
      <c r="A64" s="144">
        <v>6</v>
      </c>
      <c r="B64" s="140">
        <v>33.200000000000003</v>
      </c>
      <c r="C64" s="140">
        <v>43.9</v>
      </c>
      <c r="D64" s="140">
        <v>99.4</v>
      </c>
      <c r="E64" s="140">
        <v>32</v>
      </c>
      <c r="F64" s="140">
        <v>90</v>
      </c>
      <c r="G64" s="140">
        <v>114.5</v>
      </c>
    </row>
    <row r="65" spans="1:7" ht="14.5" thickBot="1" x14ac:dyDescent="0.3">
      <c r="A65" s="141">
        <v>7</v>
      </c>
      <c r="B65" s="142">
        <v>34.9</v>
      </c>
      <c r="C65" s="142">
        <v>38.1</v>
      </c>
      <c r="D65" s="142">
        <v>77.7</v>
      </c>
      <c r="E65" s="142">
        <v>48.5</v>
      </c>
      <c r="F65" s="142">
        <v>90</v>
      </c>
      <c r="G65" s="142">
        <v>93.5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18.399999999999999</v>
      </c>
      <c r="C69" s="140">
        <v>39.5</v>
      </c>
      <c r="D69" s="140">
        <v>86.3</v>
      </c>
      <c r="E69" s="140">
        <v>42.8</v>
      </c>
      <c r="F69" s="140">
        <v>83.9</v>
      </c>
      <c r="G69" s="140">
        <v>116.3</v>
      </c>
    </row>
    <row r="70" spans="1:7" x14ac:dyDescent="0.25">
      <c r="A70" s="138">
        <v>2</v>
      </c>
      <c r="B70" s="140">
        <v>34.700000000000003</v>
      </c>
      <c r="C70" s="140">
        <v>63</v>
      </c>
      <c r="D70" s="140">
        <v>109.5</v>
      </c>
      <c r="E70" s="140">
        <v>58.5</v>
      </c>
      <c r="F70" s="140">
        <v>86.4</v>
      </c>
      <c r="G70" s="140">
        <v>108.8</v>
      </c>
    </row>
    <row r="71" spans="1:7" x14ac:dyDescent="0.25">
      <c r="A71" s="138">
        <v>3</v>
      </c>
      <c r="B71" s="140">
        <v>25.6</v>
      </c>
      <c r="C71" s="140">
        <v>62.5</v>
      </c>
      <c r="D71" s="140">
        <v>107.2</v>
      </c>
      <c r="E71" s="140">
        <v>42.5</v>
      </c>
      <c r="F71" s="140">
        <v>86.5</v>
      </c>
      <c r="G71" s="140">
        <v>119.6</v>
      </c>
    </row>
    <row r="72" spans="1:7" x14ac:dyDescent="0.25">
      <c r="A72" s="138">
        <v>4</v>
      </c>
      <c r="B72" s="140">
        <v>21.2</v>
      </c>
      <c r="C72" s="140">
        <v>36.299999999999997</v>
      </c>
      <c r="D72" s="140">
        <v>83.5</v>
      </c>
      <c r="E72" s="140">
        <v>54.5</v>
      </c>
      <c r="F72" s="140">
        <v>72.8</v>
      </c>
      <c r="G72" s="140">
        <v>98.8</v>
      </c>
    </row>
    <row r="73" spans="1:7" x14ac:dyDescent="0.25">
      <c r="A73" s="138">
        <v>5</v>
      </c>
      <c r="B73" s="140">
        <v>16</v>
      </c>
      <c r="C73" s="140">
        <v>69.5</v>
      </c>
      <c r="D73" s="140">
        <v>81.8</v>
      </c>
      <c r="E73" s="140">
        <v>38.5</v>
      </c>
      <c r="F73" s="140">
        <v>67</v>
      </c>
      <c r="G73" s="140">
        <v>104.1</v>
      </c>
    </row>
    <row r="74" spans="1:7" x14ac:dyDescent="0.25">
      <c r="A74" s="138">
        <v>6</v>
      </c>
      <c r="B74" s="140">
        <v>28</v>
      </c>
      <c r="C74" s="140">
        <v>64.2</v>
      </c>
      <c r="D74" s="140">
        <v>86.9</v>
      </c>
      <c r="E74" s="140">
        <v>48.4</v>
      </c>
      <c r="F74" s="140">
        <v>63.2</v>
      </c>
      <c r="G74" s="140">
        <v>117.9</v>
      </c>
    </row>
    <row r="75" spans="1:7" x14ac:dyDescent="0.25">
      <c r="A75" s="138">
        <v>7</v>
      </c>
      <c r="B75" s="140">
        <v>27.5</v>
      </c>
      <c r="C75" s="140">
        <v>56</v>
      </c>
      <c r="D75" s="140">
        <v>76.400000000000006</v>
      </c>
      <c r="E75" s="140">
        <v>31.9</v>
      </c>
      <c r="F75" s="140">
        <v>63.7</v>
      </c>
      <c r="G75" s="140">
        <v>93.6</v>
      </c>
    </row>
    <row r="76" spans="1:7" x14ac:dyDescent="0.25">
      <c r="A76" s="138">
        <v>8</v>
      </c>
      <c r="B76" s="140">
        <v>16.399999999999999</v>
      </c>
      <c r="C76" s="140">
        <v>57.5</v>
      </c>
      <c r="D76" s="140">
        <v>95.9</v>
      </c>
      <c r="E76" s="140">
        <v>58.3</v>
      </c>
      <c r="F76" s="140">
        <v>79.900000000000006</v>
      </c>
      <c r="G76" s="140">
        <v>100.8</v>
      </c>
    </row>
    <row r="77" spans="1:7" x14ac:dyDescent="0.25">
      <c r="A77" s="138">
        <v>9</v>
      </c>
      <c r="B77" s="140">
        <v>30.5</v>
      </c>
      <c r="C77" s="140">
        <v>36.799999999999997</v>
      </c>
      <c r="D77" s="140">
        <v>99.3</v>
      </c>
      <c r="E77" s="140">
        <v>30.7</v>
      </c>
      <c r="F77" s="140">
        <v>75.8</v>
      </c>
      <c r="G77" s="140">
        <v>110.1</v>
      </c>
    </row>
    <row r="78" spans="1:7" x14ac:dyDescent="0.25">
      <c r="A78" s="138">
        <v>10</v>
      </c>
      <c r="B78" s="140">
        <v>25.6</v>
      </c>
      <c r="C78" s="140">
        <v>44.8</v>
      </c>
      <c r="D78" s="140">
        <v>79.5</v>
      </c>
      <c r="E78" s="140">
        <v>59.8</v>
      </c>
      <c r="F78" s="140">
        <v>88.9</v>
      </c>
      <c r="G78" s="140">
        <v>112.4</v>
      </c>
    </row>
    <row r="79" spans="1:7" x14ac:dyDescent="0.25">
      <c r="A79" s="138">
        <v>11</v>
      </c>
      <c r="B79" s="140">
        <v>19.2</v>
      </c>
      <c r="C79" s="140">
        <v>68.5</v>
      </c>
      <c r="D79" s="140">
        <v>92.1</v>
      </c>
      <c r="E79" s="140">
        <v>27.9</v>
      </c>
      <c r="F79" s="140">
        <v>61</v>
      </c>
      <c r="G79" s="140">
        <v>108.1</v>
      </c>
    </row>
    <row r="80" spans="1:7" x14ac:dyDescent="0.25">
      <c r="A80" s="138">
        <v>12</v>
      </c>
      <c r="B80" s="140">
        <v>21.1</v>
      </c>
      <c r="C80" s="140">
        <v>66.400000000000006</v>
      </c>
      <c r="D80" s="140">
        <v>85</v>
      </c>
      <c r="E80" s="140">
        <v>32.799999999999997</v>
      </c>
      <c r="F80" s="140">
        <v>69.599999999999994</v>
      </c>
      <c r="G80" s="140">
        <v>117.3</v>
      </c>
    </row>
    <row r="81" spans="1:7" x14ac:dyDescent="0.25">
      <c r="A81" s="138">
        <v>13</v>
      </c>
      <c r="B81" s="140">
        <v>32</v>
      </c>
      <c r="C81" s="140">
        <v>59.5</v>
      </c>
      <c r="D81" s="140">
        <v>101.9</v>
      </c>
      <c r="E81" s="140">
        <v>45.1</v>
      </c>
      <c r="F81" s="140">
        <v>68.2</v>
      </c>
      <c r="G81" s="140">
        <v>98.3</v>
      </c>
    </row>
    <row r="82" spans="1:7" x14ac:dyDescent="0.25">
      <c r="A82" s="138">
        <v>14</v>
      </c>
      <c r="B82" s="140">
        <v>31.3</v>
      </c>
      <c r="C82" s="140">
        <v>51.8</v>
      </c>
      <c r="D82" s="140">
        <v>89.9</v>
      </c>
      <c r="E82" s="140">
        <v>40.6</v>
      </c>
      <c r="F82" s="140">
        <v>60</v>
      </c>
      <c r="G82" s="140">
        <v>98.8</v>
      </c>
    </row>
    <row r="83" spans="1:7" x14ac:dyDescent="0.25">
      <c r="A83" s="138">
        <v>15</v>
      </c>
      <c r="B83" s="140">
        <v>29.4</v>
      </c>
      <c r="C83" s="140">
        <v>59</v>
      </c>
      <c r="D83" s="140">
        <v>104.3</v>
      </c>
      <c r="E83" s="140">
        <v>36.299999999999997</v>
      </c>
      <c r="F83" s="140">
        <v>86.6</v>
      </c>
      <c r="G83" s="140">
        <v>90.8</v>
      </c>
    </row>
    <row r="84" spans="1:7" x14ac:dyDescent="0.25">
      <c r="A84" s="138">
        <v>16</v>
      </c>
      <c r="B84" s="140">
        <v>22.3</v>
      </c>
      <c r="C84" s="140">
        <v>51.4</v>
      </c>
      <c r="D84" s="140">
        <v>92.2</v>
      </c>
      <c r="E84" s="140"/>
      <c r="F84" s="140"/>
      <c r="G84" s="140"/>
    </row>
    <row r="85" spans="1:7" ht="14.5" thickBot="1" x14ac:dyDescent="0.3">
      <c r="A85" s="143">
        <v>17</v>
      </c>
      <c r="B85" s="142">
        <v>33.299999999999997</v>
      </c>
      <c r="C85" s="142">
        <v>42.1</v>
      </c>
      <c r="D85" s="142">
        <v>75.3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19.7</v>
      </c>
      <c r="C89" s="140">
        <v>64.099999999999994</v>
      </c>
      <c r="D89" s="140">
        <v>94.3</v>
      </c>
      <c r="E89" s="140">
        <v>44.5</v>
      </c>
      <c r="F89" s="140">
        <v>80.099999999999994</v>
      </c>
      <c r="G89" s="140">
        <v>107.9</v>
      </c>
    </row>
    <row r="90" spans="1:7" x14ac:dyDescent="0.25">
      <c r="A90" s="138">
        <v>2</v>
      </c>
      <c r="B90" s="140">
        <v>23.6</v>
      </c>
      <c r="C90" s="140">
        <v>43.4</v>
      </c>
      <c r="D90" s="140">
        <v>102.6</v>
      </c>
      <c r="E90" s="140">
        <v>53</v>
      </c>
      <c r="F90" s="140">
        <v>72.7</v>
      </c>
      <c r="G90" s="140">
        <v>107.4</v>
      </c>
    </row>
    <row r="91" spans="1:7" x14ac:dyDescent="0.25">
      <c r="A91" s="138">
        <v>3</v>
      </c>
      <c r="B91" s="140">
        <v>20.8</v>
      </c>
      <c r="C91" s="140">
        <v>35.299999999999997</v>
      </c>
      <c r="D91" s="140">
        <v>97.6</v>
      </c>
      <c r="E91" s="140">
        <v>56.3</v>
      </c>
      <c r="F91" s="140">
        <v>66</v>
      </c>
      <c r="G91" s="140">
        <v>116.3</v>
      </c>
    </row>
    <row r="92" spans="1:7" x14ac:dyDescent="0.25">
      <c r="A92" s="138">
        <v>4</v>
      </c>
      <c r="B92" s="140">
        <v>20.3</v>
      </c>
      <c r="C92" s="140">
        <v>58.3</v>
      </c>
      <c r="D92" s="140">
        <v>80.8</v>
      </c>
      <c r="E92" s="140">
        <v>46.9</v>
      </c>
      <c r="F92" s="140">
        <v>64.099999999999994</v>
      </c>
      <c r="G92" s="140">
        <v>117.7</v>
      </c>
    </row>
    <row r="93" spans="1:7" x14ac:dyDescent="0.25">
      <c r="A93" s="138">
        <v>5</v>
      </c>
      <c r="B93" s="140">
        <v>20.7</v>
      </c>
      <c r="C93" s="140">
        <v>37.799999999999997</v>
      </c>
      <c r="D93" s="140">
        <v>99.9</v>
      </c>
      <c r="E93" s="140">
        <v>34.6</v>
      </c>
      <c r="F93" s="140">
        <v>73.8</v>
      </c>
      <c r="G93" s="140">
        <v>90.1</v>
      </c>
    </row>
    <row r="94" spans="1:7" x14ac:dyDescent="0.25">
      <c r="A94" s="138">
        <v>6</v>
      </c>
      <c r="B94" s="140">
        <v>23</v>
      </c>
      <c r="C94" s="140">
        <v>48.4</v>
      </c>
      <c r="D94" s="140">
        <v>84.5</v>
      </c>
      <c r="E94" s="140">
        <v>29.4</v>
      </c>
      <c r="F94" s="140">
        <v>81.7</v>
      </c>
      <c r="G94" s="140">
        <v>96</v>
      </c>
    </row>
    <row r="95" spans="1:7" x14ac:dyDescent="0.25">
      <c r="A95" s="138">
        <v>7</v>
      </c>
      <c r="B95" s="140">
        <v>22.1</v>
      </c>
      <c r="C95" s="140">
        <v>45.2</v>
      </c>
      <c r="D95" s="140">
        <v>78.8</v>
      </c>
      <c r="E95" s="140">
        <v>49.6</v>
      </c>
      <c r="F95" s="140">
        <v>60.4</v>
      </c>
      <c r="G95" s="140">
        <v>90.9</v>
      </c>
    </row>
    <row r="96" spans="1:7" x14ac:dyDescent="0.25">
      <c r="A96" s="138">
        <v>8</v>
      </c>
      <c r="B96" s="140">
        <v>29.7</v>
      </c>
      <c r="C96" s="140">
        <v>68.3</v>
      </c>
      <c r="D96" s="140">
        <v>92.8</v>
      </c>
      <c r="E96" s="139"/>
      <c r="F96" s="139"/>
      <c r="G96" s="139"/>
    </row>
    <row r="97" spans="1:7" x14ac:dyDescent="0.25">
      <c r="A97" s="138">
        <v>9</v>
      </c>
      <c r="B97" s="140">
        <v>20.100000000000001</v>
      </c>
      <c r="C97" s="140">
        <v>36.9</v>
      </c>
      <c r="D97" s="140">
        <v>109.9</v>
      </c>
      <c r="E97" s="139"/>
      <c r="F97" s="139"/>
      <c r="G97" s="139"/>
    </row>
    <row r="98" spans="1:7" x14ac:dyDescent="0.25">
      <c r="A98" s="138">
        <v>10</v>
      </c>
      <c r="B98" s="140">
        <v>22.1</v>
      </c>
      <c r="C98" s="140">
        <v>72.2</v>
      </c>
      <c r="D98" s="140">
        <v>109.1</v>
      </c>
      <c r="E98" s="139"/>
      <c r="F98" s="139"/>
      <c r="G98" s="139"/>
    </row>
    <row r="99" spans="1:7" x14ac:dyDescent="0.25">
      <c r="A99" s="138">
        <v>11</v>
      </c>
      <c r="B99" s="140">
        <v>34.6</v>
      </c>
      <c r="C99" s="140">
        <v>42.3</v>
      </c>
      <c r="D99" s="140">
        <v>103.6</v>
      </c>
      <c r="E99" s="139"/>
      <c r="F99" s="139"/>
      <c r="G99" s="139"/>
    </row>
    <row r="100" spans="1:7" x14ac:dyDescent="0.25">
      <c r="A100" s="138">
        <v>12</v>
      </c>
      <c r="B100" s="140">
        <v>31.3</v>
      </c>
      <c r="C100" s="140">
        <v>42.8</v>
      </c>
      <c r="D100" s="140">
        <v>104.1</v>
      </c>
      <c r="E100" s="139"/>
      <c r="F100" s="139"/>
      <c r="G100" s="139"/>
    </row>
    <row r="101" spans="1:7" x14ac:dyDescent="0.25">
      <c r="A101" s="138">
        <v>13</v>
      </c>
      <c r="B101" s="140">
        <v>15.9</v>
      </c>
      <c r="C101" s="140">
        <v>41</v>
      </c>
      <c r="D101" s="140">
        <v>76.7</v>
      </c>
      <c r="E101" s="139"/>
      <c r="F101" s="139"/>
      <c r="G101" s="139"/>
    </row>
    <row r="102" spans="1:7" x14ac:dyDescent="0.25">
      <c r="A102" s="138">
        <v>14</v>
      </c>
      <c r="B102" s="140">
        <v>28.3</v>
      </c>
      <c r="C102" s="140">
        <v>55.7</v>
      </c>
      <c r="D102" s="140">
        <v>84.4</v>
      </c>
      <c r="E102" s="139"/>
      <c r="F102" s="139"/>
      <c r="G102" s="139"/>
    </row>
    <row r="103" spans="1:7" x14ac:dyDescent="0.25">
      <c r="A103" s="138">
        <v>15</v>
      </c>
      <c r="B103" s="140">
        <v>34.200000000000003</v>
      </c>
      <c r="C103" s="140">
        <v>62.6</v>
      </c>
      <c r="D103" s="140">
        <v>101</v>
      </c>
      <c r="E103" s="139"/>
      <c r="F103" s="139"/>
      <c r="G103" s="139"/>
    </row>
    <row r="104" spans="1:7" x14ac:dyDescent="0.25">
      <c r="A104" s="138">
        <v>16</v>
      </c>
      <c r="B104" s="140">
        <v>24.4</v>
      </c>
      <c r="C104" s="140">
        <v>39.200000000000003</v>
      </c>
      <c r="D104" s="140">
        <v>92</v>
      </c>
      <c r="E104" s="139"/>
      <c r="F104" s="139"/>
      <c r="G104" s="139"/>
    </row>
    <row r="105" spans="1:7" x14ac:dyDescent="0.25">
      <c r="A105" s="138">
        <v>17</v>
      </c>
      <c r="B105" s="140">
        <v>21</v>
      </c>
      <c r="C105" s="140">
        <v>36.1</v>
      </c>
      <c r="D105" s="140">
        <v>104.4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77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26.1</v>
      </c>
      <c r="C110" s="140">
        <v>47</v>
      </c>
      <c r="D110" s="140">
        <v>106.3</v>
      </c>
      <c r="E110" s="140">
        <v>39.6</v>
      </c>
      <c r="F110" s="140">
        <v>80.3</v>
      </c>
      <c r="G110" s="140">
        <v>110.8</v>
      </c>
    </row>
    <row r="111" spans="1:7" x14ac:dyDescent="0.25">
      <c r="A111" s="138">
        <v>2</v>
      </c>
      <c r="B111" s="140">
        <v>21.3</v>
      </c>
      <c r="C111" s="140">
        <v>46.7</v>
      </c>
      <c r="D111" s="140">
        <v>98.7</v>
      </c>
      <c r="E111" s="140">
        <v>39.9</v>
      </c>
      <c r="F111" s="140">
        <v>84.1</v>
      </c>
      <c r="G111" s="140">
        <v>113.5</v>
      </c>
    </row>
    <row r="112" spans="1:7" ht="14.5" thickBot="1" x14ac:dyDescent="0.3">
      <c r="A112" s="143">
        <v>3</v>
      </c>
      <c r="B112" s="145"/>
      <c r="C112" s="145"/>
      <c r="D112" s="145"/>
      <c r="E112" s="145">
        <v>58.2</v>
      </c>
      <c r="F112" s="145">
        <v>68.400000000000006</v>
      </c>
      <c r="G112" s="145">
        <v>116.3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27</v>
      </c>
      <c r="C116" s="140">
        <v>59.2</v>
      </c>
      <c r="D116" s="140">
        <v>75.099999999999994</v>
      </c>
      <c r="E116" s="140">
        <v>43.5</v>
      </c>
      <c r="F116" s="140">
        <v>80</v>
      </c>
      <c r="G116" s="140">
        <v>117.1</v>
      </c>
    </row>
    <row r="117" spans="1:7" x14ac:dyDescent="0.25">
      <c r="A117" s="138">
        <v>2</v>
      </c>
      <c r="B117" s="140">
        <v>30.4</v>
      </c>
      <c r="C117" s="140">
        <v>66.099999999999994</v>
      </c>
      <c r="D117" s="140">
        <v>79.7</v>
      </c>
      <c r="E117" s="140">
        <v>53.5</v>
      </c>
      <c r="F117" s="140">
        <v>65.7</v>
      </c>
      <c r="G117" s="140">
        <v>119.2</v>
      </c>
    </row>
    <row r="118" spans="1:7" x14ac:dyDescent="0.25">
      <c r="A118" s="138">
        <v>3</v>
      </c>
      <c r="B118" s="140">
        <v>25.9</v>
      </c>
      <c r="C118" s="140">
        <v>64.5</v>
      </c>
      <c r="D118" s="140">
        <v>78</v>
      </c>
      <c r="E118" s="140">
        <v>29.8</v>
      </c>
      <c r="F118" s="140">
        <v>67.7</v>
      </c>
      <c r="G118" s="140">
        <v>119.9</v>
      </c>
    </row>
    <row r="119" spans="1:7" x14ac:dyDescent="0.25">
      <c r="A119" s="138">
        <v>4</v>
      </c>
      <c r="B119" s="140">
        <v>17.3</v>
      </c>
      <c r="C119" s="140">
        <v>47.4</v>
      </c>
      <c r="D119" s="140">
        <v>86.6</v>
      </c>
      <c r="E119" s="140">
        <v>54.3</v>
      </c>
      <c r="F119" s="140">
        <v>77.900000000000006</v>
      </c>
      <c r="G119" s="140">
        <v>116.2</v>
      </c>
    </row>
    <row r="120" spans="1:7" x14ac:dyDescent="0.25">
      <c r="A120" s="138">
        <v>5</v>
      </c>
      <c r="B120" s="139"/>
      <c r="C120" s="139"/>
      <c r="D120" s="139"/>
      <c r="E120" s="140">
        <v>25.3</v>
      </c>
      <c r="F120" s="140">
        <v>77.099999999999994</v>
      </c>
      <c r="G120" s="140">
        <v>113.2</v>
      </c>
    </row>
    <row r="121" spans="1:7" x14ac:dyDescent="0.25">
      <c r="A121" s="138">
        <v>6</v>
      </c>
      <c r="B121" s="139"/>
      <c r="C121" s="139"/>
      <c r="D121" s="139"/>
      <c r="E121" s="140">
        <v>44</v>
      </c>
      <c r="F121" s="140">
        <v>82</v>
      </c>
      <c r="G121" s="140">
        <v>103.1</v>
      </c>
    </row>
    <row r="122" spans="1:7" x14ac:dyDescent="0.25">
      <c r="A122" s="138">
        <v>7</v>
      </c>
      <c r="B122" s="139"/>
      <c r="C122" s="139"/>
      <c r="D122" s="139"/>
      <c r="E122" s="140">
        <v>25.6</v>
      </c>
      <c r="F122" s="140">
        <v>62.5</v>
      </c>
      <c r="G122" s="140">
        <v>106.5</v>
      </c>
    </row>
    <row r="123" spans="1:7" x14ac:dyDescent="0.25">
      <c r="A123" s="138">
        <v>8</v>
      </c>
      <c r="B123" s="139"/>
      <c r="C123" s="139"/>
      <c r="D123" s="139"/>
      <c r="E123" s="140">
        <v>48.9</v>
      </c>
      <c r="F123" s="140">
        <v>77.8</v>
      </c>
      <c r="G123" s="140">
        <v>105.6</v>
      </c>
    </row>
    <row r="124" spans="1:7" ht="14.5" thickBot="1" x14ac:dyDescent="0.3">
      <c r="A124" s="143">
        <v>9</v>
      </c>
      <c r="B124" s="145"/>
      <c r="C124" s="145"/>
      <c r="D124" s="145"/>
      <c r="E124" s="145">
        <v>43.7</v>
      </c>
      <c r="F124" s="145">
        <v>87</v>
      </c>
      <c r="G124" s="145">
        <v>93.5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65.7</v>
      </c>
      <c r="C129" s="147">
        <f>AVERAGE(E5:G7)</f>
        <v>74.711111111111109</v>
      </c>
      <c r="D129" s="138">
        <v>2058</v>
      </c>
      <c r="E129" s="138">
        <v>4309</v>
      </c>
      <c r="F129" s="138">
        <f>D129*B129</f>
        <v>135210.6</v>
      </c>
      <c r="G129" s="138">
        <f>E129*C129</f>
        <v>321930.17777777778</v>
      </c>
    </row>
    <row r="130" spans="1:7" x14ac:dyDescent="0.25">
      <c r="A130" s="139" t="str">
        <f>A8</f>
        <v>Dongyuan Huangtian swine Farm</v>
      </c>
      <c r="B130" s="146">
        <f>AVERAGE((B11:D15))</f>
        <v>57.313333333333325</v>
      </c>
      <c r="C130" s="146">
        <f>AVERAGE(E11:G11)</f>
        <v>77.933333333333337</v>
      </c>
      <c r="D130" s="138">
        <v>6272</v>
      </c>
      <c r="E130" s="138">
        <v>1422</v>
      </c>
      <c r="F130" s="138">
        <f t="shared" ref="F130:G137" si="0">D130*B130</f>
        <v>359469.22666666663</v>
      </c>
      <c r="G130" s="138">
        <f t="shared" si="0"/>
        <v>110821.20000000001</v>
      </c>
    </row>
    <row r="131" spans="1:7" x14ac:dyDescent="0.25">
      <c r="A131" s="139" t="str">
        <f>A16</f>
        <v>Enping Shahu swine  Farm</v>
      </c>
      <c r="B131" s="146">
        <f>AVERAGE(B19:D33)</f>
        <v>57.940000000000026</v>
      </c>
      <c r="C131" s="146">
        <f>AVERAGE(E19:G28)</f>
        <v>74.696666666666687</v>
      </c>
      <c r="D131" s="138">
        <v>22171</v>
      </c>
      <c r="E131" s="138">
        <v>15128</v>
      </c>
      <c r="F131" s="138">
        <f t="shared" si="0"/>
        <v>1284587.7400000007</v>
      </c>
      <c r="G131" s="138">
        <f t="shared" si="0"/>
        <v>1130011.1733333336</v>
      </c>
    </row>
    <row r="132" spans="1:7" x14ac:dyDescent="0.25">
      <c r="A132" s="139" t="str">
        <f>A34</f>
        <v>Langtian Yuehui swine Farm</v>
      </c>
      <c r="B132" s="146">
        <f>AVERAGE(B37:D55)</f>
        <v>59.878947368421045</v>
      </c>
      <c r="C132" s="146">
        <f>AVERAGE(E37:G43)</f>
        <v>72.723809523809507</v>
      </c>
      <c r="D132" s="138">
        <v>28130</v>
      </c>
      <c r="E132" s="138">
        <v>9744</v>
      </c>
      <c r="F132" s="138">
        <f t="shared" si="0"/>
        <v>1684394.789473684</v>
      </c>
      <c r="G132" s="138">
        <f t="shared" si="0"/>
        <v>708620.79999999981</v>
      </c>
    </row>
    <row r="133" spans="1:7" x14ac:dyDescent="0.25">
      <c r="A133" s="139" t="str">
        <f>A56</f>
        <v>Qujiang Fengwan swine Farm</v>
      </c>
      <c r="B133" s="146">
        <f>AVERAGE(B59:D65)</f>
        <v>55.88095238095238</v>
      </c>
      <c r="C133" s="146">
        <f>AVERAGE(E59:G65)</f>
        <v>74.214285714285708</v>
      </c>
      <c r="D133" s="138">
        <v>9008</v>
      </c>
      <c r="E133" s="138">
        <v>10978</v>
      </c>
      <c r="F133" s="138">
        <f t="shared" si="0"/>
        <v>503375.61904761905</v>
      </c>
      <c r="G133" s="138">
        <f t="shared" si="0"/>
        <v>814724.42857142852</v>
      </c>
    </row>
    <row r="134" spans="1:7" x14ac:dyDescent="0.25">
      <c r="A134" s="139" t="str">
        <f>A66</f>
        <v>Pingyuan Zhongshi swine Farm</v>
      </c>
      <c r="B134" s="146">
        <f>AVERAGE(B69:D85)</f>
        <v>57.025490196078465</v>
      </c>
      <c r="C134" s="146">
        <f>AVERAGE(E69:G83)</f>
        <v>74.617777777777803</v>
      </c>
      <c r="D134" s="138">
        <v>25713</v>
      </c>
      <c r="E134" s="138">
        <v>22747</v>
      </c>
      <c r="F134" s="138">
        <f t="shared" si="0"/>
        <v>1466296.4294117657</v>
      </c>
      <c r="G134" s="138">
        <f t="shared" si="0"/>
        <v>1697330.5911111117</v>
      </c>
    </row>
    <row r="135" spans="1:7" x14ac:dyDescent="0.25">
      <c r="A135" s="139" t="str">
        <f>A86</f>
        <v>Yangchun Tanshui swine Farm</v>
      </c>
      <c r="B135" s="146">
        <f>AVERAGE(B89:D106)</f>
        <v>56.440384615384588</v>
      </c>
      <c r="C135" s="146">
        <f>AVERAGE(E89:G95)</f>
        <v>73.304761904761904</v>
      </c>
      <c r="D135" s="138">
        <v>26456</v>
      </c>
      <c r="E135" s="138">
        <v>11219</v>
      </c>
      <c r="F135" s="138">
        <f t="shared" si="0"/>
        <v>1493186.8153846147</v>
      </c>
      <c r="G135" s="138">
        <f t="shared" si="0"/>
        <v>822406.12380952376</v>
      </c>
    </row>
    <row r="136" spans="1:7" x14ac:dyDescent="0.25">
      <c r="A136" s="139" t="str">
        <f>A107</f>
        <v>Xinfeng Shatian swine Farm</v>
      </c>
      <c r="B136" s="146">
        <f>AVERAGE(B110:D112)</f>
        <v>57.68333333333333</v>
      </c>
      <c r="C136" s="146">
        <f>AVERAGE(E110:G112)</f>
        <v>79.011111111111106</v>
      </c>
      <c r="D136" s="138">
        <v>1907</v>
      </c>
      <c r="E136" s="138">
        <v>3754</v>
      </c>
      <c r="F136" s="138">
        <f t="shared" si="0"/>
        <v>110002.11666666665</v>
      </c>
      <c r="G136" s="138">
        <f t="shared" si="0"/>
        <v>296607.7111111111</v>
      </c>
    </row>
    <row r="137" spans="1:7" x14ac:dyDescent="0.25">
      <c r="A137" s="139" t="str">
        <f>A113</f>
        <v>Kaiping Cangcheng swine Farm</v>
      </c>
      <c r="B137" s="146">
        <f>AVERAGE(B116:D119)</f>
        <v>54.766666666666659</v>
      </c>
      <c r="C137" s="146">
        <f>AVERAGE(E116:G124)</f>
        <v>75.577777777777769</v>
      </c>
      <c r="D137" s="138">
        <v>5732</v>
      </c>
      <c r="E137" s="138">
        <v>13216</v>
      </c>
      <c r="F137" s="138">
        <f t="shared" si="0"/>
        <v>313922.53333333327</v>
      </c>
      <c r="G137" s="138">
        <f t="shared" si="0"/>
        <v>998835.91111111094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92517</v>
      </c>
      <c r="F138" s="138">
        <f t="shared" ref="F138:G138" si="1">SUM(F129:F137)</f>
        <v>7350445.8699843502</v>
      </c>
      <c r="G138" s="138">
        <f t="shared" si="1"/>
        <v>6901288.1168253981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57.6</v>
      </c>
      <c r="D142" s="148">
        <f>ROUNDDOWN(G138/E138,1)</f>
        <v>74.5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3EBD-861C-4157-98C7-1C769729E2D0}">
  <dimension ref="A1:G142"/>
  <sheetViews>
    <sheetView topLeftCell="A121" workbookViewId="0">
      <selection activeCell="E137" sqref="E137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25.3</v>
      </c>
      <c r="C5" s="140">
        <v>64.3</v>
      </c>
      <c r="D5" s="140">
        <v>84.1</v>
      </c>
      <c r="E5" s="140">
        <v>50.7</v>
      </c>
      <c r="F5" s="140">
        <v>87.4</v>
      </c>
      <c r="G5" s="140">
        <v>112.5</v>
      </c>
    </row>
    <row r="6" spans="1:7" x14ac:dyDescent="0.25">
      <c r="A6" s="138">
        <v>2</v>
      </c>
      <c r="B6" s="140">
        <v>22.2</v>
      </c>
      <c r="C6" s="140">
        <v>49</v>
      </c>
      <c r="D6" s="140">
        <v>102.3</v>
      </c>
      <c r="E6" s="140">
        <v>27.3</v>
      </c>
      <c r="F6" s="140">
        <v>80.7</v>
      </c>
      <c r="G6" s="140">
        <v>108.1</v>
      </c>
    </row>
    <row r="7" spans="1:7" ht="14.5" thickBot="1" x14ac:dyDescent="0.3">
      <c r="A7" s="141">
        <v>3</v>
      </c>
      <c r="B7" s="142"/>
      <c r="C7" s="142"/>
      <c r="D7" s="142"/>
      <c r="E7" s="142">
        <v>45.6</v>
      </c>
      <c r="F7" s="142">
        <v>65.8</v>
      </c>
      <c r="G7" s="142">
        <v>96.3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23.9</v>
      </c>
      <c r="C11" s="140">
        <v>66.900000000000006</v>
      </c>
      <c r="D11" s="140">
        <v>82.3</v>
      </c>
      <c r="E11" s="140">
        <v>39.700000000000003</v>
      </c>
      <c r="F11" s="140">
        <v>61.4</v>
      </c>
      <c r="G11" s="140">
        <v>112.9</v>
      </c>
    </row>
    <row r="12" spans="1:7" x14ac:dyDescent="0.25">
      <c r="A12" s="138">
        <v>2</v>
      </c>
      <c r="B12" s="140">
        <v>22.1</v>
      </c>
      <c r="C12" s="140">
        <v>60.2</v>
      </c>
      <c r="D12" s="140">
        <v>77.8</v>
      </c>
      <c r="E12" s="140"/>
      <c r="F12" s="140"/>
      <c r="G12" s="140"/>
    </row>
    <row r="13" spans="1:7" x14ac:dyDescent="0.25">
      <c r="A13" s="138">
        <v>3</v>
      </c>
      <c r="B13" s="140">
        <v>26.2</v>
      </c>
      <c r="C13" s="140">
        <v>65.8</v>
      </c>
      <c r="D13" s="140">
        <v>94.3</v>
      </c>
      <c r="E13" s="139"/>
      <c r="F13" s="139"/>
      <c r="G13" s="139"/>
    </row>
    <row r="14" spans="1:7" x14ac:dyDescent="0.25">
      <c r="A14" s="138">
        <v>4</v>
      </c>
      <c r="B14" s="140">
        <v>28.5</v>
      </c>
      <c r="C14" s="140">
        <v>45.5</v>
      </c>
      <c r="D14" s="140">
        <v>88.9</v>
      </c>
      <c r="E14" s="139"/>
      <c r="F14" s="139"/>
      <c r="G14" s="139"/>
    </row>
    <row r="15" spans="1:7" ht="14.5" thickBot="1" x14ac:dyDescent="0.3">
      <c r="A15" s="141">
        <v>5</v>
      </c>
      <c r="B15" s="142">
        <v>32.9</v>
      </c>
      <c r="C15" s="142">
        <v>73</v>
      </c>
      <c r="D15" s="142">
        <v>83.4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32</v>
      </c>
      <c r="C19" s="140">
        <v>37.299999999999997</v>
      </c>
      <c r="D19" s="140">
        <v>75.400000000000006</v>
      </c>
      <c r="E19" s="140">
        <v>49</v>
      </c>
      <c r="F19" s="140">
        <v>64.099999999999994</v>
      </c>
      <c r="G19" s="140">
        <v>92.4</v>
      </c>
    </row>
    <row r="20" spans="1:7" x14ac:dyDescent="0.25">
      <c r="A20" s="138">
        <v>2</v>
      </c>
      <c r="B20" s="140">
        <v>34.6</v>
      </c>
      <c r="C20" s="140">
        <v>68.5</v>
      </c>
      <c r="D20" s="140">
        <v>82.8</v>
      </c>
      <c r="E20" s="140">
        <v>51.3</v>
      </c>
      <c r="F20" s="140">
        <v>62</v>
      </c>
      <c r="G20" s="140">
        <v>114.1</v>
      </c>
    </row>
    <row r="21" spans="1:7" x14ac:dyDescent="0.25">
      <c r="A21" s="138">
        <v>3</v>
      </c>
      <c r="B21" s="140">
        <v>17.600000000000001</v>
      </c>
      <c r="C21" s="140">
        <v>37.1</v>
      </c>
      <c r="D21" s="140">
        <v>108.5</v>
      </c>
      <c r="E21" s="140">
        <v>56.9</v>
      </c>
      <c r="F21" s="140">
        <v>64</v>
      </c>
      <c r="G21" s="140">
        <v>116.5</v>
      </c>
    </row>
    <row r="22" spans="1:7" x14ac:dyDescent="0.25">
      <c r="A22" s="138">
        <v>4</v>
      </c>
      <c r="B22" s="140">
        <v>30.7</v>
      </c>
      <c r="C22" s="140">
        <v>43.4</v>
      </c>
      <c r="D22" s="140">
        <v>104.1</v>
      </c>
      <c r="E22" s="140">
        <v>47.1</v>
      </c>
      <c r="F22" s="140">
        <v>71</v>
      </c>
      <c r="G22" s="140">
        <v>100</v>
      </c>
    </row>
    <row r="23" spans="1:7" x14ac:dyDescent="0.25">
      <c r="A23" s="138">
        <v>5</v>
      </c>
      <c r="B23" s="140">
        <v>20.100000000000001</v>
      </c>
      <c r="C23" s="140">
        <v>66.7</v>
      </c>
      <c r="D23" s="140">
        <v>75.8</v>
      </c>
      <c r="E23" s="140">
        <v>51.1</v>
      </c>
      <c r="F23" s="140">
        <v>85.2</v>
      </c>
      <c r="G23" s="140">
        <v>109.7</v>
      </c>
    </row>
    <row r="24" spans="1:7" x14ac:dyDescent="0.25">
      <c r="A24" s="138">
        <v>6</v>
      </c>
      <c r="B24" s="140">
        <v>19.100000000000001</v>
      </c>
      <c r="C24" s="140">
        <v>37.9</v>
      </c>
      <c r="D24" s="140">
        <v>110</v>
      </c>
      <c r="E24" s="140">
        <v>37.6</v>
      </c>
      <c r="F24" s="140">
        <v>82.7</v>
      </c>
      <c r="G24" s="140">
        <v>111.2</v>
      </c>
    </row>
    <row r="25" spans="1:7" x14ac:dyDescent="0.25">
      <c r="A25" s="138">
        <v>7</v>
      </c>
      <c r="B25" s="140">
        <v>28.1</v>
      </c>
      <c r="C25" s="140">
        <v>73.2</v>
      </c>
      <c r="D25" s="140">
        <v>110</v>
      </c>
      <c r="E25" s="140">
        <v>48.9</v>
      </c>
      <c r="F25" s="140">
        <v>72.7</v>
      </c>
      <c r="G25" s="140">
        <v>99.7</v>
      </c>
    </row>
    <row r="26" spans="1:7" x14ac:dyDescent="0.25">
      <c r="A26" s="138">
        <v>8</v>
      </c>
      <c r="B26" s="140">
        <v>21</v>
      </c>
      <c r="C26" s="140">
        <v>60.6</v>
      </c>
      <c r="D26" s="140">
        <v>80.3</v>
      </c>
      <c r="E26" s="140">
        <v>37.4</v>
      </c>
      <c r="F26" s="140">
        <v>85.9</v>
      </c>
      <c r="G26" s="140">
        <v>97</v>
      </c>
    </row>
    <row r="27" spans="1:7" x14ac:dyDescent="0.25">
      <c r="A27" s="138">
        <v>9</v>
      </c>
      <c r="B27" s="140">
        <v>28.3</v>
      </c>
      <c r="C27" s="140">
        <v>35.700000000000003</v>
      </c>
      <c r="D27" s="140">
        <v>80</v>
      </c>
      <c r="E27" s="140">
        <v>39.200000000000003</v>
      </c>
      <c r="F27" s="140">
        <v>61.8</v>
      </c>
      <c r="G27" s="140">
        <v>108.6</v>
      </c>
    </row>
    <row r="28" spans="1:7" x14ac:dyDescent="0.25">
      <c r="A28" s="138">
        <v>10</v>
      </c>
      <c r="B28" s="140">
        <v>30.4</v>
      </c>
      <c r="C28" s="140">
        <v>61.4</v>
      </c>
      <c r="D28" s="140">
        <v>87.9</v>
      </c>
      <c r="E28" s="140">
        <v>40.5</v>
      </c>
      <c r="F28" s="140">
        <v>85.4</v>
      </c>
      <c r="G28" s="140">
        <v>114.9</v>
      </c>
    </row>
    <row r="29" spans="1:7" x14ac:dyDescent="0.25">
      <c r="A29" s="138">
        <v>11</v>
      </c>
      <c r="B29" s="140">
        <v>32.6</v>
      </c>
      <c r="C29" s="140">
        <v>53.6</v>
      </c>
      <c r="D29" s="140">
        <v>93.9</v>
      </c>
      <c r="E29" s="140"/>
      <c r="F29" s="140"/>
      <c r="G29" s="140"/>
    </row>
    <row r="30" spans="1:7" x14ac:dyDescent="0.25">
      <c r="A30" s="138">
        <v>12</v>
      </c>
      <c r="B30" s="140">
        <v>20.7</v>
      </c>
      <c r="C30" s="140">
        <v>35.4</v>
      </c>
      <c r="D30" s="140">
        <v>80.3</v>
      </c>
      <c r="E30" s="140"/>
      <c r="F30" s="140"/>
      <c r="G30" s="140"/>
    </row>
    <row r="31" spans="1:7" x14ac:dyDescent="0.25">
      <c r="A31" s="138">
        <v>13</v>
      </c>
      <c r="B31" s="140">
        <v>31.7</v>
      </c>
      <c r="C31" s="140">
        <v>61.9</v>
      </c>
      <c r="D31" s="140">
        <v>91.5</v>
      </c>
      <c r="E31" s="140"/>
      <c r="F31" s="140"/>
      <c r="G31" s="140"/>
    </row>
    <row r="32" spans="1:7" x14ac:dyDescent="0.25">
      <c r="A32" s="138">
        <v>14</v>
      </c>
      <c r="B32" s="140">
        <v>20.6</v>
      </c>
      <c r="C32" s="140">
        <v>44.6</v>
      </c>
      <c r="D32" s="140">
        <v>106</v>
      </c>
      <c r="E32" s="140"/>
      <c r="F32" s="140"/>
      <c r="G32" s="140"/>
    </row>
    <row r="33" spans="1:7" ht="14.5" thickBot="1" x14ac:dyDescent="0.3">
      <c r="A33" s="143">
        <v>15</v>
      </c>
      <c r="B33" s="142">
        <v>23.5</v>
      </c>
      <c r="C33" s="142">
        <v>51</v>
      </c>
      <c r="D33" s="142">
        <v>88.3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24</v>
      </c>
      <c r="C37" s="140">
        <v>62.8</v>
      </c>
      <c r="D37" s="140">
        <v>96.6</v>
      </c>
      <c r="E37" s="140">
        <v>49.2</v>
      </c>
      <c r="F37" s="140">
        <v>87.2</v>
      </c>
      <c r="G37" s="140">
        <v>114</v>
      </c>
    </row>
    <row r="38" spans="1:7" x14ac:dyDescent="0.25">
      <c r="A38" s="138">
        <v>2</v>
      </c>
      <c r="B38" s="140">
        <v>26.8</v>
      </c>
      <c r="C38" s="140">
        <v>70.099999999999994</v>
      </c>
      <c r="D38" s="140">
        <v>94</v>
      </c>
      <c r="E38" s="140">
        <v>46.2</v>
      </c>
      <c r="F38" s="140">
        <v>85.5</v>
      </c>
      <c r="G38" s="140">
        <v>94.5</v>
      </c>
    </row>
    <row r="39" spans="1:7" x14ac:dyDescent="0.25">
      <c r="A39" s="138">
        <v>3</v>
      </c>
      <c r="B39" s="140">
        <v>30</v>
      </c>
      <c r="C39" s="140">
        <v>64.599999999999994</v>
      </c>
      <c r="D39" s="140">
        <v>96.7</v>
      </c>
      <c r="E39" s="140">
        <v>32.1</v>
      </c>
      <c r="F39" s="140">
        <v>83.9</v>
      </c>
      <c r="G39" s="140">
        <v>114.4</v>
      </c>
    </row>
    <row r="40" spans="1:7" x14ac:dyDescent="0.25">
      <c r="A40" s="138">
        <v>4</v>
      </c>
      <c r="B40" s="140">
        <v>32.299999999999997</v>
      </c>
      <c r="C40" s="140">
        <v>72</v>
      </c>
      <c r="D40" s="140">
        <v>80.099999999999994</v>
      </c>
      <c r="E40" s="140">
        <v>26.6</v>
      </c>
      <c r="F40" s="140">
        <v>81.599999999999994</v>
      </c>
      <c r="G40" s="140">
        <v>103.5</v>
      </c>
    </row>
    <row r="41" spans="1:7" x14ac:dyDescent="0.25">
      <c r="A41" s="138">
        <v>5</v>
      </c>
      <c r="B41" s="140">
        <v>29.9</v>
      </c>
      <c r="C41" s="140">
        <v>68.2</v>
      </c>
      <c r="D41" s="140">
        <v>105.3</v>
      </c>
      <c r="E41" s="140">
        <v>36</v>
      </c>
      <c r="F41" s="140">
        <v>67.7</v>
      </c>
      <c r="G41" s="140">
        <v>104.8</v>
      </c>
    </row>
    <row r="42" spans="1:7" x14ac:dyDescent="0.25">
      <c r="A42" s="138">
        <v>6</v>
      </c>
      <c r="B42" s="140">
        <v>28.3</v>
      </c>
      <c r="C42" s="140">
        <v>58.7</v>
      </c>
      <c r="D42" s="140">
        <v>98.5</v>
      </c>
      <c r="E42" s="140">
        <v>50.9</v>
      </c>
      <c r="F42" s="140">
        <v>69.3</v>
      </c>
      <c r="G42" s="140">
        <v>107.9</v>
      </c>
    </row>
    <row r="43" spans="1:7" x14ac:dyDescent="0.25">
      <c r="A43" s="138">
        <v>7</v>
      </c>
      <c r="B43" s="140">
        <v>23.2</v>
      </c>
      <c r="C43" s="140">
        <v>49.2</v>
      </c>
      <c r="D43" s="140">
        <v>89.5</v>
      </c>
      <c r="E43" s="140">
        <v>52.5</v>
      </c>
      <c r="F43" s="140">
        <v>72.2</v>
      </c>
      <c r="G43" s="140">
        <v>116.8</v>
      </c>
    </row>
    <row r="44" spans="1:7" x14ac:dyDescent="0.25">
      <c r="A44" s="138">
        <v>8</v>
      </c>
      <c r="B44" s="140">
        <v>19.600000000000001</v>
      </c>
      <c r="C44" s="140">
        <v>60.1</v>
      </c>
      <c r="D44" s="140">
        <v>88.5</v>
      </c>
      <c r="E44" s="139"/>
      <c r="F44" s="139"/>
      <c r="G44" s="139"/>
    </row>
    <row r="45" spans="1:7" x14ac:dyDescent="0.25">
      <c r="A45" s="138">
        <v>9</v>
      </c>
      <c r="B45" s="140">
        <v>21.5</v>
      </c>
      <c r="C45" s="140">
        <v>72.8</v>
      </c>
      <c r="D45" s="140">
        <v>102</v>
      </c>
      <c r="E45" s="139"/>
      <c r="F45" s="139"/>
      <c r="G45" s="139"/>
    </row>
    <row r="46" spans="1:7" x14ac:dyDescent="0.25">
      <c r="A46" s="138">
        <v>10</v>
      </c>
      <c r="B46" s="140">
        <v>18.2</v>
      </c>
      <c r="C46" s="140">
        <v>46.1</v>
      </c>
      <c r="D46" s="140">
        <v>75.099999999999994</v>
      </c>
      <c r="E46" s="139"/>
      <c r="F46" s="139"/>
      <c r="G46" s="139"/>
    </row>
    <row r="47" spans="1:7" x14ac:dyDescent="0.25">
      <c r="A47" s="138">
        <v>11</v>
      </c>
      <c r="B47" s="140">
        <v>25.1</v>
      </c>
      <c r="C47" s="140">
        <v>63.8</v>
      </c>
      <c r="D47" s="140">
        <v>92</v>
      </c>
      <c r="E47" s="139"/>
      <c r="F47" s="139"/>
      <c r="G47" s="139"/>
    </row>
    <row r="48" spans="1:7" x14ac:dyDescent="0.25">
      <c r="A48" s="138">
        <v>12</v>
      </c>
      <c r="B48" s="140">
        <v>15.6</v>
      </c>
      <c r="C48" s="140">
        <v>70.099999999999994</v>
      </c>
      <c r="D48" s="140">
        <v>80.400000000000006</v>
      </c>
      <c r="E48" s="139"/>
      <c r="F48" s="139"/>
      <c r="G48" s="139"/>
    </row>
    <row r="49" spans="1:7" x14ac:dyDescent="0.25">
      <c r="A49" s="138">
        <v>13</v>
      </c>
      <c r="B49" s="140">
        <v>20.5</v>
      </c>
      <c r="C49" s="140">
        <v>54.6</v>
      </c>
      <c r="D49" s="140">
        <v>97.4</v>
      </c>
      <c r="E49" s="139"/>
      <c r="F49" s="139"/>
      <c r="G49" s="139"/>
    </row>
    <row r="50" spans="1:7" x14ac:dyDescent="0.25">
      <c r="A50" s="138">
        <v>14</v>
      </c>
      <c r="B50" s="140">
        <v>21.7</v>
      </c>
      <c r="C50" s="140">
        <v>70.2</v>
      </c>
      <c r="D50" s="140">
        <v>104.9</v>
      </c>
      <c r="E50" s="139"/>
      <c r="F50" s="139"/>
      <c r="G50" s="139"/>
    </row>
    <row r="51" spans="1:7" x14ac:dyDescent="0.25">
      <c r="A51" s="138">
        <v>15</v>
      </c>
      <c r="B51" s="140">
        <v>22.4</v>
      </c>
      <c r="C51" s="140">
        <v>59</v>
      </c>
      <c r="D51" s="140">
        <v>82.6</v>
      </c>
      <c r="E51" s="139"/>
      <c r="F51" s="139"/>
      <c r="G51" s="139"/>
    </row>
    <row r="52" spans="1:7" x14ac:dyDescent="0.25">
      <c r="A52" s="138">
        <v>16</v>
      </c>
      <c r="B52" s="140">
        <v>26.5</v>
      </c>
      <c r="C52" s="140">
        <v>64.8</v>
      </c>
      <c r="D52" s="140">
        <v>91.8</v>
      </c>
      <c r="E52" s="139"/>
      <c r="F52" s="139"/>
      <c r="G52" s="139"/>
    </row>
    <row r="53" spans="1:7" x14ac:dyDescent="0.25">
      <c r="A53" s="138">
        <v>17</v>
      </c>
      <c r="B53" s="140">
        <v>33</v>
      </c>
      <c r="C53" s="140">
        <v>73.2</v>
      </c>
      <c r="D53" s="140">
        <v>77.8</v>
      </c>
      <c r="E53" s="139"/>
      <c r="F53" s="139"/>
      <c r="G53" s="139"/>
    </row>
    <row r="54" spans="1:7" x14ac:dyDescent="0.25">
      <c r="A54" s="138">
        <v>18</v>
      </c>
      <c r="B54" s="140">
        <v>22.8</v>
      </c>
      <c r="C54" s="140">
        <v>56.3</v>
      </c>
      <c r="D54" s="140">
        <v>86.2</v>
      </c>
      <c r="E54" s="139"/>
      <c r="F54" s="139"/>
      <c r="G54" s="139"/>
    </row>
    <row r="55" spans="1:7" ht="14.5" thickBot="1" x14ac:dyDescent="0.3">
      <c r="A55" s="141">
        <v>19</v>
      </c>
      <c r="B55" s="142">
        <v>27.1</v>
      </c>
      <c r="C55" s="142">
        <v>55.6</v>
      </c>
      <c r="D55" s="142">
        <v>105.5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24.6</v>
      </c>
      <c r="C59" s="140">
        <v>52.9</v>
      </c>
      <c r="D59" s="140">
        <v>87.7</v>
      </c>
      <c r="E59" s="140">
        <v>52.4</v>
      </c>
      <c r="F59" s="140">
        <v>86.5</v>
      </c>
      <c r="G59" s="140">
        <v>119</v>
      </c>
    </row>
    <row r="60" spans="1:7" x14ac:dyDescent="0.25">
      <c r="A60" s="138">
        <v>2</v>
      </c>
      <c r="B60" s="140">
        <v>31.5</v>
      </c>
      <c r="C60" s="140">
        <v>54.6</v>
      </c>
      <c r="D60" s="140">
        <v>85.7</v>
      </c>
      <c r="E60" s="140">
        <v>25.2</v>
      </c>
      <c r="F60" s="140">
        <v>82.2</v>
      </c>
      <c r="G60" s="140">
        <v>108</v>
      </c>
    </row>
    <row r="61" spans="1:7" x14ac:dyDescent="0.25">
      <c r="A61" s="138">
        <v>3</v>
      </c>
      <c r="B61" s="140">
        <v>26.5</v>
      </c>
      <c r="C61" s="140">
        <v>53.3</v>
      </c>
      <c r="D61" s="140">
        <v>80.400000000000006</v>
      </c>
      <c r="E61" s="140">
        <v>46.8</v>
      </c>
      <c r="F61" s="140">
        <v>78.400000000000006</v>
      </c>
      <c r="G61" s="140">
        <v>101.9</v>
      </c>
    </row>
    <row r="62" spans="1:7" x14ac:dyDescent="0.25">
      <c r="A62" s="138">
        <v>4</v>
      </c>
      <c r="B62" s="140">
        <v>19.7</v>
      </c>
      <c r="C62" s="140">
        <v>65.400000000000006</v>
      </c>
      <c r="D62" s="140">
        <v>75.099999999999994</v>
      </c>
      <c r="E62" s="140">
        <v>53.1</v>
      </c>
      <c r="F62" s="140">
        <v>72.900000000000006</v>
      </c>
      <c r="G62" s="140">
        <v>117.5</v>
      </c>
    </row>
    <row r="63" spans="1:7" x14ac:dyDescent="0.25">
      <c r="A63" s="138">
        <v>5</v>
      </c>
      <c r="B63" s="140">
        <v>31.1</v>
      </c>
      <c r="C63" s="140">
        <v>52.8</v>
      </c>
      <c r="D63" s="140">
        <v>92.5</v>
      </c>
      <c r="E63" s="140">
        <v>45.3</v>
      </c>
      <c r="F63" s="140">
        <v>62.9</v>
      </c>
      <c r="G63" s="140">
        <v>104.4</v>
      </c>
    </row>
    <row r="64" spans="1:7" x14ac:dyDescent="0.25">
      <c r="A64" s="144">
        <v>6</v>
      </c>
      <c r="B64" s="140">
        <v>29.1</v>
      </c>
      <c r="C64" s="140">
        <v>75</v>
      </c>
      <c r="D64" s="140">
        <v>97</v>
      </c>
      <c r="E64" s="140">
        <v>31.8</v>
      </c>
      <c r="F64" s="140">
        <v>89.4</v>
      </c>
      <c r="G64" s="140">
        <v>108.7</v>
      </c>
    </row>
    <row r="65" spans="1:7" ht="14.5" thickBot="1" x14ac:dyDescent="0.3">
      <c r="A65" s="141">
        <v>7</v>
      </c>
      <c r="B65" s="142">
        <v>22.8</v>
      </c>
      <c r="C65" s="142">
        <v>40.4</v>
      </c>
      <c r="D65" s="142">
        <v>109.1</v>
      </c>
      <c r="E65" s="142">
        <v>54.3</v>
      </c>
      <c r="F65" s="142">
        <v>69.3</v>
      </c>
      <c r="G65" s="142">
        <v>93.1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24.9</v>
      </c>
      <c r="C69" s="140">
        <v>61.3</v>
      </c>
      <c r="D69" s="140">
        <v>102.8</v>
      </c>
      <c r="E69" s="140">
        <v>25.5</v>
      </c>
      <c r="F69" s="140">
        <v>78.2</v>
      </c>
      <c r="G69" s="140">
        <v>103.8</v>
      </c>
    </row>
    <row r="70" spans="1:7" x14ac:dyDescent="0.25">
      <c r="A70" s="138">
        <v>2</v>
      </c>
      <c r="B70" s="140">
        <v>26.8</v>
      </c>
      <c r="C70" s="140">
        <v>61.1</v>
      </c>
      <c r="D70" s="140">
        <v>83.3</v>
      </c>
      <c r="E70" s="140">
        <v>35</v>
      </c>
      <c r="F70" s="140">
        <v>79.2</v>
      </c>
      <c r="G70" s="140">
        <v>119.5</v>
      </c>
    </row>
    <row r="71" spans="1:7" x14ac:dyDescent="0.25">
      <c r="A71" s="138">
        <v>3</v>
      </c>
      <c r="B71" s="140">
        <v>34.9</v>
      </c>
      <c r="C71" s="140">
        <v>57.4</v>
      </c>
      <c r="D71" s="140">
        <v>104.3</v>
      </c>
      <c r="E71" s="140">
        <v>31.2</v>
      </c>
      <c r="F71" s="140">
        <v>75.8</v>
      </c>
      <c r="G71" s="140">
        <v>101.3</v>
      </c>
    </row>
    <row r="72" spans="1:7" x14ac:dyDescent="0.25">
      <c r="A72" s="138">
        <v>4</v>
      </c>
      <c r="B72" s="140">
        <v>32.6</v>
      </c>
      <c r="C72" s="140">
        <v>56.8</v>
      </c>
      <c r="D72" s="140">
        <v>85</v>
      </c>
      <c r="E72" s="140">
        <v>46</v>
      </c>
      <c r="F72" s="140">
        <v>61.8</v>
      </c>
      <c r="G72" s="140">
        <v>99</v>
      </c>
    </row>
    <row r="73" spans="1:7" x14ac:dyDescent="0.25">
      <c r="A73" s="138">
        <v>5</v>
      </c>
      <c r="B73" s="140">
        <v>16.399999999999999</v>
      </c>
      <c r="C73" s="140">
        <v>55.6</v>
      </c>
      <c r="D73" s="140">
        <v>87.7</v>
      </c>
      <c r="E73" s="140">
        <v>45.3</v>
      </c>
      <c r="F73" s="140">
        <v>65.400000000000006</v>
      </c>
      <c r="G73" s="140">
        <v>119.7</v>
      </c>
    </row>
    <row r="74" spans="1:7" x14ac:dyDescent="0.25">
      <c r="A74" s="138">
        <v>6</v>
      </c>
      <c r="B74" s="140">
        <v>15.3</v>
      </c>
      <c r="C74" s="140">
        <v>54.5</v>
      </c>
      <c r="D74" s="140">
        <v>105.8</v>
      </c>
      <c r="E74" s="140">
        <v>39.6</v>
      </c>
      <c r="F74" s="140">
        <v>72</v>
      </c>
      <c r="G74" s="140">
        <v>106.3</v>
      </c>
    </row>
    <row r="75" spans="1:7" x14ac:dyDescent="0.25">
      <c r="A75" s="138">
        <v>7</v>
      </c>
      <c r="B75" s="140">
        <v>25</v>
      </c>
      <c r="C75" s="140">
        <v>64.7</v>
      </c>
      <c r="D75" s="140">
        <v>97</v>
      </c>
      <c r="E75" s="140">
        <v>42.3</v>
      </c>
      <c r="F75" s="140">
        <v>80.2</v>
      </c>
      <c r="G75" s="140">
        <v>104.7</v>
      </c>
    </row>
    <row r="76" spans="1:7" x14ac:dyDescent="0.25">
      <c r="A76" s="138">
        <v>8</v>
      </c>
      <c r="B76" s="140">
        <v>25.9</v>
      </c>
      <c r="C76" s="140">
        <v>65.599999999999994</v>
      </c>
      <c r="D76" s="140">
        <v>84.3</v>
      </c>
      <c r="E76" s="140">
        <v>28</v>
      </c>
      <c r="F76" s="140">
        <v>81.7</v>
      </c>
      <c r="G76" s="140">
        <v>115</v>
      </c>
    </row>
    <row r="77" spans="1:7" x14ac:dyDescent="0.25">
      <c r="A77" s="138">
        <v>9</v>
      </c>
      <c r="B77" s="140">
        <v>22.1</v>
      </c>
      <c r="C77" s="140">
        <v>57</v>
      </c>
      <c r="D77" s="140">
        <v>103.6</v>
      </c>
      <c r="E77" s="140">
        <v>46.7</v>
      </c>
      <c r="F77" s="140">
        <v>62.5</v>
      </c>
      <c r="G77" s="140">
        <v>101.9</v>
      </c>
    </row>
    <row r="78" spans="1:7" x14ac:dyDescent="0.25">
      <c r="A78" s="138">
        <v>10</v>
      </c>
      <c r="B78" s="140">
        <v>26.2</v>
      </c>
      <c r="C78" s="140">
        <v>61.6</v>
      </c>
      <c r="D78" s="140">
        <v>108.1</v>
      </c>
      <c r="E78" s="140">
        <v>51.2</v>
      </c>
      <c r="F78" s="140">
        <v>82.9</v>
      </c>
      <c r="G78" s="140">
        <v>95.9</v>
      </c>
    </row>
    <row r="79" spans="1:7" x14ac:dyDescent="0.25">
      <c r="A79" s="138">
        <v>11</v>
      </c>
      <c r="B79" s="140">
        <v>28.1</v>
      </c>
      <c r="C79" s="140">
        <v>42</v>
      </c>
      <c r="D79" s="140">
        <v>98.6</v>
      </c>
      <c r="E79" s="140">
        <v>28.7</v>
      </c>
      <c r="F79" s="140">
        <v>74</v>
      </c>
      <c r="G79" s="140">
        <v>107.7</v>
      </c>
    </row>
    <row r="80" spans="1:7" x14ac:dyDescent="0.25">
      <c r="A80" s="138">
        <v>12</v>
      </c>
      <c r="B80" s="140">
        <v>31</v>
      </c>
      <c r="C80" s="140">
        <v>40.5</v>
      </c>
      <c r="D80" s="140">
        <v>102.8</v>
      </c>
      <c r="E80" s="140">
        <v>48.2</v>
      </c>
      <c r="F80" s="140">
        <v>68.599999999999994</v>
      </c>
      <c r="G80" s="140">
        <v>93.2</v>
      </c>
    </row>
    <row r="81" spans="1:7" x14ac:dyDescent="0.25">
      <c r="A81" s="138">
        <v>13</v>
      </c>
      <c r="B81" s="140">
        <v>31.1</v>
      </c>
      <c r="C81" s="140">
        <v>63.4</v>
      </c>
      <c r="D81" s="140">
        <v>85.1</v>
      </c>
      <c r="E81" s="140">
        <v>43.1</v>
      </c>
      <c r="F81" s="140">
        <v>83.9</v>
      </c>
      <c r="G81" s="140">
        <v>107.4</v>
      </c>
    </row>
    <row r="82" spans="1:7" x14ac:dyDescent="0.25">
      <c r="A82" s="138">
        <v>14</v>
      </c>
      <c r="B82" s="140">
        <v>25.2</v>
      </c>
      <c r="C82" s="140">
        <v>65.599999999999994</v>
      </c>
      <c r="D82" s="140">
        <v>85.4</v>
      </c>
      <c r="E82" s="140">
        <v>35.200000000000003</v>
      </c>
      <c r="F82" s="140">
        <v>73.8</v>
      </c>
      <c r="G82" s="140">
        <v>118.5</v>
      </c>
    </row>
    <row r="83" spans="1:7" x14ac:dyDescent="0.25">
      <c r="A83" s="138">
        <v>15</v>
      </c>
      <c r="B83" s="140">
        <v>34.1</v>
      </c>
      <c r="C83" s="140">
        <v>61</v>
      </c>
      <c r="D83" s="140">
        <v>87.1</v>
      </c>
      <c r="E83" s="140">
        <v>51.2</v>
      </c>
      <c r="F83" s="140">
        <v>88</v>
      </c>
      <c r="G83" s="140">
        <v>93.1</v>
      </c>
    </row>
    <row r="84" spans="1:7" x14ac:dyDescent="0.25">
      <c r="A84" s="138">
        <v>16</v>
      </c>
      <c r="B84" s="140">
        <v>29.6</v>
      </c>
      <c r="C84" s="140">
        <v>39.299999999999997</v>
      </c>
      <c r="D84" s="140">
        <v>86.3</v>
      </c>
      <c r="E84" s="140"/>
      <c r="F84" s="140"/>
      <c r="G84" s="140"/>
    </row>
    <row r="85" spans="1:7" ht="14.5" thickBot="1" x14ac:dyDescent="0.3">
      <c r="A85" s="143">
        <v>17</v>
      </c>
      <c r="B85" s="142">
        <v>31</v>
      </c>
      <c r="C85" s="142">
        <v>61.8</v>
      </c>
      <c r="D85" s="142">
        <v>87.9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16.399999999999999</v>
      </c>
      <c r="C89" s="140">
        <v>43.3</v>
      </c>
      <c r="D89" s="140">
        <v>103.6</v>
      </c>
      <c r="E89" s="140">
        <v>25.8</v>
      </c>
      <c r="F89" s="140">
        <v>80.900000000000006</v>
      </c>
      <c r="G89" s="140">
        <v>111.9</v>
      </c>
    </row>
    <row r="90" spans="1:7" x14ac:dyDescent="0.25">
      <c r="A90" s="138">
        <v>2</v>
      </c>
      <c r="B90" s="140">
        <v>34.5</v>
      </c>
      <c r="C90" s="140">
        <v>42</v>
      </c>
      <c r="D90" s="140">
        <v>76.3</v>
      </c>
      <c r="E90" s="140">
        <v>53</v>
      </c>
      <c r="F90" s="140">
        <v>64.900000000000006</v>
      </c>
      <c r="G90" s="140">
        <v>115.9</v>
      </c>
    </row>
    <row r="91" spans="1:7" x14ac:dyDescent="0.25">
      <c r="A91" s="138">
        <v>3</v>
      </c>
      <c r="B91" s="140">
        <v>29.2</v>
      </c>
      <c r="C91" s="140">
        <v>46.1</v>
      </c>
      <c r="D91" s="140">
        <v>87.6</v>
      </c>
      <c r="E91" s="140">
        <v>52.4</v>
      </c>
      <c r="F91" s="140">
        <v>88.7</v>
      </c>
      <c r="G91" s="140">
        <v>119</v>
      </c>
    </row>
    <row r="92" spans="1:7" x14ac:dyDescent="0.25">
      <c r="A92" s="138">
        <v>4</v>
      </c>
      <c r="B92" s="140">
        <v>27.9</v>
      </c>
      <c r="C92" s="140">
        <v>41.8</v>
      </c>
      <c r="D92" s="140">
        <v>93.7</v>
      </c>
      <c r="E92" s="140">
        <v>33.700000000000003</v>
      </c>
      <c r="F92" s="140">
        <v>84.9</v>
      </c>
      <c r="G92" s="140">
        <v>95.3</v>
      </c>
    </row>
    <row r="93" spans="1:7" x14ac:dyDescent="0.25">
      <c r="A93" s="138">
        <v>5</v>
      </c>
      <c r="B93" s="140">
        <v>21.5</v>
      </c>
      <c r="C93" s="140">
        <v>39.1</v>
      </c>
      <c r="D93" s="140">
        <v>99.2</v>
      </c>
      <c r="E93" s="140">
        <v>52.8</v>
      </c>
      <c r="F93" s="140">
        <v>75.2</v>
      </c>
      <c r="G93" s="140">
        <v>118.9</v>
      </c>
    </row>
    <row r="94" spans="1:7" x14ac:dyDescent="0.25">
      <c r="A94" s="138">
        <v>6</v>
      </c>
      <c r="B94" s="140">
        <v>19.7</v>
      </c>
      <c r="C94" s="140">
        <v>56.3</v>
      </c>
      <c r="D94" s="140">
        <v>95.8</v>
      </c>
      <c r="E94" s="140">
        <v>31.7</v>
      </c>
      <c r="F94" s="140">
        <v>87.8</v>
      </c>
      <c r="G94" s="140">
        <v>91.2</v>
      </c>
    </row>
    <row r="95" spans="1:7" x14ac:dyDescent="0.25">
      <c r="A95" s="138">
        <v>7</v>
      </c>
      <c r="B95" s="140">
        <v>28.2</v>
      </c>
      <c r="C95" s="140">
        <v>66.3</v>
      </c>
      <c r="D95" s="140">
        <v>105.9</v>
      </c>
      <c r="E95" s="140">
        <v>45.2</v>
      </c>
      <c r="F95" s="140">
        <v>86.6</v>
      </c>
      <c r="G95" s="140">
        <v>114</v>
      </c>
    </row>
    <row r="96" spans="1:7" x14ac:dyDescent="0.25">
      <c r="A96" s="138">
        <v>8</v>
      </c>
      <c r="B96" s="140">
        <v>35</v>
      </c>
      <c r="C96" s="140">
        <v>44.5</v>
      </c>
      <c r="D96" s="140">
        <v>80.3</v>
      </c>
      <c r="E96" s="139"/>
      <c r="F96" s="139"/>
      <c r="G96" s="139"/>
    </row>
    <row r="97" spans="1:7" x14ac:dyDescent="0.25">
      <c r="A97" s="138">
        <v>9</v>
      </c>
      <c r="B97" s="140">
        <v>24.8</v>
      </c>
      <c r="C97" s="140">
        <v>39.700000000000003</v>
      </c>
      <c r="D97" s="140">
        <v>84.2</v>
      </c>
      <c r="E97" s="139"/>
      <c r="F97" s="139"/>
      <c r="G97" s="139"/>
    </row>
    <row r="98" spans="1:7" x14ac:dyDescent="0.25">
      <c r="A98" s="138">
        <v>10</v>
      </c>
      <c r="B98" s="140">
        <v>33.799999999999997</v>
      </c>
      <c r="C98" s="140">
        <v>45.3</v>
      </c>
      <c r="D98" s="140">
        <v>92.8</v>
      </c>
      <c r="E98" s="139"/>
      <c r="F98" s="139"/>
      <c r="G98" s="139"/>
    </row>
    <row r="99" spans="1:7" x14ac:dyDescent="0.25">
      <c r="A99" s="138">
        <v>11</v>
      </c>
      <c r="B99" s="140">
        <v>17.7</v>
      </c>
      <c r="C99" s="140">
        <v>35.299999999999997</v>
      </c>
      <c r="D99" s="140">
        <v>97.1</v>
      </c>
      <c r="E99" s="139"/>
      <c r="F99" s="139"/>
      <c r="G99" s="139"/>
    </row>
    <row r="100" spans="1:7" x14ac:dyDescent="0.25">
      <c r="A100" s="138">
        <v>12</v>
      </c>
      <c r="B100" s="140">
        <v>22.9</v>
      </c>
      <c r="C100" s="140">
        <v>51.3</v>
      </c>
      <c r="D100" s="140">
        <v>75.900000000000006</v>
      </c>
      <c r="E100" s="139"/>
      <c r="F100" s="139"/>
      <c r="G100" s="139"/>
    </row>
    <row r="101" spans="1:7" x14ac:dyDescent="0.25">
      <c r="A101" s="138">
        <v>13</v>
      </c>
      <c r="B101" s="140">
        <v>30.2</v>
      </c>
      <c r="C101" s="140">
        <v>69.8</v>
      </c>
      <c r="D101" s="140">
        <v>80.2</v>
      </c>
      <c r="E101" s="139"/>
      <c r="F101" s="139"/>
      <c r="G101" s="139"/>
    </row>
    <row r="102" spans="1:7" x14ac:dyDescent="0.25">
      <c r="A102" s="138">
        <v>14</v>
      </c>
      <c r="B102" s="140">
        <v>22.8</v>
      </c>
      <c r="C102" s="140">
        <v>74.8</v>
      </c>
      <c r="D102" s="140">
        <v>91.7</v>
      </c>
      <c r="E102" s="139"/>
      <c r="F102" s="139"/>
      <c r="G102" s="139"/>
    </row>
    <row r="103" spans="1:7" x14ac:dyDescent="0.25">
      <c r="A103" s="138">
        <v>15</v>
      </c>
      <c r="B103" s="140">
        <v>19.600000000000001</v>
      </c>
      <c r="C103" s="140">
        <v>57.3</v>
      </c>
      <c r="D103" s="140">
        <v>94.2</v>
      </c>
      <c r="E103" s="139"/>
      <c r="F103" s="139"/>
      <c r="G103" s="139"/>
    </row>
    <row r="104" spans="1:7" x14ac:dyDescent="0.25">
      <c r="A104" s="138">
        <v>16</v>
      </c>
      <c r="B104" s="140">
        <v>28.6</v>
      </c>
      <c r="C104" s="140">
        <v>61.2</v>
      </c>
      <c r="D104" s="140">
        <v>92.7</v>
      </c>
      <c r="E104" s="139"/>
      <c r="F104" s="139"/>
      <c r="G104" s="139"/>
    </row>
    <row r="105" spans="1:7" x14ac:dyDescent="0.25">
      <c r="A105" s="138">
        <v>17</v>
      </c>
      <c r="B105" s="140">
        <v>22.9</v>
      </c>
      <c r="C105" s="140">
        <v>67.400000000000006</v>
      </c>
      <c r="D105" s="140">
        <v>96.9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79.5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31.4</v>
      </c>
      <c r="C110" s="140">
        <v>55</v>
      </c>
      <c r="D110" s="140">
        <v>105</v>
      </c>
      <c r="E110" s="140">
        <v>31.9</v>
      </c>
      <c r="F110" s="140">
        <v>82.1</v>
      </c>
      <c r="G110" s="140">
        <v>111.1</v>
      </c>
    </row>
    <row r="111" spans="1:7" x14ac:dyDescent="0.25">
      <c r="A111" s="138">
        <v>2</v>
      </c>
      <c r="B111" s="140">
        <v>19.100000000000001</v>
      </c>
      <c r="C111" s="140">
        <v>35</v>
      </c>
      <c r="D111" s="140">
        <v>76</v>
      </c>
      <c r="E111" s="140">
        <v>30.5</v>
      </c>
      <c r="F111" s="140">
        <v>87.5</v>
      </c>
      <c r="G111" s="140">
        <v>109.1</v>
      </c>
    </row>
    <row r="112" spans="1:7" ht="14.5" thickBot="1" x14ac:dyDescent="0.3">
      <c r="A112" s="143">
        <v>3</v>
      </c>
      <c r="B112" s="145"/>
      <c r="C112" s="145"/>
      <c r="D112" s="145"/>
      <c r="E112" s="145">
        <v>32.200000000000003</v>
      </c>
      <c r="F112" s="145">
        <v>82.9</v>
      </c>
      <c r="G112" s="145">
        <v>101.2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17.8</v>
      </c>
      <c r="C116" s="140">
        <v>51.1</v>
      </c>
      <c r="D116" s="140">
        <v>96</v>
      </c>
      <c r="E116" s="140">
        <v>45.5</v>
      </c>
      <c r="F116" s="140">
        <v>70.2</v>
      </c>
      <c r="G116" s="140">
        <v>112.5</v>
      </c>
    </row>
    <row r="117" spans="1:7" x14ac:dyDescent="0.25">
      <c r="A117" s="138">
        <v>2</v>
      </c>
      <c r="B117" s="140">
        <v>26.2</v>
      </c>
      <c r="C117" s="140">
        <v>74.5</v>
      </c>
      <c r="D117" s="140">
        <v>87.8</v>
      </c>
      <c r="E117" s="140">
        <v>28.1</v>
      </c>
      <c r="F117" s="140">
        <v>63</v>
      </c>
      <c r="G117" s="140">
        <v>96.3</v>
      </c>
    </row>
    <row r="118" spans="1:7" x14ac:dyDescent="0.25">
      <c r="A118" s="138">
        <v>3</v>
      </c>
      <c r="B118" s="140">
        <v>25.7</v>
      </c>
      <c r="C118" s="140">
        <v>39.9</v>
      </c>
      <c r="D118" s="140">
        <v>101.9</v>
      </c>
      <c r="E118" s="140">
        <v>39.1</v>
      </c>
      <c r="F118" s="140">
        <v>68</v>
      </c>
      <c r="G118" s="140">
        <v>113.8</v>
      </c>
    </row>
    <row r="119" spans="1:7" x14ac:dyDescent="0.25">
      <c r="A119" s="138">
        <v>4</v>
      </c>
      <c r="B119" s="140">
        <v>31.7</v>
      </c>
      <c r="C119" s="140">
        <v>74.3</v>
      </c>
      <c r="D119" s="140">
        <v>93.4</v>
      </c>
      <c r="E119" s="140">
        <v>58.7</v>
      </c>
      <c r="F119" s="140">
        <v>89.2</v>
      </c>
      <c r="G119" s="140">
        <v>115.1</v>
      </c>
    </row>
    <row r="120" spans="1:7" x14ac:dyDescent="0.25">
      <c r="A120" s="138">
        <v>5</v>
      </c>
      <c r="B120" s="139"/>
      <c r="C120" s="139"/>
      <c r="D120" s="139"/>
      <c r="E120" s="140">
        <v>41.6</v>
      </c>
      <c r="F120" s="140">
        <v>83.3</v>
      </c>
      <c r="G120" s="140">
        <v>114.2</v>
      </c>
    </row>
    <row r="121" spans="1:7" x14ac:dyDescent="0.25">
      <c r="A121" s="138">
        <v>6</v>
      </c>
      <c r="B121" s="139"/>
      <c r="C121" s="139"/>
      <c r="D121" s="139"/>
      <c r="E121" s="140">
        <v>27.7</v>
      </c>
      <c r="F121" s="140">
        <v>85.8</v>
      </c>
      <c r="G121" s="140">
        <v>96.1</v>
      </c>
    </row>
    <row r="122" spans="1:7" x14ac:dyDescent="0.25">
      <c r="A122" s="138">
        <v>7</v>
      </c>
      <c r="B122" s="139"/>
      <c r="C122" s="139"/>
      <c r="D122" s="139"/>
      <c r="E122" s="140">
        <v>54</v>
      </c>
      <c r="F122" s="140">
        <v>63.7</v>
      </c>
      <c r="G122" s="140">
        <v>105.1</v>
      </c>
    </row>
    <row r="123" spans="1:7" x14ac:dyDescent="0.25">
      <c r="A123" s="138">
        <v>8</v>
      </c>
      <c r="B123" s="139"/>
      <c r="C123" s="139"/>
      <c r="D123" s="139"/>
      <c r="E123" s="140">
        <v>58.6</v>
      </c>
      <c r="F123" s="140">
        <v>81.099999999999994</v>
      </c>
      <c r="G123" s="140">
        <v>119.2</v>
      </c>
    </row>
    <row r="124" spans="1:7" ht="14.5" thickBot="1" x14ac:dyDescent="0.3">
      <c r="A124" s="143">
        <v>9</v>
      </c>
      <c r="B124" s="145"/>
      <c r="C124" s="145"/>
      <c r="D124" s="145"/>
      <c r="E124" s="145">
        <v>30.5</v>
      </c>
      <c r="F124" s="145">
        <v>67.7</v>
      </c>
      <c r="G124" s="145">
        <v>113.2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57.866666666666667</v>
      </c>
      <c r="C129" s="147">
        <f>AVERAGE(E5:G7)</f>
        <v>74.933333333333337</v>
      </c>
      <c r="D129" s="138">
        <v>2058</v>
      </c>
      <c r="E129" s="138">
        <v>4211</v>
      </c>
      <c r="F129" s="138">
        <f>D129*B129</f>
        <v>119089.60000000001</v>
      </c>
      <c r="G129" s="138">
        <f>E129*C129</f>
        <v>315544.26666666666</v>
      </c>
    </row>
    <row r="130" spans="1:7" x14ac:dyDescent="0.25">
      <c r="A130" s="139" t="str">
        <f>A8</f>
        <v>Dongyuan Huangtian swine Farm</v>
      </c>
      <c r="B130" s="146">
        <f>AVERAGE((B11:D15))</f>
        <v>58.11333333333333</v>
      </c>
      <c r="C130" s="146">
        <f>AVERAGE(E11:G11)</f>
        <v>71.333333333333329</v>
      </c>
      <c r="D130" s="138">
        <v>6272</v>
      </c>
      <c r="E130" s="138">
        <v>1429</v>
      </c>
      <c r="F130" s="138">
        <f t="shared" ref="F130:G137" si="0">D130*B130</f>
        <v>364486.82666666666</v>
      </c>
      <c r="G130" s="138">
        <f t="shared" si="0"/>
        <v>101935.33333333333</v>
      </c>
    </row>
    <row r="131" spans="1:7" x14ac:dyDescent="0.25">
      <c r="A131" s="139" t="str">
        <f>A16</f>
        <v>Enping Shahu swine  Farm</v>
      </c>
      <c r="B131" s="146">
        <f>AVERAGE(B19:D33)</f>
        <v>56.31333333333334</v>
      </c>
      <c r="C131" s="146">
        <f>AVERAGE(E19:G28)</f>
        <v>75.26333333333335</v>
      </c>
      <c r="D131" s="138">
        <v>22171</v>
      </c>
      <c r="E131" s="138">
        <v>15089</v>
      </c>
      <c r="F131" s="138">
        <f t="shared" si="0"/>
        <v>1248522.9133333336</v>
      </c>
      <c r="G131" s="138">
        <f t="shared" si="0"/>
        <v>1135648.436666667</v>
      </c>
    </row>
    <row r="132" spans="1:7" x14ac:dyDescent="0.25">
      <c r="A132" s="139" t="str">
        <f>A34</f>
        <v>Langtian Yuehui swine Farm</v>
      </c>
      <c r="B132" s="146">
        <f>AVERAGE(B37:D55)</f>
        <v>59.74736842105262</v>
      </c>
      <c r="C132" s="146">
        <f>AVERAGE(E37:G43)</f>
        <v>76.038095238095252</v>
      </c>
      <c r="D132" s="138">
        <v>28130</v>
      </c>
      <c r="E132" s="138">
        <v>9754</v>
      </c>
      <c r="F132" s="138">
        <f t="shared" si="0"/>
        <v>1680693.4736842101</v>
      </c>
      <c r="G132" s="138">
        <f t="shared" si="0"/>
        <v>741675.58095238113</v>
      </c>
    </row>
    <row r="133" spans="1:7" x14ac:dyDescent="0.25">
      <c r="A133" s="139" t="str">
        <f>A56</f>
        <v>Qujiang Fengwan swine Farm</v>
      </c>
      <c r="B133" s="146">
        <f>AVERAGE(B59:D65)</f>
        <v>57.485714285714288</v>
      </c>
      <c r="C133" s="146">
        <f>AVERAGE(E59:G65)</f>
        <v>76.338095238095235</v>
      </c>
      <c r="D133" s="138">
        <v>9008</v>
      </c>
      <c r="E133" s="138">
        <v>11074</v>
      </c>
      <c r="F133" s="138">
        <f t="shared" si="0"/>
        <v>517831.3142857143</v>
      </c>
      <c r="G133" s="138">
        <f t="shared" si="0"/>
        <v>845368.06666666665</v>
      </c>
    </row>
    <row r="134" spans="1:7" x14ac:dyDescent="0.25">
      <c r="A134" s="139" t="str">
        <f>A66</f>
        <v>Pingyuan Zhongshi swine Farm</v>
      </c>
      <c r="B134" s="146">
        <f>AVERAGE(B69:D85)</f>
        <v>59.303921568627445</v>
      </c>
      <c r="C134" s="146">
        <f>AVERAGE(E69:G83)</f>
        <v>73.604444444444425</v>
      </c>
      <c r="D134" s="138">
        <v>25713</v>
      </c>
      <c r="E134" s="138">
        <v>23000</v>
      </c>
      <c r="F134" s="138">
        <f t="shared" si="0"/>
        <v>1524881.7352941176</v>
      </c>
      <c r="G134" s="138">
        <f t="shared" si="0"/>
        <v>1692902.2222222218</v>
      </c>
    </row>
    <row r="135" spans="1:7" x14ac:dyDescent="0.25">
      <c r="A135" s="139" t="str">
        <f>A86</f>
        <v>Yangchun Tanshui swine Farm</v>
      </c>
      <c r="B135" s="146">
        <f>AVERAGE(B89:D106)</f>
        <v>56.630769230769225</v>
      </c>
      <c r="C135" s="146">
        <f>AVERAGE(E89:G95)</f>
        <v>77.609523809523807</v>
      </c>
      <c r="D135" s="138">
        <v>26456</v>
      </c>
      <c r="E135" s="138">
        <v>11160</v>
      </c>
      <c r="F135" s="138">
        <f t="shared" si="0"/>
        <v>1498223.6307692307</v>
      </c>
      <c r="G135" s="138">
        <f t="shared" si="0"/>
        <v>866122.28571428568</v>
      </c>
    </row>
    <row r="136" spans="1:7" x14ac:dyDescent="0.25">
      <c r="A136" s="139" t="str">
        <f>A107</f>
        <v>Xinfeng Shatian swine Farm</v>
      </c>
      <c r="B136" s="146">
        <f>AVERAGE(B110:D112)</f>
        <v>53.583333333333336</v>
      </c>
      <c r="C136" s="146">
        <f>AVERAGE(E110:G112)</f>
        <v>74.277777777777786</v>
      </c>
      <c r="D136" s="138">
        <v>1907</v>
      </c>
      <c r="E136" s="138">
        <v>3737</v>
      </c>
      <c r="F136" s="138">
        <f t="shared" si="0"/>
        <v>102183.41666666667</v>
      </c>
      <c r="G136" s="138">
        <f t="shared" si="0"/>
        <v>277576.05555555556</v>
      </c>
    </row>
    <row r="137" spans="1:7" x14ac:dyDescent="0.25">
      <c r="A137" s="139" t="str">
        <f>A113</f>
        <v>Kaiping Cangcheng swine Farm</v>
      </c>
      <c r="B137" s="146">
        <f>AVERAGE(B116:D119)</f>
        <v>60.024999999999999</v>
      </c>
      <c r="C137" s="146">
        <f>AVERAGE(E116:G124)</f>
        <v>75.603703703703701</v>
      </c>
      <c r="D137" s="138">
        <v>5732</v>
      </c>
      <c r="E137" s="138">
        <v>13534</v>
      </c>
      <c r="F137" s="138">
        <f t="shared" si="0"/>
        <v>344063.3</v>
      </c>
      <c r="G137" s="138">
        <f t="shared" si="0"/>
        <v>1023220.5259259259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92988</v>
      </c>
      <c r="F138" s="138">
        <f t="shared" ref="F138:G138" si="1">SUM(F129:F137)</f>
        <v>7399976.2106999392</v>
      </c>
      <c r="G138" s="138">
        <f t="shared" si="1"/>
        <v>6999992.7737037046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362">
        <f>ROUNDDOWN(F138/D138,1)</f>
        <v>58</v>
      </c>
      <c r="D142" s="148">
        <f>ROUNDDOWN(G138/E138,1)</f>
        <v>75.2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3D0C-9B40-4399-87F7-0397128F190C}">
  <dimension ref="A1:G142"/>
  <sheetViews>
    <sheetView topLeftCell="A115" workbookViewId="0">
      <selection sqref="A1:G124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27" t="s">
        <v>344</v>
      </c>
      <c r="B2" s="528"/>
      <c r="C2" s="528"/>
      <c r="D2" s="528"/>
      <c r="E2" s="528"/>
      <c r="F2" s="528"/>
      <c r="G2" s="529"/>
    </row>
    <row r="3" spans="1:7" ht="14.5" x14ac:dyDescent="0.3">
      <c r="A3" s="137"/>
      <c r="B3" s="516" t="s">
        <v>345</v>
      </c>
      <c r="C3" s="521"/>
      <c r="D3" s="517"/>
      <c r="E3" s="516" t="s">
        <v>346</v>
      </c>
      <c r="F3" s="521"/>
      <c r="G3" s="517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28.7</v>
      </c>
      <c r="C5" s="140">
        <v>53</v>
      </c>
      <c r="D5" s="140">
        <v>100.6</v>
      </c>
      <c r="E5" s="140">
        <v>33.700000000000003</v>
      </c>
      <c r="F5" s="140">
        <v>84.4</v>
      </c>
      <c r="G5" s="140">
        <v>113.6</v>
      </c>
    </row>
    <row r="6" spans="1:7" x14ac:dyDescent="0.25">
      <c r="A6" s="138">
        <v>2</v>
      </c>
      <c r="B6" s="140">
        <v>22.6</v>
      </c>
      <c r="C6" s="140">
        <v>65.400000000000006</v>
      </c>
      <c r="D6" s="140">
        <v>86.5</v>
      </c>
      <c r="E6" s="140">
        <v>26.1</v>
      </c>
      <c r="F6" s="140">
        <v>71.5</v>
      </c>
      <c r="G6" s="140">
        <v>98.2</v>
      </c>
    </row>
    <row r="7" spans="1:7" ht="14.5" thickBot="1" x14ac:dyDescent="0.3">
      <c r="A7" s="141">
        <v>3</v>
      </c>
      <c r="B7" s="142"/>
      <c r="C7" s="142"/>
      <c r="D7" s="142"/>
      <c r="E7" s="142">
        <v>45.1</v>
      </c>
      <c r="F7" s="142">
        <v>79.599999999999994</v>
      </c>
      <c r="G7" s="142">
        <v>91.3</v>
      </c>
    </row>
    <row r="8" spans="1:7" ht="14.5" thickTop="1" x14ac:dyDescent="0.25">
      <c r="A8" s="518" t="s">
        <v>354</v>
      </c>
      <c r="B8" s="519"/>
      <c r="C8" s="519"/>
      <c r="D8" s="519"/>
      <c r="E8" s="519"/>
      <c r="F8" s="519"/>
      <c r="G8" s="520"/>
    </row>
    <row r="9" spans="1:7" ht="14.5" x14ac:dyDescent="0.3">
      <c r="A9" s="137"/>
      <c r="B9" s="516" t="s">
        <v>345</v>
      </c>
      <c r="C9" s="521"/>
      <c r="D9" s="517"/>
      <c r="E9" s="516" t="s">
        <v>346</v>
      </c>
      <c r="F9" s="521"/>
      <c r="G9" s="517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15</v>
      </c>
      <c r="C11" s="140">
        <v>35.700000000000003</v>
      </c>
      <c r="D11" s="140">
        <v>85.8</v>
      </c>
      <c r="E11" s="140">
        <v>37</v>
      </c>
      <c r="F11" s="140">
        <v>68.900000000000006</v>
      </c>
      <c r="G11" s="140">
        <v>90</v>
      </c>
    </row>
    <row r="12" spans="1:7" x14ac:dyDescent="0.25">
      <c r="A12" s="138">
        <v>2</v>
      </c>
      <c r="B12" s="140">
        <v>21</v>
      </c>
      <c r="C12" s="140">
        <v>74.7</v>
      </c>
      <c r="D12" s="140">
        <v>97.7</v>
      </c>
      <c r="E12" s="140"/>
      <c r="F12" s="140"/>
      <c r="G12" s="140"/>
    </row>
    <row r="13" spans="1:7" x14ac:dyDescent="0.25">
      <c r="A13" s="138">
        <v>3</v>
      </c>
      <c r="B13" s="140">
        <v>22.2</v>
      </c>
      <c r="C13" s="140">
        <v>46.1</v>
      </c>
      <c r="D13" s="140">
        <v>87.3</v>
      </c>
      <c r="E13" s="139"/>
      <c r="F13" s="139"/>
      <c r="G13" s="139"/>
    </row>
    <row r="14" spans="1:7" x14ac:dyDescent="0.25">
      <c r="A14" s="138">
        <v>4</v>
      </c>
      <c r="B14" s="140">
        <v>15.7</v>
      </c>
      <c r="C14" s="140">
        <v>71.599999999999994</v>
      </c>
      <c r="D14" s="140">
        <v>101.7</v>
      </c>
      <c r="E14" s="139"/>
      <c r="F14" s="139"/>
      <c r="G14" s="139"/>
    </row>
    <row r="15" spans="1:7" ht="14.5" thickBot="1" x14ac:dyDescent="0.3">
      <c r="A15" s="141">
        <v>5</v>
      </c>
      <c r="B15" s="142">
        <v>27.1</v>
      </c>
      <c r="C15" s="142">
        <v>38.700000000000003</v>
      </c>
      <c r="D15" s="142">
        <v>107.5</v>
      </c>
      <c r="E15" s="142"/>
      <c r="F15" s="142"/>
      <c r="G15" s="142"/>
    </row>
    <row r="16" spans="1:7" ht="14.5" thickTop="1" x14ac:dyDescent="0.25">
      <c r="A16" s="518" t="s">
        <v>355</v>
      </c>
      <c r="B16" s="519"/>
      <c r="C16" s="519"/>
      <c r="D16" s="519"/>
      <c r="E16" s="519"/>
      <c r="F16" s="519"/>
      <c r="G16" s="520"/>
    </row>
    <row r="17" spans="1:7" ht="14.5" x14ac:dyDescent="0.3">
      <c r="A17" s="137"/>
      <c r="B17" s="516" t="s">
        <v>345</v>
      </c>
      <c r="C17" s="521"/>
      <c r="D17" s="517"/>
      <c r="E17" s="516" t="s">
        <v>346</v>
      </c>
      <c r="F17" s="521"/>
      <c r="G17" s="517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22.9</v>
      </c>
      <c r="C19" s="140">
        <v>59.5</v>
      </c>
      <c r="D19" s="140">
        <v>88</v>
      </c>
      <c r="E19" s="140">
        <v>47</v>
      </c>
      <c r="F19" s="140">
        <v>82.9</v>
      </c>
      <c r="G19" s="140">
        <v>118.5</v>
      </c>
    </row>
    <row r="20" spans="1:7" x14ac:dyDescent="0.25">
      <c r="A20" s="138">
        <v>2</v>
      </c>
      <c r="B20" s="140">
        <v>21.8</v>
      </c>
      <c r="C20" s="140">
        <v>52.2</v>
      </c>
      <c r="D20" s="140">
        <v>93.9</v>
      </c>
      <c r="E20" s="140">
        <v>59.1</v>
      </c>
      <c r="F20" s="140">
        <v>84.3</v>
      </c>
      <c r="G20" s="140">
        <v>95.9</v>
      </c>
    </row>
    <row r="21" spans="1:7" x14ac:dyDescent="0.25">
      <c r="A21" s="138">
        <v>3</v>
      </c>
      <c r="B21" s="140">
        <v>33.4</v>
      </c>
      <c r="C21" s="140">
        <v>42.9</v>
      </c>
      <c r="D21" s="140">
        <v>83.4</v>
      </c>
      <c r="E21" s="140">
        <v>44.7</v>
      </c>
      <c r="F21" s="140">
        <v>74.5</v>
      </c>
      <c r="G21" s="140">
        <v>90.5</v>
      </c>
    </row>
    <row r="22" spans="1:7" x14ac:dyDescent="0.25">
      <c r="A22" s="138">
        <v>4</v>
      </c>
      <c r="B22" s="140">
        <v>33.799999999999997</v>
      </c>
      <c r="C22" s="140">
        <v>39.700000000000003</v>
      </c>
      <c r="D22" s="140">
        <v>83.8</v>
      </c>
      <c r="E22" s="140">
        <v>43.6</v>
      </c>
      <c r="F22" s="140">
        <v>67.599999999999994</v>
      </c>
      <c r="G22" s="140">
        <v>119</v>
      </c>
    </row>
    <row r="23" spans="1:7" x14ac:dyDescent="0.25">
      <c r="A23" s="138">
        <v>5</v>
      </c>
      <c r="B23" s="140">
        <v>31.8</v>
      </c>
      <c r="C23" s="140">
        <v>51.6</v>
      </c>
      <c r="D23" s="140">
        <v>87.2</v>
      </c>
      <c r="E23" s="140">
        <v>57.5</v>
      </c>
      <c r="F23" s="140">
        <v>63.4</v>
      </c>
      <c r="G23" s="140">
        <v>104.8</v>
      </c>
    </row>
    <row r="24" spans="1:7" x14ac:dyDescent="0.25">
      <c r="A24" s="138">
        <v>6</v>
      </c>
      <c r="B24" s="140">
        <v>22.1</v>
      </c>
      <c r="C24" s="140">
        <v>57.4</v>
      </c>
      <c r="D24" s="140">
        <v>94.8</v>
      </c>
      <c r="E24" s="140">
        <v>42.3</v>
      </c>
      <c r="F24" s="140">
        <v>73.400000000000006</v>
      </c>
      <c r="G24" s="140">
        <v>96.1</v>
      </c>
    </row>
    <row r="25" spans="1:7" x14ac:dyDescent="0.25">
      <c r="A25" s="138">
        <v>7</v>
      </c>
      <c r="B25" s="140">
        <v>20.8</v>
      </c>
      <c r="C25" s="140">
        <v>68.400000000000006</v>
      </c>
      <c r="D25" s="140">
        <v>79.900000000000006</v>
      </c>
      <c r="E25" s="140">
        <v>37.1</v>
      </c>
      <c r="F25" s="140">
        <v>70</v>
      </c>
      <c r="G25" s="140">
        <v>95.3</v>
      </c>
    </row>
    <row r="26" spans="1:7" x14ac:dyDescent="0.25">
      <c r="A26" s="138">
        <v>8</v>
      </c>
      <c r="B26" s="140">
        <v>30.5</v>
      </c>
      <c r="C26" s="140">
        <v>51.6</v>
      </c>
      <c r="D26" s="140">
        <v>96</v>
      </c>
      <c r="E26" s="140">
        <v>32.6</v>
      </c>
      <c r="F26" s="140">
        <v>63.2</v>
      </c>
      <c r="G26" s="140">
        <v>104.2</v>
      </c>
    </row>
    <row r="27" spans="1:7" x14ac:dyDescent="0.25">
      <c r="A27" s="138">
        <v>9</v>
      </c>
      <c r="B27" s="140">
        <v>28.8</v>
      </c>
      <c r="C27" s="140">
        <v>73.2</v>
      </c>
      <c r="D27" s="140">
        <v>101.5</v>
      </c>
      <c r="E27" s="140">
        <v>56</v>
      </c>
      <c r="F27" s="140">
        <v>85.1</v>
      </c>
      <c r="G27" s="140">
        <v>105.1</v>
      </c>
    </row>
    <row r="28" spans="1:7" x14ac:dyDescent="0.25">
      <c r="A28" s="138">
        <v>10</v>
      </c>
      <c r="B28" s="140">
        <v>21.2</v>
      </c>
      <c r="C28" s="140">
        <v>50.9</v>
      </c>
      <c r="D28" s="140">
        <v>109.8</v>
      </c>
      <c r="E28" s="140">
        <v>39.799999999999997</v>
      </c>
      <c r="F28" s="140">
        <v>83.3</v>
      </c>
      <c r="G28" s="140">
        <v>112.8</v>
      </c>
    </row>
    <row r="29" spans="1:7" x14ac:dyDescent="0.25">
      <c r="A29" s="138">
        <v>11</v>
      </c>
      <c r="B29" s="140">
        <v>26.5</v>
      </c>
      <c r="C29" s="140">
        <v>57.2</v>
      </c>
      <c r="D29" s="140">
        <v>88.5</v>
      </c>
      <c r="E29" s="140"/>
      <c r="F29" s="140"/>
      <c r="G29" s="140"/>
    </row>
    <row r="30" spans="1:7" x14ac:dyDescent="0.25">
      <c r="A30" s="138">
        <v>12</v>
      </c>
      <c r="B30" s="140">
        <v>16.399999999999999</v>
      </c>
      <c r="C30" s="140">
        <v>48.6</v>
      </c>
      <c r="D30" s="140">
        <v>92</v>
      </c>
      <c r="E30" s="140"/>
      <c r="F30" s="140"/>
      <c r="G30" s="140"/>
    </row>
    <row r="31" spans="1:7" x14ac:dyDescent="0.25">
      <c r="A31" s="138">
        <v>13</v>
      </c>
      <c r="B31" s="140">
        <v>27.9</v>
      </c>
      <c r="C31" s="140">
        <v>51</v>
      </c>
      <c r="D31" s="140">
        <v>83.1</v>
      </c>
      <c r="E31" s="140"/>
      <c r="F31" s="140"/>
      <c r="G31" s="140"/>
    </row>
    <row r="32" spans="1:7" x14ac:dyDescent="0.25">
      <c r="A32" s="138">
        <v>14</v>
      </c>
      <c r="B32" s="140">
        <v>20.6</v>
      </c>
      <c r="C32" s="140">
        <v>67.2</v>
      </c>
      <c r="D32" s="140">
        <v>94.8</v>
      </c>
      <c r="E32" s="140"/>
      <c r="F32" s="140"/>
      <c r="G32" s="140"/>
    </row>
    <row r="33" spans="1:7" ht="14.5" thickBot="1" x14ac:dyDescent="0.3">
      <c r="A33" s="143">
        <v>15</v>
      </c>
      <c r="B33" s="142">
        <v>32.9</v>
      </c>
      <c r="C33" s="142">
        <v>40.200000000000003</v>
      </c>
      <c r="D33" s="142">
        <v>84.1</v>
      </c>
      <c r="E33" s="142"/>
      <c r="F33" s="142"/>
      <c r="G33" s="142"/>
    </row>
    <row r="34" spans="1:7" ht="14.5" thickTop="1" x14ac:dyDescent="0.25">
      <c r="A34" s="518" t="s">
        <v>356</v>
      </c>
      <c r="B34" s="519"/>
      <c r="C34" s="519"/>
      <c r="D34" s="519"/>
      <c r="E34" s="519"/>
      <c r="F34" s="519"/>
      <c r="G34" s="520"/>
    </row>
    <row r="35" spans="1:7" ht="14.5" x14ac:dyDescent="0.3">
      <c r="A35" s="137"/>
      <c r="B35" s="516" t="s">
        <v>345</v>
      </c>
      <c r="C35" s="521"/>
      <c r="D35" s="517"/>
      <c r="E35" s="516" t="s">
        <v>346</v>
      </c>
      <c r="F35" s="521"/>
      <c r="G35" s="517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22.5</v>
      </c>
      <c r="C37" s="140">
        <v>51.4</v>
      </c>
      <c r="D37" s="140">
        <v>84.6</v>
      </c>
      <c r="E37" s="140">
        <v>45.2</v>
      </c>
      <c r="F37" s="140">
        <v>89</v>
      </c>
      <c r="G37" s="140">
        <v>114.9</v>
      </c>
    </row>
    <row r="38" spans="1:7" x14ac:dyDescent="0.25">
      <c r="A38" s="138">
        <v>2</v>
      </c>
      <c r="B38" s="140">
        <v>31</v>
      </c>
      <c r="C38" s="140">
        <v>57.9</v>
      </c>
      <c r="D38" s="140">
        <v>101.9</v>
      </c>
      <c r="E38" s="140">
        <v>42.6</v>
      </c>
      <c r="F38" s="140">
        <v>74.099999999999994</v>
      </c>
      <c r="G38" s="140">
        <v>110.5</v>
      </c>
    </row>
    <row r="39" spans="1:7" x14ac:dyDescent="0.25">
      <c r="A39" s="138">
        <v>3</v>
      </c>
      <c r="B39" s="140">
        <v>28.7</v>
      </c>
      <c r="C39" s="140">
        <v>41.5</v>
      </c>
      <c r="D39" s="140">
        <v>103.1</v>
      </c>
      <c r="E39" s="140">
        <v>47.7</v>
      </c>
      <c r="F39" s="140">
        <v>83.8</v>
      </c>
      <c r="G39" s="140">
        <v>96.9</v>
      </c>
    </row>
    <row r="40" spans="1:7" x14ac:dyDescent="0.25">
      <c r="A40" s="138">
        <v>4</v>
      </c>
      <c r="B40" s="140">
        <v>31.2</v>
      </c>
      <c r="C40" s="140">
        <v>40.700000000000003</v>
      </c>
      <c r="D40" s="140">
        <v>108.7</v>
      </c>
      <c r="E40" s="140">
        <v>34.5</v>
      </c>
      <c r="F40" s="140">
        <v>68.3</v>
      </c>
      <c r="G40" s="140">
        <v>96</v>
      </c>
    </row>
    <row r="41" spans="1:7" x14ac:dyDescent="0.25">
      <c r="A41" s="138">
        <v>5</v>
      </c>
      <c r="B41" s="140">
        <v>30.8</v>
      </c>
      <c r="C41" s="140">
        <v>65</v>
      </c>
      <c r="D41" s="140">
        <v>92.5</v>
      </c>
      <c r="E41" s="140">
        <v>58.2</v>
      </c>
      <c r="F41" s="140">
        <v>63.8</v>
      </c>
      <c r="G41" s="140">
        <v>96.3</v>
      </c>
    </row>
    <row r="42" spans="1:7" x14ac:dyDescent="0.25">
      <c r="A42" s="138">
        <v>6</v>
      </c>
      <c r="B42" s="140">
        <v>32.200000000000003</v>
      </c>
      <c r="C42" s="140">
        <v>45.8</v>
      </c>
      <c r="D42" s="140">
        <v>82.9</v>
      </c>
      <c r="E42" s="140">
        <v>49.2</v>
      </c>
      <c r="F42" s="140">
        <v>64.7</v>
      </c>
      <c r="G42" s="140">
        <v>105.2</v>
      </c>
    </row>
    <row r="43" spans="1:7" x14ac:dyDescent="0.25">
      <c r="A43" s="138">
        <v>7</v>
      </c>
      <c r="B43" s="140">
        <v>18.3</v>
      </c>
      <c r="C43" s="140">
        <v>62.5</v>
      </c>
      <c r="D43" s="140">
        <v>107.6</v>
      </c>
      <c r="E43" s="140">
        <v>36.6</v>
      </c>
      <c r="F43" s="140">
        <v>75.099999999999994</v>
      </c>
      <c r="G43" s="140">
        <v>108.8</v>
      </c>
    </row>
    <row r="44" spans="1:7" x14ac:dyDescent="0.25">
      <c r="A44" s="138">
        <v>8</v>
      </c>
      <c r="B44" s="140">
        <v>28.5</v>
      </c>
      <c r="C44" s="140">
        <v>51.7</v>
      </c>
      <c r="D44" s="140">
        <v>96.7</v>
      </c>
      <c r="E44" s="139"/>
      <c r="F44" s="139"/>
      <c r="G44" s="139"/>
    </row>
    <row r="45" spans="1:7" x14ac:dyDescent="0.25">
      <c r="A45" s="138">
        <v>9</v>
      </c>
      <c r="B45" s="140">
        <v>16.3</v>
      </c>
      <c r="C45" s="140">
        <v>58.1</v>
      </c>
      <c r="D45" s="140">
        <v>86.7</v>
      </c>
      <c r="E45" s="139"/>
      <c r="F45" s="139"/>
      <c r="G45" s="139"/>
    </row>
    <row r="46" spans="1:7" x14ac:dyDescent="0.25">
      <c r="A46" s="138">
        <v>10</v>
      </c>
      <c r="B46" s="140">
        <v>30.9</v>
      </c>
      <c r="C46" s="140">
        <v>47.9</v>
      </c>
      <c r="D46" s="140">
        <v>93.1</v>
      </c>
      <c r="E46" s="139"/>
      <c r="F46" s="139"/>
      <c r="G46" s="139"/>
    </row>
    <row r="47" spans="1:7" x14ac:dyDescent="0.25">
      <c r="A47" s="138">
        <v>11</v>
      </c>
      <c r="B47" s="140">
        <v>26.4</v>
      </c>
      <c r="C47" s="140">
        <v>57.7</v>
      </c>
      <c r="D47" s="140">
        <v>79</v>
      </c>
      <c r="E47" s="139"/>
      <c r="F47" s="139"/>
      <c r="G47" s="139"/>
    </row>
    <row r="48" spans="1:7" x14ac:dyDescent="0.25">
      <c r="A48" s="138">
        <v>12</v>
      </c>
      <c r="B48" s="140">
        <v>17.100000000000001</v>
      </c>
      <c r="C48" s="140">
        <v>69.3</v>
      </c>
      <c r="D48" s="140">
        <v>107.9</v>
      </c>
      <c r="E48" s="139"/>
      <c r="F48" s="139"/>
      <c r="G48" s="139"/>
    </row>
    <row r="49" spans="1:7" x14ac:dyDescent="0.25">
      <c r="A49" s="138">
        <v>13</v>
      </c>
      <c r="B49" s="140">
        <v>24.6</v>
      </c>
      <c r="C49" s="140">
        <v>62.6</v>
      </c>
      <c r="D49" s="140">
        <v>78.900000000000006</v>
      </c>
      <c r="E49" s="139"/>
      <c r="F49" s="139"/>
      <c r="G49" s="139"/>
    </row>
    <row r="50" spans="1:7" x14ac:dyDescent="0.25">
      <c r="A50" s="138">
        <v>14</v>
      </c>
      <c r="B50" s="140">
        <v>28.9</v>
      </c>
      <c r="C50" s="140">
        <v>56.8</v>
      </c>
      <c r="D50" s="140">
        <v>89.6</v>
      </c>
      <c r="E50" s="139"/>
      <c r="F50" s="139"/>
      <c r="G50" s="139"/>
    </row>
    <row r="51" spans="1:7" x14ac:dyDescent="0.25">
      <c r="A51" s="138">
        <v>15</v>
      </c>
      <c r="B51" s="140">
        <v>25.2</v>
      </c>
      <c r="C51" s="140">
        <v>42.3</v>
      </c>
      <c r="D51" s="140">
        <v>109.3</v>
      </c>
      <c r="E51" s="139"/>
      <c r="F51" s="139"/>
      <c r="G51" s="139"/>
    </row>
    <row r="52" spans="1:7" x14ac:dyDescent="0.25">
      <c r="A52" s="138">
        <v>16</v>
      </c>
      <c r="B52" s="140">
        <v>20.3</v>
      </c>
      <c r="C52" s="140">
        <v>44.3</v>
      </c>
      <c r="D52" s="140">
        <v>88.3</v>
      </c>
      <c r="E52" s="139"/>
      <c r="F52" s="139"/>
      <c r="G52" s="139"/>
    </row>
    <row r="53" spans="1:7" x14ac:dyDescent="0.25">
      <c r="A53" s="138">
        <v>17</v>
      </c>
      <c r="B53" s="140">
        <v>22.1</v>
      </c>
      <c r="C53" s="140">
        <v>74.5</v>
      </c>
      <c r="D53" s="140">
        <v>85.5</v>
      </c>
      <c r="E53" s="139"/>
      <c r="F53" s="139"/>
      <c r="G53" s="139"/>
    </row>
    <row r="54" spans="1:7" x14ac:dyDescent="0.25">
      <c r="A54" s="138">
        <v>18</v>
      </c>
      <c r="B54" s="140">
        <v>31.4</v>
      </c>
      <c r="C54" s="140">
        <v>49.3</v>
      </c>
      <c r="D54" s="140">
        <v>106</v>
      </c>
      <c r="E54" s="139"/>
      <c r="F54" s="139"/>
      <c r="G54" s="139"/>
    </row>
    <row r="55" spans="1:7" ht="14.5" thickBot="1" x14ac:dyDescent="0.3">
      <c r="A55" s="141">
        <v>19</v>
      </c>
      <c r="B55" s="142">
        <v>24</v>
      </c>
      <c r="C55" s="142">
        <v>65.8</v>
      </c>
      <c r="D55" s="142">
        <v>96.9</v>
      </c>
      <c r="E55" s="142"/>
      <c r="F55" s="142"/>
      <c r="G55" s="142"/>
    </row>
    <row r="56" spans="1:7" ht="14.5" thickTop="1" x14ac:dyDescent="0.25">
      <c r="A56" s="518" t="s">
        <v>357</v>
      </c>
      <c r="B56" s="519"/>
      <c r="C56" s="519"/>
      <c r="D56" s="519"/>
      <c r="E56" s="519"/>
      <c r="F56" s="519"/>
      <c r="G56" s="520"/>
    </row>
    <row r="57" spans="1:7" ht="14.5" x14ac:dyDescent="0.3">
      <c r="A57" s="137"/>
      <c r="B57" s="516" t="s">
        <v>345</v>
      </c>
      <c r="C57" s="521"/>
      <c r="D57" s="517"/>
      <c r="E57" s="516" t="s">
        <v>346</v>
      </c>
      <c r="F57" s="521"/>
      <c r="G57" s="517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31.2</v>
      </c>
      <c r="C59" s="140">
        <v>60.3</v>
      </c>
      <c r="D59" s="140">
        <v>97</v>
      </c>
      <c r="E59" s="140">
        <v>49.8</v>
      </c>
      <c r="F59" s="140">
        <v>79.7</v>
      </c>
      <c r="G59" s="140">
        <v>110.7</v>
      </c>
    </row>
    <row r="60" spans="1:7" x14ac:dyDescent="0.25">
      <c r="A60" s="138">
        <v>2</v>
      </c>
      <c r="B60" s="140">
        <v>22</v>
      </c>
      <c r="C60" s="140">
        <v>36.6</v>
      </c>
      <c r="D60" s="140">
        <v>80.7</v>
      </c>
      <c r="E60" s="140">
        <v>55.9</v>
      </c>
      <c r="F60" s="140">
        <v>64</v>
      </c>
      <c r="G60" s="140">
        <v>119.9</v>
      </c>
    </row>
    <row r="61" spans="1:7" x14ac:dyDescent="0.25">
      <c r="A61" s="138">
        <v>3</v>
      </c>
      <c r="B61" s="140">
        <v>17.100000000000001</v>
      </c>
      <c r="C61" s="140">
        <v>63</v>
      </c>
      <c r="D61" s="140">
        <v>85.1</v>
      </c>
      <c r="E61" s="140">
        <v>44.1</v>
      </c>
      <c r="F61" s="140">
        <v>84.7</v>
      </c>
      <c r="G61" s="140">
        <v>113.3</v>
      </c>
    </row>
    <row r="62" spans="1:7" x14ac:dyDescent="0.25">
      <c r="A62" s="138">
        <v>4</v>
      </c>
      <c r="B62" s="140">
        <v>22.6</v>
      </c>
      <c r="C62" s="140">
        <v>38</v>
      </c>
      <c r="D62" s="140">
        <v>94.6</v>
      </c>
      <c r="E62" s="140">
        <v>46.8</v>
      </c>
      <c r="F62" s="140">
        <v>72.2</v>
      </c>
      <c r="G62" s="140">
        <v>98.4</v>
      </c>
    </row>
    <row r="63" spans="1:7" x14ac:dyDescent="0.25">
      <c r="A63" s="138">
        <v>5</v>
      </c>
      <c r="B63" s="140">
        <v>27</v>
      </c>
      <c r="C63" s="140">
        <v>41.1</v>
      </c>
      <c r="D63" s="140">
        <v>88.8</v>
      </c>
      <c r="E63" s="140">
        <v>39.799999999999997</v>
      </c>
      <c r="F63" s="140">
        <v>69.099999999999994</v>
      </c>
      <c r="G63" s="140">
        <v>108.8</v>
      </c>
    </row>
    <row r="64" spans="1:7" x14ac:dyDescent="0.25">
      <c r="A64" s="144">
        <v>6</v>
      </c>
      <c r="B64" s="140">
        <v>19.899999999999999</v>
      </c>
      <c r="C64" s="140">
        <v>68.900000000000006</v>
      </c>
      <c r="D64" s="140">
        <v>107.6</v>
      </c>
      <c r="E64" s="140">
        <v>37.299999999999997</v>
      </c>
      <c r="F64" s="140">
        <v>84.5</v>
      </c>
      <c r="G64" s="140">
        <v>98.7</v>
      </c>
    </row>
    <row r="65" spans="1:7" ht="14.5" thickBot="1" x14ac:dyDescent="0.3">
      <c r="A65" s="141">
        <v>7</v>
      </c>
      <c r="B65" s="142">
        <v>34.1</v>
      </c>
      <c r="C65" s="142">
        <v>73.099999999999994</v>
      </c>
      <c r="D65" s="142">
        <v>102</v>
      </c>
      <c r="E65" s="142">
        <v>45.8</v>
      </c>
      <c r="F65" s="142">
        <v>79.3</v>
      </c>
      <c r="G65" s="142">
        <v>107.3</v>
      </c>
    </row>
    <row r="66" spans="1:7" ht="14.5" thickTop="1" x14ac:dyDescent="0.25">
      <c r="A66" s="518" t="s">
        <v>358</v>
      </c>
      <c r="B66" s="519"/>
      <c r="C66" s="519"/>
      <c r="D66" s="519"/>
      <c r="E66" s="519"/>
      <c r="F66" s="519"/>
      <c r="G66" s="520"/>
    </row>
    <row r="67" spans="1:7" ht="14.5" x14ac:dyDescent="0.3">
      <c r="A67" s="137"/>
      <c r="B67" s="516" t="s">
        <v>345</v>
      </c>
      <c r="C67" s="521"/>
      <c r="D67" s="517"/>
      <c r="E67" s="516" t="s">
        <v>346</v>
      </c>
      <c r="F67" s="521"/>
      <c r="G67" s="517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21.6</v>
      </c>
      <c r="C69" s="140">
        <v>42.3</v>
      </c>
      <c r="D69" s="140">
        <v>96.6</v>
      </c>
      <c r="E69" s="140">
        <v>39.9</v>
      </c>
      <c r="F69" s="140">
        <v>81.900000000000006</v>
      </c>
      <c r="G69" s="140">
        <v>97.9</v>
      </c>
    </row>
    <row r="70" spans="1:7" x14ac:dyDescent="0.25">
      <c r="A70" s="138">
        <v>2</v>
      </c>
      <c r="B70" s="140">
        <v>20.5</v>
      </c>
      <c r="C70" s="140">
        <v>68.2</v>
      </c>
      <c r="D70" s="140">
        <v>95.3</v>
      </c>
      <c r="E70" s="140">
        <v>50.6</v>
      </c>
      <c r="F70" s="140">
        <v>67.400000000000006</v>
      </c>
      <c r="G70" s="140">
        <v>103.4</v>
      </c>
    </row>
    <row r="71" spans="1:7" x14ac:dyDescent="0.25">
      <c r="A71" s="138">
        <v>3</v>
      </c>
      <c r="B71" s="140">
        <v>28</v>
      </c>
      <c r="C71" s="140">
        <v>52.9</v>
      </c>
      <c r="D71" s="140">
        <v>109</v>
      </c>
      <c r="E71" s="140">
        <v>46.6</v>
      </c>
      <c r="F71" s="140">
        <v>84.3</v>
      </c>
      <c r="G71" s="140">
        <v>111.5</v>
      </c>
    </row>
    <row r="72" spans="1:7" x14ac:dyDescent="0.25">
      <c r="A72" s="138">
        <v>4</v>
      </c>
      <c r="B72" s="140">
        <v>30.1</v>
      </c>
      <c r="C72" s="140">
        <v>48</v>
      </c>
      <c r="D72" s="140">
        <v>91.7</v>
      </c>
      <c r="E72" s="140">
        <v>29.7</v>
      </c>
      <c r="F72" s="140">
        <v>81.599999999999994</v>
      </c>
      <c r="G72" s="140">
        <v>94.6</v>
      </c>
    </row>
    <row r="73" spans="1:7" x14ac:dyDescent="0.25">
      <c r="A73" s="138">
        <v>5</v>
      </c>
      <c r="B73" s="140">
        <v>28.6</v>
      </c>
      <c r="C73" s="140">
        <v>75</v>
      </c>
      <c r="D73" s="140">
        <v>109.1</v>
      </c>
      <c r="E73" s="140">
        <v>29.9</v>
      </c>
      <c r="F73" s="140">
        <v>76.2</v>
      </c>
      <c r="G73" s="140">
        <v>115.2</v>
      </c>
    </row>
    <row r="74" spans="1:7" x14ac:dyDescent="0.25">
      <c r="A74" s="138">
        <v>6</v>
      </c>
      <c r="B74" s="140">
        <v>16.8</v>
      </c>
      <c r="C74" s="140">
        <v>61.4</v>
      </c>
      <c r="D74" s="140">
        <v>89.5</v>
      </c>
      <c r="E74" s="140">
        <v>29.6</v>
      </c>
      <c r="F74" s="140">
        <v>89.3</v>
      </c>
      <c r="G74" s="140">
        <v>105.6</v>
      </c>
    </row>
    <row r="75" spans="1:7" x14ac:dyDescent="0.25">
      <c r="A75" s="138">
        <v>7</v>
      </c>
      <c r="B75" s="140">
        <v>34.700000000000003</v>
      </c>
      <c r="C75" s="140">
        <v>42.3</v>
      </c>
      <c r="D75" s="140">
        <v>104.9</v>
      </c>
      <c r="E75" s="140">
        <v>31.5</v>
      </c>
      <c r="F75" s="140">
        <v>74.900000000000006</v>
      </c>
      <c r="G75" s="140">
        <v>91.3</v>
      </c>
    </row>
    <row r="76" spans="1:7" x14ac:dyDescent="0.25">
      <c r="A76" s="138">
        <v>8</v>
      </c>
      <c r="B76" s="140">
        <v>31</v>
      </c>
      <c r="C76" s="140">
        <v>55.4</v>
      </c>
      <c r="D76" s="140">
        <v>84.2</v>
      </c>
      <c r="E76" s="140">
        <v>56.2</v>
      </c>
      <c r="F76" s="140">
        <v>74</v>
      </c>
      <c r="G76" s="140">
        <v>95.5</v>
      </c>
    </row>
    <row r="77" spans="1:7" x14ac:dyDescent="0.25">
      <c r="A77" s="138">
        <v>9</v>
      </c>
      <c r="B77" s="140">
        <v>30.9</v>
      </c>
      <c r="C77" s="140">
        <v>44.7</v>
      </c>
      <c r="D77" s="140">
        <v>82</v>
      </c>
      <c r="E77" s="140">
        <v>32</v>
      </c>
      <c r="F77" s="140">
        <v>73.7</v>
      </c>
      <c r="G77" s="140">
        <v>98.2</v>
      </c>
    </row>
    <row r="78" spans="1:7" x14ac:dyDescent="0.25">
      <c r="A78" s="138">
        <v>10</v>
      </c>
      <c r="B78" s="140">
        <v>23.3</v>
      </c>
      <c r="C78" s="140">
        <v>68</v>
      </c>
      <c r="D78" s="140">
        <v>102.6</v>
      </c>
      <c r="E78" s="140">
        <v>45.5</v>
      </c>
      <c r="F78" s="140">
        <v>67.400000000000006</v>
      </c>
      <c r="G78" s="140">
        <v>108.4</v>
      </c>
    </row>
    <row r="79" spans="1:7" x14ac:dyDescent="0.25">
      <c r="A79" s="138">
        <v>11</v>
      </c>
      <c r="B79" s="140">
        <v>18.899999999999999</v>
      </c>
      <c r="C79" s="140">
        <v>61.2</v>
      </c>
      <c r="D79" s="140">
        <v>109</v>
      </c>
      <c r="E79" s="140">
        <v>50.7</v>
      </c>
      <c r="F79" s="140">
        <v>68.5</v>
      </c>
      <c r="G79" s="140">
        <v>91.2</v>
      </c>
    </row>
    <row r="80" spans="1:7" x14ac:dyDescent="0.25">
      <c r="A80" s="138">
        <v>12</v>
      </c>
      <c r="B80" s="140">
        <v>15.8</v>
      </c>
      <c r="C80" s="140">
        <v>47.1</v>
      </c>
      <c r="D80" s="140">
        <v>79.2</v>
      </c>
      <c r="E80" s="140">
        <v>48.4</v>
      </c>
      <c r="F80" s="140">
        <v>75.3</v>
      </c>
      <c r="G80" s="140">
        <v>93.3</v>
      </c>
    </row>
    <row r="81" spans="1:7" x14ac:dyDescent="0.25">
      <c r="A81" s="138">
        <v>13</v>
      </c>
      <c r="B81" s="140">
        <v>21.6</v>
      </c>
      <c r="C81" s="140">
        <v>61.1</v>
      </c>
      <c r="D81" s="140">
        <v>93.6</v>
      </c>
      <c r="E81" s="140">
        <v>30</v>
      </c>
      <c r="F81" s="140">
        <v>65.900000000000006</v>
      </c>
      <c r="G81" s="140">
        <v>103.5</v>
      </c>
    </row>
    <row r="82" spans="1:7" x14ac:dyDescent="0.25">
      <c r="A82" s="138">
        <v>14</v>
      </c>
      <c r="B82" s="140">
        <v>24.7</v>
      </c>
      <c r="C82" s="140">
        <v>63.4</v>
      </c>
      <c r="D82" s="140">
        <v>106.5</v>
      </c>
      <c r="E82" s="140">
        <v>29</v>
      </c>
      <c r="F82" s="140">
        <v>63.1</v>
      </c>
      <c r="G82" s="140">
        <v>118.1</v>
      </c>
    </row>
    <row r="83" spans="1:7" x14ac:dyDescent="0.25">
      <c r="A83" s="138">
        <v>15</v>
      </c>
      <c r="B83" s="140">
        <v>31.9</v>
      </c>
      <c r="C83" s="140">
        <v>53.6</v>
      </c>
      <c r="D83" s="140">
        <v>95.1</v>
      </c>
      <c r="E83" s="140">
        <v>57.7</v>
      </c>
      <c r="F83" s="140">
        <v>66.400000000000006</v>
      </c>
      <c r="G83" s="140">
        <v>112.7</v>
      </c>
    </row>
    <row r="84" spans="1:7" x14ac:dyDescent="0.25">
      <c r="A84" s="138">
        <v>16</v>
      </c>
      <c r="B84" s="140">
        <v>15.1</v>
      </c>
      <c r="C84" s="140">
        <v>67.099999999999994</v>
      </c>
      <c r="D84" s="140">
        <v>107.3</v>
      </c>
      <c r="E84" s="140"/>
      <c r="F84" s="140"/>
      <c r="G84" s="140"/>
    </row>
    <row r="85" spans="1:7" ht="14.5" thickBot="1" x14ac:dyDescent="0.3">
      <c r="A85" s="143">
        <v>17</v>
      </c>
      <c r="B85" s="142">
        <v>17.399999999999999</v>
      </c>
      <c r="C85" s="142">
        <v>64.2</v>
      </c>
      <c r="D85" s="142">
        <v>102.8</v>
      </c>
      <c r="E85" s="145"/>
      <c r="F85" s="145"/>
      <c r="G85" s="145"/>
    </row>
    <row r="86" spans="1:7" ht="14.5" thickTop="1" x14ac:dyDescent="0.25">
      <c r="A86" s="518" t="s">
        <v>359</v>
      </c>
      <c r="B86" s="519"/>
      <c r="C86" s="519"/>
      <c r="D86" s="519"/>
      <c r="E86" s="519"/>
      <c r="F86" s="519"/>
      <c r="G86" s="520"/>
    </row>
    <row r="87" spans="1:7" ht="14.5" x14ac:dyDescent="0.3">
      <c r="A87" s="137"/>
      <c r="B87" s="516" t="s">
        <v>345</v>
      </c>
      <c r="C87" s="521"/>
      <c r="D87" s="517"/>
      <c r="E87" s="516" t="s">
        <v>346</v>
      </c>
      <c r="F87" s="521"/>
      <c r="G87" s="517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24.8</v>
      </c>
      <c r="C89" s="140">
        <v>50.6</v>
      </c>
      <c r="D89" s="140">
        <v>96.4</v>
      </c>
      <c r="E89" s="140">
        <v>43.1</v>
      </c>
      <c r="F89" s="140">
        <v>87.5</v>
      </c>
      <c r="G89" s="140">
        <v>108.6</v>
      </c>
    </row>
    <row r="90" spans="1:7" x14ac:dyDescent="0.25">
      <c r="A90" s="138">
        <v>2</v>
      </c>
      <c r="B90" s="140">
        <v>15.4</v>
      </c>
      <c r="C90" s="140">
        <v>70.5</v>
      </c>
      <c r="D90" s="140">
        <v>92.1</v>
      </c>
      <c r="E90" s="140">
        <v>34.5</v>
      </c>
      <c r="F90" s="140">
        <v>76.099999999999994</v>
      </c>
      <c r="G90" s="140">
        <v>93.8</v>
      </c>
    </row>
    <row r="91" spans="1:7" x14ac:dyDescent="0.25">
      <c r="A91" s="138">
        <v>3</v>
      </c>
      <c r="B91" s="140">
        <v>25</v>
      </c>
      <c r="C91" s="140">
        <v>53.7</v>
      </c>
      <c r="D91" s="140">
        <v>96.3</v>
      </c>
      <c r="E91" s="140">
        <v>32.9</v>
      </c>
      <c r="F91" s="140">
        <v>79.400000000000006</v>
      </c>
      <c r="G91" s="140">
        <v>101.3</v>
      </c>
    </row>
    <row r="92" spans="1:7" x14ac:dyDescent="0.25">
      <c r="A92" s="138">
        <v>4</v>
      </c>
      <c r="B92" s="140">
        <v>15</v>
      </c>
      <c r="C92" s="140">
        <v>54.2</v>
      </c>
      <c r="D92" s="140">
        <v>85</v>
      </c>
      <c r="E92" s="140">
        <v>32.5</v>
      </c>
      <c r="F92" s="140">
        <v>84.1</v>
      </c>
      <c r="G92" s="140">
        <v>98.5</v>
      </c>
    </row>
    <row r="93" spans="1:7" x14ac:dyDescent="0.25">
      <c r="A93" s="138">
        <v>5</v>
      </c>
      <c r="B93" s="140">
        <v>24.6</v>
      </c>
      <c r="C93" s="140">
        <v>51</v>
      </c>
      <c r="D93" s="140">
        <v>95.4</v>
      </c>
      <c r="E93" s="140">
        <v>49.5</v>
      </c>
      <c r="F93" s="140">
        <v>86.1</v>
      </c>
      <c r="G93" s="140">
        <v>102.2</v>
      </c>
    </row>
    <row r="94" spans="1:7" x14ac:dyDescent="0.25">
      <c r="A94" s="138">
        <v>6</v>
      </c>
      <c r="B94" s="140">
        <v>22.8</v>
      </c>
      <c r="C94" s="140">
        <v>62.6</v>
      </c>
      <c r="D94" s="140">
        <v>85.3</v>
      </c>
      <c r="E94" s="140">
        <v>27.5</v>
      </c>
      <c r="F94" s="140">
        <v>60.3</v>
      </c>
      <c r="G94" s="140">
        <v>97</v>
      </c>
    </row>
    <row r="95" spans="1:7" x14ac:dyDescent="0.25">
      <c r="A95" s="138">
        <v>7</v>
      </c>
      <c r="B95" s="140">
        <v>18</v>
      </c>
      <c r="C95" s="140">
        <v>42.3</v>
      </c>
      <c r="D95" s="140">
        <v>96.3</v>
      </c>
      <c r="E95" s="140">
        <v>26.5</v>
      </c>
      <c r="F95" s="140">
        <v>85</v>
      </c>
      <c r="G95" s="140">
        <v>106.9</v>
      </c>
    </row>
    <row r="96" spans="1:7" x14ac:dyDescent="0.25">
      <c r="A96" s="138">
        <v>8</v>
      </c>
      <c r="B96" s="140">
        <v>31</v>
      </c>
      <c r="C96" s="140">
        <v>44.6</v>
      </c>
      <c r="D96" s="140">
        <v>94.9</v>
      </c>
      <c r="E96" s="139"/>
      <c r="F96" s="139"/>
      <c r="G96" s="139"/>
    </row>
    <row r="97" spans="1:7" x14ac:dyDescent="0.25">
      <c r="A97" s="138">
        <v>9</v>
      </c>
      <c r="B97" s="140">
        <v>15.5</v>
      </c>
      <c r="C97" s="140">
        <v>49.6</v>
      </c>
      <c r="D97" s="140">
        <v>101.1</v>
      </c>
      <c r="E97" s="139"/>
      <c r="F97" s="139"/>
      <c r="G97" s="139"/>
    </row>
    <row r="98" spans="1:7" x14ac:dyDescent="0.25">
      <c r="A98" s="138">
        <v>10</v>
      </c>
      <c r="B98" s="140">
        <v>15.7</v>
      </c>
      <c r="C98" s="140">
        <v>61.9</v>
      </c>
      <c r="D98" s="140">
        <v>79.900000000000006</v>
      </c>
      <c r="E98" s="139"/>
      <c r="F98" s="139"/>
      <c r="G98" s="139"/>
    </row>
    <row r="99" spans="1:7" x14ac:dyDescent="0.25">
      <c r="A99" s="138">
        <v>11</v>
      </c>
      <c r="B99" s="140">
        <v>32.6</v>
      </c>
      <c r="C99" s="140">
        <v>38.1</v>
      </c>
      <c r="D99" s="140">
        <v>77.8</v>
      </c>
      <c r="E99" s="139"/>
      <c r="F99" s="139"/>
      <c r="G99" s="139"/>
    </row>
    <row r="100" spans="1:7" x14ac:dyDescent="0.25">
      <c r="A100" s="138">
        <v>12</v>
      </c>
      <c r="B100" s="140">
        <v>27.3</v>
      </c>
      <c r="C100" s="140">
        <v>50.3</v>
      </c>
      <c r="D100" s="140">
        <v>93.6</v>
      </c>
      <c r="E100" s="139"/>
      <c r="F100" s="139"/>
      <c r="G100" s="139"/>
    </row>
    <row r="101" spans="1:7" x14ac:dyDescent="0.25">
      <c r="A101" s="138">
        <v>13</v>
      </c>
      <c r="B101" s="140">
        <v>28.4</v>
      </c>
      <c r="C101" s="140">
        <v>42.5</v>
      </c>
      <c r="D101" s="140">
        <v>82.2</v>
      </c>
      <c r="E101" s="139"/>
      <c r="F101" s="139"/>
      <c r="G101" s="139"/>
    </row>
    <row r="102" spans="1:7" x14ac:dyDescent="0.25">
      <c r="A102" s="138">
        <v>14</v>
      </c>
      <c r="B102" s="140">
        <v>25.4</v>
      </c>
      <c r="C102" s="140">
        <v>57</v>
      </c>
      <c r="D102" s="140">
        <v>83.9</v>
      </c>
      <c r="E102" s="139"/>
      <c r="F102" s="139"/>
      <c r="G102" s="139"/>
    </row>
    <row r="103" spans="1:7" x14ac:dyDescent="0.25">
      <c r="A103" s="138">
        <v>15</v>
      </c>
      <c r="B103" s="140">
        <v>16.7</v>
      </c>
      <c r="C103" s="140">
        <v>69.599999999999994</v>
      </c>
      <c r="D103" s="140">
        <v>101.5</v>
      </c>
      <c r="E103" s="139"/>
      <c r="F103" s="139"/>
      <c r="G103" s="139"/>
    </row>
    <row r="104" spans="1:7" x14ac:dyDescent="0.25">
      <c r="A104" s="138">
        <v>16</v>
      </c>
      <c r="B104" s="140">
        <v>24.5</v>
      </c>
      <c r="C104" s="140">
        <v>66.8</v>
      </c>
      <c r="D104" s="140">
        <v>96.2</v>
      </c>
      <c r="E104" s="139"/>
      <c r="F104" s="139"/>
      <c r="G104" s="139"/>
    </row>
    <row r="105" spans="1:7" x14ac:dyDescent="0.25">
      <c r="A105" s="138">
        <v>17</v>
      </c>
      <c r="B105" s="140">
        <v>20.399999999999999</v>
      </c>
      <c r="C105" s="140">
        <v>64</v>
      </c>
      <c r="D105" s="140">
        <v>91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81.5</v>
      </c>
      <c r="E106" s="145"/>
      <c r="F106" s="145"/>
      <c r="G106" s="145"/>
    </row>
    <row r="107" spans="1:7" ht="14.5" thickTop="1" x14ac:dyDescent="0.25">
      <c r="A107" s="518" t="s">
        <v>360</v>
      </c>
      <c r="B107" s="519"/>
      <c r="C107" s="519"/>
      <c r="D107" s="519"/>
      <c r="E107" s="519"/>
      <c r="F107" s="519"/>
      <c r="G107" s="520"/>
    </row>
    <row r="108" spans="1:7" ht="14.5" x14ac:dyDescent="0.3">
      <c r="A108" s="137"/>
      <c r="B108" s="516" t="s">
        <v>345</v>
      </c>
      <c r="C108" s="521"/>
      <c r="D108" s="517"/>
      <c r="E108" s="516" t="s">
        <v>346</v>
      </c>
      <c r="F108" s="521"/>
      <c r="G108" s="517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25.5</v>
      </c>
      <c r="C110" s="140">
        <v>61.6</v>
      </c>
      <c r="D110" s="140">
        <v>82.5</v>
      </c>
      <c r="E110" s="140">
        <v>32.5</v>
      </c>
      <c r="F110" s="140">
        <v>77.8</v>
      </c>
      <c r="G110" s="140">
        <v>119.2</v>
      </c>
    </row>
    <row r="111" spans="1:7" x14ac:dyDescent="0.25">
      <c r="A111" s="138">
        <v>2</v>
      </c>
      <c r="B111" s="140">
        <v>22.9</v>
      </c>
      <c r="C111" s="140">
        <v>50.3</v>
      </c>
      <c r="D111" s="140">
        <v>79.8</v>
      </c>
      <c r="E111" s="140">
        <v>54.2</v>
      </c>
      <c r="F111" s="140">
        <v>72.900000000000006</v>
      </c>
      <c r="G111" s="140">
        <v>106.4</v>
      </c>
    </row>
    <row r="112" spans="1:7" ht="14.5" thickBot="1" x14ac:dyDescent="0.3">
      <c r="A112" s="143">
        <v>3</v>
      </c>
      <c r="B112" s="145"/>
      <c r="C112" s="145"/>
      <c r="D112" s="145"/>
      <c r="E112" s="145">
        <v>55</v>
      </c>
      <c r="F112" s="145">
        <v>83.6</v>
      </c>
      <c r="G112" s="145">
        <v>103.9</v>
      </c>
    </row>
    <row r="113" spans="1:7" ht="14.5" thickTop="1" x14ac:dyDescent="0.25">
      <c r="A113" s="518" t="s">
        <v>361</v>
      </c>
      <c r="B113" s="519"/>
      <c r="C113" s="519"/>
      <c r="D113" s="519"/>
      <c r="E113" s="519"/>
      <c r="F113" s="519"/>
      <c r="G113" s="520"/>
    </row>
    <row r="114" spans="1:7" ht="14.5" x14ac:dyDescent="0.3">
      <c r="A114" s="137"/>
      <c r="B114" s="516" t="s">
        <v>345</v>
      </c>
      <c r="C114" s="521"/>
      <c r="D114" s="517"/>
      <c r="E114" s="516" t="s">
        <v>346</v>
      </c>
      <c r="F114" s="521"/>
      <c r="G114" s="517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27.3</v>
      </c>
      <c r="C116" s="140">
        <v>35.5</v>
      </c>
      <c r="D116" s="140">
        <v>97.9</v>
      </c>
      <c r="E116" s="140">
        <v>40.5</v>
      </c>
      <c r="F116" s="140">
        <v>84.3</v>
      </c>
      <c r="G116" s="140">
        <v>109.7</v>
      </c>
    </row>
    <row r="117" spans="1:7" x14ac:dyDescent="0.25">
      <c r="A117" s="138">
        <v>2</v>
      </c>
      <c r="B117" s="140">
        <v>18.600000000000001</v>
      </c>
      <c r="C117" s="140">
        <v>55</v>
      </c>
      <c r="D117" s="140">
        <v>88.3</v>
      </c>
      <c r="E117" s="140">
        <v>46.1</v>
      </c>
      <c r="F117" s="140">
        <v>81.400000000000006</v>
      </c>
      <c r="G117" s="140">
        <v>100.6</v>
      </c>
    </row>
    <row r="118" spans="1:7" x14ac:dyDescent="0.25">
      <c r="A118" s="138">
        <v>3</v>
      </c>
      <c r="B118" s="140">
        <v>29.7</v>
      </c>
      <c r="C118" s="140">
        <v>61.8</v>
      </c>
      <c r="D118" s="140">
        <v>107.4</v>
      </c>
      <c r="E118" s="140">
        <v>25.4</v>
      </c>
      <c r="F118" s="140">
        <v>62.4</v>
      </c>
      <c r="G118" s="140">
        <v>112.1</v>
      </c>
    </row>
    <row r="119" spans="1:7" x14ac:dyDescent="0.25">
      <c r="A119" s="138">
        <v>4</v>
      </c>
      <c r="B119" s="140">
        <v>34.700000000000003</v>
      </c>
      <c r="C119" s="140">
        <v>55</v>
      </c>
      <c r="D119" s="140">
        <v>80.3</v>
      </c>
      <c r="E119" s="140">
        <v>26.4</v>
      </c>
      <c r="F119" s="140">
        <v>89.9</v>
      </c>
      <c r="G119" s="140">
        <v>109.4</v>
      </c>
    </row>
    <row r="120" spans="1:7" x14ac:dyDescent="0.25">
      <c r="A120" s="138">
        <v>5</v>
      </c>
      <c r="B120" s="139"/>
      <c r="C120" s="139"/>
      <c r="D120" s="139"/>
      <c r="E120" s="140">
        <v>27.2</v>
      </c>
      <c r="F120" s="140">
        <v>88.6</v>
      </c>
      <c r="G120" s="140">
        <v>96.4</v>
      </c>
    </row>
    <row r="121" spans="1:7" x14ac:dyDescent="0.25">
      <c r="A121" s="138">
        <v>6</v>
      </c>
      <c r="B121" s="139"/>
      <c r="C121" s="139"/>
      <c r="D121" s="139"/>
      <c r="E121" s="140">
        <v>32</v>
      </c>
      <c r="F121" s="140">
        <v>60.1</v>
      </c>
      <c r="G121" s="140">
        <v>119.7</v>
      </c>
    </row>
    <row r="122" spans="1:7" x14ac:dyDescent="0.25">
      <c r="A122" s="138">
        <v>7</v>
      </c>
      <c r="B122" s="139"/>
      <c r="C122" s="139"/>
      <c r="D122" s="139"/>
      <c r="E122" s="140">
        <v>30.8</v>
      </c>
      <c r="F122" s="140">
        <v>87</v>
      </c>
      <c r="G122" s="140">
        <v>110.3</v>
      </c>
    </row>
    <row r="123" spans="1:7" x14ac:dyDescent="0.25">
      <c r="A123" s="138">
        <v>8</v>
      </c>
      <c r="B123" s="139"/>
      <c r="C123" s="139"/>
      <c r="D123" s="139"/>
      <c r="E123" s="140">
        <v>48.6</v>
      </c>
      <c r="F123" s="140">
        <v>63.9</v>
      </c>
      <c r="G123" s="140">
        <v>114.3</v>
      </c>
    </row>
    <row r="124" spans="1:7" ht="14.5" thickBot="1" x14ac:dyDescent="0.3">
      <c r="A124" s="143">
        <v>9</v>
      </c>
      <c r="B124" s="145"/>
      <c r="C124" s="145"/>
      <c r="D124" s="145"/>
      <c r="E124" s="145">
        <v>26.9</v>
      </c>
      <c r="F124" s="145">
        <v>60.1</v>
      </c>
      <c r="G124" s="145">
        <v>118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59.466666666666669</v>
      </c>
      <c r="C129" s="147">
        <f>AVERAGE(E5:G7)</f>
        <v>71.5</v>
      </c>
      <c r="D129" s="138">
        <v>2058</v>
      </c>
      <c r="E129" s="138">
        <v>4294</v>
      </c>
      <c r="F129" s="138">
        <f>D129*B129</f>
        <v>122382.40000000001</v>
      </c>
      <c r="G129" s="138">
        <f>E129*C129</f>
        <v>307021</v>
      </c>
    </row>
    <row r="130" spans="1:7" x14ac:dyDescent="0.25">
      <c r="A130" s="139" t="str">
        <f>A8</f>
        <v>Dongyuan Huangtian swine Farm</v>
      </c>
      <c r="B130" s="146">
        <f>AVERAGE((B11:D15))</f>
        <v>56.52</v>
      </c>
      <c r="C130" s="146">
        <f>AVERAGE(E11:G11)</f>
        <v>65.3</v>
      </c>
      <c r="D130" s="138">
        <v>6272</v>
      </c>
      <c r="E130" s="138">
        <v>1386</v>
      </c>
      <c r="F130" s="138">
        <f t="shared" ref="F130:G137" si="0">D130*B130</f>
        <v>354493.44</v>
      </c>
      <c r="G130" s="138">
        <f t="shared" si="0"/>
        <v>90505.8</v>
      </c>
    </row>
    <row r="131" spans="1:7" x14ac:dyDescent="0.25">
      <c r="A131" s="139" t="str">
        <f>A16</f>
        <v>Enping Shahu swine  Farm</v>
      </c>
      <c r="B131" s="146">
        <f>AVERAGE(B19:D33)</f>
        <v>56.973333333333329</v>
      </c>
      <c r="C131" s="146">
        <f>AVERAGE(E19:G28)</f>
        <v>74.986666666666679</v>
      </c>
      <c r="D131" s="138">
        <v>22171</v>
      </c>
      <c r="E131" s="138">
        <v>15544</v>
      </c>
      <c r="F131" s="138">
        <f t="shared" si="0"/>
        <v>1263155.7733333332</v>
      </c>
      <c r="G131" s="138">
        <f t="shared" si="0"/>
        <v>1165592.7466666668</v>
      </c>
    </row>
    <row r="132" spans="1:7" x14ac:dyDescent="0.25">
      <c r="A132" s="139" t="str">
        <f>A34</f>
        <v>Langtian Yuehui swine Farm</v>
      </c>
      <c r="B132" s="146">
        <f>AVERAGE(B37:D55)</f>
        <v>58.503508771929845</v>
      </c>
      <c r="C132" s="146">
        <f>AVERAGE(E37:G43)</f>
        <v>74.35238095238094</v>
      </c>
      <c r="D132" s="138">
        <v>28130</v>
      </c>
      <c r="E132" s="138">
        <v>9631</v>
      </c>
      <c r="F132" s="138">
        <f t="shared" si="0"/>
        <v>1645703.7017543865</v>
      </c>
      <c r="G132" s="138">
        <f t="shared" si="0"/>
        <v>716087.78095238085</v>
      </c>
    </row>
    <row r="133" spans="1:7" x14ac:dyDescent="0.25">
      <c r="A133" s="139" t="str">
        <f>A56</f>
        <v>Qujiang Fengwan swine Farm</v>
      </c>
      <c r="B133" s="146">
        <f>AVERAGE(B59:D65)</f>
        <v>57.652380952380945</v>
      </c>
      <c r="C133" s="146">
        <f>AVERAGE(E59:G65)</f>
        <v>76.67142857142855</v>
      </c>
      <c r="D133" s="138">
        <v>9008</v>
      </c>
      <c r="E133" s="138">
        <v>11005</v>
      </c>
      <c r="F133" s="138">
        <f t="shared" si="0"/>
        <v>519332.64761904755</v>
      </c>
      <c r="G133" s="138">
        <f t="shared" si="0"/>
        <v>843769.07142857113</v>
      </c>
    </row>
    <row r="134" spans="1:7" x14ac:dyDescent="0.25">
      <c r="A134" s="139" t="str">
        <f>A66</f>
        <v>Pingyuan Zhongshi swine Farm</v>
      </c>
      <c r="B134" s="146">
        <f>AVERAGE(B69:D85)</f>
        <v>59.709803921568621</v>
      </c>
      <c r="C134" s="146">
        <f>AVERAGE(E69:G83)</f>
        <v>72.391111111111115</v>
      </c>
      <c r="D134" s="138">
        <v>25713</v>
      </c>
      <c r="E134" s="138">
        <v>22369</v>
      </c>
      <c r="F134" s="138">
        <f t="shared" si="0"/>
        <v>1535318.1882352941</v>
      </c>
      <c r="G134" s="138">
        <f t="shared" si="0"/>
        <v>1619316.7644444446</v>
      </c>
    </row>
    <row r="135" spans="1:7" x14ac:dyDescent="0.25">
      <c r="A135" s="139" t="str">
        <f>A86</f>
        <v>Yangchun Tanshui swine Farm</v>
      </c>
      <c r="B135" s="146">
        <f>AVERAGE(B89:D106)</f>
        <v>56.592307692307678</v>
      </c>
      <c r="C135" s="146">
        <f>AVERAGE(E89:G95)</f>
        <v>72.061904761904756</v>
      </c>
      <c r="D135" s="138">
        <v>26456</v>
      </c>
      <c r="E135" s="138">
        <v>11242</v>
      </c>
      <c r="F135" s="138">
        <f t="shared" si="0"/>
        <v>1497206.0923076919</v>
      </c>
      <c r="G135" s="138">
        <f t="shared" si="0"/>
        <v>810119.93333333323</v>
      </c>
    </row>
    <row r="136" spans="1:7" x14ac:dyDescent="0.25">
      <c r="A136" s="139" t="str">
        <f>A107</f>
        <v>Xinfeng Shatian swine Farm</v>
      </c>
      <c r="B136" s="146">
        <f>AVERAGE(B110:D112)</f>
        <v>53.766666666666673</v>
      </c>
      <c r="C136" s="146">
        <f>AVERAGE(E110:G112)</f>
        <v>78.388888888888886</v>
      </c>
      <c r="D136" s="138">
        <v>1907</v>
      </c>
      <c r="E136" s="138">
        <v>3638</v>
      </c>
      <c r="F136" s="138">
        <f t="shared" si="0"/>
        <v>102533.03333333334</v>
      </c>
      <c r="G136" s="138">
        <f t="shared" si="0"/>
        <v>285178.77777777775</v>
      </c>
    </row>
    <row r="137" spans="1:7" x14ac:dyDescent="0.25">
      <c r="A137" s="139" t="str">
        <f>A113</f>
        <v>Kaiping Cangcheng swine Farm</v>
      </c>
      <c r="B137" s="146">
        <f>AVERAGE(B116:D119)</f>
        <v>57.625</v>
      </c>
      <c r="C137" s="146">
        <f>AVERAGE(E116:G124)</f>
        <v>73.040740740740731</v>
      </c>
      <c r="D137" s="138">
        <v>5732</v>
      </c>
      <c r="E137" s="138">
        <v>13713</v>
      </c>
      <c r="F137" s="138">
        <f t="shared" si="0"/>
        <v>330306.5</v>
      </c>
      <c r="G137" s="138">
        <f t="shared" si="0"/>
        <v>1001607.6777777777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92822</v>
      </c>
      <c r="F138" s="138">
        <f t="shared" ref="F138:G138" si="1">SUM(F129:F137)</f>
        <v>7370431.7765830867</v>
      </c>
      <c r="G138" s="138">
        <f t="shared" si="1"/>
        <v>6839199.5523809521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57.8</v>
      </c>
      <c r="D142" s="148">
        <f>ROUNDDOWN(G138/E138,1)</f>
        <v>73.599999999999994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E384-DC4F-49F2-AD8F-6234B4E78CD3}">
  <dimension ref="A1:G142"/>
  <sheetViews>
    <sheetView topLeftCell="A112" workbookViewId="0">
      <selection sqref="A1:G124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33.700000000000003</v>
      </c>
      <c r="C5" s="140">
        <v>47.4</v>
      </c>
      <c r="D5" s="140">
        <v>84.2</v>
      </c>
      <c r="E5" s="140">
        <v>29.9</v>
      </c>
      <c r="F5" s="140">
        <v>84.7</v>
      </c>
      <c r="G5" s="140">
        <v>108.3</v>
      </c>
    </row>
    <row r="6" spans="1:7" x14ac:dyDescent="0.25">
      <c r="A6" s="138">
        <v>2</v>
      </c>
      <c r="B6" s="140">
        <v>26.3</v>
      </c>
      <c r="C6" s="140">
        <v>67.3</v>
      </c>
      <c r="D6" s="140">
        <v>79.400000000000006</v>
      </c>
      <c r="E6" s="140">
        <v>56.8</v>
      </c>
      <c r="F6" s="140">
        <v>63.7</v>
      </c>
      <c r="G6" s="140">
        <v>97.3</v>
      </c>
    </row>
    <row r="7" spans="1:7" ht="14.5" thickBot="1" x14ac:dyDescent="0.3">
      <c r="A7" s="141">
        <v>3</v>
      </c>
      <c r="B7" s="142"/>
      <c r="C7" s="142"/>
      <c r="D7" s="142"/>
      <c r="E7" s="142">
        <v>46.5</v>
      </c>
      <c r="F7" s="142">
        <v>69.5</v>
      </c>
      <c r="G7" s="142">
        <v>103.7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24.3</v>
      </c>
      <c r="C11" s="140">
        <v>60.3</v>
      </c>
      <c r="D11" s="140">
        <v>86.7</v>
      </c>
      <c r="E11" s="140">
        <v>40.299999999999997</v>
      </c>
      <c r="F11" s="140">
        <v>76.400000000000006</v>
      </c>
      <c r="G11" s="140">
        <v>94.9</v>
      </c>
    </row>
    <row r="12" spans="1:7" x14ac:dyDescent="0.25">
      <c r="A12" s="138">
        <v>2</v>
      </c>
      <c r="B12" s="140">
        <v>23.1</v>
      </c>
      <c r="C12" s="140">
        <v>59.2</v>
      </c>
      <c r="D12" s="140">
        <v>75.099999999999994</v>
      </c>
      <c r="E12" s="140"/>
      <c r="F12" s="140"/>
      <c r="G12" s="140"/>
    </row>
    <row r="13" spans="1:7" x14ac:dyDescent="0.25">
      <c r="A13" s="138">
        <v>3</v>
      </c>
      <c r="B13" s="140">
        <v>15</v>
      </c>
      <c r="C13" s="140">
        <v>47.4</v>
      </c>
      <c r="D13" s="140">
        <v>108</v>
      </c>
      <c r="E13" s="139"/>
      <c r="F13" s="139"/>
      <c r="G13" s="139"/>
    </row>
    <row r="14" spans="1:7" x14ac:dyDescent="0.25">
      <c r="A14" s="138">
        <v>4</v>
      </c>
      <c r="B14" s="140">
        <v>23.8</v>
      </c>
      <c r="C14" s="140">
        <v>44.3</v>
      </c>
      <c r="D14" s="140">
        <v>91.1</v>
      </c>
      <c r="E14" s="139"/>
      <c r="F14" s="139"/>
      <c r="G14" s="139"/>
    </row>
    <row r="15" spans="1:7" ht="14.5" thickBot="1" x14ac:dyDescent="0.3">
      <c r="A15" s="141">
        <v>5</v>
      </c>
      <c r="B15" s="142">
        <v>21</v>
      </c>
      <c r="C15" s="142">
        <v>70.2</v>
      </c>
      <c r="D15" s="142">
        <v>86.3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21.1</v>
      </c>
      <c r="C19" s="140">
        <v>49.5</v>
      </c>
      <c r="D19" s="140">
        <v>97.8</v>
      </c>
      <c r="E19" s="140">
        <v>27</v>
      </c>
      <c r="F19" s="140">
        <v>74</v>
      </c>
      <c r="G19" s="140">
        <v>109.3</v>
      </c>
    </row>
    <row r="20" spans="1:7" x14ac:dyDescent="0.25">
      <c r="A20" s="138">
        <v>2</v>
      </c>
      <c r="B20" s="140">
        <v>29.6</v>
      </c>
      <c r="C20" s="140">
        <v>72.2</v>
      </c>
      <c r="D20" s="140">
        <v>90.1</v>
      </c>
      <c r="E20" s="140">
        <v>28.8</v>
      </c>
      <c r="F20" s="140">
        <v>60.1</v>
      </c>
      <c r="G20" s="140">
        <v>110.4</v>
      </c>
    </row>
    <row r="21" spans="1:7" x14ac:dyDescent="0.25">
      <c r="A21" s="138">
        <v>3</v>
      </c>
      <c r="B21" s="140">
        <v>34.4</v>
      </c>
      <c r="C21" s="140">
        <v>53.5</v>
      </c>
      <c r="D21" s="140">
        <v>76.400000000000006</v>
      </c>
      <c r="E21" s="140">
        <v>45.3</v>
      </c>
      <c r="F21" s="140">
        <v>75.900000000000006</v>
      </c>
      <c r="G21" s="140">
        <v>99</v>
      </c>
    </row>
    <row r="22" spans="1:7" x14ac:dyDescent="0.25">
      <c r="A22" s="138">
        <v>4</v>
      </c>
      <c r="B22" s="140">
        <v>33.6</v>
      </c>
      <c r="C22" s="140">
        <v>61.3</v>
      </c>
      <c r="D22" s="140">
        <v>77.3</v>
      </c>
      <c r="E22" s="140">
        <v>53.7</v>
      </c>
      <c r="F22" s="140">
        <v>76.3</v>
      </c>
      <c r="G22" s="140">
        <v>114.1</v>
      </c>
    </row>
    <row r="23" spans="1:7" x14ac:dyDescent="0.25">
      <c r="A23" s="138">
        <v>5</v>
      </c>
      <c r="B23" s="140">
        <v>31.5</v>
      </c>
      <c r="C23" s="140">
        <v>47</v>
      </c>
      <c r="D23" s="140">
        <v>76</v>
      </c>
      <c r="E23" s="140">
        <v>50.6</v>
      </c>
      <c r="F23" s="140">
        <v>71.2</v>
      </c>
      <c r="G23" s="140">
        <v>106.2</v>
      </c>
    </row>
    <row r="24" spans="1:7" x14ac:dyDescent="0.25">
      <c r="A24" s="138">
        <v>6</v>
      </c>
      <c r="B24" s="140">
        <v>22.3</v>
      </c>
      <c r="C24" s="140">
        <v>52.3</v>
      </c>
      <c r="D24" s="140">
        <v>86.8</v>
      </c>
      <c r="E24" s="140">
        <v>30.8</v>
      </c>
      <c r="F24" s="140">
        <v>77.099999999999994</v>
      </c>
      <c r="G24" s="140">
        <v>91</v>
      </c>
    </row>
    <row r="25" spans="1:7" x14ac:dyDescent="0.25">
      <c r="A25" s="138">
        <v>7</v>
      </c>
      <c r="B25" s="140">
        <v>20.399999999999999</v>
      </c>
      <c r="C25" s="140">
        <v>66.099999999999994</v>
      </c>
      <c r="D25" s="140">
        <v>106.1</v>
      </c>
      <c r="E25" s="140">
        <v>37.799999999999997</v>
      </c>
      <c r="F25" s="140">
        <v>68.5</v>
      </c>
      <c r="G25" s="140">
        <v>95.7</v>
      </c>
    </row>
    <row r="26" spans="1:7" x14ac:dyDescent="0.25">
      <c r="A26" s="138">
        <v>8</v>
      </c>
      <c r="B26" s="140">
        <v>31.4</v>
      </c>
      <c r="C26" s="140">
        <v>43.1</v>
      </c>
      <c r="D26" s="140">
        <v>80.099999999999994</v>
      </c>
      <c r="E26" s="140">
        <v>46.9</v>
      </c>
      <c r="F26" s="140">
        <v>89.5</v>
      </c>
      <c r="G26" s="140">
        <v>114.6</v>
      </c>
    </row>
    <row r="27" spans="1:7" x14ac:dyDescent="0.25">
      <c r="A27" s="138">
        <v>9</v>
      </c>
      <c r="B27" s="140">
        <v>34.9</v>
      </c>
      <c r="C27" s="140">
        <v>50.7</v>
      </c>
      <c r="D27" s="140">
        <v>96.7</v>
      </c>
      <c r="E27" s="140">
        <v>25.1</v>
      </c>
      <c r="F27" s="140">
        <v>60.9</v>
      </c>
      <c r="G27" s="140">
        <v>101</v>
      </c>
    </row>
    <row r="28" spans="1:7" x14ac:dyDescent="0.25">
      <c r="A28" s="138">
        <v>10</v>
      </c>
      <c r="B28" s="140">
        <v>19.5</v>
      </c>
      <c r="C28" s="140">
        <v>38.299999999999997</v>
      </c>
      <c r="D28" s="140">
        <v>99.2</v>
      </c>
      <c r="E28" s="140">
        <v>54.8</v>
      </c>
      <c r="F28" s="140">
        <v>79.7</v>
      </c>
      <c r="G28" s="140">
        <v>119.2</v>
      </c>
    </row>
    <row r="29" spans="1:7" x14ac:dyDescent="0.25">
      <c r="A29" s="138">
        <v>11</v>
      </c>
      <c r="B29" s="140">
        <v>18.399999999999999</v>
      </c>
      <c r="C29" s="140">
        <v>48.8</v>
      </c>
      <c r="D29" s="140">
        <v>89.5</v>
      </c>
      <c r="E29" s="140"/>
      <c r="F29" s="140"/>
      <c r="G29" s="140"/>
    </row>
    <row r="30" spans="1:7" x14ac:dyDescent="0.25">
      <c r="A30" s="138">
        <v>12</v>
      </c>
      <c r="B30" s="140">
        <v>15</v>
      </c>
      <c r="C30" s="140">
        <v>61.8</v>
      </c>
      <c r="D30" s="140">
        <v>76.599999999999994</v>
      </c>
      <c r="E30" s="140"/>
      <c r="F30" s="140"/>
      <c r="G30" s="140"/>
    </row>
    <row r="31" spans="1:7" x14ac:dyDescent="0.25">
      <c r="A31" s="138">
        <v>13</v>
      </c>
      <c r="B31" s="140">
        <v>28.2</v>
      </c>
      <c r="C31" s="140">
        <v>37</v>
      </c>
      <c r="D31" s="140">
        <v>100.1</v>
      </c>
      <c r="E31" s="140"/>
      <c r="F31" s="140"/>
      <c r="G31" s="140"/>
    </row>
    <row r="32" spans="1:7" x14ac:dyDescent="0.25">
      <c r="A32" s="138">
        <v>14</v>
      </c>
      <c r="B32" s="140">
        <v>22.5</v>
      </c>
      <c r="C32" s="140">
        <v>46.9</v>
      </c>
      <c r="D32" s="140">
        <v>81.400000000000006</v>
      </c>
      <c r="E32" s="140"/>
      <c r="F32" s="140"/>
      <c r="G32" s="140"/>
    </row>
    <row r="33" spans="1:7" ht="14.5" thickBot="1" x14ac:dyDescent="0.3">
      <c r="A33" s="143">
        <v>15</v>
      </c>
      <c r="B33" s="142">
        <v>34.700000000000003</v>
      </c>
      <c r="C33" s="142">
        <v>46.7</v>
      </c>
      <c r="D33" s="142">
        <v>99.2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27.4</v>
      </c>
      <c r="C37" s="140">
        <v>73.099999999999994</v>
      </c>
      <c r="D37" s="140">
        <v>97.7</v>
      </c>
      <c r="E37" s="140">
        <v>36.299999999999997</v>
      </c>
      <c r="F37" s="140">
        <v>74.5</v>
      </c>
      <c r="G37" s="140">
        <v>93.3</v>
      </c>
    </row>
    <row r="38" spans="1:7" x14ac:dyDescent="0.25">
      <c r="A38" s="138">
        <v>2</v>
      </c>
      <c r="B38" s="140">
        <v>30.8</v>
      </c>
      <c r="C38" s="140">
        <v>68.5</v>
      </c>
      <c r="D38" s="140">
        <v>89.4</v>
      </c>
      <c r="E38" s="140">
        <v>33.799999999999997</v>
      </c>
      <c r="F38" s="140">
        <v>61.7</v>
      </c>
      <c r="G38" s="140">
        <v>113.8</v>
      </c>
    </row>
    <row r="39" spans="1:7" x14ac:dyDescent="0.25">
      <c r="A39" s="138">
        <v>3</v>
      </c>
      <c r="B39" s="140">
        <v>30.1</v>
      </c>
      <c r="C39" s="140">
        <v>72.5</v>
      </c>
      <c r="D39" s="140">
        <v>85.5</v>
      </c>
      <c r="E39" s="140">
        <v>25.8</v>
      </c>
      <c r="F39" s="140">
        <v>70.7</v>
      </c>
      <c r="G39" s="140">
        <v>110.5</v>
      </c>
    </row>
    <row r="40" spans="1:7" x14ac:dyDescent="0.25">
      <c r="A40" s="138">
        <v>4</v>
      </c>
      <c r="B40" s="140">
        <v>30.2</v>
      </c>
      <c r="C40" s="140">
        <v>67.599999999999994</v>
      </c>
      <c r="D40" s="140">
        <v>102.8</v>
      </c>
      <c r="E40" s="140">
        <v>30.4</v>
      </c>
      <c r="F40" s="140">
        <v>72.2</v>
      </c>
      <c r="G40" s="140">
        <v>111.9</v>
      </c>
    </row>
    <row r="41" spans="1:7" x14ac:dyDescent="0.25">
      <c r="A41" s="138">
        <v>5</v>
      </c>
      <c r="B41" s="140">
        <v>30</v>
      </c>
      <c r="C41" s="140">
        <v>64.8</v>
      </c>
      <c r="D41" s="140">
        <v>75.3</v>
      </c>
      <c r="E41" s="140">
        <v>40.200000000000003</v>
      </c>
      <c r="F41" s="140">
        <v>87.2</v>
      </c>
      <c r="G41" s="140">
        <v>99.5</v>
      </c>
    </row>
    <row r="42" spans="1:7" x14ac:dyDescent="0.25">
      <c r="A42" s="138">
        <v>6</v>
      </c>
      <c r="B42" s="140">
        <v>30.3</v>
      </c>
      <c r="C42" s="140">
        <v>73.900000000000006</v>
      </c>
      <c r="D42" s="140">
        <v>108.2</v>
      </c>
      <c r="E42" s="140">
        <v>42.1</v>
      </c>
      <c r="F42" s="140">
        <v>70.599999999999994</v>
      </c>
      <c r="G42" s="140">
        <v>111.9</v>
      </c>
    </row>
    <row r="43" spans="1:7" x14ac:dyDescent="0.25">
      <c r="A43" s="138">
        <v>7</v>
      </c>
      <c r="B43" s="140">
        <v>15.9</v>
      </c>
      <c r="C43" s="140">
        <v>38.4</v>
      </c>
      <c r="D43" s="140">
        <v>96.8</v>
      </c>
      <c r="E43" s="140">
        <v>47.4</v>
      </c>
      <c r="F43" s="140">
        <v>83.4</v>
      </c>
      <c r="G43" s="140">
        <v>102.4</v>
      </c>
    </row>
    <row r="44" spans="1:7" x14ac:dyDescent="0.25">
      <c r="A44" s="138">
        <v>8</v>
      </c>
      <c r="B44" s="140">
        <v>19.899999999999999</v>
      </c>
      <c r="C44" s="140">
        <v>43.2</v>
      </c>
      <c r="D44" s="140">
        <v>93.8</v>
      </c>
      <c r="E44" s="139"/>
      <c r="F44" s="139"/>
      <c r="G44" s="139"/>
    </row>
    <row r="45" spans="1:7" x14ac:dyDescent="0.25">
      <c r="A45" s="138">
        <v>9</v>
      </c>
      <c r="B45" s="140">
        <v>15.2</v>
      </c>
      <c r="C45" s="140">
        <v>66.3</v>
      </c>
      <c r="D45" s="140">
        <v>79.400000000000006</v>
      </c>
      <c r="E45" s="139"/>
      <c r="F45" s="139"/>
      <c r="G45" s="139"/>
    </row>
    <row r="46" spans="1:7" x14ac:dyDescent="0.25">
      <c r="A46" s="138">
        <v>10</v>
      </c>
      <c r="B46" s="140">
        <v>17.8</v>
      </c>
      <c r="C46" s="140">
        <v>39.4</v>
      </c>
      <c r="D46" s="140">
        <v>86.6</v>
      </c>
      <c r="E46" s="139"/>
      <c r="F46" s="139"/>
      <c r="G46" s="139"/>
    </row>
    <row r="47" spans="1:7" x14ac:dyDescent="0.25">
      <c r="A47" s="138">
        <v>11</v>
      </c>
      <c r="B47" s="140">
        <v>24.7</v>
      </c>
      <c r="C47" s="140">
        <v>43.3</v>
      </c>
      <c r="D47" s="140">
        <v>92.3</v>
      </c>
      <c r="E47" s="139"/>
      <c r="F47" s="139"/>
      <c r="G47" s="139"/>
    </row>
    <row r="48" spans="1:7" x14ac:dyDescent="0.25">
      <c r="A48" s="138">
        <v>12</v>
      </c>
      <c r="B48" s="140">
        <v>34.799999999999997</v>
      </c>
      <c r="C48" s="140">
        <v>65.2</v>
      </c>
      <c r="D48" s="140">
        <v>94.7</v>
      </c>
      <c r="E48" s="139"/>
      <c r="F48" s="139"/>
      <c r="G48" s="139"/>
    </row>
    <row r="49" spans="1:7" x14ac:dyDescent="0.25">
      <c r="A49" s="138">
        <v>13</v>
      </c>
      <c r="B49" s="140">
        <v>29.1</v>
      </c>
      <c r="C49" s="140">
        <v>50.8</v>
      </c>
      <c r="D49" s="140">
        <v>100.3</v>
      </c>
      <c r="E49" s="139"/>
      <c r="F49" s="139"/>
      <c r="G49" s="139"/>
    </row>
    <row r="50" spans="1:7" x14ac:dyDescent="0.25">
      <c r="A50" s="138">
        <v>14</v>
      </c>
      <c r="B50" s="140">
        <v>31.2</v>
      </c>
      <c r="C50" s="140">
        <v>52.9</v>
      </c>
      <c r="D50" s="140">
        <v>83.7</v>
      </c>
      <c r="E50" s="139"/>
      <c r="F50" s="139"/>
      <c r="G50" s="139"/>
    </row>
    <row r="51" spans="1:7" x14ac:dyDescent="0.25">
      <c r="A51" s="138">
        <v>15</v>
      </c>
      <c r="B51" s="140">
        <v>32.700000000000003</v>
      </c>
      <c r="C51" s="140">
        <v>72</v>
      </c>
      <c r="D51" s="140">
        <v>102.6</v>
      </c>
      <c r="E51" s="139"/>
      <c r="F51" s="139"/>
      <c r="G51" s="139"/>
    </row>
    <row r="52" spans="1:7" x14ac:dyDescent="0.25">
      <c r="A52" s="138">
        <v>16</v>
      </c>
      <c r="B52" s="140">
        <v>29.5</v>
      </c>
      <c r="C52" s="140">
        <v>37.700000000000003</v>
      </c>
      <c r="D52" s="140">
        <v>85.1</v>
      </c>
      <c r="E52" s="139"/>
      <c r="F52" s="139"/>
      <c r="G52" s="139"/>
    </row>
    <row r="53" spans="1:7" x14ac:dyDescent="0.25">
      <c r="A53" s="138">
        <v>17</v>
      </c>
      <c r="B53" s="140">
        <v>34.6</v>
      </c>
      <c r="C53" s="140">
        <v>65.8</v>
      </c>
      <c r="D53" s="140">
        <v>100.7</v>
      </c>
      <c r="E53" s="139"/>
      <c r="F53" s="139"/>
      <c r="G53" s="139"/>
    </row>
    <row r="54" spans="1:7" x14ac:dyDescent="0.25">
      <c r="A54" s="138">
        <v>18</v>
      </c>
      <c r="B54" s="140">
        <v>16.7</v>
      </c>
      <c r="C54" s="140">
        <v>61.7</v>
      </c>
      <c r="D54" s="140">
        <v>91</v>
      </c>
      <c r="E54" s="139"/>
      <c r="F54" s="139"/>
      <c r="G54" s="139"/>
    </row>
    <row r="55" spans="1:7" ht="14.5" thickBot="1" x14ac:dyDescent="0.3">
      <c r="A55" s="141">
        <v>19</v>
      </c>
      <c r="B55" s="142">
        <v>27</v>
      </c>
      <c r="C55" s="142">
        <v>65.900000000000006</v>
      </c>
      <c r="D55" s="142">
        <v>95.7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34.700000000000003</v>
      </c>
      <c r="C59" s="140">
        <v>74.5</v>
      </c>
      <c r="D59" s="140">
        <v>75.599999999999994</v>
      </c>
      <c r="E59" s="140">
        <v>38</v>
      </c>
      <c r="F59" s="140">
        <v>67.599999999999994</v>
      </c>
      <c r="G59" s="140">
        <v>114.4</v>
      </c>
    </row>
    <row r="60" spans="1:7" x14ac:dyDescent="0.25">
      <c r="A60" s="138">
        <v>2</v>
      </c>
      <c r="B60" s="140">
        <v>33.4</v>
      </c>
      <c r="C60" s="140">
        <v>51.6</v>
      </c>
      <c r="D60" s="140">
        <v>80.900000000000006</v>
      </c>
      <c r="E60" s="140">
        <v>43.9</v>
      </c>
      <c r="F60" s="140">
        <v>86.5</v>
      </c>
      <c r="G60" s="140">
        <v>112.7</v>
      </c>
    </row>
    <row r="61" spans="1:7" x14ac:dyDescent="0.25">
      <c r="A61" s="138">
        <v>3</v>
      </c>
      <c r="B61" s="140">
        <v>26.2</v>
      </c>
      <c r="C61" s="140">
        <v>38.1</v>
      </c>
      <c r="D61" s="140">
        <v>77.3</v>
      </c>
      <c r="E61" s="140">
        <v>39.200000000000003</v>
      </c>
      <c r="F61" s="140">
        <v>72.400000000000006</v>
      </c>
      <c r="G61" s="140">
        <v>116.7</v>
      </c>
    </row>
    <row r="62" spans="1:7" x14ac:dyDescent="0.25">
      <c r="A62" s="138">
        <v>4</v>
      </c>
      <c r="B62" s="140">
        <v>19.7</v>
      </c>
      <c r="C62" s="140">
        <v>42.7</v>
      </c>
      <c r="D62" s="140">
        <v>86.2</v>
      </c>
      <c r="E62" s="140">
        <v>25.6</v>
      </c>
      <c r="F62" s="140">
        <v>60.7</v>
      </c>
      <c r="G62" s="140">
        <v>108</v>
      </c>
    </row>
    <row r="63" spans="1:7" x14ac:dyDescent="0.25">
      <c r="A63" s="138">
        <v>5</v>
      </c>
      <c r="B63" s="140">
        <v>15.3</v>
      </c>
      <c r="C63" s="140">
        <v>44.7</v>
      </c>
      <c r="D63" s="140">
        <v>99</v>
      </c>
      <c r="E63" s="140">
        <v>47.8</v>
      </c>
      <c r="F63" s="140">
        <v>80.2</v>
      </c>
      <c r="G63" s="140">
        <v>112.5</v>
      </c>
    </row>
    <row r="64" spans="1:7" x14ac:dyDescent="0.25">
      <c r="A64" s="144">
        <v>6</v>
      </c>
      <c r="B64" s="140">
        <v>16.7</v>
      </c>
      <c r="C64" s="140">
        <v>53.8</v>
      </c>
      <c r="D64" s="140">
        <v>83.7</v>
      </c>
      <c r="E64" s="140">
        <v>58.2</v>
      </c>
      <c r="F64" s="140">
        <v>63.4</v>
      </c>
      <c r="G64" s="140">
        <v>105.1</v>
      </c>
    </row>
    <row r="65" spans="1:7" ht="14.5" thickBot="1" x14ac:dyDescent="0.3">
      <c r="A65" s="141">
        <v>7</v>
      </c>
      <c r="B65" s="142">
        <v>16.2</v>
      </c>
      <c r="C65" s="142">
        <v>48.8</v>
      </c>
      <c r="D65" s="142">
        <v>105.7</v>
      </c>
      <c r="E65" s="142">
        <v>49.6</v>
      </c>
      <c r="F65" s="142">
        <v>80.599999999999994</v>
      </c>
      <c r="G65" s="142">
        <v>109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29.5</v>
      </c>
      <c r="C69" s="140">
        <v>44</v>
      </c>
      <c r="D69" s="140">
        <v>89</v>
      </c>
      <c r="E69" s="140">
        <v>39.4</v>
      </c>
      <c r="F69" s="140">
        <v>71.5</v>
      </c>
      <c r="G69" s="140">
        <v>119.1</v>
      </c>
    </row>
    <row r="70" spans="1:7" x14ac:dyDescent="0.25">
      <c r="A70" s="138">
        <v>2</v>
      </c>
      <c r="B70" s="140">
        <v>32.9</v>
      </c>
      <c r="C70" s="140">
        <v>62.5</v>
      </c>
      <c r="D70" s="140">
        <v>77.5</v>
      </c>
      <c r="E70" s="140">
        <v>55.4</v>
      </c>
      <c r="F70" s="140">
        <v>71</v>
      </c>
      <c r="G70" s="140">
        <v>117.9</v>
      </c>
    </row>
    <row r="71" spans="1:7" x14ac:dyDescent="0.25">
      <c r="A71" s="138">
        <v>3</v>
      </c>
      <c r="B71" s="140">
        <v>24.1</v>
      </c>
      <c r="C71" s="140">
        <v>72.2</v>
      </c>
      <c r="D71" s="140">
        <v>92.8</v>
      </c>
      <c r="E71" s="140">
        <v>29.6</v>
      </c>
      <c r="F71" s="140">
        <v>76.8</v>
      </c>
      <c r="G71" s="140">
        <v>90.6</v>
      </c>
    </row>
    <row r="72" spans="1:7" x14ac:dyDescent="0.25">
      <c r="A72" s="138">
        <v>4</v>
      </c>
      <c r="B72" s="140">
        <v>34.700000000000003</v>
      </c>
      <c r="C72" s="140">
        <v>36</v>
      </c>
      <c r="D72" s="140">
        <v>90</v>
      </c>
      <c r="E72" s="140">
        <v>54.7</v>
      </c>
      <c r="F72" s="140">
        <v>84.8</v>
      </c>
      <c r="G72" s="140">
        <v>113.3</v>
      </c>
    </row>
    <row r="73" spans="1:7" x14ac:dyDescent="0.25">
      <c r="A73" s="138">
        <v>5</v>
      </c>
      <c r="B73" s="140">
        <v>33.200000000000003</v>
      </c>
      <c r="C73" s="140">
        <v>41</v>
      </c>
      <c r="D73" s="140">
        <v>80.900000000000006</v>
      </c>
      <c r="E73" s="140">
        <v>40</v>
      </c>
      <c r="F73" s="140">
        <v>83.8</v>
      </c>
      <c r="G73" s="140">
        <v>98.4</v>
      </c>
    </row>
    <row r="74" spans="1:7" x14ac:dyDescent="0.25">
      <c r="A74" s="138">
        <v>6</v>
      </c>
      <c r="B74" s="140">
        <v>16</v>
      </c>
      <c r="C74" s="140">
        <v>45.3</v>
      </c>
      <c r="D74" s="140">
        <v>80.7</v>
      </c>
      <c r="E74" s="140">
        <v>31.7</v>
      </c>
      <c r="F74" s="140">
        <v>67</v>
      </c>
      <c r="G74" s="140">
        <v>95.3</v>
      </c>
    </row>
    <row r="75" spans="1:7" x14ac:dyDescent="0.25">
      <c r="A75" s="138">
        <v>7</v>
      </c>
      <c r="B75" s="140">
        <v>20.6</v>
      </c>
      <c r="C75" s="140">
        <v>35.6</v>
      </c>
      <c r="D75" s="140">
        <v>97.6</v>
      </c>
      <c r="E75" s="140">
        <v>30.5</v>
      </c>
      <c r="F75" s="140">
        <v>66.7</v>
      </c>
      <c r="G75" s="140">
        <v>118.2</v>
      </c>
    </row>
    <row r="76" spans="1:7" x14ac:dyDescent="0.25">
      <c r="A76" s="138">
        <v>8</v>
      </c>
      <c r="B76" s="140">
        <v>31.6</v>
      </c>
      <c r="C76" s="140">
        <v>59.2</v>
      </c>
      <c r="D76" s="140">
        <v>106.3</v>
      </c>
      <c r="E76" s="140">
        <v>30.8</v>
      </c>
      <c r="F76" s="140">
        <v>84.2</v>
      </c>
      <c r="G76" s="140">
        <v>96.8</v>
      </c>
    </row>
    <row r="77" spans="1:7" x14ac:dyDescent="0.25">
      <c r="A77" s="138">
        <v>9</v>
      </c>
      <c r="B77" s="140">
        <v>15.3</v>
      </c>
      <c r="C77" s="140">
        <v>46</v>
      </c>
      <c r="D77" s="140">
        <v>101.5</v>
      </c>
      <c r="E77" s="140">
        <v>37.799999999999997</v>
      </c>
      <c r="F77" s="140">
        <v>74.7</v>
      </c>
      <c r="G77" s="140">
        <v>97</v>
      </c>
    </row>
    <row r="78" spans="1:7" x14ac:dyDescent="0.25">
      <c r="A78" s="138">
        <v>10</v>
      </c>
      <c r="B78" s="140">
        <v>22.4</v>
      </c>
      <c r="C78" s="140">
        <v>45.6</v>
      </c>
      <c r="D78" s="140">
        <v>94</v>
      </c>
      <c r="E78" s="140">
        <v>33.799999999999997</v>
      </c>
      <c r="F78" s="140">
        <v>76.5</v>
      </c>
      <c r="G78" s="140">
        <v>92.5</v>
      </c>
    </row>
    <row r="79" spans="1:7" x14ac:dyDescent="0.25">
      <c r="A79" s="138">
        <v>11</v>
      </c>
      <c r="B79" s="140">
        <v>33.6</v>
      </c>
      <c r="C79" s="140">
        <v>65</v>
      </c>
      <c r="D79" s="140">
        <v>93.2</v>
      </c>
      <c r="E79" s="140">
        <v>44.3</v>
      </c>
      <c r="F79" s="140">
        <v>79.5</v>
      </c>
      <c r="G79" s="140">
        <v>96.8</v>
      </c>
    </row>
    <row r="80" spans="1:7" x14ac:dyDescent="0.25">
      <c r="A80" s="138">
        <v>12</v>
      </c>
      <c r="B80" s="140">
        <v>20.5</v>
      </c>
      <c r="C80" s="140">
        <v>38.1</v>
      </c>
      <c r="D80" s="140">
        <v>83.9</v>
      </c>
      <c r="E80" s="140">
        <v>58.2</v>
      </c>
      <c r="F80" s="140">
        <v>62.2</v>
      </c>
      <c r="G80" s="140">
        <v>103.3</v>
      </c>
    </row>
    <row r="81" spans="1:7" x14ac:dyDescent="0.25">
      <c r="A81" s="138">
        <v>13</v>
      </c>
      <c r="B81" s="140">
        <v>16.8</v>
      </c>
      <c r="C81" s="140">
        <v>47.1</v>
      </c>
      <c r="D81" s="140">
        <v>75</v>
      </c>
      <c r="E81" s="140">
        <v>42.8</v>
      </c>
      <c r="F81" s="140">
        <v>70.900000000000006</v>
      </c>
      <c r="G81" s="140">
        <v>95.3</v>
      </c>
    </row>
    <row r="82" spans="1:7" x14ac:dyDescent="0.25">
      <c r="A82" s="138">
        <v>14</v>
      </c>
      <c r="B82" s="140">
        <v>22.4</v>
      </c>
      <c r="C82" s="140">
        <v>35.6</v>
      </c>
      <c r="D82" s="140">
        <v>75.7</v>
      </c>
      <c r="E82" s="140">
        <v>31.9</v>
      </c>
      <c r="F82" s="140">
        <v>73.8</v>
      </c>
      <c r="G82" s="140">
        <v>117.1</v>
      </c>
    </row>
    <row r="83" spans="1:7" x14ac:dyDescent="0.25">
      <c r="A83" s="138">
        <v>15</v>
      </c>
      <c r="B83" s="140">
        <v>20.3</v>
      </c>
      <c r="C83" s="140">
        <v>74.400000000000006</v>
      </c>
      <c r="D83" s="140">
        <v>78.8</v>
      </c>
      <c r="E83" s="140">
        <v>30</v>
      </c>
      <c r="F83" s="140">
        <v>83.2</v>
      </c>
      <c r="G83" s="140">
        <v>111.4</v>
      </c>
    </row>
    <row r="84" spans="1:7" x14ac:dyDescent="0.25">
      <c r="A84" s="138">
        <v>16</v>
      </c>
      <c r="B84" s="140">
        <v>33.9</v>
      </c>
      <c r="C84" s="140">
        <v>36.700000000000003</v>
      </c>
      <c r="D84" s="140">
        <v>90.5</v>
      </c>
      <c r="E84" s="140"/>
      <c r="F84" s="140"/>
      <c r="G84" s="140"/>
    </row>
    <row r="85" spans="1:7" ht="14.5" thickBot="1" x14ac:dyDescent="0.3">
      <c r="A85" s="143">
        <v>17</v>
      </c>
      <c r="B85" s="142">
        <v>32.4</v>
      </c>
      <c r="C85" s="142">
        <v>66</v>
      </c>
      <c r="D85" s="142">
        <v>80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33.4</v>
      </c>
      <c r="C89" s="140">
        <v>41.2</v>
      </c>
      <c r="D89" s="140">
        <v>76.400000000000006</v>
      </c>
      <c r="E89" s="140">
        <v>36.299999999999997</v>
      </c>
      <c r="F89" s="140">
        <v>87</v>
      </c>
      <c r="G89" s="140">
        <v>115.3</v>
      </c>
    </row>
    <row r="90" spans="1:7" x14ac:dyDescent="0.25">
      <c r="A90" s="138">
        <v>2</v>
      </c>
      <c r="B90" s="140">
        <v>33.299999999999997</v>
      </c>
      <c r="C90" s="140">
        <v>74.7</v>
      </c>
      <c r="D90" s="140">
        <v>89.6</v>
      </c>
      <c r="E90" s="140">
        <v>53.5</v>
      </c>
      <c r="F90" s="140">
        <v>64.599999999999994</v>
      </c>
      <c r="G90" s="140">
        <v>107.9</v>
      </c>
    </row>
    <row r="91" spans="1:7" x14ac:dyDescent="0.25">
      <c r="A91" s="138">
        <v>3</v>
      </c>
      <c r="B91" s="140">
        <v>21</v>
      </c>
      <c r="C91" s="140">
        <v>54.2</v>
      </c>
      <c r="D91" s="140">
        <v>90</v>
      </c>
      <c r="E91" s="140">
        <v>45.1</v>
      </c>
      <c r="F91" s="140">
        <v>76.900000000000006</v>
      </c>
      <c r="G91" s="140">
        <v>103</v>
      </c>
    </row>
    <row r="92" spans="1:7" x14ac:dyDescent="0.25">
      <c r="A92" s="138">
        <v>4</v>
      </c>
      <c r="B92" s="140">
        <v>19.600000000000001</v>
      </c>
      <c r="C92" s="140">
        <v>41</v>
      </c>
      <c r="D92" s="140">
        <v>106.8</v>
      </c>
      <c r="E92" s="140">
        <v>44.8</v>
      </c>
      <c r="F92" s="140">
        <v>76.3</v>
      </c>
      <c r="G92" s="140">
        <v>116.9</v>
      </c>
    </row>
    <row r="93" spans="1:7" x14ac:dyDescent="0.25">
      <c r="A93" s="138">
        <v>5</v>
      </c>
      <c r="B93" s="140">
        <v>29.9</v>
      </c>
      <c r="C93" s="140">
        <v>48.3</v>
      </c>
      <c r="D93" s="140">
        <v>89.7</v>
      </c>
      <c r="E93" s="140">
        <v>54.7</v>
      </c>
      <c r="F93" s="140">
        <v>69.7</v>
      </c>
      <c r="G93" s="140">
        <v>111</v>
      </c>
    </row>
    <row r="94" spans="1:7" x14ac:dyDescent="0.25">
      <c r="A94" s="138">
        <v>6</v>
      </c>
      <c r="B94" s="140">
        <v>29.6</v>
      </c>
      <c r="C94" s="140">
        <v>37.5</v>
      </c>
      <c r="D94" s="140">
        <v>92.2</v>
      </c>
      <c r="E94" s="140">
        <v>38.5</v>
      </c>
      <c r="F94" s="140">
        <v>63.8</v>
      </c>
      <c r="G94" s="140">
        <v>117.9</v>
      </c>
    </row>
    <row r="95" spans="1:7" x14ac:dyDescent="0.25">
      <c r="A95" s="138">
        <v>7</v>
      </c>
      <c r="B95" s="140">
        <v>19.7</v>
      </c>
      <c r="C95" s="140">
        <v>68.3</v>
      </c>
      <c r="D95" s="140">
        <v>81</v>
      </c>
      <c r="E95" s="140">
        <v>30.2</v>
      </c>
      <c r="F95" s="140">
        <v>61.1</v>
      </c>
      <c r="G95" s="140">
        <v>97.1</v>
      </c>
    </row>
    <row r="96" spans="1:7" x14ac:dyDescent="0.25">
      <c r="A96" s="138">
        <v>8</v>
      </c>
      <c r="B96" s="140">
        <v>25.6</v>
      </c>
      <c r="C96" s="140">
        <v>61.2</v>
      </c>
      <c r="D96" s="140">
        <v>91.7</v>
      </c>
      <c r="E96" s="139"/>
      <c r="F96" s="139"/>
      <c r="G96" s="139"/>
    </row>
    <row r="97" spans="1:7" x14ac:dyDescent="0.25">
      <c r="A97" s="138">
        <v>9</v>
      </c>
      <c r="B97" s="140">
        <v>17.2</v>
      </c>
      <c r="C97" s="140">
        <v>50.3</v>
      </c>
      <c r="D97" s="140">
        <v>79.5</v>
      </c>
      <c r="E97" s="139"/>
      <c r="F97" s="139"/>
      <c r="G97" s="139"/>
    </row>
    <row r="98" spans="1:7" x14ac:dyDescent="0.25">
      <c r="A98" s="138">
        <v>10</v>
      </c>
      <c r="B98" s="140">
        <v>31.1</v>
      </c>
      <c r="C98" s="140">
        <v>51.2</v>
      </c>
      <c r="D98" s="140">
        <v>96.9</v>
      </c>
      <c r="E98" s="139"/>
      <c r="F98" s="139"/>
      <c r="G98" s="139"/>
    </row>
    <row r="99" spans="1:7" x14ac:dyDescent="0.25">
      <c r="A99" s="138">
        <v>11</v>
      </c>
      <c r="B99" s="140">
        <v>20.9</v>
      </c>
      <c r="C99" s="140">
        <v>51.2</v>
      </c>
      <c r="D99" s="140">
        <v>95.5</v>
      </c>
      <c r="E99" s="139"/>
      <c r="F99" s="139"/>
      <c r="G99" s="139"/>
    </row>
    <row r="100" spans="1:7" x14ac:dyDescent="0.25">
      <c r="A100" s="138">
        <v>12</v>
      </c>
      <c r="B100" s="140">
        <v>23.5</v>
      </c>
      <c r="C100" s="140">
        <v>49.8</v>
      </c>
      <c r="D100" s="140">
        <v>106.7</v>
      </c>
      <c r="E100" s="139"/>
      <c r="F100" s="139"/>
      <c r="G100" s="139"/>
    </row>
    <row r="101" spans="1:7" x14ac:dyDescent="0.25">
      <c r="A101" s="138">
        <v>13</v>
      </c>
      <c r="B101" s="140">
        <v>33.6</v>
      </c>
      <c r="C101" s="140">
        <v>43.2</v>
      </c>
      <c r="D101" s="140">
        <v>99.7</v>
      </c>
      <c r="E101" s="139"/>
      <c r="F101" s="139"/>
      <c r="G101" s="139"/>
    </row>
    <row r="102" spans="1:7" x14ac:dyDescent="0.25">
      <c r="A102" s="138">
        <v>14</v>
      </c>
      <c r="B102" s="140">
        <v>30.5</v>
      </c>
      <c r="C102" s="140">
        <v>62.7</v>
      </c>
      <c r="D102" s="140">
        <v>80</v>
      </c>
      <c r="E102" s="139"/>
      <c r="F102" s="139"/>
      <c r="G102" s="139"/>
    </row>
    <row r="103" spans="1:7" x14ac:dyDescent="0.25">
      <c r="A103" s="138">
        <v>15</v>
      </c>
      <c r="B103" s="140">
        <v>24.7</v>
      </c>
      <c r="C103" s="140">
        <v>70.400000000000006</v>
      </c>
      <c r="D103" s="140">
        <v>87.8</v>
      </c>
      <c r="E103" s="139"/>
      <c r="F103" s="139"/>
      <c r="G103" s="139"/>
    </row>
    <row r="104" spans="1:7" x14ac:dyDescent="0.25">
      <c r="A104" s="138">
        <v>16</v>
      </c>
      <c r="B104" s="140">
        <v>23.2</v>
      </c>
      <c r="C104" s="140">
        <v>72.099999999999994</v>
      </c>
      <c r="D104" s="140">
        <v>76.599999999999994</v>
      </c>
      <c r="E104" s="139"/>
      <c r="F104" s="139"/>
      <c r="G104" s="139"/>
    </row>
    <row r="105" spans="1:7" x14ac:dyDescent="0.25">
      <c r="A105" s="138">
        <v>17</v>
      </c>
      <c r="B105" s="140">
        <v>19.100000000000001</v>
      </c>
      <c r="C105" s="140">
        <v>35.4</v>
      </c>
      <c r="D105" s="140">
        <v>99.7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76.8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17.5</v>
      </c>
      <c r="C110" s="140">
        <v>68.400000000000006</v>
      </c>
      <c r="D110" s="140">
        <v>92.3</v>
      </c>
      <c r="E110" s="140">
        <v>36.799999999999997</v>
      </c>
      <c r="F110" s="140">
        <v>83.2</v>
      </c>
      <c r="G110" s="140">
        <v>112.1</v>
      </c>
    </row>
    <row r="111" spans="1:7" x14ac:dyDescent="0.25">
      <c r="A111" s="138">
        <v>2</v>
      </c>
      <c r="B111" s="140">
        <v>31.3</v>
      </c>
      <c r="C111" s="140">
        <v>69</v>
      </c>
      <c r="D111" s="140">
        <v>98.8</v>
      </c>
      <c r="E111" s="140">
        <v>60</v>
      </c>
      <c r="F111" s="140">
        <v>88.3</v>
      </c>
      <c r="G111" s="140">
        <v>104.2</v>
      </c>
    </row>
    <row r="112" spans="1:7" ht="14.5" thickBot="1" x14ac:dyDescent="0.3">
      <c r="A112" s="143">
        <v>3</v>
      </c>
      <c r="B112" s="145"/>
      <c r="C112" s="145"/>
      <c r="D112" s="145"/>
      <c r="E112" s="145">
        <v>54.6</v>
      </c>
      <c r="F112" s="145">
        <v>88.8</v>
      </c>
      <c r="G112" s="145">
        <v>97.3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19.7</v>
      </c>
      <c r="C116" s="140">
        <v>37</v>
      </c>
      <c r="D116" s="140">
        <v>77.099999999999994</v>
      </c>
      <c r="E116" s="140">
        <v>43.8</v>
      </c>
      <c r="F116" s="140">
        <v>65.900000000000006</v>
      </c>
      <c r="G116" s="140">
        <v>114.7</v>
      </c>
    </row>
    <row r="117" spans="1:7" x14ac:dyDescent="0.25">
      <c r="A117" s="138">
        <v>2</v>
      </c>
      <c r="B117" s="140">
        <v>23.7</v>
      </c>
      <c r="C117" s="140">
        <v>35.700000000000003</v>
      </c>
      <c r="D117" s="140">
        <v>102.9</v>
      </c>
      <c r="E117" s="140">
        <v>39.4</v>
      </c>
      <c r="F117" s="140">
        <v>85.3</v>
      </c>
      <c r="G117" s="140">
        <v>107.1</v>
      </c>
    </row>
    <row r="118" spans="1:7" x14ac:dyDescent="0.25">
      <c r="A118" s="138">
        <v>3</v>
      </c>
      <c r="B118" s="140">
        <v>30.1</v>
      </c>
      <c r="C118" s="140">
        <v>71.2</v>
      </c>
      <c r="D118" s="140">
        <v>79.7</v>
      </c>
      <c r="E118" s="140">
        <v>56.6</v>
      </c>
      <c r="F118" s="140">
        <v>60.8</v>
      </c>
      <c r="G118" s="140">
        <v>95.6</v>
      </c>
    </row>
    <row r="119" spans="1:7" x14ac:dyDescent="0.25">
      <c r="A119" s="138">
        <v>4</v>
      </c>
      <c r="B119" s="140">
        <v>16.8</v>
      </c>
      <c r="C119" s="140">
        <v>54.9</v>
      </c>
      <c r="D119" s="140">
        <v>80.2</v>
      </c>
      <c r="E119" s="140">
        <v>35.799999999999997</v>
      </c>
      <c r="F119" s="140">
        <v>75.2</v>
      </c>
      <c r="G119" s="140">
        <v>118.6</v>
      </c>
    </row>
    <row r="120" spans="1:7" x14ac:dyDescent="0.25">
      <c r="A120" s="138">
        <v>5</v>
      </c>
      <c r="B120" s="139"/>
      <c r="C120" s="139"/>
      <c r="D120" s="139"/>
      <c r="E120" s="140">
        <v>59.9</v>
      </c>
      <c r="F120" s="140">
        <v>67.5</v>
      </c>
      <c r="G120" s="140">
        <v>113.6</v>
      </c>
    </row>
    <row r="121" spans="1:7" x14ac:dyDescent="0.25">
      <c r="A121" s="138">
        <v>6</v>
      </c>
      <c r="B121" s="139"/>
      <c r="C121" s="139"/>
      <c r="D121" s="139"/>
      <c r="E121" s="140">
        <v>30.6</v>
      </c>
      <c r="F121" s="140">
        <v>69.3</v>
      </c>
      <c r="G121" s="140">
        <v>105.4</v>
      </c>
    </row>
    <row r="122" spans="1:7" x14ac:dyDescent="0.25">
      <c r="A122" s="138">
        <v>7</v>
      </c>
      <c r="B122" s="139"/>
      <c r="C122" s="139"/>
      <c r="D122" s="139"/>
      <c r="E122" s="140">
        <v>25.7</v>
      </c>
      <c r="F122" s="140">
        <v>69.3</v>
      </c>
      <c r="G122" s="140">
        <v>118.6</v>
      </c>
    </row>
    <row r="123" spans="1:7" x14ac:dyDescent="0.25">
      <c r="A123" s="138">
        <v>8</v>
      </c>
      <c r="B123" s="139"/>
      <c r="C123" s="139"/>
      <c r="D123" s="139"/>
      <c r="E123" s="140">
        <v>59.2</v>
      </c>
      <c r="F123" s="140">
        <v>79.400000000000006</v>
      </c>
      <c r="G123" s="140">
        <v>96.1</v>
      </c>
    </row>
    <row r="124" spans="1:7" ht="14.5" thickBot="1" x14ac:dyDescent="0.3">
      <c r="A124" s="143">
        <v>9</v>
      </c>
      <c r="B124" s="145"/>
      <c r="C124" s="145"/>
      <c r="D124" s="145"/>
      <c r="E124" s="145">
        <v>41.6</v>
      </c>
      <c r="F124" s="145">
        <v>80.2</v>
      </c>
      <c r="G124" s="145">
        <v>107.9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56.383333333333347</v>
      </c>
      <c r="C129" s="147">
        <f>AVERAGE(E5:G7)</f>
        <v>73.377777777777794</v>
      </c>
      <c r="D129" s="138">
        <v>2058</v>
      </c>
      <c r="E129" s="138">
        <v>4258</v>
      </c>
      <c r="F129" s="138">
        <f>D129*B129</f>
        <v>116036.90000000002</v>
      </c>
      <c r="G129" s="138">
        <f>E129*C129</f>
        <v>312442.57777777786</v>
      </c>
    </row>
    <row r="130" spans="1:7" x14ac:dyDescent="0.25">
      <c r="A130" s="139" t="str">
        <f>A8</f>
        <v>Dongyuan Huangtian swine Farm</v>
      </c>
      <c r="B130" s="146">
        <f>AVERAGE((B11:D15))</f>
        <v>55.72</v>
      </c>
      <c r="C130" s="146">
        <f>AVERAGE(E11:G11)</f>
        <v>70.533333333333346</v>
      </c>
      <c r="D130" s="138">
        <v>6272</v>
      </c>
      <c r="E130" s="138">
        <v>1382</v>
      </c>
      <c r="F130" s="138">
        <f t="shared" ref="F130:G137" si="0">D130*B130</f>
        <v>349475.83999999997</v>
      </c>
      <c r="G130" s="138">
        <f t="shared" si="0"/>
        <v>97477.06666666668</v>
      </c>
    </row>
    <row r="131" spans="1:7" x14ac:dyDescent="0.25">
      <c r="A131" s="139" t="str">
        <f>A16</f>
        <v>Enping Shahu swine  Farm</v>
      </c>
      <c r="B131" s="146">
        <f>AVERAGE(B19:D33)</f>
        <v>55.688888888888869</v>
      </c>
      <c r="C131" s="146">
        <f>AVERAGE(E19:G28)</f>
        <v>73.149999999999991</v>
      </c>
      <c r="D131" s="138">
        <v>22171</v>
      </c>
      <c r="E131" s="138">
        <v>15381</v>
      </c>
      <c r="F131" s="138">
        <f t="shared" si="0"/>
        <v>1234678.3555555551</v>
      </c>
      <c r="G131" s="138">
        <f t="shared" si="0"/>
        <v>1125120.1499999999</v>
      </c>
    </row>
    <row r="132" spans="1:7" x14ac:dyDescent="0.25">
      <c r="A132" s="139" t="str">
        <f>A34</f>
        <v>Langtian Yuehui swine Farm</v>
      </c>
      <c r="B132" s="146">
        <f>AVERAGE(B37:D55)</f>
        <v>59.517543859649109</v>
      </c>
      <c r="C132" s="146">
        <f>AVERAGE(E37:G43)</f>
        <v>72.361904761904782</v>
      </c>
      <c r="D132" s="138">
        <v>28130</v>
      </c>
      <c r="E132" s="138">
        <v>9940</v>
      </c>
      <c r="F132" s="138">
        <f t="shared" si="0"/>
        <v>1674228.5087719294</v>
      </c>
      <c r="G132" s="138">
        <f t="shared" si="0"/>
        <v>719277.33333333349</v>
      </c>
    </row>
    <row r="133" spans="1:7" x14ac:dyDescent="0.25">
      <c r="A133" s="139" t="str">
        <f>A56</f>
        <v>Qujiang Fengwan swine Farm</v>
      </c>
      <c r="B133" s="146">
        <f>AVERAGE(B59:D65)</f>
        <v>53.561904761904771</v>
      </c>
      <c r="C133" s="146">
        <f>AVERAGE(E59:G65)</f>
        <v>75.814285714285717</v>
      </c>
      <c r="D133" s="138">
        <v>9008</v>
      </c>
      <c r="E133" s="138">
        <v>11128</v>
      </c>
      <c r="F133" s="138">
        <f t="shared" si="0"/>
        <v>482485.63809523819</v>
      </c>
      <c r="G133" s="138">
        <f t="shared" si="0"/>
        <v>843661.37142857141</v>
      </c>
    </row>
    <row r="134" spans="1:7" x14ac:dyDescent="0.25">
      <c r="A134" s="139" t="str">
        <f>A66</f>
        <v>Pingyuan Zhongshi swine Farm</v>
      </c>
      <c r="B134" s="146">
        <f>AVERAGE(B69:D85)</f>
        <v>54.468627450980392</v>
      </c>
      <c r="C134" s="146">
        <f>AVERAGE(E69:G83)</f>
        <v>72.90000000000002</v>
      </c>
      <c r="D134" s="138">
        <v>25713</v>
      </c>
      <c r="E134" s="138">
        <v>22735</v>
      </c>
      <c r="F134" s="138">
        <f t="shared" si="0"/>
        <v>1400551.8176470587</v>
      </c>
      <c r="G134" s="138">
        <f t="shared" si="0"/>
        <v>1657381.5000000005</v>
      </c>
    </row>
    <row r="135" spans="1:7" x14ac:dyDescent="0.25">
      <c r="A135" s="139" t="str">
        <f>A86</f>
        <v>Yangchun Tanshui swine Farm</v>
      </c>
      <c r="B135" s="146">
        <f>AVERAGE(B89:D106)</f>
        <v>57.023076923076914</v>
      </c>
      <c r="C135" s="146">
        <f>AVERAGE(E89:G95)</f>
        <v>74.838095238095235</v>
      </c>
      <c r="D135" s="138">
        <v>26456</v>
      </c>
      <c r="E135" s="138">
        <v>11336</v>
      </c>
      <c r="F135" s="138">
        <f t="shared" si="0"/>
        <v>1508602.5230769229</v>
      </c>
      <c r="G135" s="138">
        <f t="shared" si="0"/>
        <v>848364.64761904755</v>
      </c>
    </row>
    <row r="136" spans="1:7" x14ac:dyDescent="0.25">
      <c r="A136" s="139" t="str">
        <f>A107</f>
        <v>Xinfeng Shatian swine Farm</v>
      </c>
      <c r="B136" s="146">
        <f>AVERAGE(B110:D112)</f>
        <v>62.883333333333333</v>
      </c>
      <c r="C136" s="146">
        <f>AVERAGE(E110:G112)</f>
        <v>80.588888888888889</v>
      </c>
      <c r="D136" s="138">
        <v>1907</v>
      </c>
      <c r="E136" s="138">
        <v>3688</v>
      </c>
      <c r="F136" s="138">
        <f t="shared" si="0"/>
        <v>119918.51666666666</v>
      </c>
      <c r="G136" s="138">
        <f t="shared" si="0"/>
        <v>297211.82222222222</v>
      </c>
    </row>
    <row r="137" spans="1:7" x14ac:dyDescent="0.25">
      <c r="A137" s="139" t="str">
        <f>A113</f>
        <v>Kaiping Cangcheng swine Farm</v>
      </c>
      <c r="B137" s="146">
        <f>AVERAGE(B116:D119)</f>
        <v>52.416666666666679</v>
      </c>
      <c r="C137" s="146">
        <f>AVERAGE(E116:G124)</f>
        <v>74.92962962962963</v>
      </c>
      <c r="D137" s="138">
        <v>5732</v>
      </c>
      <c r="E137" s="138">
        <v>13606</v>
      </c>
      <c r="F137" s="138">
        <f t="shared" si="0"/>
        <v>300452.33333333337</v>
      </c>
      <c r="G137" s="138">
        <f t="shared" si="0"/>
        <v>1019492.5407407407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93454</v>
      </c>
      <c r="F138" s="138">
        <f t="shared" ref="F138:G138" si="1">SUM(F129:F137)</f>
        <v>7186430.433146704</v>
      </c>
      <c r="G138" s="138">
        <f t="shared" si="1"/>
        <v>6920429.0097883595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56.3</v>
      </c>
      <c r="D142" s="148">
        <f>ROUNDDOWN(G138/E138,1)</f>
        <v>74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9"/>
  <sheetViews>
    <sheetView zoomScale="80" zoomScaleNormal="80" workbookViewId="0">
      <selection activeCell="E16" sqref="E16"/>
    </sheetView>
  </sheetViews>
  <sheetFormatPr defaultRowHeight="13.5" x14ac:dyDescent="0.25"/>
  <cols>
    <col min="1" max="2" width="8.7265625" style="16"/>
    <col min="3" max="3" width="28.36328125" style="16" customWidth="1"/>
    <col min="4" max="4" width="69.08984375" style="16" bestFit="1" customWidth="1"/>
    <col min="5" max="5" width="23.90625" style="16" customWidth="1"/>
    <col min="6" max="6" width="18.7265625" style="16" customWidth="1"/>
    <col min="7" max="7" width="14.81640625" style="16" customWidth="1"/>
    <col min="8" max="8" width="8.7265625" style="16"/>
    <col min="9" max="9" width="10.6328125" style="16" bestFit="1" customWidth="1"/>
    <col min="10" max="16384" width="8.7265625" style="16"/>
  </cols>
  <sheetData>
    <row r="3" spans="2:6" x14ac:dyDescent="0.25">
      <c r="B3" s="379" t="s">
        <v>130</v>
      </c>
      <c r="C3" s="17" t="s">
        <v>116</v>
      </c>
      <c r="D3" s="17" t="s">
        <v>322</v>
      </c>
    </row>
    <row r="4" spans="2:6" x14ac:dyDescent="0.25">
      <c r="B4" s="380"/>
      <c r="C4" s="18" t="str">
        <f>'Emission Reduction'!B5</f>
        <v>01/04/2022-31/12/2022</v>
      </c>
      <c r="D4" s="18">
        <f>SUM('monitoring results'!C55:C63)</f>
        <v>14841063.439999999</v>
      </c>
      <c r="F4" s="19"/>
    </row>
    <row r="5" spans="2:6" x14ac:dyDescent="0.25">
      <c r="B5" s="380"/>
      <c r="C5" s="18" t="str">
        <f>'Emission Reduction'!B6</f>
        <v>01/01/2023-31/03/2023</v>
      </c>
      <c r="D5" s="18">
        <f>SUM('monitoring results'!C64:C66)</f>
        <v>4984911.24</v>
      </c>
      <c r="F5" s="19"/>
    </row>
    <row r="6" spans="2:6" x14ac:dyDescent="0.25">
      <c r="B6" s="380"/>
      <c r="C6" s="18" t="s">
        <v>367</v>
      </c>
      <c r="D6" s="18">
        <f>SUM('monitoring results'!C55:C66)</f>
        <v>19825974.68</v>
      </c>
      <c r="F6" s="19"/>
    </row>
    <row r="9" spans="2:6" x14ac:dyDescent="0.25">
      <c r="B9" s="379" t="s">
        <v>117</v>
      </c>
      <c r="C9" s="17" t="s">
        <v>116</v>
      </c>
      <c r="D9" s="17" t="s">
        <v>131</v>
      </c>
    </row>
    <row r="10" spans="2:6" ht="14" x14ac:dyDescent="0.25">
      <c r="B10" s="380"/>
      <c r="C10" s="18" t="str">
        <f>C4</f>
        <v>01/04/2022-31/12/2022</v>
      </c>
      <c r="D10" s="20" t="s">
        <v>161</v>
      </c>
    </row>
    <row r="11" spans="2:6" x14ac:dyDescent="0.25">
      <c r="B11" s="380"/>
      <c r="C11" s="18" t="str">
        <f>C5</f>
        <v>01/01/2023-31/03/2023</v>
      </c>
      <c r="D11" s="20" t="str">
        <f>D10</f>
        <v>18 full time jobs created，including 9 females and 9 males</v>
      </c>
    </row>
    <row r="12" spans="2:6" x14ac:dyDescent="0.25">
      <c r="B12" s="380"/>
      <c r="C12" s="18" t="str">
        <f>C6</f>
        <v>01/04/2022-31/03/2023</v>
      </c>
      <c r="D12" s="20" t="str">
        <f>D11</f>
        <v>18 full time jobs created，including 9 females and 9 males</v>
      </c>
    </row>
    <row r="16" spans="2:6" ht="38.5" customHeight="1" x14ac:dyDescent="0.25">
      <c r="B16" s="379" t="s">
        <v>118</v>
      </c>
      <c r="C16" s="17" t="s">
        <v>116</v>
      </c>
      <c r="D16" s="26" t="s">
        <v>132</v>
      </c>
    </row>
    <row r="17" spans="2:9" x14ac:dyDescent="0.25">
      <c r="B17" s="380"/>
      <c r="C17" s="18" t="str">
        <f>C10</f>
        <v>01/04/2022-31/12/2022</v>
      </c>
      <c r="D17" s="21">
        <f>'Emission Reduction'!F5</f>
        <v>152045</v>
      </c>
    </row>
    <row r="18" spans="2:9" x14ac:dyDescent="0.25">
      <c r="B18" s="380"/>
      <c r="C18" s="18" t="str">
        <f>C11</f>
        <v>01/01/2023-31/03/2023</v>
      </c>
      <c r="D18" s="21">
        <f>'Emission Reduction'!F6</f>
        <v>49423</v>
      </c>
    </row>
    <row r="19" spans="2:9" x14ac:dyDescent="0.25">
      <c r="B19" s="380"/>
      <c r="C19" s="18" t="str">
        <f>C12</f>
        <v>01/04/2022-31/03/2023</v>
      </c>
      <c r="D19" s="21">
        <f>'Emission Reduction'!F7</f>
        <v>201468</v>
      </c>
    </row>
    <row r="21" spans="2:9" x14ac:dyDescent="0.25">
      <c r="I21" s="22"/>
    </row>
    <row r="24" spans="2:9" x14ac:dyDescent="0.25">
      <c r="I24" s="23"/>
    </row>
    <row r="25" spans="2:9" x14ac:dyDescent="0.25">
      <c r="I25" s="24"/>
    </row>
    <row r="28" spans="2:9" x14ac:dyDescent="0.25">
      <c r="F28" s="23"/>
    </row>
    <row r="29" spans="2:9" x14ac:dyDescent="0.25">
      <c r="G29" s="25"/>
    </row>
  </sheetData>
  <mergeCells count="3">
    <mergeCell ref="B3:B6"/>
    <mergeCell ref="B9:B12"/>
    <mergeCell ref="B16:B19"/>
  </mergeCells>
  <phoneticPr fontId="1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D7EE-433E-4436-A345-ABD1888CBDAD}">
  <dimension ref="A1:G142"/>
  <sheetViews>
    <sheetView topLeftCell="A73" workbookViewId="0">
      <selection activeCell="D133" sqref="D133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x14ac:dyDescent="0.25">
      <c r="A2" s="530" t="s">
        <v>344</v>
      </c>
      <c r="B2" s="530"/>
      <c r="C2" s="530"/>
      <c r="D2" s="530"/>
      <c r="E2" s="530"/>
      <c r="F2" s="530"/>
      <c r="G2" s="530"/>
    </row>
    <row r="3" spans="1:7" ht="14.5" x14ac:dyDescent="0.3">
      <c r="A3" s="137"/>
      <c r="B3" s="531" t="s">
        <v>345</v>
      </c>
      <c r="C3" s="531"/>
      <c r="D3" s="531"/>
      <c r="E3" s="531" t="s">
        <v>346</v>
      </c>
      <c r="F3" s="531"/>
      <c r="G3" s="531"/>
    </row>
    <row r="4" spans="1:7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x14ac:dyDescent="0.25">
      <c r="A5" s="138">
        <v>1</v>
      </c>
      <c r="B5" s="140">
        <v>16.100000000000001</v>
      </c>
      <c r="C5" s="140">
        <v>68.599999999999994</v>
      </c>
      <c r="D5" s="140">
        <v>88.7</v>
      </c>
      <c r="E5" s="140">
        <v>58</v>
      </c>
      <c r="F5" s="140">
        <v>88</v>
      </c>
      <c r="G5" s="140">
        <v>102.6</v>
      </c>
    </row>
    <row r="6" spans="1:7" x14ac:dyDescent="0.25">
      <c r="A6" s="138">
        <v>2</v>
      </c>
      <c r="B6" s="140">
        <v>29.5</v>
      </c>
      <c r="C6" s="140">
        <v>46.7</v>
      </c>
      <c r="D6" s="140">
        <v>92.4</v>
      </c>
      <c r="E6" s="140">
        <v>54.3</v>
      </c>
      <c r="F6" s="140">
        <v>66.099999999999994</v>
      </c>
      <c r="G6" s="140">
        <v>99.8</v>
      </c>
    </row>
    <row r="7" spans="1:7" ht="14.5" thickBot="1" x14ac:dyDescent="0.3">
      <c r="A7" s="141">
        <v>3</v>
      </c>
      <c r="B7" s="142"/>
      <c r="C7" s="142"/>
      <c r="D7" s="142"/>
      <c r="E7" s="142">
        <v>34.200000000000003</v>
      </c>
      <c r="F7" s="142">
        <v>63.7</v>
      </c>
      <c r="G7" s="142">
        <v>119.2</v>
      </c>
    </row>
    <row r="8" spans="1:7" ht="14.5" thickTop="1" x14ac:dyDescent="0.25">
      <c r="A8" s="532" t="s">
        <v>354</v>
      </c>
      <c r="B8" s="532"/>
      <c r="C8" s="532"/>
      <c r="D8" s="532"/>
      <c r="E8" s="532"/>
      <c r="F8" s="532"/>
      <c r="G8" s="532"/>
    </row>
    <row r="9" spans="1:7" ht="14.5" x14ac:dyDescent="0.3">
      <c r="A9" s="137"/>
      <c r="B9" s="531" t="s">
        <v>345</v>
      </c>
      <c r="C9" s="531"/>
      <c r="D9" s="531"/>
      <c r="E9" s="531" t="s">
        <v>346</v>
      </c>
      <c r="F9" s="531"/>
      <c r="G9" s="531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15.2</v>
      </c>
      <c r="C11" s="140">
        <v>50.3</v>
      </c>
      <c r="D11" s="140">
        <v>102.9</v>
      </c>
      <c r="E11" s="140">
        <v>44</v>
      </c>
      <c r="F11" s="140">
        <v>63.4</v>
      </c>
      <c r="G11" s="140">
        <v>110.2</v>
      </c>
    </row>
    <row r="12" spans="1:7" x14ac:dyDescent="0.25">
      <c r="A12" s="138">
        <v>2</v>
      </c>
      <c r="B12" s="140">
        <v>22.3</v>
      </c>
      <c r="C12" s="140">
        <v>67.400000000000006</v>
      </c>
      <c r="D12" s="140">
        <v>96.9</v>
      </c>
      <c r="E12" s="140"/>
      <c r="F12" s="140"/>
      <c r="G12" s="140"/>
    </row>
    <row r="13" spans="1:7" x14ac:dyDescent="0.25">
      <c r="A13" s="138">
        <v>3</v>
      </c>
      <c r="B13" s="140">
        <v>31.8</v>
      </c>
      <c r="C13" s="140">
        <v>59.6</v>
      </c>
      <c r="D13" s="140">
        <v>89.6</v>
      </c>
      <c r="E13" s="139"/>
      <c r="F13" s="139"/>
      <c r="G13" s="139"/>
    </row>
    <row r="14" spans="1:7" x14ac:dyDescent="0.25">
      <c r="A14" s="138">
        <v>4</v>
      </c>
      <c r="B14" s="140">
        <v>25.5</v>
      </c>
      <c r="C14" s="140">
        <v>74.099999999999994</v>
      </c>
      <c r="D14" s="140">
        <v>76.2</v>
      </c>
      <c r="E14" s="139"/>
      <c r="F14" s="139"/>
      <c r="G14" s="139"/>
    </row>
    <row r="15" spans="1:7" ht="14.5" thickBot="1" x14ac:dyDescent="0.3">
      <c r="A15" s="141">
        <v>5</v>
      </c>
      <c r="B15" s="142">
        <v>16</v>
      </c>
      <c r="C15" s="142">
        <v>49.4</v>
      </c>
      <c r="D15" s="142">
        <v>97.6</v>
      </c>
      <c r="E15" s="142"/>
      <c r="F15" s="142"/>
      <c r="G15" s="142"/>
    </row>
    <row r="16" spans="1:7" ht="14.5" thickTop="1" x14ac:dyDescent="0.25">
      <c r="A16" s="530" t="s">
        <v>355</v>
      </c>
      <c r="B16" s="530"/>
      <c r="C16" s="530"/>
      <c r="D16" s="530"/>
      <c r="E16" s="530"/>
      <c r="F16" s="530"/>
      <c r="G16" s="530"/>
    </row>
    <row r="17" spans="1:7" ht="14.5" x14ac:dyDescent="0.3">
      <c r="A17" s="137"/>
      <c r="B17" s="531" t="s">
        <v>345</v>
      </c>
      <c r="C17" s="531"/>
      <c r="D17" s="531"/>
      <c r="E17" s="531" t="s">
        <v>346</v>
      </c>
      <c r="F17" s="531"/>
      <c r="G17" s="531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30.8</v>
      </c>
      <c r="C19" s="140">
        <v>59.7</v>
      </c>
      <c r="D19" s="140">
        <v>77</v>
      </c>
      <c r="E19" s="140">
        <v>28.8</v>
      </c>
      <c r="F19" s="140">
        <v>79.5</v>
      </c>
      <c r="G19" s="140">
        <v>91.7</v>
      </c>
    </row>
    <row r="20" spans="1:7" x14ac:dyDescent="0.25">
      <c r="A20" s="138">
        <v>2</v>
      </c>
      <c r="B20" s="140">
        <v>24.9</v>
      </c>
      <c r="C20" s="140">
        <v>37</v>
      </c>
      <c r="D20" s="140">
        <v>98.6</v>
      </c>
      <c r="E20" s="140">
        <v>46.2</v>
      </c>
      <c r="F20" s="140">
        <v>67.2</v>
      </c>
      <c r="G20" s="140">
        <v>91.6</v>
      </c>
    </row>
    <row r="21" spans="1:7" x14ac:dyDescent="0.25">
      <c r="A21" s="138">
        <v>3</v>
      </c>
      <c r="B21" s="140">
        <v>26</v>
      </c>
      <c r="C21" s="140">
        <v>52</v>
      </c>
      <c r="D21" s="140">
        <v>82.5</v>
      </c>
      <c r="E21" s="140">
        <v>54.2</v>
      </c>
      <c r="F21" s="140">
        <v>68.099999999999994</v>
      </c>
      <c r="G21" s="140">
        <v>102.3</v>
      </c>
    </row>
    <row r="22" spans="1:7" x14ac:dyDescent="0.25">
      <c r="A22" s="138">
        <v>4</v>
      </c>
      <c r="B22" s="140">
        <v>28.6</v>
      </c>
      <c r="C22" s="140">
        <v>58.7</v>
      </c>
      <c r="D22" s="140">
        <v>105.7</v>
      </c>
      <c r="E22" s="140">
        <v>47.8</v>
      </c>
      <c r="F22" s="140">
        <v>68.099999999999994</v>
      </c>
      <c r="G22" s="140">
        <v>109.3</v>
      </c>
    </row>
    <row r="23" spans="1:7" x14ac:dyDescent="0.25">
      <c r="A23" s="138">
        <v>5</v>
      </c>
      <c r="B23" s="140">
        <v>20</v>
      </c>
      <c r="C23" s="140">
        <v>55.4</v>
      </c>
      <c r="D23" s="140">
        <v>103.5</v>
      </c>
      <c r="E23" s="140">
        <v>45.1</v>
      </c>
      <c r="F23" s="140">
        <v>89.3</v>
      </c>
      <c r="G23" s="140">
        <v>105.3</v>
      </c>
    </row>
    <row r="24" spans="1:7" x14ac:dyDescent="0.25">
      <c r="A24" s="138">
        <v>6</v>
      </c>
      <c r="B24" s="140">
        <v>29.2</v>
      </c>
      <c r="C24" s="140">
        <v>56.3</v>
      </c>
      <c r="D24" s="140">
        <v>107.9</v>
      </c>
      <c r="E24" s="140">
        <v>37.1</v>
      </c>
      <c r="F24" s="140">
        <v>63.7</v>
      </c>
      <c r="G24" s="140">
        <v>103.4</v>
      </c>
    </row>
    <row r="25" spans="1:7" x14ac:dyDescent="0.25">
      <c r="A25" s="138">
        <v>7</v>
      </c>
      <c r="B25" s="140">
        <v>31.6</v>
      </c>
      <c r="C25" s="140">
        <v>70.5</v>
      </c>
      <c r="D25" s="140">
        <v>92.4</v>
      </c>
      <c r="E25" s="140">
        <v>44.5</v>
      </c>
      <c r="F25" s="140">
        <v>79.400000000000006</v>
      </c>
      <c r="G25" s="140">
        <v>104.5</v>
      </c>
    </row>
    <row r="26" spans="1:7" x14ac:dyDescent="0.25">
      <c r="A26" s="138">
        <v>8</v>
      </c>
      <c r="B26" s="140">
        <v>27.5</v>
      </c>
      <c r="C26" s="140">
        <v>69.400000000000006</v>
      </c>
      <c r="D26" s="140">
        <v>92.1</v>
      </c>
      <c r="E26" s="140">
        <v>34.299999999999997</v>
      </c>
      <c r="F26" s="140">
        <v>71.2</v>
      </c>
      <c r="G26" s="140">
        <v>108.2</v>
      </c>
    </row>
    <row r="27" spans="1:7" x14ac:dyDescent="0.25">
      <c r="A27" s="138">
        <v>9</v>
      </c>
      <c r="B27" s="140">
        <v>23.4</v>
      </c>
      <c r="C27" s="140">
        <v>45.7</v>
      </c>
      <c r="D27" s="140">
        <v>80.7</v>
      </c>
      <c r="E27" s="140">
        <v>44.8</v>
      </c>
      <c r="F27" s="140">
        <v>85.6</v>
      </c>
      <c r="G27" s="140">
        <v>90.1</v>
      </c>
    </row>
    <row r="28" spans="1:7" x14ac:dyDescent="0.25">
      <c r="A28" s="138">
        <v>10</v>
      </c>
      <c r="B28" s="140">
        <v>33.200000000000003</v>
      </c>
      <c r="C28" s="140">
        <v>64.3</v>
      </c>
      <c r="D28" s="140">
        <v>109.4</v>
      </c>
      <c r="E28" s="140">
        <v>32.299999999999997</v>
      </c>
      <c r="F28" s="140">
        <v>64.2</v>
      </c>
      <c r="G28" s="140">
        <v>98.4</v>
      </c>
    </row>
    <row r="29" spans="1:7" x14ac:dyDescent="0.25">
      <c r="A29" s="138">
        <v>11</v>
      </c>
      <c r="B29" s="140">
        <v>17.899999999999999</v>
      </c>
      <c r="C29" s="140">
        <v>65.099999999999994</v>
      </c>
      <c r="D29" s="140">
        <v>81</v>
      </c>
      <c r="E29" s="140"/>
      <c r="F29" s="140"/>
      <c r="G29" s="140"/>
    </row>
    <row r="30" spans="1:7" x14ac:dyDescent="0.25">
      <c r="A30" s="138">
        <v>12</v>
      </c>
      <c r="B30" s="140">
        <v>21.4</v>
      </c>
      <c r="C30" s="140">
        <v>39.1</v>
      </c>
      <c r="D30" s="140">
        <v>96.2</v>
      </c>
      <c r="E30" s="140"/>
      <c r="F30" s="140"/>
      <c r="G30" s="140"/>
    </row>
    <row r="31" spans="1:7" x14ac:dyDescent="0.25">
      <c r="A31" s="138">
        <v>13</v>
      </c>
      <c r="B31" s="140">
        <v>22.7</v>
      </c>
      <c r="C31" s="140">
        <v>50.7</v>
      </c>
      <c r="D31" s="140">
        <v>105.6</v>
      </c>
      <c r="E31" s="140"/>
      <c r="F31" s="140"/>
      <c r="G31" s="140"/>
    </row>
    <row r="32" spans="1:7" x14ac:dyDescent="0.25">
      <c r="A32" s="138">
        <v>14</v>
      </c>
      <c r="B32" s="140">
        <v>18.399999999999999</v>
      </c>
      <c r="C32" s="140">
        <v>65.2</v>
      </c>
      <c r="D32" s="140">
        <v>100.2</v>
      </c>
      <c r="E32" s="140"/>
      <c r="F32" s="140"/>
      <c r="G32" s="140"/>
    </row>
    <row r="33" spans="1:7" ht="14.5" thickBot="1" x14ac:dyDescent="0.3">
      <c r="A33" s="143">
        <v>15</v>
      </c>
      <c r="B33" s="142">
        <v>34.1</v>
      </c>
      <c r="C33" s="142">
        <v>58.9</v>
      </c>
      <c r="D33" s="142">
        <v>97.7</v>
      </c>
      <c r="E33" s="142"/>
      <c r="F33" s="142"/>
      <c r="G33" s="142"/>
    </row>
    <row r="34" spans="1:7" ht="14.5" thickTop="1" x14ac:dyDescent="0.25">
      <c r="A34" s="530" t="s">
        <v>356</v>
      </c>
      <c r="B34" s="530"/>
      <c r="C34" s="530"/>
      <c r="D34" s="530"/>
      <c r="E34" s="530"/>
      <c r="F34" s="530"/>
      <c r="G34" s="530"/>
    </row>
    <row r="35" spans="1:7" ht="14.5" x14ac:dyDescent="0.3">
      <c r="A35" s="137"/>
      <c r="B35" s="531" t="s">
        <v>345</v>
      </c>
      <c r="C35" s="531"/>
      <c r="D35" s="531"/>
      <c r="E35" s="531" t="s">
        <v>346</v>
      </c>
      <c r="F35" s="531"/>
      <c r="G35" s="531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15.4</v>
      </c>
      <c r="C37" s="140">
        <v>40.4</v>
      </c>
      <c r="D37" s="140">
        <v>89</v>
      </c>
      <c r="E37" s="140">
        <v>57.3</v>
      </c>
      <c r="F37" s="140">
        <v>62.1</v>
      </c>
      <c r="G37" s="140">
        <v>116.2</v>
      </c>
    </row>
    <row r="38" spans="1:7" x14ac:dyDescent="0.25">
      <c r="A38" s="138">
        <v>2</v>
      </c>
      <c r="B38" s="140">
        <v>29</v>
      </c>
      <c r="C38" s="140">
        <v>57.5</v>
      </c>
      <c r="D38" s="140">
        <v>105.9</v>
      </c>
      <c r="E38" s="140">
        <v>25.7</v>
      </c>
      <c r="F38" s="140">
        <v>88.8</v>
      </c>
      <c r="G38" s="140">
        <v>104.9</v>
      </c>
    </row>
    <row r="39" spans="1:7" x14ac:dyDescent="0.25">
      <c r="A39" s="138">
        <v>3</v>
      </c>
      <c r="B39" s="140">
        <v>16.2</v>
      </c>
      <c r="C39" s="140">
        <v>55</v>
      </c>
      <c r="D39" s="140">
        <v>94.9</v>
      </c>
      <c r="E39" s="140">
        <v>38.299999999999997</v>
      </c>
      <c r="F39" s="140">
        <v>63.1</v>
      </c>
      <c r="G39" s="140">
        <v>114.1</v>
      </c>
    </row>
    <row r="40" spans="1:7" x14ac:dyDescent="0.25">
      <c r="A40" s="138">
        <v>4</v>
      </c>
      <c r="B40" s="140">
        <v>23.9</v>
      </c>
      <c r="C40" s="140">
        <v>59.5</v>
      </c>
      <c r="D40" s="140">
        <v>84.3</v>
      </c>
      <c r="E40" s="140">
        <v>43.1</v>
      </c>
      <c r="F40" s="140">
        <v>82.5</v>
      </c>
      <c r="G40" s="140">
        <v>92.6</v>
      </c>
    </row>
    <row r="41" spans="1:7" x14ac:dyDescent="0.25">
      <c r="A41" s="138">
        <v>5</v>
      </c>
      <c r="B41" s="140">
        <v>16.3</v>
      </c>
      <c r="C41" s="140">
        <v>53.8</v>
      </c>
      <c r="D41" s="140">
        <v>104.1</v>
      </c>
      <c r="E41" s="140">
        <v>37.6</v>
      </c>
      <c r="F41" s="140">
        <v>79.900000000000006</v>
      </c>
      <c r="G41" s="140">
        <v>90.5</v>
      </c>
    </row>
    <row r="42" spans="1:7" x14ac:dyDescent="0.25">
      <c r="A42" s="138">
        <v>6</v>
      </c>
      <c r="B42" s="140">
        <v>15.9</v>
      </c>
      <c r="C42" s="140">
        <v>42.4</v>
      </c>
      <c r="D42" s="140">
        <v>82.8</v>
      </c>
      <c r="E42" s="140">
        <v>52.9</v>
      </c>
      <c r="F42" s="140">
        <v>82.2</v>
      </c>
      <c r="G42" s="140">
        <v>107.2</v>
      </c>
    </row>
    <row r="43" spans="1:7" x14ac:dyDescent="0.25">
      <c r="A43" s="138">
        <v>7</v>
      </c>
      <c r="B43" s="140">
        <v>33.299999999999997</v>
      </c>
      <c r="C43" s="140">
        <v>56.7</v>
      </c>
      <c r="D43" s="140">
        <v>87.4</v>
      </c>
      <c r="E43" s="140">
        <v>45.8</v>
      </c>
      <c r="F43" s="140">
        <v>75.3</v>
      </c>
      <c r="G43" s="140">
        <v>109.4</v>
      </c>
    </row>
    <row r="44" spans="1:7" x14ac:dyDescent="0.25">
      <c r="A44" s="138">
        <v>8</v>
      </c>
      <c r="B44" s="140">
        <v>16</v>
      </c>
      <c r="C44" s="140">
        <v>72.7</v>
      </c>
      <c r="D44" s="140">
        <v>99.8</v>
      </c>
      <c r="E44" s="139"/>
      <c r="F44" s="139"/>
      <c r="G44" s="139"/>
    </row>
    <row r="45" spans="1:7" x14ac:dyDescent="0.25">
      <c r="A45" s="138">
        <v>9</v>
      </c>
      <c r="B45" s="140">
        <v>24</v>
      </c>
      <c r="C45" s="140">
        <v>56.9</v>
      </c>
      <c r="D45" s="140">
        <v>108</v>
      </c>
      <c r="E45" s="139"/>
      <c r="F45" s="139"/>
      <c r="G45" s="139"/>
    </row>
    <row r="46" spans="1:7" x14ac:dyDescent="0.25">
      <c r="A46" s="138">
        <v>10</v>
      </c>
      <c r="B46" s="140">
        <v>32.6</v>
      </c>
      <c r="C46" s="140">
        <v>60.1</v>
      </c>
      <c r="D46" s="140">
        <v>87.5</v>
      </c>
      <c r="E46" s="139"/>
      <c r="F46" s="139"/>
      <c r="G46" s="139"/>
    </row>
    <row r="47" spans="1:7" x14ac:dyDescent="0.25">
      <c r="A47" s="138">
        <v>11</v>
      </c>
      <c r="B47" s="140">
        <v>32.700000000000003</v>
      </c>
      <c r="C47" s="140">
        <v>52.1</v>
      </c>
      <c r="D47" s="140">
        <v>98.8</v>
      </c>
      <c r="E47" s="139"/>
      <c r="F47" s="139"/>
      <c r="G47" s="139"/>
    </row>
    <row r="48" spans="1:7" x14ac:dyDescent="0.25">
      <c r="A48" s="138">
        <v>12</v>
      </c>
      <c r="B48" s="140">
        <v>15</v>
      </c>
      <c r="C48" s="140">
        <v>55.1</v>
      </c>
      <c r="D48" s="140">
        <v>96.4</v>
      </c>
      <c r="E48" s="139"/>
      <c r="F48" s="139"/>
      <c r="G48" s="139"/>
    </row>
    <row r="49" spans="1:7" x14ac:dyDescent="0.25">
      <c r="A49" s="138">
        <v>13</v>
      </c>
      <c r="B49" s="140">
        <v>33.799999999999997</v>
      </c>
      <c r="C49" s="140">
        <v>40.9</v>
      </c>
      <c r="D49" s="140">
        <v>75.8</v>
      </c>
      <c r="E49" s="139"/>
      <c r="F49" s="139"/>
      <c r="G49" s="139"/>
    </row>
    <row r="50" spans="1:7" x14ac:dyDescent="0.25">
      <c r="A50" s="138">
        <v>14</v>
      </c>
      <c r="B50" s="140">
        <v>22.5</v>
      </c>
      <c r="C50" s="140">
        <v>41.4</v>
      </c>
      <c r="D50" s="140">
        <v>81.400000000000006</v>
      </c>
      <c r="E50" s="139"/>
      <c r="F50" s="139"/>
      <c r="G50" s="139"/>
    </row>
    <row r="51" spans="1:7" x14ac:dyDescent="0.25">
      <c r="A51" s="138">
        <v>15</v>
      </c>
      <c r="B51" s="140">
        <v>22.3</v>
      </c>
      <c r="C51" s="140">
        <v>71.5</v>
      </c>
      <c r="D51" s="140">
        <v>103.4</v>
      </c>
      <c r="E51" s="139"/>
      <c r="F51" s="139"/>
      <c r="G51" s="139"/>
    </row>
    <row r="52" spans="1:7" x14ac:dyDescent="0.25">
      <c r="A52" s="138">
        <v>16</v>
      </c>
      <c r="B52" s="140">
        <v>34.299999999999997</v>
      </c>
      <c r="C52" s="140">
        <v>47.8</v>
      </c>
      <c r="D52" s="140">
        <v>83</v>
      </c>
      <c r="E52" s="139"/>
      <c r="F52" s="139"/>
      <c r="G52" s="139"/>
    </row>
    <row r="53" spans="1:7" x14ac:dyDescent="0.25">
      <c r="A53" s="138">
        <v>17</v>
      </c>
      <c r="B53" s="140">
        <v>16.899999999999999</v>
      </c>
      <c r="C53" s="140">
        <v>52.6</v>
      </c>
      <c r="D53" s="140">
        <v>90.3</v>
      </c>
      <c r="E53" s="139"/>
      <c r="F53" s="139"/>
      <c r="G53" s="139"/>
    </row>
    <row r="54" spans="1:7" x14ac:dyDescent="0.25">
      <c r="A54" s="138">
        <v>18</v>
      </c>
      <c r="B54" s="140">
        <v>20.8</v>
      </c>
      <c r="C54" s="140">
        <v>57.7</v>
      </c>
      <c r="D54" s="140">
        <v>77.599999999999994</v>
      </c>
      <c r="E54" s="139"/>
      <c r="F54" s="139"/>
      <c r="G54" s="139"/>
    </row>
    <row r="55" spans="1:7" ht="14.5" thickBot="1" x14ac:dyDescent="0.3">
      <c r="A55" s="141">
        <v>19</v>
      </c>
      <c r="B55" s="142">
        <v>33.4</v>
      </c>
      <c r="C55" s="142">
        <v>45.4</v>
      </c>
      <c r="D55" s="142">
        <v>105.1</v>
      </c>
      <c r="E55" s="142"/>
      <c r="F55" s="142"/>
      <c r="G55" s="142"/>
    </row>
    <row r="56" spans="1:7" ht="14.5" thickTop="1" x14ac:dyDescent="0.25">
      <c r="A56" s="530" t="s">
        <v>357</v>
      </c>
      <c r="B56" s="530"/>
      <c r="C56" s="530"/>
      <c r="D56" s="530"/>
      <c r="E56" s="530"/>
      <c r="F56" s="530"/>
      <c r="G56" s="530"/>
    </row>
    <row r="57" spans="1:7" ht="14.5" x14ac:dyDescent="0.3">
      <c r="A57" s="137"/>
      <c r="B57" s="531" t="s">
        <v>345</v>
      </c>
      <c r="C57" s="531"/>
      <c r="D57" s="531"/>
      <c r="E57" s="531" t="s">
        <v>346</v>
      </c>
      <c r="F57" s="531"/>
      <c r="G57" s="531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28.4</v>
      </c>
      <c r="C59" s="140">
        <v>60.6</v>
      </c>
      <c r="D59" s="140">
        <v>104</v>
      </c>
      <c r="E59" s="140">
        <v>40.9</v>
      </c>
      <c r="F59" s="140">
        <v>63.3</v>
      </c>
      <c r="G59" s="140">
        <v>90.1</v>
      </c>
    </row>
    <row r="60" spans="1:7" x14ac:dyDescent="0.25">
      <c r="A60" s="138">
        <v>2</v>
      </c>
      <c r="B60" s="140">
        <v>18.3</v>
      </c>
      <c r="C60" s="140">
        <v>74.5</v>
      </c>
      <c r="D60" s="140">
        <v>92.7</v>
      </c>
      <c r="E60" s="140">
        <v>58.1</v>
      </c>
      <c r="F60" s="140">
        <v>85.6</v>
      </c>
      <c r="G60" s="140">
        <v>99.1</v>
      </c>
    </row>
    <row r="61" spans="1:7" x14ac:dyDescent="0.25">
      <c r="A61" s="138">
        <v>3</v>
      </c>
      <c r="B61" s="140">
        <v>15.9</v>
      </c>
      <c r="C61" s="140">
        <v>68.2</v>
      </c>
      <c r="D61" s="140">
        <v>89.1</v>
      </c>
      <c r="E61" s="140">
        <v>32.200000000000003</v>
      </c>
      <c r="F61" s="140">
        <v>81.7</v>
      </c>
      <c r="G61" s="140">
        <v>114.1</v>
      </c>
    </row>
    <row r="62" spans="1:7" x14ac:dyDescent="0.25">
      <c r="A62" s="138">
        <v>4</v>
      </c>
      <c r="B62" s="140">
        <v>20.3</v>
      </c>
      <c r="C62" s="140">
        <v>48.2</v>
      </c>
      <c r="D62" s="140">
        <v>86</v>
      </c>
      <c r="E62" s="140">
        <v>59.2</v>
      </c>
      <c r="F62" s="140">
        <v>61.7</v>
      </c>
      <c r="G62" s="140">
        <v>117.8</v>
      </c>
    </row>
    <row r="63" spans="1:7" x14ac:dyDescent="0.25">
      <c r="A63" s="138">
        <v>5</v>
      </c>
      <c r="B63" s="140">
        <v>16.100000000000001</v>
      </c>
      <c r="C63" s="140">
        <v>48.4</v>
      </c>
      <c r="D63" s="140">
        <v>108.5</v>
      </c>
      <c r="E63" s="140">
        <v>37</v>
      </c>
      <c r="F63" s="140">
        <v>75.5</v>
      </c>
      <c r="G63" s="140">
        <v>96.1</v>
      </c>
    </row>
    <row r="64" spans="1:7" x14ac:dyDescent="0.25">
      <c r="A64" s="144">
        <v>6</v>
      </c>
      <c r="B64" s="140">
        <v>18.2</v>
      </c>
      <c r="C64" s="140">
        <v>57.4</v>
      </c>
      <c r="D64" s="140">
        <v>95.7</v>
      </c>
      <c r="E64" s="140">
        <v>39.200000000000003</v>
      </c>
      <c r="F64" s="140">
        <v>87.1</v>
      </c>
      <c r="G64" s="140">
        <v>97.5</v>
      </c>
    </row>
    <row r="65" spans="1:7" ht="14.5" thickBot="1" x14ac:dyDescent="0.3">
      <c r="A65" s="141">
        <v>7</v>
      </c>
      <c r="B65" s="142">
        <v>17.600000000000001</v>
      </c>
      <c r="C65" s="142">
        <v>45.7</v>
      </c>
      <c r="D65" s="142">
        <v>75.3</v>
      </c>
      <c r="E65" s="142">
        <v>57.2</v>
      </c>
      <c r="F65" s="142">
        <v>68.3</v>
      </c>
      <c r="G65" s="142">
        <v>95.6</v>
      </c>
    </row>
    <row r="66" spans="1:7" ht="14.5" thickTop="1" x14ac:dyDescent="0.25">
      <c r="A66" s="530" t="s">
        <v>358</v>
      </c>
      <c r="B66" s="530"/>
      <c r="C66" s="530"/>
      <c r="D66" s="530"/>
      <c r="E66" s="530"/>
      <c r="F66" s="530"/>
      <c r="G66" s="530"/>
    </row>
    <row r="67" spans="1:7" ht="14.5" x14ac:dyDescent="0.3">
      <c r="A67" s="137"/>
      <c r="B67" s="531" t="s">
        <v>345</v>
      </c>
      <c r="C67" s="531"/>
      <c r="D67" s="531"/>
      <c r="E67" s="531" t="s">
        <v>346</v>
      </c>
      <c r="F67" s="531"/>
      <c r="G67" s="531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29.2</v>
      </c>
      <c r="C69" s="140">
        <v>39.5</v>
      </c>
      <c r="D69" s="140">
        <v>85.9</v>
      </c>
      <c r="E69" s="140">
        <v>44.2</v>
      </c>
      <c r="F69" s="140">
        <v>89.3</v>
      </c>
      <c r="G69" s="140">
        <v>104.7</v>
      </c>
    </row>
    <row r="70" spans="1:7" x14ac:dyDescent="0.25">
      <c r="A70" s="138">
        <v>2</v>
      </c>
      <c r="B70" s="140">
        <v>28.5</v>
      </c>
      <c r="C70" s="140">
        <v>42.9</v>
      </c>
      <c r="D70" s="140">
        <v>86.3</v>
      </c>
      <c r="E70" s="140">
        <v>27</v>
      </c>
      <c r="F70" s="140">
        <v>86.7</v>
      </c>
      <c r="G70" s="140">
        <v>116.8</v>
      </c>
    </row>
    <row r="71" spans="1:7" x14ac:dyDescent="0.25">
      <c r="A71" s="138">
        <v>3</v>
      </c>
      <c r="B71" s="140">
        <v>25.3</v>
      </c>
      <c r="C71" s="140">
        <v>37.700000000000003</v>
      </c>
      <c r="D71" s="140">
        <v>94.9</v>
      </c>
      <c r="E71" s="140">
        <v>38.200000000000003</v>
      </c>
      <c r="F71" s="140">
        <v>81.5</v>
      </c>
      <c r="G71" s="140">
        <v>93.1</v>
      </c>
    </row>
    <row r="72" spans="1:7" x14ac:dyDescent="0.25">
      <c r="A72" s="138">
        <v>4</v>
      </c>
      <c r="B72" s="140">
        <v>28.4</v>
      </c>
      <c r="C72" s="140">
        <v>57.2</v>
      </c>
      <c r="D72" s="140">
        <v>91.1</v>
      </c>
      <c r="E72" s="140">
        <v>49</v>
      </c>
      <c r="F72" s="140">
        <v>88</v>
      </c>
      <c r="G72" s="140">
        <v>94.4</v>
      </c>
    </row>
    <row r="73" spans="1:7" x14ac:dyDescent="0.25">
      <c r="A73" s="138">
        <v>5</v>
      </c>
      <c r="B73" s="140">
        <v>27.5</v>
      </c>
      <c r="C73" s="140">
        <v>40.299999999999997</v>
      </c>
      <c r="D73" s="140">
        <v>89.2</v>
      </c>
      <c r="E73" s="140">
        <v>31.4</v>
      </c>
      <c r="F73" s="140">
        <v>82.7</v>
      </c>
      <c r="G73" s="140">
        <v>119.4</v>
      </c>
    </row>
    <row r="74" spans="1:7" x14ac:dyDescent="0.25">
      <c r="A74" s="138">
        <v>6</v>
      </c>
      <c r="B74" s="140">
        <v>18.600000000000001</v>
      </c>
      <c r="C74" s="140">
        <v>68.900000000000006</v>
      </c>
      <c r="D74" s="140">
        <v>96.7</v>
      </c>
      <c r="E74" s="140">
        <v>36.6</v>
      </c>
      <c r="F74" s="140">
        <v>89.1</v>
      </c>
      <c r="G74" s="140">
        <v>118.1</v>
      </c>
    </row>
    <row r="75" spans="1:7" x14ac:dyDescent="0.25">
      <c r="A75" s="138">
        <v>7</v>
      </c>
      <c r="B75" s="140">
        <v>30.6</v>
      </c>
      <c r="C75" s="140">
        <v>41.8</v>
      </c>
      <c r="D75" s="140">
        <v>80.7</v>
      </c>
      <c r="E75" s="140">
        <v>49.6</v>
      </c>
      <c r="F75" s="140">
        <v>82.3</v>
      </c>
      <c r="G75" s="140">
        <v>108.1</v>
      </c>
    </row>
    <row r="76" spans="1:7" x14ac:dyDescent="0.25">
      <c r="A76" s="138">
        <v>8</v>
      </c>
      <c r="B76" s="140">
        <v>32.6</v>
      </c>
      <c r="C76" s="140">
        <v>73.8</v>
      </c>
      <c r="D76" s="140">
        <v>109.9</v>
      </c>
      <c r="E76" s="140">
        <v>26.2</v>
      </c>
      <c r="F76" s="140">
        <v>67.7</v>
      </c>
      <c r="G76" s="140">
        <v>94.3</v>
      </c>
    </row>
    <row r="77" spans="1:7" x14ac:dyDescent="0.25">
      <c r="A77" s="138">
        <v>9</v>
      </c>
      <c r="B77" s="140">
        <v>24.2</v>
      </c>
      <c r="C77" s="140">
        <v>61.7</v>
      </c>
      <c r="D77" s="140">
        <v>104.6</v>
      </c>
      <c r="E77" s="140">
        <v>30.4</v>
      </c>
      <c r="F77" s="140">
        <v>70.2</v>
      </c>
      <c r="G77" s="140">
        <v>115.7</v>
      </c>
    </row>
    <row r="78" spans="1:7" x14ac:dyDescent="0.25">
      <c r="A78" s="138">
        <v>10</v>
      </c>
      <c r="B78" s="140">
        <v>20.8</v>
      </c>
      <c r="C78" s="140">
        <v>52.2</v>
      </c>
      <c r="D78" s="140">
        <v>88.9</v>
      </c>
      <c r="E78" s="140">
        <v>55.5</v>
      </c>
      <c r="F78" s="140">
        <v>67.900000000000006</v>
      </c>
      <c r="G78" s="140">
        <v>113.6</v>
      </c>
    </row>
    <row r="79" spans="1:7" x14ac:dyDescent="0.25">
      <c r="A79" s="138">
        <v>11</v>
      </c>
      <c r="B79" s="140">
        <v>32.1</v>
      </c>
      <c r="C79" s="140">
        <v>60.1</v>
      </c>
      <c r="D79" s="140">
        <v>87.8</v>
      </c>
      <c r="E79" s="140">
        <v>58</v>
      </c>
      <c r="F79" s="140">
        <v>85.7</v>
      </c>
      <c r="G79" s="140">
        <v>109.8</v>
      </c>
    </row>
    <row r="80" spans="1:7" x14ac:dyDescent="0.25">
      <c r="A80" s="138">
        <v>12</v>
      </c>
      <c r="B80" s="140">
        <v>25.6</v>
      </c>
      <c r="C80" s="140">
        <v>51.5</v>
      </c>
      <c r="D80" s="140">
        <v>104.5</v>
      </c>
      <c r="E80" s="140">
        <v>57.5</v>
      </c>
      <c r="F80" s="140">
        <v>78.2</v>
      </c>
      <c r="G80" s="140">
        <v>103.9</v>
      </c>
    </row>
    <row r="81" spans="1:7" x14ac:dyDescent="0.25">
      <c r="A81" s="138">
        <v>13</v>
      </c>
      <c r="B81" s="140">
        <v>21.9</v>
      </c>
      <c r="C81" s="140">
        <v>45</v>
      </c>
      <c r="D81" s="140">
        <v>89.4</v>
      </c>
      <c r="E81" s="140">
        <v>54</v>
      </c>
      <c r="F81" s="140">
        <v>86.1</v>
      </c>
      <c r="G81" s="140">
        <v>94.9</v>
      </c>
    </row>
    <row r="82" spans="1:7" x14ac:dyDescent="0.25">
      <c r="A82" s="138">
        <v>14</v>
      </c>
      <c r="B82" s="140">
        <v>19.7</v>
      </c>
      <c r="C82" s="140">
        <v>45.5</v>
      </c>
      <c r="D82" s="140">
        <v>89.6</v>
      </c>
      <c r="E82" s="140">
        <v>58.2</v>
      </c>
      <c r="F82" s="140">
        <v>66.099999999999994</v>
      </c>
      <c r="G82" s="140">
        <v>92.6</v>
      </c>
    </row>
    <row r="83" spans="1:7" x14ac:dyDescent="0.25">
      <c r="A83" s="138">
        <v>15</v>
      </c>
      <c r="B83" s="140">
        <v>34.299999999999997</v>
      </c>
      <c r="C83" s="140">
        <v>68.8</v>
      </c>
      <c r="D83" s="140">
        <v>96.2</v>
      </c>
      <c r="E83" s="140">
        <v>27.9</v>
      </c>
      <c r="F83" s="140">
        <v>82.7</v>
      </c>
      <c r="G83" s="140">
        <v>100</v>
      </c>
    </row>
    <row r="84" spans="1:7" x14ac:dyDescent="0.25">
      <c r="A84" s="138">
        <v>16</v>
      </c>
      <c r="B84" s="140">
        <v>28</v>
      </c>
      <c r="C84" s="140">
        <v>36.5</v>
      </c>
      <c r="D84" s="140">
        <v>89.5</v>
      </c>
      <c r="E84" s="140"/>
      <c r="F84" s="140"/>
      <c r="G84" s="140"/>
    </row>
    <row r="85" spans="1:7" ht="14.5" thickBot="1" x14ac:dyDescent="0.3">
      <c r="A85" s="143">
        <v>17</v>
      </c>
      <c r="B85" s="142">
        <v>32.9</v>
      </c>
      <c r="C85" s="142">
        <v>64.599999999999994</v>
      </c>
      <c r="D85" s="142">
        <v>78.599999999999994</v>
      </c>
      <c r="E85" s="145"/>
      <c r="F85" s="145"/>
      <c r="G85" s="145"/>
    </row>
    <row r="86" spans="1:7" ht="14.5" thickTop="1" x14ac:dyDescent="0.25">
      <c r="A86" s="530" t="s">
        <v>359</v>
      </c>
      <c r="B86" s="530"/>
      <c r="C86" s="530"/>
      <c r="D86" s="530"/>
      <c r="E86" s="530"/>
      <c r="F86" s="530"/>
      <c r="G86" s="530"/>
    </row>
    <row r="87" spans="1:7" ht="14.5" x14ac:dyDescent="0.3">
      <c r="A87" s="137"/>
      <c r="B87" s="531" t="s">
        <v>345</v>
      </c>
      <c r="C87" s="531"/>
      <c r="D87" s="531"/>
      <c r="E87" s="531" t="s">
        <v>346</v>
      </c>
      <c r="F87" s="531"/>
      <c r="G87" s="531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25.9</v>
      </c>
      <c r="C89" s="140">
        <v>67</v>
      </c>
      <c r="D89" s="140">
        <v>82.6</v>
      </c>
      <c r="E89" s="140">
        <v>54.8</v>
      </c>
      <c r="F89" s="140">
        <v>73.900000000000006</v>
      </c>
      <c r="G89" s="140">
        <v>94.7</v>
      </c>
    </row>
    <row r="90" spans="1:7" x14ac:dyDescent="0.25">
      <c r="A90" s="138">
        <v>2</v>
      </c>
      <c r="B90" s="140">
        <v>23.6</v>
      </c>
      <c r="C90" s="140">
        <v>43.8</v>
      </c>
      <c r="D90" s="140">
        <v>76.2</v>
      </c>
      <c r="E90" s="140">
        <v>45.6</v>
      </c>
      <c r="F90" s="140">
        <v>87.7</v>
      </c>
      <c r="G90" s="140">
        <v>94.8</v>
      </c>
    </row>
    <row r="91" spans="1:7" x14ac:dyDescent="0.25">
      <c r="A91" s="138">
        <v>3</v>
      </c>
      <c r="B91" s="140">
        <v>17.399999999999999</v>
      </c>
      <c r="C91" s="140">
        <v>52.7</v>
      </c>
      <c r="D91" s="140">
        <v>90</v>
      </c>
      <c r="E91" s="140">
        <v>31.4</v>
      </c>
      <c r="F91" s="140">
        <v>61.8</v>
      </c>
      <c r="G91" s="140">
        <v>102.6</v>
      </c>
    </row>
    <row r="92" spans="1:7" x14ac:dyDescent="0.25">
      <c r="A92" s="138">
        <v>4</v>
      </c>
      <c r="B92" s="140">
        <v>25.3</v>
      </c>
      <c r="C92" s="140">
        <v>68.3</v>
      </c>
      <c r="D92" s="140">
        <v>96.8</v>
      </c>
      <c r="E92" s="140">
        <v>42</v>
      </c>
      <c r="F92" s="140">
        <v>74.599999999999994</v>
      </c>
      <c r="G92" s="140">
        <v>95.6</v>
      </c>
    </row>
    <row r="93" spans="1:7" x14ac:dyDescent="0.25">
      <c r="A93" s="138">
        <v>5</v>
      </c>
      <c r="B93" s="140">
        <v>33.200000000000003</v>
      </c>
      <c r="C93" s="140">
        <v>71.8</v>
      </c>
      <c r="D93" s="140">
        <v>88.1</v>
      </c>
      <c r="E93" s="140">
        <v>32.799999999999997</v>
      </c>
      <c r="F93" s="140">
        <v>61.6</v>
      </c>
      <c r="G93" s="140">
        <v>115.2</v>
      </c>
    </row>
    <row r="94" spans="1:7" x14ac:dyDescent="0.25">
      <c r="A94" s="138">
        <v>6</v>
      </c>
      <c r="B94" s="140">
        <v>31.3</v>
      </c>
      <c r="C94" s="140">
        <v>56.6</v>
      </c>
      <c r="D94" s="140">
        <v>96.7</v>
      </c>
      <c r="E94" s="140">
        <v>40.4</v>
      </c>
      <c r="F94" s="140">
        <v>77</v>
      </c>
      <c r="G94" s="140">
        <v>99.6</v>
      </c>
    </row>
    <row r="95" spans="1:7" x14ac:dyDescent="0.25">
      <c r="A95" s="138">
        <v>7</v>
      </c>
      <c r="B95" s="140">
        <v>17.3</v>
      </c>
      <c r="C95" s="140">
        <v>66.599999999999994</v>
      </c>
      <c r="D95" s="140">
        <v>76.3</v>
      </c>
      <c r="E95" s="140">
        <v>26.6</v>
      </c>
      <c r="F95" s="140">
        <v>85.1</v>
      </c>
      <c r="G95" s="140">
        <v>92</v>
      </c>
    </row>
    <row r="96" spans="1:7" x14ac:dyDescent="0.25">
      <c r="A96" s="138">
        <v>8</v>
      </c>
      <c r="B96" s="140">
        <v>21.9</v>
      </c>
      <c r="C96" s="140">
        <v>35.5</v>
      </c>
      <c r="D96" s="140">
        <v>98.1</v>
      </c>
      <c r="E96" s="139"/>
      <c r="F96" s="139"/>
      <c r="G96" s="139"/>
    </row>
    <row r="97" spans="1:7" x14ac:dyDescent="0.25">
      <c r="A97" s="138">
        <v>9</v>
      </c>
      <c r="B97" s="140">
        <v>31.4</v>
      </c>
      <c r="C97" s="140">
        <v>72.400000000000006</v>
      </c>
      <c r="D97" s="140">
        <v>105.7</v>
      </c>
      <c r="E97" s="139"/>
      <c r="F97" s="139"/>
      <c r="G97" s="139"/>
    </row>
    <row r="98" spans="1:7" x14ac:dyDescent="0.25">
      <c r="A98" s="138">
        <v>10</v>
      </c>
      <c r="B98" s="140">
        <v>20.399999999999999</v>
      </c>
      <c r="C98" s="140">
        <v>69.099999999999994</v>
      </c>
      <c r="D98" s="140">
        <v>81.900000000000006</v>
      </c>
      <c r="E98" s="139"/>
      <c r="F98" s="139"/>
      <c r="G98" s="139"/>
    </row>
    <row r="99" spans="1:7" x14ac:dyDescent="0.25">
      <c r="A99" s="138">
        <v>11</v>
      </c>
      <c r="B99" s="140">
        <v>16.7</v>
      </c>
      <c r="C99" s="140">
        <v>46.8</v>
      </c>
      <c r="D99" s="140">
        <v>82.1</v>
      </c>
      <c r="E99" s="139"/>
      <c r="F99" s="139"/>
      <c r="G99" s="139"/>
    </row>
    <row r="100" spans="1:7" x14ac:dyDescent="0.25">
      <c r="A100" s="138">
        <v>12</v>
      </c>
      <c r="B100" s="140">
        <v>18.5</v>
      </c>
      <c r="C100" s="140">
        <v>56.7</v>
      </c>
      <c r="D100" s="140">
        <v>108</v>
      </c>
      <c r="E100" s="139"/>
      <c r="F100" s="139"/>
      <c r="G100" s="139"/>
    </row>
    <row r="101" spans="1:7" x14ac:dyDescent="0.25">
      <c r="A101" s="138">
        <v>13</v>
      </c>
      <c r="B101" s="140">
        <v>24.1</v>
      </c>
      <c r="C101" s="140">
        <v>73.099999999999994</v>
      </c>
      <c r="D101" s="140">
        <v>92.8</v>
      </c>
      <c r="E101" s="139"/>
      <c r="F101" s="139"/>
      <c r="G101" s="139"/>
    </row>
    <row r="102" spans="1:7" x14ac:dyDescent="0.25">
      <c r="A102" s="138">
        <v>14</v>
      </c>
      <c r="B102" s="140">
        <v>15.9</v>
      </c>
      <c r="C102" s="140">
        <v>64.599999999999994</v>
      </c>
      <c r="D102" s="140">
        <v>77.2</v>
      </c>
      <c r="E102" s="139"/>
      <c r="F102" s="139"/>
      <c r="G102" s="139"/>
    </row>
    <row r="103" spans="1:7" x14ac:dyDescent="0.25">
      <c r="A103" s="138">
        <v>15</v>
      </c>
      <c r="B103" s="140">
        <v>35</v>
      </c>
      <c r="C103" s="140">
        <v>67</v>
      </c>
      <c r="D103" s="140">
        <v>85.2</v>
      </c>
      <c r="E103" s="139"/>
      <c r="F103" s="139"/>
      <c r="G103" s="139"/>
    </row>
    <row r="104" spans="1:7" x14ac:dyDescent="0.25">
      <c r="A104" s="138">
        <v>16</v>
      </c>
      <c r="B104" s="140">
        <v>29.3</v>
      </c>
      <c r="C104" s="140">
        <v>48.3</v>
      </c>
      <c r="D104" s="140">
        <v>99.2</v>
      </c>
      <c r="E104" s="139"/>
      <c r="F104" s="139"/>
      <c r="G104" s="139"/>
    </row>
    <row r="105" spans="1:7" x14ac:dyDescent="0.25">
      <c r="A105" s="138">
        <v>17</v>
      </c>
      <c r="B105" s="140">
        <v>21.5</v>
      </c>
      <c r="C105" s="140">
        <v>64.3</v>
      </c>
      <c r="D105" s="140">
        <v>81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100.9</v>
      </c>
      <c r="E106" s="145"/>
      <c r="F106" s="145"/>
      <c r="G106" s="145"/>
    </row>
    <row r="107" spans="1:7" ht="14.5" thickTop="1" x14ac:dyDescent="0.25">
      <c r="A107" s="530" t="s">
        <v>360</v>
      </c>
      <c r="B107" s="530"/>
      <c r="C107" s="530"/>
      <c r="D107" s="530"/>
      <c r="E107" s="530"/>
      <c r="F107" s="530"/>
      <c r="G107" s="530"/>
    </row>
    <row r="108" spans="1:7" ht="14.5" x14ac:dyDescent="0.3">
      <c r="A108" s="137"/>
      <c r="B108" s="531" t="s">
        <v>345</v>
      </c>
      <c r="C108" s="531"/>
      <c r="D108" s="531"/>
      <c r="E108" s="531" t="s">
        <v>346</v>
      </c>
      <c r="F108" s="531"/>
      <c r="G108" s="531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32.200000000000003</v>
      </c>
      <c r="C110" s="140">
        <v>56.8</v>
      </c>
      <c r="D110" s="140">
        <v>93.1</v>
      </c>
      <c r="E110" s="140">
        <v>53.6</v>
      </c>
      <c r="F110" s="140">
        <v>61.6</v>
      </c>
      <c r="G110" s="140">
        <v>114.6</v>
      </c>
    </row>
    <row r="111" spans="1:7" x14ac:dyDescent="0.25">
      <c r="A111" s="138">
        <v>2</v>
      </c>
      <c r="B111" s="140">
        <v>15.4</v>
      </c>
      <c r="C111" s="140">
        <v>56.7</v>
      </c>
      <c r="D111" s="140">
        <v>92.5</v>
      </c>
      <c r="E111" s="140">
        <v>57.7</v>
      </c>
      <c r="F111" s="140">
        <v>73.7</v>
      </c>
      <c r="G111" s="140">
        <v>119.9</v>
      </c>
    </row>
    <row r="112" spans="1:7" ht="14.5" thickBot="1" x14ac:dyDescent="0.3">
      <c r="A112" s="143">
        <v>3</v>
      </c>
      <c r="B112" s="145"/>
      <c r="C112" s="145"/>
      <c r="D112" s="145"/>
      <c r="E112" s="145">
        <v>28.6</v>
      </c>
      <c r="F112" s="145">
        <v>61.9</v>
      </c>
      <c r="G112" s="145">
        <v>91.5</v>
      </c>
    </row>
    <row r="113" spans="1:7" ht="14.5" thickTop="1" x14ac:dyDescent="0.25">
      <c r="A113" s="530" t="s">
        <v>361</v>
      </c>
      <c r="B113" s="530"/>
      <c r="C113" s="530"/>
      <c r="D113" s="530"/>
      <c r="E113" s="530"/>
      <c r="F113" s="530"/>
      <c r="G113" s="530"/>
    </row>
    <row r="114" spans="1:7" ht="14.5" x14ac:dyDescent="0.3">
      <c r="A114" s="137"/>
      <c r="B114" s="531" t="s">
        <v>345</v>
      </c>
      <c r="C114" s="531"/>
      <c r="D114" s="531"/>
      <c r="E114" s="531" t="s">
        <v>346</v>
      </c>
      <c r="F114" s="531"/>
      <c r="G114" s="531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18.2</v>
      </c>
      <c r="C116" s="140">
        <v>51.8</v>
      </c>
      <c r="D116" s="140">
        <v>106.5</v>
      </c>
      <c r="E116" s="140">
        <v>45.3</v>
      </c>
      <c r="F116" s="140">
        <v>84.3</v>
      </c>
      <c r="G116" s="140">
        <v>101.4</v>
      </c>
    </row>
    <row r="117" spans="1:7" x14ac:dyDescent="0.25">
      <c r="A117" s="138">
        <v>2</v>
      </c>
      <c r="B117" s="140">
        <v>21.9</v>
      </c>
      <c r="C117" s="140">
        <v>58.3</v>
      </c>
      <c r="D117" s="140">
        <v>94.8</v>
      </c>
      <c r="E117" s="140">
        <v>29.9</v>
      </c>
      <c r="F117" s="140">
        <v>82.3</v>
      </c>
      <c r="G117" s="140">
        <v>119.3</v>
      </c>
    </row>
    <row r="118" spans="1:7" x14ac:dyDescent="0.25">
      <c r="A118" s="138">
        <v>3</v>
      </c>
      <c r="B118" s="140">
        <v>23.1</v>
      </c>
      <c r="C118" s="140">
        <v>72.900000000000006</v>
      </c>
      <c r="D118" s="140">
        <v>100.2</v>
      </c>
      <c r="E118" s="140">
        <v>54.5</v>
      </c>
      <c r="F118" s="140">
        <v>68</v>
      </c>
      <c r="G118" s="140">
        <v>97.4</v>
      </c>
    </row>
    <row r="119" spans="1:7" x14ac:dyDescent="0.25">
      <c r="A119" s="138">
        <v>4</v>
      </c>
      <c r="B119" s="140">
        <v>17.8</v>
      </c>
      <c r="C119" s="140">
        <v>71.900000000000006</v>
      </c>
      <c r="D119" s="140">
        <v>99.9</v>
      </c>
      <c r="E119" s="140">
        <v>29.3</v>
      </c>
      <c r="F119" s="140">
        <v>79.2</v>
      </c>
      <c r="G119" s="140">
        <v>117.3</v>
      </c>
    </row>
    <row r="120" spans="1:7" x14ac:dyDescent="0.25">
      <c r="A120" s="138">
        <v>5</v>
      </c>
      <c r="B120" s="139"/>
      <c r="C120" s="139"/>
      <c r="D120" s="139"/>
      <c r="E120" s="140">
        <v>56.4</v>
      </c>
      <c r="F120" s="140">
        <v>73.5</v>
      </c>
      <c r="G120" s="140">
        <v>112.3</v>
      </c>
    </row>
    <row r="121" spans="1:7" x14ac:dyDescent="0.25">
      <c r="A121" s="138">
        <v>6</v>
      </c>
      <c r="B121" s="139"/>
      <c r="C121" s="139"/>
      <c r="D121" s="139"/>
      <c r="E121" s="140">
        <v>43.3</v>
      </c>
      <c r="F121" s="140">
        <v>76.900000000000006</v>
      </c>
      <c r="G121" s="140">
        <v>91.6</v>
      </c>
    </row>
    <row r="122" spans="1:7" x14ac:dyDescent="0.25">
      <c r="A122" s="138">
        <v>7</v>
      </c>
      <c r="B122" s="139"/>
      <c r="C122" s="139"/>
      <c r="D122" s="139"/>
      <c r="E122" s="140">
        <v>42</v>
      </c>
      <c r="F122" s="140">
        <v>72.3</v>
      </c>
      <c r="G122" s="140">
        <v>112</v>
      </c>
    </row>
    <row r="123" spans="1:7" x14ac:dyDescent="0.25">
      <c r="A123" s="138">
        <v>8</v>
      </c>
      <c r="B123" s="139"/>
      <c r="C123" s="139"/>
      <c r="D123" s="139"/>
      <c r="E123" s="140">
        <v>33.799999999999997</v>
      </c>
      <c r="F123" s="140">
        <v>75</v>
      </c>
      <c r="G123" s="140">
        <v>106.3</v>
      </c>
    </row>
    <row r="124" spans="1:7" ht="14.5" thickBot="1" x14ac:dyDescent="0.3">
      <c r="A124" s="143">
        <v>9</v>
      </c>
      <c r="B124" s="145"/>
      <c r="C124" s="145"/>
      <c r="D124" s="145"/>
      <c r="E124" s="145">
        <v>32.799999999999997</v>
      </c>
      <c r="F124" s="145">
        <v>75.5</v>
      </c>
      <c r="G124" s="145">
        <v>90.3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57</v>
      </c>
      <c r="C129" s="147">
        <f>AVERAGE(E5:G7)</f>
        <v>76.211111111111123</v>
      </c>
      <c r="D129" s="138">
        <v>2058</v>
      </c>
      <c r="E129" s="138">
        <v>4312</v>
      </c>
      <c r="F129" s="138">
        <f>D129*B129</f>
        <v>117306</v>
      </c>
      <c r="G129" s="138">
        <f>E129*C129</f>
        <v>328622.31111111114</v>
      </c>
    </row>
    <row r="130" spans="1:7" x14ac:dyDescent="0.25">
      <c r="A130" s="139" t="str">
        <f>A8</f>
        <v>Dongyuan Huangtian swine Farm</v>
      </c>
      <c r="B130" s="146">
        <f>AVERAGE((B11:D15))</f>
        <v>58.320000000000007</v>
      </c>
      <c r="C130" s="146">
        <f>AVERAGE(E11:G11)</f>
        <v>72.533333333333346</v>
      </c>
      <c r="D130" s="138">
        <v>6272</v>
      </c>
      <c r="E130" s="138">
        <v>1437</v>
      </c>
      <c r="F130" s="138">
        <f t="shared" ref="F130:G137" si="0">D130*B130</f>
        <v>365783.04000000004</v>
      </c>
      <c r="G130" s="138">
        <f t="shared" si="0"/>
        <v>104230.40000000002</v>
      </c>
    </row>
    <row r="131" spans="1:7" x14ac:dyDescent="0.25">
      <c r="A131" s="139" t="str">
        <f>A16</f>
        <v>Enping Shahu swine  Farm</v>
      </c>
      <c r="B131" s="146">
        <f>AVERAGE(B19:D33)</f>
        <v>59.293333333333322</v>
      </c>
      <c r="C131" s="146">
        <f>AVERAGE(E19:G28)</f>
        <v>71.873333333333321</v>
      </c>
      <c r="D131" s="138">
        <v>22171</v>
      </c>
      <c r="E131" s="138">
        <v>15359</v>
      </c>
      <c r="F131" s="138">
        <f t="shared" si="0"/>
        <v>1314592.4933333332</v>
      </c>
      <c r="G131" s="138">
        <f t="shared" si="0"/>
        <v>1103902.5266666664</v>
      </c>
    </row>
    <row r="132" spans="1:7" x14ac:dyDescent="0.25">
      <c r="A132" s="139" t="str">
        <f>A34</f>
        <v>Langtian Yuehui swine Farm</v>
      </c>
      <c r="B132" s="146">
        <f>AVERAGE(B37:D55)</f>
        <v>56.654385964912301</v>
      </c>
      <c r="C132" s="146">
        <f>AVERAGE(E37:G43)</f>
        <v>74.738095238095255</v>
      </c>
      <c r="D132" s="138">
        <v>28130</v>
      </c>
      <c r="E132" s="138">
        <v>9785</v>
      </c>
      <c r="F132" s="138">
        <f t="shared" si="0"/>
        <v>1593687.8771929829</v>
      </c>
      <c r="G132" s="138">
        <f t="shared" si="0"/>
        <v>731312.26190476213</v>
      </c>
    </row>
    <row r="133" spans="1:7" x14ac:dyDescent="0.25">
      <c r="A133" s="139" t="str">
        <f>A56</f>
        <v>Qujiang Fengwan swine Farm</v>
      </c>
      <c r="B133" s="146">
        <f>AVERAGE(B59:D65)</f>
        <v>56.62380952380952</v>
      </c>
      <c r="C133" s="146">
        <f>AVERAGE(E59:G65)</f>
        <v>74.157142857142858</v>
      </c>
      <c r="D133" s="138">
        <v>9008</v>
      </c>
      <c r="E133" s="138">
        <v>11434</v>
      </c>
      <c r="F133" s="138">
        <f t="shared" si="0"/>
        <v>510067.27619047614</v>
      </c>
      <c r="G133" s="138">
        <f t="shared" si="0"/>
        <v>847912.77142857143</v>
      </c>
    </row>
    <row r="134" spans="1:7" x14ac:dyDescent="0.25">
      <c r="A134" s="139" t="str">
        <f>A66</f>
        <v>Pingyuan Zhongshi swine Farm</v>
      </c>
      <c r="B134" s="146">
        <f>AVERAGE(B69:D85)</f>
        <v>57.098039215686278</v>
      </c>
      <c r="C134" s="146">
        <f>AVERAGE(E69:G83)</f>
        <v>76.162222222222212</v>
      </c>
      <c r="D134" s="138">
        <v>25713</v>
      </c>
      <c r="E134" s="138">
        <v>23372</v>
      </c>
      <c r="F134" s="138">
        <f t="shared" si="0"/>
        <v>1468161.8823529412</v>
      </c>
      <c r="G134" s="138">
        <f t="shared" si="0"/>
        <v>1780063.4577777775</v>
      </c>
    </row>
    <row r="135" spans="1:7" x14ac:dyDescent="0.25">
      <c r="A135" s="139" t="str">
        <f>A86</f>
        <v>Yangchun Tanshui swine Farm</v>
      </c>
      <c r="B135" s="146">
        <f>AVERAGE(B89:D106)</f>
        <v>58.694230769230771</v>
      </c>
      <c r="C135" s="146">
        <f>AVERAGE(E89:G95)</f>
        <v>70.942857142857136</v>
      </c>
      <c r="D135" s="138">
        <v>26456</v>
      </c>
      <c r="E135" s="138">
        <v>11477</v>
      </c>
      <c r="F135" s="138">
        <f t="shared" si="0"/>
        <v>1552814.5692307693</v>
      </c>
      <c r="G135" s="138">
        <f t="shared" si="0"/>
        <v>814211.17142857134</v>
      </c>
    </row>
    <row r="136" spans="1:7" x14ac:dyDescent="0.25">
      <c r="A136" s="139" t="str">
        <f>A107</f>
        <v>Xinfeng Shatian swine Farm</v>
      </c>
      <c r="B136" s="146">
        <f>AVERAGE(B110:D112)</f>
        <v>57.783333333333331</v>
      </c>
      <c r="C136" s="146">
        <f>AVERAGE(E110:G112)</f>
        <v>73.677777777777777</v>
      </c>
      <c r="D136" s="138">
        <v>1907</v>
      </c>
      <c r="E136" s="138">
        <v>3766</v>
      </c>
      <c r="F136" s="138">
        <f t="shared" si="0"/>
        <v>110192.81666666667</v>
      </c>
      <c r="G136" s="138">
        <f t="shared" si="0"/>
        <v>277470.51111111109</v>
      </c>
    </row>
    <row r="137" spans="1:7" x14ac:dyDescent="0.25">
      <c r="A137" s="139" t="str">
        <f>A113</f>
        <v>Kaiping Cangcheng swine Farm</v>
      </c>
      <c r="B137" s="146">
        <f>AVERAGE(B116:D119)</f>
        <v>61.441666666666663</v>
      </c>
      <c r="C137" s="146">
        <f>AVERAGE(E116:G124)</f>
        <v>74.155555555555537</v>
      </c>
      <c r="D137" s="138">
        <v>5732</v>
      </c>
      <c r="E137" s="138">
        <v>13724</v>
      </c>
      <c r="F137" s="138">
        <f t="shared" si="0"/>
        <v>352183.6333333333</v>
      </c>
      <c r="G137" s="138">
        <f t="shared" si="0"/>
        <v>1017710.8444444442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94666</v>
      </c>
      <c r="F138" s="138">
        <f t="shared" ref="F138:G138" si="1">SUM(F129:F137)</f>
        <v>7384789.5883005019</v>
      </c>
      <c r="G138" s="138">
        <f t="shared" si="1"/>
        <v>7005436.2558730161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148">
        <f>ROUNDDOWN(F138/D138,1)</f>
        <v>57.9</v>
      </c>
      <c r="D142" s="148">
        <f>ROUNDDOWN(G138/E138,1)</f>
        <v>74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5"/>
  <sheetViews>
    <sheetView topLeftCell="A223" zoomScale="90" zoomScaleNormal="90" workbookViewId="0">
      <selection activeCell="D238" sqref="D238"/>
    </sheetView>
  </sheetViews>
  <sheetFormatPr defaultRowHeight="13.5" x14ac:dyDescent="0.3"/>
  <cols>
    <col min="1" max="1" width="32.453125" style="3" customWidth="1"/>
    <col min="2" max="3" width="15.1796875" style="3" customWidth="1"/>
    <col min="4" max="4" width="31.453125" style="3" customWidth="1"/>
    <col min="5" max="5" width="63.453125" style="3" customWidth="1"/>
    <col min="6" max="6" width="12.7265625" style="3" bestFit="1" customWidth="1"/>
    <col min="7" max="7" width="13.7265625" style="3" bestFit="1" customWidth="1"/>
    <col min="8" max="16384" width="8.7265625" style="3"/>
  </cols>
  <sheetData>
    <row r="1" spans="1:6" ht="15" x14ac:dyDescent="0.3">
      <c r="A1" s="62" t="s">
        <v>34</v>
      </c>
      <c r="B1" s="62"/>
      <c r="C1" s="63"/>
    </row>
    <row r="2" spans="1:6" ht="15" x14ac:dyDescent="0.3">
      <c r="A2" s="62"/>
      <c r="B2" s="62"/>
      <c r="C2" s="63"/>
      <c r="D2" s="64"/>
    </row>
    <row r="3" spans="1:6" ht="15" x14ac:dyDescent="0.3">
      <c r="A3" s="62"/>
      <c r="B3" s="62"/>
      <c r="C3" s="63"/>
    </row>
    <row r="4" spans="1:6" x14ac:dyDescent="0.3">
      <c r="A4" s="65" t="s">
        <v>35</v>
      </c>
      <c r="B4" s="63"/>
      <c r="C4" s="63"/>
    </row>
    <row r="5" spans="1:6" x14ac:dyDescent="0.3">
      <c r="A5" s="63"/>
      <c r="B5" s="63"/>
      <c r="E5" s="66"/>
    </row>
    <row r="6" spans="1:6" x14ac:dyDescent="0.3">
      <c r="A6" s="63"/>
      <c r="B6" s="63"/>
      <c r="E6" s="66"/>
    </row>
    <row r="7" spans="1:6" x14ac:dyDescent="0.3">
      <c r="A7" s="63"/>
      <c r="B7" s="63"/>
      <c r="E7" s="66"/>
      <c r="F7" s="3" t="s">
        <v>369</v>
      </c>
    </row>
    <row r="8" spans="1:6" ht="14" thickBot="1" x14ac:dyDescent="0.35"/>
    <row r="9" spans="1:6" x14ac:dyDescent="0.3">
      <c r="A9" s="67" t="s">
        <v>3</v>
      </c>
      <c r="B9" s="68" t="s">
        <v>10</v>
      </c>
      <c r="C9" s="68"/>
      <c r="D9" s="68" t="s">
        <v>2</v>
      </c>
      <c r="E9" s="68" t="s">
        <v>4</v>
      </c>
      <c r="F9" s="69"/>
    </row>
    <row r="10" spans="1:6" x14ac:dyDescent="0.3">
      <c r="A10" s="70"/>
      <c r="B10" s="71" t="s">
        <v>77</v>
      </c>
      <c r="C10" s="71" t="s">
        <v>78</v>
      </c>
      <c r="D10" s="71"/>
      <c r="E10" s="72"/>
      <c r="F10" s="69"/>
    </row>
    <row r="11" spans="1:6" x14ac:dyDescent="0.3">
      <c r="A11" s="73"/>
      <c r="B11" s="74"/>
      <c r="C11" s="74"/>
      <c r="D11" s="74"/>
      <c r="E11" s="75"/>
      <c r="F11" s="69"/>
    </row>
    <row r="12" spans="1:6" ht="15.5" x14ac:dyDescent="0.4">
      <c r="A12" s="73" t="s">
        <v>162</v>
      </c>
      <c r="B12" s="76">
        <v>28</v>
      </c>
      <c r="C12" s="76">
        <v>28</v>
      </c>
      <c r="D12" s="77" t="s">
        <v>163</v>
      </c>
      <c r="E12" s="75" t="s">
        <v>119</v>
      </c>
      <c r="F12" s="69"/>
    </row>
    <row r="13" spans="1:6" ht="15.5" x14ac:dyDescent="0.4">
      <c r="A13" s="73" t="s">
        <v>164</v>
      </c>
      <c r="B13" s="76">
        <v>6.7000000000000002E-4</v>
      </c>
      <c r="C13" s="76">
        <v>6.7000000000000002E-4</v>
      </c>
      <c r="D13" s="77" t="s">
        <v>120</v>
      </c>
      <c r="E13" s="75" t="s">
        <v>312</v>
      </c>
      <c r="F13" s="69"/>
    </row>
    <row r="14" spans="1:6" ht="75" customHeight="1" x14ac:dyDescent="0.4">
      <c r="A14" s="73" t="s">
        <v>165</v>
      </c>
      <c r="B14" s="78">
        <v>0.8</v>
      </c>
      <c r="C14" s="78">
        <f>B14</f>
        <v>0.8</v>
      </c>
      <c r="D14" s="77" t="s">
        <v>1</v>
      </c>
      <c r="E14" s="75" t="s">
        <v>370</v>
      </c>
      <c r="F14" s="79"/>
    </row>
    <row r="15" spans="1:6" x14ac:dyDescent="0.3">
      <c r="A15" s="73" t="s">
        <v>39</v>
      </c>
      <c r="B15" s="76">
        <v>0.94</v>
      </c>
      <c r="C15" s="76">
        <v>0.94</v>
      </c>
      <c r="D15" s="77" t="s">
        <v>0</v>
      </c>
      <c r="E15" s="75" t="s">
        <v>311</v>
      </c>
      <c r="F15" s="79"/>
    </row>
    <row r="16" spans="1:6" x14ac:dyDescent="0.3">
      <c r="A16" s="73" t="s">
        <v>54</v>
      </c>
      <c r="B16" s="76">
        <f>B14*B15</f>
        <v>0.752</v>
      </c>
      <c r="C16" s="76">
        <f>C14*C15</f>
        <v>0.752</v>
      </c>
      <c r="D16" s="77" t="s">
        <v>0</v>
      </c>
      <c r="E16" s="75" t="s">
        <v>55</v>
      </c>
      <c r="F16" s="79"/>
    </row>
    <row r="17" spans="1:7" ht="15.5" x14ac:dyDescent="0.4">
      <c r="A17" s="73" t="s">
        <v>166</v>
      </c>
      <c r="B17" s="76">
        <v>0.28999999999999998</v>
      </c>
      <c r="C17" s="76">
        <v>0.28999999999999998</v>
      </c>
      <c r="D17" s="77" t="s">
        <v>167</v>
      </c>
      <c r="E17" s="75" t="s">
        <v>51</v>
      </c>
      <c r="F17" s="69"/>
    </row>
    <row r="18" spans="1:7" ht="15" customHeight="1" x14ac:dyDescent="0.3">
      <c r="A18" s="73" t="s">
        <v>168</v>
      </c>
      <c r="B18" s="80"/>
      <c r="C18" s="80"/>
      <c r="D18" s="381" t="s">
        <v>70</v>
      </c>
      <c r="E18" s="383" t="s">
        <v>323</v>
      </c>
      <c r="F18" s="69"/>
    </row>
    <row r="19" spans="1:7" ht="15" customHeight="1" x14ac:dyDescent="0.3">
      <c r="A19" s="81" t="str">
        <f>'monitoring results'!A4</f>
        <v>01/04/2022-30/04/2022</v>
      </c>
      <c r="B19" s="80">
        <f>'monitoring results'!B4</f>
        <v>127447</v>
      </c>
      <c r="C19" s="80">
        <f>'monitoring results'!C4</f>
        <v>94180</v>
      </c>
      <c r="D19" s="382"/>
      <c r="E19" s="384"/>
      <c r="F19" s="69"/>
    </row>
    <row r="20" spans="1:7" ht="15" customHeight="1" x14ac:dyDescent="0.3">
      <c r="A20" s="81" t="str">
        <f>'monitoring results'!A5</f>
        <v>01/05/2022-31/05/2022</v>
      </c>
      <c r="B20" s="80">
        <f>'monitoring results'!B5</f>
        <v>127447</v>
      </c>
      <c r="C20" s="80">
        <f>'monitoring results'!C5</f>
        <v>93502</v>
      </c>
      <c r="D20" s="382"/>
      <c r="E20" s="384"/>
      <c r="F20" s="69"/>
    </row>
    <row r="21" spans="1:7" ht="15" customHeight="1" x14ac:dyDescent="0.3">
      <c r="A21" s="81" t="str">
        <f>'monitoring results'!A6</f>
        <v>01/06/2022-30/06/2022</v>
      </c>
      <c r="B21" s="80">
        <f>'monitoring results'!B6</f>
        <v>127447</v>
      </c>
      <c r="C21" s="80">
        <f>'monitoring results'!C6</f>
        <v>93732</v>
      </c>
      <c r="D21" s="382"/>
      <c r="E21" s="384"/>
      <c r="F21" s="69"/>
    </row>
    <row r="22" spans="1:7" ht="15" customHeight="1" x14ac:dyDescent="0.3">
      <c r="A22" s="81" t="str">
        <f>'monitoring results'!A7</f>
        <v>01/07/2022-31/07/2022</v>
      </c>
      <c r="B22" s="80">
        <f>'monitoring results'!B7</f>
        <v>127447</v>
      </c>
      <c r="C22" s="80">
        <f>'monitoring results'!C7</f>
        <v>93352</v>
      </c>
      <c r="D22" s="382"/>
      <c r="E22" s="384"/>
      <c r="F22" s="69"/>
    </row>
    <row r="23" spans="1:7" ht="15" customHeight="1" x14ac:dyDescent="0.3">
      <c r="A23" s="81" t="str">
        <f>'monitoring results'!A8</f>
        <v>01/08/2022-31/08/2022</v>
      </c>
      <c r="B23" s="80">
        <f>'monitoring results'!B8</f>
        <v>127447</v>
      </c>
      <c r="C23" s="80">
        <f>'monitoring results'!C8</f>
        <v>94055</v>
      </c>
      <c r="D23" s="382"/>
      <c r="E23" s="384"/>
      <c r="F23" s="69"/>
    </row>
    <row r="24" spans="1:7" ht="15" customHeight="1" x14ac:dyDescent="0.3">
      <c r="A24" s="81" t="str">
        <f>'monitoring results'!A9</f>
        <v>01/09/2022-30/09/2022</v>
      </c>
      <c r="B24" s="80">
        <f>'monitoring results'!B9</f>
        <v>127447</v>
      </c>
      <c r="C24" s="80">
        <f>'monitoring results'!C9</f>
        <v>93324</v>
      </c>
      <c r="D24" s="382"/>
      <c r="E24" s="384"/>
      <c r="F24" s="69"/>
    </row>
    <row r="25" spans="1:7" ht="15" customHeight="1" x14ac:dyDescent="0.3">
      <c r="A25" s="81" t="str">
        <f>'monitoring results'!A10</f>
        <v>01/10/2022-31/10/2022</v>
      </c>
      <c r="B25" s="80">
        <f>'monitoring results'!B10</f>
        <v>127447</v>
      </c>
      <c r="C25" s="80">
        <f>'monitoring results'!C10</f>
        <v>93347</v>
      </c>
      <c r="D25" s="382"/>
      <c r="E25" s="384"/>
      <c r="F25" s="69"/>
    </row>
    <row r="26" spans="1:7" ht="15" customHeight="1" x14ac:dyDescent="0.3">
      <c r="A26" s="81" t="str">
        <f>'monitoring results'!A11</f>
        <v>01/11/2022-30/11/2022</v>
      </c>
      <c r="B26" s="80">
        <f>'monitoring results'!B11</f>
        <v>127447</v>
      </c>
      <c r="C26" s="80">
        <f>'monitoring results'!C11</f>
        <v>92517</v>
      </c>
      <c r="D26" s="382"/>
      <c r="E26" s="384"/>
      <c r="F26" s="69"/>
    </row>
    <row r="27" spans="1:7" ht="15" customHeight="1" x14ac:dyDescent="0.3">
      <c r="A27" s="81" t="str">
        <f>'monitoring results'!A12</f>
        <v>01/12/2022-31/12/2022</v>
      </c>
      <c r="B27" s="80">
        <f>'monitoring results'!B12</f>
        <v>127447</v>
      </c>
      <c r="C27" s="80">
        <f>'monitoring results'!C12</f>
        <v>92988</v>
      </c>
      <c r="D27" s="382"/>
      <c r="E27" s="384"/>
      <c r="F27" s="69"/>
      <c r="G27" s="13"/>
    </row>
    <row r="28" spans="1:7" ht="15" customHeight="1" x14ac:dyDescent="0.3">
      <c r="A28" s="81" t="str">
        <f>'monitoring results'!A13</f>
        <v>01/01/2023-31/01/2023</v>
      </c>
      <c r="B28" s="80">
        <f>'monitoring results'!B13</f>
        <v>127447</v>
      </c>
      <c r="C28" s="80">
        <f>'monitoring results'!C13</f>
        <v>92822</v>
      </c>
      <c r="D28" s="382"/>
      <c r="E28" s="384"/>
      <c r="F28" s="69"/>
      <c r="G28" s="13"/>
    </row>
    <row r="29" spans="1:7" ht="15" customHeight="1" x14ac:dyDescent="0.3">
      <c r="A29" s="81" t="str">
        <f>'monitoring results'!A14</f>
        <v>01/02/2023-28/02/2023</v>
      </c>
      <c r="B29" s="80">
        <f>'monitoring results'!B14</f>
        <v>127447</v>
      </c>
      <c r="C29" s="80">
        <f>'monitoring results'!C14</f>
        <v>93454</v>
      </c>
      <c r="D29" s="382"/>
      <c r="E29" s="384"/>
      <c r="F29" s="69"/>
      <c r="G29" s="13"/>
    </row>
    <row r="30" spans="1:7" ht="15" customHeight="1" x14ac:dyDescent="0.3">
      <c r="A30" s="81" t="str">
        <f>'monitoring results'!A15</f>
        <v>01/03/2023-31/03/2023</v>
      </c>
      <c r="B30" s="80">
        <f>'monitoring results'!B15</f>
        <v>127447</v>
      </c>
      <c r="C30" s="80">
        <f>'monitoring results'!C15</f>
        <v>94666</v>
      </c>
      <c r="D30" s="382"/>
      <c r="E30" s="384"/>
      <c r="F30" s="69"/>
      <c r="G30" s="13"/>
    </row>
    <row r="31" spans="1:7" ht="15" customHeight="1" x14ac:dyDescent="0.3">
      <c r="A31" s="82" t="s">
        <v>169</v>
      </c>
      <c r="B31" s="83"/>
      <c r="C31" s="83"/>
      <c r="D31" s="381" t="s">
        <v>105</v>
      </c>
      <c r="E31" s="385" t="s">
        <v>145</v>
      </c>
      <c r="F31" s="69"/>
    </row>
    <row r="32" spans="1:7" ht="15" customHeight="1" x14ac:dyDescent="0.3">
      <c r="A32" s="81" t="str">
        <f t="shared" ref="A32:A43" si="0">A19</f>
        <v>01/04/2022-30/04/2022</v>
      </c>
      <c r="B32" s="83">
        <f>'monitoring results'!D4</f>
        <v>57.3</v>
      </c>
      <c r="C32" s="83">
        <f>'monitoring results'!E4</f>
        <v>74.5</v>
      </c>
      <c r="D32" s="382"/>
      <c r="E32" s="386"/>
      <c r="F32" s="69"/>
    </row>
    <row r="33" spans="1:6" ht="15" customHeight="1" x14ac:dyDescent="0.3">
      <c r="A33" s="81" t="str">
        <f t="shared" si="0"/>
        <v>01/05/2022-31/05/2022</v>
      </c>
      <c r="B33" s="83">
        <f>'monitoring results'!D5</f>
        <v>56.9</v>
      </c>
      <c r="C33" s="83">
        <f>'monitoring results'!E5</f>
        <v>74.3</v>
      </c>
      <c r="D33" s="382"/>
      <c r="E33" s="386"/>
      <c r="F33" s="69"/>
    </row>
    <row r="34" spans="1:6" ht="15" customHeight="1" x14ac:dyDescent="0.3">
      <c r="A34" s="81" t="str">
        <f t="shared" si="0"/>
        <v>01/06/2022-30/06/2022</v>
      </c>
      <c r="B34" s="83">
        <f>'monitoring results'!D6</f>
        <v>57.5</v>
      </c>
      <c r="C34" s="83">
        <f>'monitoring results'!E6</f>
        <v>74.7</v>
      </c>
      <c r="D34" s="382"/>
      <c r="E34" s="386"/>
      <c r="F34" s="69"/>
    </row>
    <row r="35" spans="1:6" ht="15" customHeight="1" x14ac:dyDescent="0.3">
      <c r="A35" s="81" t="str">
        <f t="shared" si="0"/>
        <v>01/07/2022-31/07/2022</v>
      </c>
      <c r="B35" s="83">
        <f>'monitoring results'!D7</f>
        <v>57.2</v>
      </c>
      <c r="C35" s="83">
        <f>'monitoring results'!E7</f>
        <v>73.8</v>
      </c>
      <c r="D35" s="382"/>
      <c r="E35" s="386"/>
      <c r="F35" s="69"/>
    </row>
    <row r="36" spans="1:6" ht="15" customHeight="1" x14ac:dyDescent="0.3">
      <c r="A36" s="81" t="str">
        <f t="shared" si="0"/>
        <v>01/08/2022-31/08/2022</v>
      </c>
      <c r="B36" s="83">
        <f>'monitoring results'!D8</f>
        <v>57.6</v>
      </c>
      <c r="C36" s="83">
        <f>'monitoring results'!E8</f>
        <v>74.8</v>
      </c>
      <c r="D36" s="382"/>
      <c r="E36" s="386"/>
      <c r="F36" s="69"/>
    </row>
    <row r="37" spans="1:6" ht="15" customHeight="1" x14ac:dyDescent="0.3">
      <c r="A37" s="81" t="str">
        <f t="shared" si="0"/>
        <v>01/09/2022-30/09/2022</v>
      </c>
      <c r="B37" s="83">
        <f>'monitoring results'!D9</f>
        <v>58.4</v>
      </c>
      <c r="C37" s="83">
        <f>'monitoring results'!E9</f>
        <v>73.599999999999994</v>
      </c>
      <c r="D37" s="382"/>
      <c r="E37" s="386"/>
      <c r="F37" s="69"/>
    </row>
    <row r="38" spans="1:6" ht="15" customHeight="1" x14ac:dyDescent="0.3">
      <c r="A38" s="81" t="str">
        <f t="shared" si="0"/>
        <v>01/10/2022-31/10/2022</v>
      </c>
      <c r="B38" s="83">
        <f>'monitoring results'!D10</f>
        <v>58.6</v>
      </c>
      <c r="C38" s="83">
        <f>'monitoring results'!E10</f>
        <v>73.7</v>
      </c>
      <c r="D38" s="382"/>
      <c r="E38" s="386"/>
      <c r="F38" s="69"/>
    </row>
    <row r="39" spans="1:6" ht="15" customHeight="1" x14ac:dyDescent="0.3">
      <c r="A39" s="81" t="str">
        <f t="shared" si="0"/>
        <v>01/11/2022-30/11/2022</v>
      </c>
      <c r="B39" s="83">
        <f>'monitoring results'!D11</f>
        <v>57.6</v>
      </c>
      <c r="C39" s="83">
        <f>'monitoring results'!E11</f>
        <v>74.5</v>
      </c>
      <c r="D39" s="382"/>
      <c r="E39" s="386"/>
      <c r="F39" s="69"/>
    </row>
    <row r="40" spans="1:6" ht="15" customHeight="1" x14ac:dyDescent="0.3">
      <c r="A40" s="81" t="str">
        <f t="shared" si="0"/>
        <v>01/12/2022-31/12/2022</v>
      </c>
      <c r="B40" s="83">
        <f>'monitoring results'!D12</f>
        <v>58</v>
      </c>
      <c r="C40" s="83">
        <f>'monitoring results'!E12</f>
        <v>75.2</v>
      </c>
      <c r="D40" s="382"/>
      <c r="E40" s="386"/>
      <c r="F40" s="69"/>
    </row>
    <row r="41" spans="1:6" ht="15" customHeight="1" x14ac:dyDescent="0.3">
      <c r="A41" s="81" t="str">
        <f t="shared" si="0"/>
        <v>01/01/2023-31/01/2023</v>
      </c>
      <c r="B41" s="83">
        <f>'monitoring results'!D13</f>
        <v>57.8</v>
      </c>
      <c r="C41" s="83">
        <f>'monitoring results'!E13</f>
        <v>73.599999999999994</v>
      </c>
      <c r="D41" s="382"/>
      <c r="E41" s="386"/>
      <c r="F41" s="69"/>
    </row>
    <row r="42" spans="1:6" ht="15" customHeight="1" x14ac:dyDescent="0.3">
      <c r="A42" s="81" t="str">
        <f t="shared" si="0"/>
        <v>01/02/2023-28/02/2023</v>
      </c>
      <c r="B42" s="83">
        <f>'monitoring results'!D14</f>
        <v>56.3</v>
      </c>
      <c r="C42" s="83">
        <f>'monitoring results'!E14</f>
        <v>74</v>
      </c>
      <c r="D42" s="382"/>
      <c r="E42" s="386"/>
      <c r="F42" s="69"/>
    </row>
    <row r="43" spans="1:6" ht="15" customHeight="1" x14ac:dyDescent="0.3">
      <c r="A43" s="81" t="str">
        <f t="shared" si="0"/>
        <v>01/03/2023-31/03/2023</v>
      </c>
      <c r="B43" s="83">
        <f>'monitoring results'!D15</f>
        <v>57.9</v>
      </c>
      <c r="C43" s="83">
        <f>'monitoring results'!E15</f>
        <v>74</v>
      </c>
      <c r="D43" s="382"/>
      <c r="E43" s="386"/>
      <c r="F43" s="69"/>
    </row>
    <row r="44" spans="1:6" ht="15" customHeight="1" x14ac:dyDescent="0.4">
      <c r="A44" s="73" t="s">
        <v>170</v>
      </c>
      <c r="B44" s="80">
        <f>B132</f>
        <v>28</v>
      </c>
      <c r="C44" s="80">
        <f>C132</f>
        <v>28</v>
      </c>
      <c r="D44" s="77" t="s">
        <v>105</v>
      </c>
      <c r="E44" s="75" t="s">
        <v>51</v>
      </c>
      <c r="F44" s="69"/>
    </row>
    <row r="45" spans="1:6" x14ac:dyDescent="0.3">
      <c r="A45" s="84" t="s">
        <v>171</v>
      </c>
      <c r="B45" s="76">
        <v>0.3</v>
      </c>
      <c r="C45" s="76">
        <v>0.3</v>
      </c>
      <c r="D45" s="77" t="s">
        <v>6</v>
      </c>
      <c r="E45" s="75" t="str">
        <f>E17</f>
        <v>2006 IPCC guideline, volume 4, chapter 10, tbl. 10A-7</v>
      </c>
      <c r="F45" s="69"/>
    </row>
    <row r="46" spans="1:6" ht="20.5" customHeight="1" x14ac:dyDescent="0.3">
      <c r="A46" s="84" t="s">
        <v>172</v>
      </c>
      <c r="B46" s="85"/>
      <c r="C46" s="85"/>
      <c r="D46" s="381" t="s">
        <v>95</v>
      </c>
      <c r="E46" s="383" t="s">
        <v>106</v>
      </c>
      <c r="F46" s="69"/>
    </row>
    <row r="47" spans="1:6" x14ac:dyDescent="0.3">
      <c r="A47" s="81" t="str">
        <f t="shared" ref="A47:A58" si="1">A32</f>
        <v>01/04/2022-30/04/2022</v>
      </c>
      <c r="B47" s="85">
        <f t="shared" ref="B47:B58" si="2">(B32/$B$44)*$B$45*B61</f>
        <v>18.417857142857141</v>
      </c>
      <c r="C47" s="85">
        <f t="shared" ref="C47:C58" si="3">(C32/$C$44)*$C$45*C61</f>
        <v>23.946428571428569</v>
      </c>
      <c r="D47" s="382"/>
      <c r="E47" s="384"/>
      <c r="F47" s="69"/>
    </row>
    <row r="48" spans="1:6" x14ac:dyDescent="0.3">
      <c r="A48" s="81" t="str">
        <f t="shared" si="1"/>
        <v>01/05/2022-31/05/2022</v>
      </c>
      <c r="B48" s="85">
        <f t="shared" si="2"/>
        <v>18.89892857142857</v>
      </c>
      <c r="C48" s="85">
        <f t="shared" si="3"/>
        <v>24.678214285714283</v>
      </c>
      <c r="D48" s="382"/>
      <c r="E48" s="384"/>
      <c r="F48" s="69"/>
    </row>
    <row r="49" spans="1:7" x14ac:dyDescent="0.3">
      <c r="A49" s="81" t="str">
        <f t="shared" si="1"/>
        <v>01/06/2022-30/06/2022</v>
      </c>
      <c r="B49" s="85">
        <f t="shared" si="2"/>
        <v>18.482142857142854</v>
      </c>
      <c r="C49" s="85">
        <f t="shared" si="3"/>
        <v>24.010714285714286</v>
      </c>
      <c r="D49" s="382"/>
      <c r="E49" s="384"/>
      <c r="F49" s="69"/>
    </row>
    <row r="50" spans="1:7" x14ac:dyDescent="0.3">
      <c r="A50" s="81" t="str">
        <f t="shared" si="1"/>
        <v>01/07/2022-31/07/2022</v>
      </c>
      <c r="B50" s="85">
        <f t="shared" si="2"/>
        <v>18.998571428571431</v>
      </c>
      <c r="C50" s="85">
        <f t="shared" si="3"/>
        <v>24.512142857142855</v>
      </c>
      <c r="D50" s="382"/>
      <c r="E50" s="384"/>
      <c r="F50" s="69"/>
    </row>
    <row r="51" spans="1:7" x14ac:dyDescent="0.3">
      <c r="A51" s="81" t="str">
        <f t="shared" si="1"/>
        <v>01/08/2022-31/08/2022</v>
      </c>
      <c r="B51" s="85">
        <f t="shared" si="2"/>
        <v>19.131428571428575</v>
      </c>
      <c r="C51" s="85">
        <f t="shared" si="3"/>
        <v>24.844285714285714</v>
      </c>
      <c r="D51" s="382"/>
      <c r="E51" s="384"/>
      <c r="F51" s="69"/>
    </row>
    <row r="52" spans="1:7" x14ac:dyDescent="0.3">
      <c r="A52" s="81" t="str">
        <f t="shared" si="1"/>
        <v>01/09/2022-30/09/2022</v>
      </c>
      <c r="B52" s="85">
        <f t="shared" si="2"/>
        <v>18.771428571428572</v>
      </c>
      <c r="C52" s="85">
        <f t="shared" si="3"/>
        <v>23.657142857142858</v>
      </c>
      <c r="D52" s="382"/>
      <c r="E52" s="384"/>
      <c r="F52" s="69"/>
      <c r="G52" s="13"/>
    </row>
    <row r="53" spans="1:7" x14ac:dyDescent="0.3">
      <c r="A53" s="81" t="str">
        <f t="shared" si="1"/>
        <v>01/10/2022-31/10/2022</v>
      </c>
      <c r="B53" s="85">
        <f t="shared" si="2"/>
        <v>19.463571428571431</v>
      </c>
      <c r="C53" s="85">
        <f t="shared" si="3"/>
        <v>24.478928571428568</v>
      </c>
      <c r="D53" s="382"/>
      <c r="E53" s="384"/>
      <c r="F53" s="69"/>
      <c r="G53" s="13"/>
    </row>
    <row r="54" spans="1:7" x14ac:dyDescent="0.3">
      <c r="A54" s="81" t="str">
        <f t="shared" si="1"/>
        <v>01/11/2022-30/11/2022</v>
      </c>
      <c r="B54" s="85">
        <f t="shared" si="2"/>
        <v>18.514285714285716</v>
      </c>
      <c r="C54" s="85">
        <f t="shared" si="3"/>
        <v>23.946428571428569</v>
      </c>
      <c r="D54" s="382"/>
      <c r="E54" s="384"/>
      <c r="F54" s="69"/>
    </row>
    <row r="55" spans="1:7" x14ac:dyDescent="0.3">
      <c r="A55" s="81" t="str">
        <f t="shared" si="1"/>
        <v>01/12/2022-31/12/2022</v>
      </c>
      <c r="B55" s="85">
        <f t="shared" si="2"/>
        <v>19.264285714285716</v>
      </c>
      <c r="C55" s="85">
        <f t="shared" si="3"/>
        <v>24.977142857142859</v>
      </c>
      <c r="D55" s="382"/>
      <c r="E55" s="384"/>
      <c r="F55" s="69"/>
    </row>
    <row r="56" spans="1:7" x14ac:dyDescent="0.3">
      <c r="A56" s="81" t="str">
        <f t="shared" si="1"/>
        <v>01/01/2023-31/01/2023</v>
      </c>
      <c r="B56" s="85">
        <f t="shared" si="2"/>
        <v>19.197857142857142</v>
      </c>
      <c r="C56" s="85">
        <f t="shared" si="3"/>
        <v>24.445714285714285</v>
      </c>
      <c r="D56" s="382"/>
      <c r="E56" s="384"/>
      <c r="F56" s="69"/>
    </row>
    <row r="57" spans="1:7" x14ac:dyDescent="0.3">
      <c r="A57" s="81" t="str">
        <f t="shared" si="1"/>
        <v>01/02/2023-28/02/2023</v>
      </c>
      <c r="B57" s="85">
        <f t="shared" si="2"/>
        <v>16.89</v>
      </c>
      <c r="C57" s="85">
        <f t="shared" si="3"/>
        <v>22.2</v>
      </c>
      <c r="D57" s="382"/>
      <c r="E57" s="384"/>
      <c r="F57" s="69"/>
    </row>
    <row r="58" spans="1:7" x14ac:dyDescent="0.3">
      <c r="A58" s="81" t="str">
        <f t="shared" si="1"/>
        <v>01/03/2023-31/03/2023</v>
      </c>
      <c r="B58" s="85">
        <f t="shared" si="2"/>
        <v>19.231071428571425</v>
      </c>
      <c r="C58" s="85">
        <f t="shared" si="3"/>
        <v>24.578571428571426</v>
      </c>
      <c r="D58" s="382"/>
      <c r="E58" s="384"/>
      <c r="F58" s="69"/>
    </row>
    <row r="59" spans="1:7" x14ac:dyDescent="0.3">
      <c r="A59" s="73" t="s">
        <v>173</v>
      </c>
      <c r="B59" s="78">
        <v>1</v>
      </c>
      <c r="C59" s="78">
        <v>1</v>
      </c>
      <c r="D59" s="77" t="s">
        <v>1</v>
      </c>
      <c r="E59" s="75" t="s">
        <v>107</v>
      </c>
      <c r="F59" s="69"/>
    </row>
    <row r="60" spans="1:7" x14ac:dyDescent="0.3">
      <c r="A60" s="73" t="s">
        <v>49</v>
      </c>
      <c r="B60" s="76"/>
      <c r="C60" s="76"/>
      <c r="D60" s="381" t="s">
        <v>53</v>
      </c>
      <c r="E60" s="391" t="s">
        <v>324</v>
      </c>
      <c r="F60" s="86"/>
    </row>
    <row r="61" spans="1:7" x14ac:dyDescent="0.3">
      <c r="A61" s="81" t="str">
        <f t="shared" ref="A61:A72" si="4">A47</f>
        <v>01/04/2022-30/04/2022</v>
      </c>
      <c r="B61" s="76">
        <v>30</v>
      </c>
      <c r="C61" s="76">
        <f>B61</f>
        <v>30</v>
      </c>
      <c r="D61" s="382"/>
      <c r="E61" s="391"/>
      <c r="F61" s="86"/>
    </row>
    <row r="62" spans="1:7" x14ac:dyDescent="0.3">
      <c r="A62" s="81" t="str">
        <f t="shared" si="4"/>
        <v>01/05/2022-31/05/2022</v>
      </c>
      <c r="B62" s="76">
        <v>31</v>
      </c>
      <c r="C62" s="76">
        <f t="shared" ref="C62:C72" si="5">B62</f>
        <v>31</v>
      </c>
      <c r="D62" s="382"/>
      <c r="E62" s="391"/>
      <c r="F62" s="69"/>
    </row>
    <row r="63" spans="1:7" x14ac:dyDescent="0.3">
      <c r="A63" s="81" t="str">
        <f t="shared" si="4"/>
        <v>01/06/2022-30/06/2022</v>
      </c>
      <c r="B63" s="76">
        <v>30</v>
      </c>
      <c r="C63" s="76">
        <f t="shared" si="5"/>
        <v>30</v>
      </c>
      <c r="D63" s="382"/>
      <c r="E63" s="391"/>
      <c r="F63" s="69"/>
    </row>
    <row r="64" spans="1:7" x14ac:dyDescent="0.3">
      <c r="A64" s="81" t="str">
        <f t="shared" si="4"/>
        <v>01/07/2022-31/07/2022</v>
      </c>
      <c r="B64" s="76">
        <v>31</v>
      </c>
      <c r="C64" s="76">
        <f t="shared" si="5"/>
        <v>31</v>
      </c>
      <c r="D64" s="382"/>
      <c r="E64" s="391"/>
      <c r="F64" s="69"/>
    </row>
    <row r="65" spans="1:6" x14ac:dyDescent="0.3">
      <c r="A65" s="81" t="str">
        <f t="shared" si="4"/>
        <v>01/08/2022-31/08/2022</v>
      </c>
      <c r="B65" s="76">
        <v>31</v>
      </c>
      <c r="C65" s="76">
        <f t="shared" si="5"/>
        <v>31</v>
      </c>
      <c r="D65" s="382"/>
      <c r="E65" s="391"/>
      <c r="F65" s="69"/>
    </row>
    <row r="66" spans="1:6" x14ac:dyDescent="0.3">
      <c r="A66" s="81" t="str">
        <f t="shared" si="4"/>
        <v>01/09/2022-30/09/2022</v>
      </c>
      <c r="B66" s="76">
        <v>30</v>
      </c>
      <c r="C66" s="76">
        <f t="shared" si="5"/>
        <v>30</v>
      </c>
      <c r="D66" s="382"/>
      <c r="E66" s="391"/>
      <c r="F66" s="69"/>
    </row>
    <row r="67" spans="1:6" x14ac:dyDescent="0.3">
      <c r="A67" s="81" t="str">
        <f t="shared" si="4"/>
        <v>01/10/2022-31/10/2022</v>
      </c>
      <c r="B67" s="76">
        <v>31</v>
      </c>
      <c r="C67" s="76">
        <f t="shared" si="5"/>
        <v>31</v>
      </c>
      <c r="D67" s="382"/>
      <c r="E67" s="391"/>
      <c r="F67" s="69"/>
    </row>
    <row r="68" spans="1:6" x14ac:dyDescent="0.3">
      <c r="A68" s="81" t="str">
        <f t="shared" si="4"/>
        <v>01/11/2022-30/11/2022</v>
      </c>
      <c r="B68" s="76">
        <v>30</v>
      </c>
      <c r="C68" s="76">
        <f t="shared" si="5"/>
        <v>30</v>
      </c>
      <c r="D68" s="382"/>
      <c r="E68" s="391"/>
      <c r="F68" s="69"/>
    </row>
    <row r="69" spans="1:6" x14ac:dyDescent="0.3">
      <c r="A69" s="81" t="str">
        <f t="shared" si="4"/>
        <v>01/12/2022-31/12/2022</v>
      </c>
      <c r="B69" s="76">
        <v>31</v>
      </c>
      <c r="C69" s="76">
        <f t="shared" si="5"/>
        <v>31</v>
      </c>
      <c r="D69" s="382"/>
      <c r="E69" s="391"/>
      <c r="F69" s="69"/>
    </row>
    <row r="70" spans="1:6" x14ac:dyDescent="0.3">
      <c r="A70" s="81" t="str">
        <f t="shared" si="4"/>
        <v>01/01/2023-31/01/2023</v>
      </c>
      <c r="B70" s="76">
        <v>31</v>
      </c>
      <c r="C70" s="76">
        <f t="shared" si="5"/>
        <v>31</v>
      </c>
      <c r="D70" s="382"/>
      <c r="E70" s="391"/>
      <c r="F70" s="69"/>
    </row>
    <row r="71" spans="1:6" x14ac:dyDescent="0.3">
      <c r="A71" s="81" t="str">
        <f t="shared" si="4"/>
        <v>01/02/2023-28/02/2023</v>
      </c>
      <c r="B71" s="76">
        <v>28</v>
      </c>
      <c r="C71" s="76">
        <f t="shared" si="5"/>
        <v>28</v>
      </c>
      <c r="D71" s="382"/>
      <c r="E71" s="391"/>
      <c r="F71" s="69"/>
    </row>
    <row r="72" spans="1:6" x14ac:dyDescent="0.3">
      <c r="A72" s="81" t="str">
        <f t="shared" si="4"/>
        <v>01/03/2023-31/03/2023</v>
      </c>
      <c r="B72" s="76">
        <v>31</v>
      </c>
      <c r="C72" s="76">
        <f t="shared" si="5"/>
        <v>31</v>
      </c>
      <c r="D72" s="382"/>
      <c r="E72" s="391"/>
      <c r="F72" s="69"/>
    </row>
    <row r="73" spans="1:6" ht="15.5" x14ac:dyDescent="0.4">
      <c r="A73" s="81" t="s">
        <v>174</v>
      </c>
      <c r="B73" s="76"/>
      <c r="C73" s="76"/>
      <c r="D73" s="77"/>
      <c r="E73" s="75"/>
      <c r="F73" s="69"/>
    </row>
    <row r="74" spans="1:6" ht="15.5" x14ac:dyDescent="0.4">
      <c r="A74" s="81" t="str">
        <f t="shared" ref="A74:A85" si="6">A61</f>
        <v>01/04/2022-30/04/2022</v>
      </c>
      <c r="B74" s="87">
        <f>ROUNDDOWN($B$12*$B$13*$B$16*$B$17*B19*B47*$B$59,0)</f>
        <v>9603</v>
      </c>
      <c r="C74" s="87">
        <f t="shared" ref="B74:C85" si="7">ROUNDDOWN($B$12*$B$13*$B$16*$B$17*C19*C47*$B$59,0)</f>
        <v>9226</v>
      </c>
      <c r="D74" s="77" t="s">
        <v>175</v>
      </c>
      <c r="E74" s="383" t="s">
        <v>109</v>
      </c>
      <c r="F74" s="69"/>
    </row>
    <row r="75" spans="1:6" ht="15.5" x14ac:dyDescent="0.4">
      <c r="A75" s="81" t="str">
        <f t="shared" si="6"/>
        <v>01/05/2022-31/05/2022</v>
      </c>
      <c r="B75" s="87">
        <f t="shared" si="7"/>
        <v>9854</v>
      </c>
      <c r="C75" s="87">
        <f t="shared" si="7"/>
        <v>9440</v>
      </c>
      <c r="D75" s="77" t="s">
        <v>175</v>
      </c>
      <c r="E75" s="384"/>
      <c r="F75" s="69"/>
    </row>
    <row r="76" spans="1:6" ht="15.5" x14ac:dyDescent="0.4">
      <c r="A76" s="81" t="str">
        <f t="shared" si="6"/>
        <v>01/06/2022-30/06/2022</v>
      </c>
      <c r="B76" s="87">
        <f t="shared" si="7"/>
        <v>9636</v>
      </c>
      <c r="C76" s="87">
        <f t="shared" si="7"/>
        <v>9207</v>
      </c>
      <c r="D76" s="77" t="s">
        <v>175</v>
      </c>
      <c r="E76" s="384"/>
      <c r="F76" s="69"/>
    </row>
    <row r="77" spans="1:6" ht="15.5" x14ac:dyDescent="0.4">
      <c r="A77" s="81" t="str">
        <f t="shared" si="6"/>
        <v>01/07/2022-31/07/2022</v>
      </c>
      <c r="B77" s="87">
        <f t="shared" si="7"/>
        <v>9906</v>
      </c>
      <c r="C77" s="87">
        <f t="shared" si="7"/>
        <v>9361</v>
      </c>
      <c r="D77" s="77" t="s">
        <v>175</v>
      </c>
      <c r="E77" s="384"/>
      <c r="F77" s="69"/>
    </row>
    <row r="78" spans="1:6" ht="15.5" x14ac:dyDescent="0.4">
      <c r="A78" s="81" t="str">
        <f t="shared" si="6"/>
        <v>01/08/2022-31/08/2022</v>
      </c>
      <c r="B78" s="87">
        <f t="shared" si="7"/>
        <v>9975</v>
      </c>
      <c r="C78" s="87">
        <f t="shared" si="7"/>
        <v>9559</v>
      </c>
      <c r="D78" s="77" t="s">
        <v>175</v>
      </c>
      <c r="E78" s="384"/>
      <c r="F78" s="69"/>
    </row>
    <row r="79" spans="1:6" ht="15.5" x14ac:dyDescent="0.4">
      <c r="A79" s="81" t="str">
        <f t="shared" si="6"/>
        <v>01/09/2022-30/09/2022</v>
      </c>
      <c r="B79" s="87">
        <f t="shared" si="7"/>
        <v>9787</v>
      </c>
      <c r="C79" s="87">
        <f t="shared" si="7"/>
        <v>9032</v>
      </c>
      <c r="D79" s="77" t="s">
        <v>175</v>
      </c>
      <c r="E79" s="384"/>
      <c r="F79" s="69"/>
    </row>
    <row r="80" spans="1:6" ht="15.5" x14ac:dyDescent="0.4">
      <c r="A80" s="81" t="str">
        <f t="shared" si="6"/>
        <v>01/10/2022-31/10/2022</v>
      </c>
      <c r="B80" s="87">
        <f t="shared" si="7"/>
        <v>10148</v>
      </c>
      <c r="C80" s="87">
        <f t="shared" si="7"/>
        <v>9348</v>
      </c>
      <c r="D80" s="77" t="s">
        <v>175</v>
      </c>
      <c r="E80" s="384"/>
      <c r="F80" s="69"/>
    </row>
    <row r="81" spans="1:6" ht="15.5" x14ac:dyDescent="0.4">
      <c r="A81" s="81" t="str">
        <f t="shared" si="6"/>
        <v>01/11/2022-30/11/2022</v>
      </c>
      <c r="B81" s="87">
        <f t="shared" si="7"/>
        <v>9653</v>
      </c>
      <c r="C81" s="87">
        <f t="shared" si="7"/>
        <v>9063</v>
      </c>
      <c r="D81" s="77" t="s">
        <v>175</v>
      </c>
      <c r="E81" s="384"/>
      <c r="F81" s="69"/>
    </row>
    <row r="82" spans="1:6" ht="15.5" x14ac:dyDescent="0.4">
      <c r="A82" s="81" t="str">
        <f t="shared" si="6"/>
        <v>01/12/2022-31/12/2022</v>
      </c>
      <c r="B82" s="87">
        <f t="shared" si="7"/>
        <v>10044</v>
      </c>
      <c r="C82" s="87">
        <f t="shared" si="7"/>
        <v>9502</v>
      </c>
      <c r="D82" s="77" t="s">
        <v>175</v>
      </c>
      <c r="E82" s="384"/>
      <c r="F82" s="69"/>
    </row>
    <row r="83" spans="1:6" ht="15.5" x14ac:dyDescent="0.4">
      <c r="A83" s="81" t="str">
        <f t="shared" si="6"/>
        <v>01/01/2023-31/01/2023</v>
      </c>
      <c r="B83" s="87">
        <f t="shared" si="7"/>
        <v>10009</v>
      </c>
      <c r="C83" s="87">
        <f t="shared" si="7"/>
        <v>9283</v>
      </c>
      <c r="D83" s="77" t="s">
        <v>175</v>
      </c>
      <c r="E83" s="384"/>
      <c r="F83" s="69"/>
    </row>
    <row r="84" spans="1:6" ht="15.5" x14ac:dyDescent="0.4">
      <c r="A84" s="81" t="str">
        <f t="shared" si="6"/>
        <v>01/02/2023-28/02/2023</v>
      </c>
      <c r="B84" s="87">
        <f t="shared" si="7"/>
        <v>8806</v>
      </c>
      <c r="C84" s="87">
        <f t="shared" si="7"/>
        <v>8487</v>
      </c>
      <c r="D84" s="77" t="s">
        <v>176</v>
      </c>
      <c r="E84" s="384"/>
      <c r="F84" s="69"/>
    </row>
    <row r="85" spans="1:6" ht="15.5" x14ac:dyDescent="0.4">
      <c r="A85" s="81" t="str">
        <f t="shared" si="6"/>
        <v>01/03/2023-31/03/2023</v>
      </c>
      <c r="B85" s="87">
        <f t="shared" si="7"/>
        <v>10027</v>
      </c>
      <c r="C85" s="87">
        <f t="shared" si="7"/>
        <v>9519</v>
      </c>
      <c r="D85" s="77" t="s">
        <v>176</v>
      </c>
      <c r="E85" s="384"/>
      <c r="F85" s="69"/>
    </row>
    <row r="86" spans="1:6" ht="15.5" x14ac:dyDescent="0.4">
      <c r="A86" s="88" t="s">
        <v>341</v>
      </c>
      <c r="B86" s="397">
        <f>SUM(B74:C82)</f>
        <v>172344</v>
      </c>
      <c r="C86" s="397"/>
      <c r="D86" s="77" t="s">
        <v>176</v>
      </c>
      <c r="E86" s="384"/>
      <c r="F86" s="69"/>
    </row>
    <row r="87" spans="1:6" ht="15.5" x14ac:dyDescent="0.4">
      <c r="A87" s="88" t="s">
        <v>342</v>
      </c>
      <c r="B87" s="397">
        <f>SUM(B83:C85)</f>
        <v>56131</v>
      </c>
      <c r="C87" s="397"/>
      <c r="D87" s="77" t="s">
        <v>175</v>
      </c>
      <c r="E87" s="384"/>
      <c r="F87" s="69"/>
    </row>
    <row r="88" spans="1:6" ht="16" thickBot="1" x14ac:dyDescent="0.45">
      <c r="A88" s="89" t="s">
        <v>177</v>
      </c>
      <c r="B88" s="90">
        <f>B86+B87</f>
        <v>228475</v>
      </c>
      <c r="C88" s="90"/>
      <c r="D88" s="91" t="s">
        <v>175</v>
      </c>
      <c r="E88" s="404"/>
      <c r="F88" s="69"/>
    </row>
    <row r="89" spans="1:6" x14ac:dyDescent="0.3">
      <c r="D89" s="92"/>
    </row>
    <row r="90" spans="1:6" x14ac:dyDescent="0.3">
      <c r="A90" s="65" t="s">
        <v>36</v>
      </c>
      <c r="B90" s="63"/>
    </row>
    <row r="91" spans="1:6" x14ac:dyDescent="0.3">
      <c r="A91" s="389"/>
      <c r="B91" s="390"/>
      <c r="C91" s="390"/>
      <c r="D91" s="390"/>
      <c r="E91" s="93"/>
    </row>
    <row r="92" spans="1:6" x14ac:dyDescent="0.3">
      <c r="A92" s="94"/>
      <c r="E92" s="93"/>
    </row>
    <row r="93" spans="1:6" x14ac:dyDescent="0.3">
      <c r="A93" s="94"/>
    </row>
    <row r="94" spans="1:6" ht="17" customHeight="1" x14ac:dyDescent="0.3">
      <c r="A94" s="63" t="s">
        <v>8</v>
      </c>
      <c r="B94" s="63"/>
    </row>
    <row r="95" spans="1:6" ht="12.75" customHeight="1" x14ac:dyDescent="0.3">
      <c r="A95" s="94"/>
      <c r="B95" s="95"/>
      <c r="C95" s="95"/>
      <c r="D95" s="95"/>
      <c r="E95" s="93"/>
    </row>
    <row r="96" spans="1:6" ht="12.75" customHeight="1" x14ac:dyDescent="0.3">
      <c r="A96" s="94"/>
      <c r="B96" s="95"/>
      <c r="C96" s="95"/>
      <c r="D96" s="95"/>
      <c r="E96" s="93"/>
    </row>
    <row r="97" spans="1:5" ht="12.75" customHeight="1" x14ac:dyDescent="0.3">
      <c r="A97" s="94"/>
      <c r="B97" s="95"/>
      <c r="C97" s="95"/>
      <c r="D97" s="95"/>
      <c r="E97" s="96"/>
    </row>
    <row r="98" spans="1:5" ht="12.75" customHeight="1" x14ac:dyDescent="0.3">
      <c r="A98" s="94"/>
      <c r="B98" s="95"/>
      <c r="C98" s="95"/>
      <c r="D98" s="95"/>
      <c r="E98" s="93"/>
    </row>
    <row r="99" spans="1:5" ht="12.75" customHeight="1" x14ac:dyDescent="0.3">
      <c r="A99" s="94"/>
      <c r="B99" s="95"/>
      <c r="C99" s="95"/>
      <c r="D99" s="95"/>
      <c r="E99" s="93"/>
    </row>
    <row r="100" spans="1:5" ht="14" thickBot="1" x14ac:dyDescent="0.35"/>
    <row r="101" spans="1:5" x14ac:dyDescent="0.3">
      <c r="A101" s="97" t="s">
        <v>3</v>
      </c>
      <c r="B101" s="98" t="s">
        <v>9</v>
      </c>
      <c r="C101" s="98"/>
      <c r="D101" s="98" t="s">
        <v>2</v>
      </c>
      <c r="E101" s="98" t="s">
        <v>4</v>
      </c>
    </row>
    <row r="102" spans="1:5" x14ac:dyDescent="0.3">
      <c r="A102" s="99"/>
      <c r="B102" s="100" t="str">
        <f>B10</f>
        <v>Market Swine</v>
      </c>
      <c r="C102" s="100" t="str">
        <f>C10</f>
        <v>Breeding Swine</v>
      </c>
      <c r="D102" s="100"/>
      <c r="E102" s="100"/>
    </row>
    <row r="103" spans="1:5" ht="15.5" x14ac:dyDescent="0.4">
      <c r="A103" s="82" t="s">
        <v>178</v>
      </c>
      <c r="B103" s="76">
        <v>0</v>
      </c>
      <c r="C103" s="101">
        <v>0</v>
      </c>
      <c r="D103" s="27" t="s">
        <v>179</v>
      </c>
      <c r="E103" s="27" t="s">
        <v>37</v>
      </c>
    </row>
    <row r="104" spans="1:5" ht="15.5" x14ac:dyDescent="0.4">
      <c r="A104" s="82" t="s">
        <v>180</v>
      </c>
      <c r="B104" s="102">
        <f>0.42</f>
        <v>0.42</v>
      </c>
      <c r="C104" s="103">
        <v>0.24</v>
      </c>
      <c r="D104" s="27" t="s">
        <v>50</v>
      </c>
      <c r="E104" s="27" t="s">
        <v>67</v>
      </c>
    </row>
    <row r="105" spans="1:5" x14ac:dyDescent="0.3">
      <c r="A105" s="82" t="s">
        <v>181</v>
      </c>
      <c r="B105" s="85"/>
      <c r="C105" s="85"/>
      <c r="D105" s="387" t="s">
        <v>69</v>
      </c>
      <c r="E105" s="387" t="s">
        <v>48</v>
      </c>
    </row>
    <row r="106" spans="1:5" x14ac:dyDescent="0.3">
      <c r="A106" s="81" t="str">
        <f t="shared" ref="A106:A117" si="8">A74</f>
        <v>01/04/2022-30/04/2022</v>
      </c>
      <c r="B106" s="85">
        <f t="shared" ref="B106:B117" si="9">$B$104*$B$131/1000*B61</f>
        <v>0.3528</v>
      </c>
      <c r="C106" s="85">
        <f t="shared" ref="C106:C117" si="10">$C$104*$C$131/1000*C61</f>
        <v>0.20159999999999997</v>
      </c>
      <c r="D106" s="388"/>
      <c r="E106" s="388"/>
    </row>
    <row r="107" spans="1:5" x14ac:dyDescent="0.3">
      <c r="A107" s="81" t="str">
        <f t="shared" si="8"/>
        <v>01/05/2022-31/05/2022</v>
      </c>
      <c r="B107" s="85">
        <f t="shared" si="9"/>
        <v>0.36456</v>
      </c>
      <c r="C107" s="85">
        <f t="shared" si="10"/>
        <v>0.20831999999999998</v>
      </c>
      <c r="D107" s="388"/>
      <c r="E107" s="388"/>
    </row>
    <row r="108" spans="1:5" x14ac:dyDescent="0.3">
      <c r="A108" s="81" t="str">
        <f t="shared" si="8"/>
        <v>01/06/2022-30/06/2022</v>
      </c>
      <c r="B108" s="85">
        <f t="shared" si="9"/>
        <v>0.3528</v>
      </c>
      <c r="C108" s="85">
        <f t="shared" si="10"/>
        <v>0.20159999999999997</v>
      </c>
      <c r="D108" s="388"/>
      <c r="E108" s="388"/>
    </row>
    <row r="109" spans="1:5" x14ac:dyDescent="0.3">
      <c r="A109" s="81" t="str">
        <f t="shared" si="8"/>
        <v>01/07/2022-31/07/2022</v>
      </c>
      <c r="B109" s="85">
        <f t="shared" si="9"/>
        <v>0.36456</v>
      </c>
      <c r="C109" s="85">
        <f t="shared" si="10"/>
        <v>0.20831999999999998</v>
      </c>
      <c r="D109" s="388"/>
      <c r="E109" s="388"/>
    </row>
    <row r="110" spans="1:5" x14ac:dyDescent="0.3">
      <c r="A110" s="81" t="str">
        <f t="shared" si="8"/>
        <v>01/08/2022-31/08/2022</v>
      </c>
      <c r="B110" s="85">
        <f t="shared" si="9"/>
        <v>0.36456</v>
      </c>
      <c r="C110" s="85">
        <f t="shared" si="10"/>
        <v>0.20831999999999998</v>
      </c>
      <c r="D110" s="388"/>
      <c r="E110" s="388"/>
    </row>
    <row r="111" spans="1:5" x14ac:dyDescent="0.3">
      <c r="A111" s="81" t="str">
        <f t="shared" si="8"/>
        <v>01/09/2022-30/09/2022</v>
      </c>
      <c r="B111" s="85">
        <f t="shared" si="9"/>
        <v>0.3528</v>
      </c>
      <c r="C111" s="85">
        <f t="shared" si="10"/>
        <v>0.20159999999999997</v>
      </c>
      <c r="D111" s="388"/>
      <c r="E111" s="388"/>
    </row>
    <row r="112" spans="1:5" x14ac:dyDescent="0.3">
      <c r="A112" s="81" t="str">
        <f t="shared" si="8"/>
        <v>01/10/2022-31/10/2022</v>
      </c>
      <c r="B112" s="85">
        <f t="shared" si="9"/>
        <v>0.36456</v>
      </c>
      <c r="C112" s="85">
        <f t="shared" si="10"/>
        <v>0.20831999999999998</v>
      </c>
      <c r="D112" s="388"/>
      <c r="E112" s="388"/>
    </row>
    <row r="113" spans="1:5" x14ac:dyDescent="0.3">
      <c r="A113" s="81" t="str">
        <f t="shared" si="8"/>
        <v>01/11/2022-30/11/2022</v>
      </c>
      <c r="B113" s="85">
        <f t="shared" si="9"/>
        <v>0.3528</v>
      </c>
      <c r="C113" s="85">
        <f t="shared" si="10"/>
        <v>0.20159999999999997</v>
      </c>
      <c r="D113" s="388"/>
      <c r="E113" s="388"/>
    </row>
    <row r="114" spans="1:5" x14ac:dyDescent="0.3">
      <c r="A114" s="81" t="str">
        <f t="shared" si="8"/>
        <v>01/12/2022-31/12/2022</v>
      </c>
      <c r="B114" s="85">
        <f t="shared" si="9"/>
        <v>0.36456</v>
      </c>
      <c r="C114" s="85">
        <f t="shared" si="10"/>
        <v>0.20831999999999998</v>
      </c>
      <c r="D114" s="388"/>
      <c r="E114" s="388"/>
    </row>
    <row r="115" spans="1:5" x14ac:dyDescent="0.3">
      <c r="A115" s="81" t="str">
        <f t="shared" si="8"/>
        <v>01/01/2023-31/01/2023</v>
      </c>
      <c r="B115" s="85">
        <f t="shared" si="9"/>
        <v>0.36456</v>
      </c>
      <c r="C115" s="85">
        <f t="shared" si="10"/>
        <v>0.20831999999999998</v>
      </c>
      <c r="D115" s="388"/>
      <c r="E115" s="388"/>
    </row>
    <row r="116" spans="1:5" x14ac:dyDescent="0.3">
      <c r="A116" s="81" t="str">
        <f t="shared" si="8"/>
        <v>01/02/2023-28/02/2023</v>
      </c>
      <c r="B116" s="85">
        <f t="shared" si="9"/>
        <v>0.32928000000000002</v>
      </c>
      <c r="C116" s="85">
        <f t="shared" si="10"/>
        <v>0.18815999999999999</v>
      </c>
      <c r="D116" s="388"/>
      <c r="E116" s="388"/>
    </row>
    <row r="117" spans="1:5" x14ac:dyDescent="0.3">
      <c r="A117" s="81" t="str">
        <f t="shared" si="8"/>
        <v>01/03/2023-31/03/2023</v>
      </c>
      <c r="B117" s="85">
        <f t="shared" si="9"/>
        <v>0.36456</v>
      </c>
      <c r="C117" s="85">
        <f t="shared" si="10"/>
        <v>0.20831999999999998</v>
      </c>
      <c r="D117" s="388"/>
      <c r="E117" s="388"/>
    </row>
    <row r="118" spans="1:5" x14ac:dyDescent="0.3">
      <c r="A118" s="82" t="s">
        <v>169</v>
      </c>
      <c r="B118" s="104"/>
      <c r="C118" s="104"/>
      <c r="D118" s="387" t="s">
        <v>5</v>
      </c>
      <c r="E118" s="387" t="str">
        <f>E31</f>
        <v>Weight record</v>
      </c>
    </row>
    <row r="119" spans="1:5" x14ac:dyDescent="0.3">
      <c r="A119" s="81" t="str">
        <f t="shared" ref="A119:A130" si="11">A106</f>
        <v>01/04/2022-30/04/2022</v>
      </c>
      <c r="B119" s="105">
        <f>'monitoring results'!D4</f>
        <v>57.3</v>
      </c>
      <c r="C119" s="105">
        <f>'monitoring results'!E4</f>
        <v>74.5</v>
      </c>
      <c r="D119" s="388"/>
      <c r="E119" s="388"/>
    </row>
    <row r="120" spans="1:5" x14ac:dyDescent="0.3">
      <c r="A120" s="81" t="str">
        <f t="shared" si="11"/>
        <v>01/05/2022-31/05/2022</v>
      </c>
      <c r="B120" s="105">
        <f>'monitoring results'!D5</f>
        <v>56.9</v>
      </c>
      <c r="C120" s="105">
        <f>'monitoring results'!E5</f>
        <v>74.3</v>
      </c>
      <c r="D120" s="388"/>
      <c r="E120" s="388"/>
    </row>
    <row r="121" spans="1:5" x14ac:dyDescent="0.3">
      <c r="A121" s="81" t="str">
        <f t="shared" si="11"/>
        <v>01/06/2022-30/06/2022</v>
      </c>
      <c r="B121" s="105">
        <f>'monitoring results'!D6</f>
        <v>57.5</v>
      </c>
      <c r="C121" s="105">
        <f>'monitoring results'!E6</f>
        <v>74.7</v>
      </c>
      <c r="D121" s="388"/>
      <c r="E121" s="388"/>
    </row>
    <row r="122" spans="1:5" x14ac:dyDescent="0.3">
      <c r="A122" s="81" t="str">
        <f t="shared" si="11"/>
        <v>01/07/2022-31/07/2022</v>
      </c>
      <c r="B122" s="105">
        <f>'monitoring results'!D7</f>
        <v>57.2</v>
      </c>
      <c r="C122" s="105">
        <f>'monitoring results'!E7</f>
        <v>73.8</v>
      </c>
      <c r="D122" s="388"/>
      <c r="E122" s="388"/>
    </row>
    <row r="123" spans="1:5" x14ac:dyDescent="0.3">
      <c r="A123" s="81" t="str">
        <f t="shared" si="11"/>
        <v>01/08/2022-31/08/2022</v>
      </c>
      <c r="B123" s="105">
        <f>'monitoring results'!D8</f>
        <v>57.6</v>
      </c>
      <c r="C123" s="105">
        <f>'monitoring results'!E8</f>
        <v>74.8</v>
      </c>
      <c r="D123" s="388"/>
      <c r="E123" s="388"/>
    </row>
    <row r="124" spans="1:5" x14ac:dyDescent="0.3">
      <c r="A124" s="81" t="str">
        <f t="shared" si="11"/>
        <v>01/09/2022-30/09/2022</v>
      </c>
      <c r="B124" s="105">
        <f>'monitoring results'!D9</f>
        <v>58.4</v>
      </c>
      <c r="C124" s="105">
        <f>'monitoring results'!E9</f>
        <v>73.599999999999994</v>
      </c>
      <c r="D124" s="388"/>
      <c r="E124" s="388"/>
    </row>
    <row r="125" spans="1:5" x14ac:dyDescent="0.3">
      <c r="A125" s="81" t="str">
        <f t="shared" si="11"/>
        <v>01/10/2022-31/10/2022</v>
      </c>
      <c r="B125" s="105">
        <f>'monitoring results'!D10</f>
        <v>58.6</v>
      </c>
      <c r="C125" s="105">
        <f>'monitoring results'!E10</f>
        <v>73.7</v>
      </c>
      <c r="D125" s="388"/>
      <c r="E125" s="388"/>
    </row>
    <row r="126" spans="1:5" x14ac:dyDescent="0.3">
      <c r="A126" s="81" t="str">
        <f t="shared" si="11"/>
        <v>01/11/2022-30/11/2022</v>
      </c>
      <c r="B126" s="105">
        <f>'monitoring results'!D11</f>
        <v>57.6</v>
      </c>
      <c r="C126" s="105">
        <f>'monitoring results'!E11</f>
        <v>74.5</v>
      </c>
      <c r="D126" s="388"/>
      <c r="E126" s="388"/>
    </row>
    <row r="127" spans="1:5" x14ac:dyDescent="0.3">
      <c r="A127" s="81" t="str">
        <f t="shared" si="11"/>
        <v>01/12/2022-31/12/2022</v>
      </c>
      <c r="B127" s="105">
        <f>'monitoring results'!D12</f>
        <v>58</v>
      </c>
      <c r="C127" s="105">
        <f>'monitoring results'!E12</f>
        <v>75.2</v>
      </c>
      <c r="D127" s="388"/>
      <c r="E127" s="388"/>
    </row>
    <row r="128" spans="1:5" x14ac:dyDescent="0.3">
      <c r="A128" s="81" t="str">
        <f t="shared" si="11"/>
        <v>01/01/2023-31/01/2023</v>
      </c>
      <c r="B128" s="105">
        <f>'monitoring results'!D13</f>
        <v>57.8</v>
      </c>
      <c r="C128" s="105">
        <f>'monitoring results'!E13</f>
        <v>73.599999999999994</v>
      </c>
      <c r="D128" s="388"/>
      <c r="E128" s="388"/>
    </row>
    <row r="129" spans="1:5" x14ac:dyDescent="0.3">
      <c r="A129" s="81" t="str">
        <f t="shared" si="11"/>
        <v>01/02/2023-28/02/2023</v>
      </c>
      <c r="B129" s="105">
        <f>'monitoring results'!D14</f>
        <v>56.3</v>
      </c>
      <c r="C129" s="105">
        <f>'monitoring results'!E14</f>
        <v>74</v>
      </c>
      <c r="D129" s="388"/>
      <c r="E129" s="388"/>
    </row>
    <row r="130" spans="1:5" x14ac:dyDescent="0.3">
      <c r="A130" s="81" t="str">
        <f t="shared" si="11"/>
        <v>01/03/2023-31/03/2023</v>
      </c>
      <c r="B130" s="105">
        <f>'monitoring results'!D15</f>
        <v>57.9</v>
      </c>
      <c r="C130" s="105">
        <f>'monitoring results'!E15</f>
        <v>74</v>
      </c>
      <c r="D130" s="388"/>
      <c r="E130" s="388"/>
    </row>
    <row r="131" spans="1:5" x14ac:dyDescent="0.3">
      <c r="A131" s="82" t="s">
        <v>66</v>
      </c>
      <c r="B131" s="104">
        <v>28</v>
      </c>
      <c r="C131" s="104">
        <v>28</v>
      </c>
      <c r="D131" s="27" t="s">
        <v>5</v>
      </c>
      <c r="E131" s="77" t="s">
        <v>46</v>
      </c>
    </row>
    <row r="132" spans="1:5" x14ac:dyDescent="0.3">
      <c r="A132" s="82" t="s">
        <v>182</v>
      </c>
      <c r="B132" s="102">
        <v>28</v>
      </c>
      <c r="C132" s="106">
        <v>28</v>
      </c>
      <c r="D132" s="27" t="s">
        <v>5</v>
      </c>
      <c r="E132" s="77" t="s">
        <v>46</v>
      </c>
    </row>
    <row r="133" spans="1:5" ht="15.5" x14ac:dyDescent="0.4">
      <c r="A133" s="82" t="s">
        <v>183</v>
      </c>
      <c r="B133" s="85"/>
      <c r="C133" s="85"/>
      <c r="E133" s="85"/>
    </row>
    <row r="134" spans="1:5" x14ac:dyDescent="0.3">
      <c r="A134" s="81" t="str">
        <f t="shared" ref="A134:A145" si="12">A119</f>
        <v>01/04/2022-30/04/2022</v>
      </c>
      <c r="B134" s="85">
        <f t="shared" ref="B134:B145" si="13">(B119/$B$132)*B106</f>
        <v>0.72197999999999996</v>
      </c>
      <c r="C134" s="85">
        <f t="shared" ref="C134:C145" si="14">(C119/$C$132)*C106</f>
        <v>0.53639999999999988</v>
      </c>
      <c r="D134" s="387" t="s">
        <v>69</v>
      </c>
      <c r="E134" s="387" t="s">
        <v>52</v>
      </c>
    </row>
    <row r="135" spans="1:5" x14ac:dyDescent="0.3">
      <c r="A135" s="81" t="str">
        <f t="shared" si="12"/>
        <v>01/05/2022-31/05/2022</v>
      </c>
      <c r="B135" s="85">
        <f t="shared" si="13"/>
        <v>0.740838</v>
      </c>
      <c r="C135" s="85">
        <f t="shared" si="14"/>
        <v>0.55279199999999995</v>
      </c>
      <c r="D135" s="388"/>
      <c r="E135" s="388"/>
    </row>
    <row r="136" spans="1:5" x14ac:dyDescent="0.3">
      <c r="A136" s="81" t="str">
        <f t="shared" si="12"/>
        <v>01/06/2022-30/06/2022</v>
      </c>
      <c r="B136" s="85">
        <f t="shared" si="13"/>
        <v>0.72449999999999992</v>
      </c>
      <c r="C136" s="85">
        <f t="shared" si="14"/>
        <v>0.53783999999999998</v>
      </c>
      <c r="D136" s="388"/>
      <c r="E136" s="388"/>
    </row>
    <row r="137" spans="1:5" x14ac:dyDescent="0.3">
      <c r="A137" s="81" t="str">
        <f t="shared" si="12"/>
        <v>01/07/2022-31/07/2022</v>
      </c>
      <c r="B137" s="85">
        <f t="shared" si="13"/>
        <v>0.74474400000000007</v>
      </c>
      <c r="C137" s="85">
        <f t="shared" si="14"/>
        <v>0.54907199999999989</v>
      </c>
      <c r="D137" s="388"/>
      <c r="E137" s="388"/>
    </row>
    <row r="138" spans="1:5" x14ac:dyDescent="0.3">
      <c r="A138" s="81" t="str">
        <f t="shared" si="12"/>
        <v>01/08/2022-31/08/2022</v>
      </c>
      <c r="B138" s="85">
        <f t="shared" si="13"/>
        <v>0.74995200000000006</v>
      </c>
      <c r="C138" s="85">
        <f t="shared" si="14"/>
        <v>0.5565119999999999</v>
      </c>
      <c r="D138" s="388"/>
      <c r="E138" s="388"/>
    </row>
    <row r="139" spans="1:5" x14ac:dyDescent="0.3">
      <c r="A139" s="81" t="str">
        <f t="shared" si="12"/>
        <v>01/09/2022-30/09/2022</v>
      </c>
      <c r="B139" s="85">
        <f t="shared" si="13"/>
        <v>0.73584000000000005</v>
      </c>
      <c r="C139" s="85">
        <f t="shared" si="14"/>
        <v>0.52991999999999995</v>
      </c>
      <c r="D139" s="388"/>
      <c r="E139" s="388"/>
    </row>
    <row r="140" spans="1:5" x14ac:dyDescent="0.3">
      <c r="A140" s="81" t="str">
        <f t="shared" si="12"/>
        <v>01/10/2022-31/10/2022</v>
      </c>
      <c r="B140" s="85">
        <f t="shared" si="13"/>
        <v>0.76297199999999998</v>
      </c>
      <c r="C140" s="85">
        <f t="shared" si="14"/>
        <v>0.54832799999999993</v>
      </c>
      <c r="D140" s="388"/>
      <c r="E140" s="388"/>
    </row>
    <row r="141" spans="1:5" x14ac:dyDescent="0.3">
      <c r="A141" s="81" t="str">
        <f t="shared" si="12"/>
        <v>01/11/2022-30/11/2022</v>
      </c>
      <c r="B141" s="85">
        <f t="shared" si="13"/>
        <v>0.72576000000000007</v>
      </c>
      <c r="C141" s="85">
        <f t="shared" si="14"/>
        <v>0.53639999999999988</v>
      </c>
      <c r="D141" s="388"/>
      <c r="E141" s="388"/>
    </row>
    <row r="142" spans="1:5" x14ac:dyDescent="0.3">
      <c r="A142" s="81" t="str">
        <f t="shared" si="12"/>
        <v>01/12/2022-31/12/2022</v>
      </c>
      <c r="B142" s="85">
        <f t="shared" si="13"/>
        <v>0.75516000000000005</v>
      </c>
      <c r="C142" s="85">
        <f t="shared" si="14"/>
        <v>0.55948799999999999</v>
      </c>
      <c r="D142" s="388"/>
      <c r="E142" s="388"/>
    </row>
    <row r="143" spans="1:5" x14ac:dyDescent="0.3">
      <c r="A143" s="81" t="str">
        <f t="shared" si="12"/>
        <v>01/01/2023-31/01/2023</v>
      </c>
      <c r="B143" s="85">
        <f t="shared" si="13"/>
        <v>0.75255599999999989</v>
      </c>
      <c r="C143" s="85">
        <f t="shared" si="14"/>
        <v>0.54758399999999996</v>
      </c>
      <c r="D143" s="388"/>
      <c r="E143" s="388"/>
    </row>
    <row r="144" spans="1:5" x14ac:dyDescent="0.3">
      <c r="A144" s="81" t="str">
        <f t="shared" si="12"/>
        <v>01/02/2023-28/02/2023</v>
      </c>
      <c r="B144" s="85">
        <f t="shared" si="13"/>
        <v>0.66208800000000001</v>
      </c>
      <c r="C144" s="85">
        <f t="shared" si="14"/>
        <v>0.49727999999999994</v>
      </c>
      <c r="D144" s="388"/>
      <c r="E144" s="388"/>
    </row>
    <row r="145" spans="1:5" x14ac:dyDescent="0.3">
      <c r="A145" s="81" t="str">
        <f t="shared" si="12"/>
        <v>01/03/2023-31/03/2023</v>
      </c>
      <c r="B145" s="85">
        <f t="shared" si="13"/>
        <v>0.75385799999999992</v>
      </c>
      <c r="C145" s="85">
        <f t="shared" si="14"/>
        <v>0.55055999999999994</v>
      </c>
      <c r="D145" s="388"/>
      <c r="E145" s="388"/>
    </row>
    <row r="146" spans="1:5" ht="13.5" customHeight="1" x14ac:dyDescent="0.3">
      <c r="A146" s="29" t="s">
        <v>184</v>
      </c>
      <c r="B146" s="80"/>
      <c r="C146" s="80"/>
      <c r="D146" s="387" t="str">
        <f>D18</f>
        <v>No of heads</v>
      </c>
      <c r="E146" s="392" t="str">
        <f>E18</f>
        <v>Calculated as equatoin 4 or 5 in MR, of which NLT for marke swine and breeding swine is sourced from  "Export record form of Market swine" and " Breeding Pig stock record"</v>
      </c>
    </row>
    <row r="147" spans="1:5" x14ac:dyDescent="0.3">
      <c r="A147" s="81" t="str">
        <f t="shared" ref="A147:A158" si="15">A134</f>
        <v>01/04/2022-30/04/2022</v>
      </c>
      <c r="B147" s="80">
        <f>'monitoring results'!B4</f>
        <v>127447</v>
      </c>
      <c r="C147" s="80">
        <f>'monitoring results'!C4</f>
        <v>94180</v>
      </c>
      <c r="D147" s="388"/>
      <c r="E147" s="393"/>
    </row>
    <row r="148" spans="1:5" x14ac:dyDescent="0.3">
      <c r="A148" s="81" t="str">
        <f t="shared" si="15"/>
        <v>01/05/2022-31/05/2022</v>
      </c>
      <c r="B148" s="80">
        <f>'monitoring results'!B5</f>
        <v>127447</v>
      </c>
      <c r="C148" s="80">
        <f>'monitoring results'!C5</f>
        <v>93502</v>
      </c>
      <c r="D148" s="388"/>
      <c r="E148" s="393"/>
    </row>
    <row r="149" spans="1:5" x14ac:dyDescent="0.3">
      <c r="A149" s="81" t="str">
        <f t="shared" si="15"/>
        <v>01/06/2022-30/06/2022</v>
      </c>
      <c r="B149" s="80">
        <f>'monitoring results'!B6</f>
        <v>127447</v>
      </c>
      <c r="C149" s="80">
        <f>'monitoring results'!C6</f>
        <v>93732</v>
      </c>
      <c r="D149" s="388"/>
      <c r="E149" s="393"/>
    </row>
    <row r="150" spans="1:5" x14ac:dyDescent="0.3">
      <c r="A150" s="81" t="str">
        <f t="shared" si="15"/>
        <v>01/07/2022-31/07/2022</v>
      </c>
      <c r="B150" s="80">
        <f>'monitoring results'!B7</f>
        <v>127447</v>
      </c>
      <c r="C150" s="80">
        <f>'monitoring results'!C7</f>
        <v>93352</v>
      </c>
      <c r="D150" s="388"/>
      <c r="E150" s="393"/>
    </row>
    <row r="151" spans="1:5" x14ac:dyDescent="0.3">
      <c r="A151" s="81" t="str">
        <f t="shared" si="15"/>
        <v>01/08/2022-31/08/2022</v>
      </c>
      <c r="B151" s="80">
        <f>'monitoring results'!B8</f>
        <v>127447</v>
      </c>
      <c r="C151" s="80">
        <f>'monitoring results'!C8</f>
        <v>94055</v>
      </c>
      <c r="D151" s="388"/>
      <c r="E151" s="393"/>
    </row>
    <row r="152" spans="1:5" x14ac:dyDescent="0.3">
      <c r="A152" s="81" t="str">
        <f t="shared" si="15"/>
        <v>01/09/2022-30/09/2022</v>
      </c>
      <c r="B152" s="80">
        <f>'monitoring results'!B9</f>
        <v>127447</v>
      </c>
      <c r="C152" s="80">
        <f>'monitoring results'!C9</f>
        <v>93324</v>
      </c>
      <c r="D152" s="388"/>
      <c r="E152" s="393"/>
    </row>
    <row r="153" spans="1:5" x14ac:dyDescent="0.3">
      <c r="A153" s="81" t="str">
        <f t="shared" si="15"/>
        <v>01/10/2022-31/10/2022</v>
      </c>
      <c r="B153" s="80">
        <f>'monitoring results'!B10</f>
        <v>127447</v>
      </c>
      <c r="C153" s="80">
        <f>'monitoring results'!C10</f>
        <v>93347</v>
      </c>
      <c r="D153" s="388"/>
      <c r="E153" s="393"/>
    </row>
    <row r="154" spans="1:5" x14ac:dyDescent="0.3">
      <c r="A154" s="81" t="str">
        <f t="shared" si="15"/>
        <v>01/11/2022-30/11/2022</v>
      </c>
      <c r="B154" s="80">
        <f>'monitoring results'!B11</f>
        <v>127447</v>
      </c>
      <c r="C154" s="80">
        <f>'monitoring results'!C11</f>
        <v>92517</v>
      </c>
      <c r="D154" s="388"/>
      <c r="E154" s="393"/>
    </row>
    <row r="155" spans="1:5" x14ac:dyDescent="0.3">
      <c r="A155" s="81" t="str">
        <f t="shared" si="15"/>
        <v>01/12/2022-31/12/2022</v>
      </c>
      <c r="B155" s="80">
        <f>'monitoring results'!B12</f>
        <v>127447</v>
      </c>
      <c r="C155" s="80">
        <f>'monitoring results'!C12</f>
        <v>92988</v>
      </c>
      <c r="D155" s="388"/>
      <c r="E155" s="393"/>
    </row>
    <row r="156" spans="1:5" x14ac:dyDescent="0.3">
      <c r="A156" s="81" t="str">
        <f t="shared" si="15"/>
        <v>01/01/2023-31/01/2023</v>
      </c>
      <c r="B156" s="80">
        <f>'monitoring results'!B13</f>
        <v>127447</v>
      </c>
      <c r="C156" s="80">
        <f>'monitoring results'!C13</f>
        <v>92822</v>
      </c>
      <c r="D156" s="388"/>
      <c r="E156" s="393"/>
    </row>
    <row r="157" spans="1:5" x14ac:dyDescent="0.3">
      <c r="A157" s="81" t="str">
        <f t="shared" si="15"/>
        <v>01/02/2023-28/02/2023</v>
      </c>
      <c r="B157" s="80">
        <f>'monitoring results'!B14</f>
        <v>127447</v>
      </c>
      <c r="C157" s="80">
        <f>'monitoring results'!C14</f>
        <v>93454</v>
      </c>
      <c r="D157" s="388"/>
      <c r="E157" s="393"/>
    </row>
    <row r="158" spans="1:5" x14ac:dyDescent="0.3">
      <c r="A158" s="81" t="str">
        <f t="shared" si="15"/>
        <v>01/03/2023-31/03/2023</v>
      </c>
      <c r="B158" s="80">
        <f>'monitoring results'!B15</f>
        <v>127447</v>
      </c>
      <c r="C158" s="80">
        <f>'monitoring results'!C15</f>
        <v>94666</v>
      </c>
      <c r="D158" s="388"/>
      <c r="E158" s="393"/>
    </row>
    <row r="159" spans="1:5" x14ac:dyDescent="0.3">
      <c r="A159" s="73" t="s">
        <v>173</v>
      </c>
      <c r="B159" s="78">
        <f>B59</f>
        <v>1</v>
      </c>
      <c r="C159" s="78">
        <f>C59</f>
        <v>1</v>
      </c>
      <c r="D159" s="27" t="str">
        <f>D59</f>
        <v>%</v>
      </c>
      <c r="E159" s="77" t="s">
        <v>27</v>
      </c>
    </row>
    <row r="160" spans="1:5" ht="15.5" x14ac:dyDescent="0.4">
      <c r="A160" s="107" t="s">
        <v>185</v>
      </c>
      <c r="B160" s="100"/>
      <c r="C160" s="100"/>
      <c r="D160" s="27"/>
      <c r="E160" s="108"/>
    </row>
    <row r="161" spans="1:5" ht="13" customHeight="1" x14ac:dyDescent="0.3">
      <c r="A161" s="81" t="str">
        <f t="shared" ref="A161:A172" si="16">A147</f>
        <v>01/04/2022-30/04/2022</v>
      </c>
      <c r="B161" s="27">
        <f t="shared" ref="B161:C172" si="17">ROUNDDOWN($B$103*B134*B147*$B$159,0)</f>
        <v>0</v>
      </c>
      <c r="C161" s="27">
        <f t="shared" si="17"/>
        <v>0</v>
      </c>
      <c r="D161" s="387" t="s">
        <v>186</v>
      </c>
      <c r="E161" s="401" t="s">
        <v>109</v>
      </c>
    </row>
    <row r="162" spans="1:5" ht="13" customHeight="1" x14ac:dyDescent="0.3">
      <c r="A162" s="81" t="str">
        <f t="shared" si="16"/>
        <v>01/05/2022-31/05/2022</v>
      </c>
      <c r="B162" s="27">
        <f t="shared" si="17"/>
        <v>0</v>
      </c>
      <c r="C162" s="27">
        <f t="shared" si="17"/>
        <v>0</v>
      </c>
      <c r="D162" s="388"/>
      <c r="E162" s="402"/>
    </row>
    <row r="163" spans="1:5" ht="13" customHeight="1" x14ac:dyDescent="0.3">
      <c r="A163" s="81" t="str">
        <f t="shared" si="16"/>
        <v>01/06/2022-30/06/2022</v>
      </c>
      <c r="B163" s="27">
        <f t="shared" si="17"/>
        <v>0</v>
      </c>
      <c r="C163" s="27">
        <f t="shared" si="17"/>
        <v>0</v>
      </c>
      <c r="D163" s="388"/>
      <c r="E163" s="402"/>
    </row>
    <row r="164" spans="1:5" ht="13" customHeight="1" x14ac:dyDescent="0.3">
      <c r="A164" s="81" t="str">
        <f t="shared" si="16"/>
        <v>01/07/2022-31/07/2022</v>
      </c>
      <c r="B164" s="27">
        <f t="shared" si="17"/>
        <v>0</v>
      </c>
      <c r="C164" s="27">
        <f t="shared" si="17"/>
        <v>0</v>
      </c>
      <c r="D164" s="388"/>
      <c r="E164" s="402"/>
    </row>
    <row r="165" spans="1:5" ht="13" customHeight="1" x14ac:dyDescent="0.3">
      <c r="A165" s="81" t="str">
        <f t="shared" si="16"/>
        <v>01/08/2022-31/08/2022</v>
      </c>
      <c r="B165" s="27">
        <f t="shared" si="17"/>
        <v>0</v>
      </c>
      <c r="C165" s="27">
        <f t="shared" si="17"/>
        <v>0</v>
      </c>
      <c r="D165" s="388"/>
      <c r="E165" s="402"/>
    </row>
    <row r="166" spans="1:5" ht="13" customHeight="1" x14ac:dyDescent="0.3">
      <c r="A166" s="81" t="str">
        <f t="shared" si="16"/>
        <v>01/09/2022-30/09/2022</v>
      </c>
      <c r="B166" s="27">
        <f t="shared" si="17"/>
        <v>0</v>
      </c>
      <c r="C166" s="27">
        <f t="shared" si="17"/>
        <v>0</v>
      </c>
      <c r="D166" s="388"/>
      <c r="E166" s="402"/>
    </row>
    <row r="167" spans="1:5" ht="13" customHeight="1" x14ac:dyDescent="0.3">
      <c r="A167" s="81" t="str">
        <f t="shared" si="16"/>
        <v>01/10/2022-31/10/2022</v>
      </c>
      <c r="B167" s="27">
        <f t="shared" si="17"/>
        <v>0</v>
      </c>
      <c r="C167" s="27">
        <f t="shared" si="17"/>
        <v>0</v>
      </c>
      <c r="D167" s="388"/>
      <c r="E167" s="402"/>
    </row>
    <row r="168" spans="1:5" ht="13" customHeight="1" x14ac:dyDescent="0.3">
      <c r="A168" s="81" t="str">
        <f t="shared" si="16"/>
        <v>01/11/2022-30/11/2022</v>
      </c>
      <c r="B168" s="27">
        <f t="shared" si="17"/>
        <v>0</v>
      </c>
      <c r="C168" s="27">
        <f t="shared" si="17"/>
        <v>0</v>
      </c>
      <c r="D168" s="388"/>
      <c r="E168" s="402"/>
    </row>
    <row r="169" spans="1:5" ht="13" customHeight="1" x14ac:dyDescent="0.3">
      <c r="A169" s="81" t="str">
        <f t="shared" si="16"/>
        <v>01/12/2022-31/12/2022</v>
      </c>
      <c r="B169" s="27">
        <f t="shared" si="17"/>
        <v>0</v>
      </c>
      <c r="C169" s="27">
        <f t="shared" si="17"/>
        <v>0</v>
      </c>
      <c r="D169" s="388"/>
      <c r="E169" s="402"/>
    </row>
    <row r="170" spans="1:5" ht="13" customHeight="1" x14ac:dyDescent="0.3">
      <c r="A170" s="81" t="str">
        <f t="shared" si="16"/>
        <v>01/01/2023-31/01/2023</v>
      </c>
      <c r="B170" s="27">
        <f t="shared" si="17"/>
        <v>0</v>
      </c>
      <c r="C170" s="27">
        <f t="shared" si="17"/>
        <v>0</v>
      </c>
      <c r="D170" s="388"/>
      <c r="E170" s="402"/>
    </row>
    <row r="171" spans="1:5" ht="13" customHeight="1" x14ac:dyDescent="0.3">
      <c r="A171" s="81" t="str">
        <f t="shared" si="16"/>
        <v>01/02/2023-28/02/2023</v>
      </c>
      <c r="B171" s="27">
        <f t="shared" si="17"/>
        <v>0</v>
      </c>
      <c r="C171" s="27">
        <f t="shared" si="17"/>
        <v>0</v>
      </c>
      <c r="D171" s="388"/>
      <c r="E171" s="402"/>
    </row>
    <row r="172" spans="1:5" ht="13" customHeight="1" x14ac:dyDescent="0.3">
      <c r="A172" s="81" t="str">
        <f t="shared" si="16"/>
        <v>01/03/2023-31/03/2023</v>
      </c>
      <c r="B172" s="27">
        <f t="shared" si="17"/>
        <v>0</v>
      </c>
      <c r="C172" s="27">
        <f t="shared" si="17"/>
        <v>0</v>
      </c>
      <c r="D172" s="388"/>
      <c r="E172" s="402"/>
    </row>
    <row r="173" spans="1:5" ht="13" customHeight="1" x14ac:dyDescent="0.4">
      <c r="A173" s="88" t="str">
        <f>A86</f>
        <v>01/04/2022-31/12/2022</v>
      </c>
      <c r="B173" s="394">
        <f>SUM(B161:C169)</f>
        <v>0</v>
      </c>
      <c r="C173" s="395"/>
      <c r="D173" s="27" t="s">
        <v>186</v>
      </c>
      <c r="E173" s="402"/>
    </row>
    <row r="174" spans="1:5" ht="15.5" x14ac:dyDescent="0.4">
      <c r="A174" s="88" t="str">
        <f>A87</f>
        <v>01/01/2023-31/03/2023</v>
      </c>
      <c r="B174" s="398">
        <f>SUM(B170:C172)</f>
        <v>0</v>
      </c>
      <c r="C174" s="398"/>
      <c r="D174" s="27" t="s">
        <v>186</v>
      </c>
      <c r="E174" s="402"/>
    </row>
    <row r="175" spans="1:5" ht="16" thickBot="1" x14ac:dyDescent="0.45">
      <c r="A175" s="109" t="s">
        <v>187</v>
      </c>
      <c r="B175" s="400">
        <f>B174+B173</f>
        <v>0</v>
      </c>
      <c r="C175" s="400"/>
      <c r="D175" s="33" t="s">
        <v>188</v>
      </c>
      <c r="E175" s="403"/>
    </row>
    <row r="176" spans="1:5" x14ac:dyDescent="0.3">
      <c r="A176" s="63"/>
      <c r="B176" s="110"/>
      <c r="C176" s="110"/>
      <c r="D176" s="111"/>
      <c r="E176" s="112"/>
    </row>
    <row r="178" spans="1:5" x14ac:dyDescent="0.3">
      <c r="A178" s="63" t="s">
        <v>11</v>
      </c>
    </row>
    <row r="179" spans="1:5" x14ac:dyDescent="0.3">
      <c r="B179" s="95"/>
      <c r="C179" s="63"/>
      <c r="D179" s="63"/>
      <c r="E179" s="64"/>
    </row>
    <row r="180" spans="1:5" x14ac:dyDescent="0.3">
      <c r="B180" s="95"/>
      <c r="C180" s="63"/>
      <c r="D180" s="63"/>
      <c r="E180" s="64"/>
    </row>
    <row r="181" spans="1:5" ht="14" thickBot="1" x14ac:dyDescent="0.35">
      <c r="B181" s="63"/>
      <c r="C181" s="63"/>
    </row>
    <row r="182" spans="1:5" x14ac:dyDescent="0.3">
      <c r="A182" s="97" t="s">
        <v>3</v>
      </c>
      <c r="B182" s="98" t="s">
        <v>9</v>
      </c>
      <c r="C182" s="98"/>
      <c r="D182" s="98" t="s">
        <v>2</v>
      </c>
      <c r="E182" s="98" t="s">
        <v>4</v>
      </c>
    </row>
    <row r="183" spans="1:5" x14ac:dyDescent="0.3">
      <c r="A183" s="99"/>
      <c r="B183" s="100" t="str">
        <f>B102</f>
        <v>Market Swine</v>
      </c>
      <c r="C183" s="100" t="str">
        <f>C102</f>
        <v>Breeding Swine</v>
      </c>
      <c r="D183" s="100"/>
      <c r="E183" s="100"/>
    </row>
    <row r="184" spans="1:5" ht="15.5" x14ac:dyDescent="0.4">
      <c r="A184" s="82" t="s">
        <v>189</v>
      </c>
      <c r="B184" s="76">
        <v>0.01</v>
      </c>
      <c r="C184" s="113">
        <v>0.01</v>
      </c>
      <c r="D184" s="27" t="s">
        <v>190</v>
      </c>
      <c r="E184" s="27" t="s">
        <v>38</v>
      </c>
    </row>
    <row r="185" spans="1:5" ht="15.5" x14ac:dyDescent="0.4">
      <c r="A185" s="82" t="s">
        <v>191</v>
      </c>
      <c r="B185" s="78">
        <v>0.4</v>
      </c>
      <c r="C185" s="78">
        <v>0.4</v>
      </c>
      <c r="D185" s="27" t="s">
        <v>1</v>
      </c>
      <c r="E185" s="114" t="s">
        <v>68</v>
      </c>
    </row>
    <row r="186" spans="1:5" ht="15.5" x14ac:dyDescent="0.4">
      <c r="A186" s="29" t="s">
        <v>192</v>
      </c>
      <c r="B186" s="115"/>
      <c r="C186" s="115"/>
      <c r="D186" s="387" t="s">
        <v>121</v>
      </c>
      <c r="E186" s="387" t="s">
        <v>52</v>
      </c>
    </row>
    <row r="187" spans="1:5" x14ac:dyDescent="0.3">
      <c r="A187" s="81" t="str">
        <f t="shared" ref="A187:A198" si="18">A161</f>
        <v>01/04/2022-30/04/2022</v>
      </c>
      <c r="B187" s="116">
        <f t="shared" ref="B187:C198" si="19">B134</f>
        <v>0.72197999999999996</v>
      </c>
      <c r="C187" s="116">
        <f t="shared" si="19"/>
        <v>0.53639999999999988</v>
      </c>
      <c r="D187" s="388"/>
      <c r="E187" s="388"/>
    </row>
    <row r="188" spans="1:5" x14ac:dyDescent="0.3">
      <c r="A188" s="81" t="str">
        <f t="shared" si="18"/>
        <v>01/05/2022-31/05/2022</v>
      </c>
      <c r="B188" s="116">
        <f t="shared" si="19"/>
        <v>0.740838</v>
      </c>
      <c r="C188" s="116">
        <f t="shared" si="19"/>
        <v>0.55279199999999995</v>
      </c>
      <c r="D188" s="388"/>
      <c r="E188" s="388"/>
    </row>
    <row r="189" spans="1:5" x14ac:dyDescent="0.3">
      <c r="A189" s="81" t="str">
        <f t="shared" si="18"/>
        <v>01/06/2022-30/06/2022</v>
      </c>
      <c r="B189" s="116">
        <f t="shared" si="19"/>
        <v>0.72449999999999992</v>
      </c>
      <c r="C189" s="116">
        <f t="shared" si="19"/>
        <v>0.53783999999999998</v>
      </c>
      <c r="D189" s="388"/>
      <c r="E189" s="388"/>
    </row>
    <row r="190" spans="1:5" x14ac:dyDescent="0.3">
      <c r="A190" s="81" t="str">
        <f t="shared" si="18"/>
        <v>01/07/2022-31/07/2022</v>
      </c>
      <c r="B190" s="116">
        <f t="shared" si="19"/>
        <v>0.74474400000000007</v>
      </c>
      <c r="C190" s="116">
        <f t="shared" si="19"/>
        <v>0.54907199999999989</v>
      </c>
      <c r="D190" s="388"/>
      <c r="E190" s="388"/>
    </row>
    <row r="191" spans="1:5" x14ac:dyDescent="0.3">
      <c r="A191" s="81" t="str">
        <f t="shared" si="18"/>
        <v>01/08/2022-31/08/2022</v>
      </c>
      <c r="B191" s="116">
        <f t="shared" si="19"/>
        <v>0.74995200000000006</v>
      </c>
      <c r="C191" s="116">
        <f t="shared" si="19"/>
        <v>0.5565119999999999</v>
      </c>
      <c r="D191" s="388"/>
      <c r="E191" s="388"/>
    </row>
    <row r="192" spans="1:5" x14ac:dyDescent="0.3">
      <c r="A192" s="81" t="str">
        <f t="shared" si="18"/>
        <v>01/09/2022-30/09/2022</v>
      </c>
      <c r="B192" s="116">
        <f t="shared" si="19"/>
        <v>0.73584000000000005</v>
      </c>
      <c r="C192" s="116">
        <f t="shared" si="19"/>
        <v>0.52991999999999995</v>
      </c>
      <c r="D192" s="388"/>
      <c r="E192" s="388"/>
    </row>
    <row r="193" spans="1:5" x14ac:dyDescent="0.3">
      <c r="A193" s="81" t="str">
        <f t="shared" si="18"/>
        <v>01/10/2022-31/10/2022</v>
      </c>
      <c r="B193" s="116">
        <f t="shared" si="19"/>
        <v>0.76297199999999998</v>
      </c>
      <c r="C193" s="116">
        <f t="shared" si="19"/>
        <v>0.54832799999999993</v>
      </c>
      <c r="D193" s="388"/>
      <c r="E193" s="388"/>
    </row>
    <row r="194" spans="1:5" x14ac:dyDescent="0.3">
      <c r="A194" s="81" t="str">
        <f t="shared" si="18"/>
        <v>01/11/2022-30/11/2022</v>
      </c>
      <c r="B194" s="116">
        <f t="shared" si="19"/>
        <v>0.72576000000000007</v>
      </c>
      <c r="C194" s="116">
        <f t="shared" si="19"/>
        <v>0.53639999999999988</v>
      </c>
      <c r="D194" s="388"/>
      <c r="E194" s="388"/>
    </row>
    <row r="195" spans="1:5" x14ac:dyDescent="0.3">
      <c r="A195" s="81" t="str">
        <f t="shared" si="18"/>
        <v>01/12/2022-31/12/2022</v>
      </c>
      <c r="B195" s="116">
        <f t="shared" si="19"/>
        <v>0.75516000000000005</v>
      </c>
      <c r="C195" s="116">
        <f t="shared" si="19"/>
        <v>0.55948799999999999</v>
      </c>
      <c r="D195" s="388"/>
      <c r="E195" s="388"/>
    </row>
    <row r="196" spans="1:5" x14ac:dyDescent="0.3">
      <c r="A196" s="81" t="str">
        <f t="shared" si="18"/>
        <v>01/01/2023-31/01/2023</v>
      </c>
      <c r="B196" s="116">
        <f t="shared" si="19"/>
        <v>0.75255599999999989</v>
      </c>
      <c r="C196" s="116">
        <f t="shared" si="19"/>
        <v>0.54758399999999996</v>
      </c>
      <c r="D196" s="388"/>
      <c r="E196" s="388"/>
    </row>
    <row r="197" spans="1:5" x14ac:dyDescent="0.3">
      <c r="A197" s="81" t="str">
        <f t="shared" si="18"/>
        <v>01/02/2023-28/02/2023</v>
      </c>
      <c r="B197" s="116">
        <f t="shared" si="19"/>
        <v>0.66208800000000001</v>
      </c>
      <c r="C197" s="116">
        <f t="shared" si="19"/>
        <v>0.49727999999999994</v>
      </c>
      <c r="D197" s="388"/>
      <c r="E197" s="388"/>
    </row>
    <row r="198" spans="1:5" x14ac:dyDescent="0.3">
      <c r="A198" s="81" t="str">
        <f t="shared" si="18"/>
        <v>01/03/2023-31/03/2023</v>
      </c>
      <c r="B198" s="116">
        <f t="shared" si="19"/>
        <v>0.75385799999999992</v>
      </c>
      <c r="C198" s="116">
        <f t="shared" si="19"/>
        <v>0.55055999999999994</v>
      </c>
      <c r="D198" s="388"/>
      <c r="E198" s="388"/>
    </row>
    <row r="199" spans="1:5" ht="13.5" customHeight="1" x14ac:dyDescent="0.3">
      <c r="A199" s="29" t="s">
        <v>184</v>
      </c>
      <c r="B199" s="80"/>
      <c r="C199" s="80"/>
      <c r="D199" s="387" t="str">
        <f>D146</f>
        <v>No of heads</v>
      </c>
      <c r="E199" s="392" t="str">
        <f>E146</f>
        <v>Calculated as equatoin 4 or 5 in MR, of which NLT for marke swine and breeding swine is sourced from  "Export record form of Market swine" and " Breeding Pig stock record"</v>
      </c>
    </row>
    <row r="200" spans="1:5" x14ac:dyDescent="0.3">
      <c r="A200" s="81" t="str">
        <f t="shared" ref="A200:A211" si="20">A187</f>
        <v>01/04/2022-30/04/2022</v>
      </c>
      <c r="B200" s="80">
        <f t="shared" ref="B200:C212" si="21">B147</f>
        <v>127447</v>
      </c>
      <c r="C200" s="80">
        <f t="shared" si="21"/>
        <v>94180</v>
      </c>
      <c r="D200" s="388"/>
      <c r="E200" s="393"/>
    </row>
    <row r="201" spans="1:5" x14ac:dyDescent="0.3">
      <c r="A201" s="81" t="str">
        <f t="shared" si="20"/>
        <v>01/05/2022-31/05/2022</v>
      </c>
      <c r="B201" s="80">
        <f t="shared" si="21"/>
        <v>127447</v>
      </c>
      <c r="C201" s="80">
        <f t="shared" si="21"/>
        <v>93502</v>
      </c>
      <c r="D201" s="388"/>
      <c r="E201" s="393"/>
    </row>
    <row r="202" spans="1:5" x14ac:dyDescent="0.3">
      <c r="A202" s="81" t="str">
        <f t="shared" si="20"/>
        <v>01/06/2022-30/06/2022</v>
      </c>
      <c r="B202" s="80">
        <f t="shared" si="21"/>
        <v>127447</v>
      </c>
      <c r="C202" s="80">
        <f t="shared" si="21"/>
        <v>93732</v>
      </c>
      <c r="D202" s="388"/>
      <c r="E202" s="393"/>
    </row>
    <row r="203" spans="1:5" x14ac:dyDescent="0.3">
      <c r="A203" s="81" t="str">
        <f t="shared" si="20"/>
        <v>01/07/2022-31/07/2022</v>
      </c>
      <c r="B203" s="80">
        <f t="shared" si="21"/>
        <v>127447</v>
      </c>
      <c r="C203" s="80">
        <f t="shared" si="21"/>
        <v>93352</v>
      </c>
      <c r="D203" s="388"/>
      <c r="E203" s="393"/>
    </row>
    <row r="204" spans="1:5" x14ac:dyDescent="0.3">
      <c r="A204" s="81" t="str">
        <f t="shared" si="20"/>
        <v>01/08/2022-31/08/2022</v>
      </c>
      <c r="B204" s="80">
        <f t="shared" si="21"/>
        <v>127447</v>
      </c>
      <c r="C204" s="80">
        <f t="shared" si="21"/>
        <v>94055</v>
      </c>
      <c r="D204" s="388"/>
      <c r="E204" s="393"/>
    </row>
    <row r="205" spans="1:5" x14ac:dyDescent="0.3">
      <c r="A205" s="81" t="str">
        <f t="shared" si="20"/>
        <v>01/09/2022-30/09/2022</v>
      </c>
      <c r="B205" s="80">
        <f t="shared" si="21"/>
        <v>127447</v>
      </c>
      <c r="C205" s="80">
        <f t="shared" si="21"/>
        <v>93324</v>
      </c>
      <c r="D205" s="388"/>
      <c r="E205" s="393"/>
    </row>
    <row r="206" spans="1:5" x14ac:dyDescent="0.3">
      <c r="A206" s="81" t="str">
        <f t="shared" si="20"/>
        <v>01/10/2022-31/10/2022</v>
      </c>
      <c r="B206" s="80">
        <f t="shared" si="21"/>
        <v>127447</v>
      </c>
      <c r="C206" s="80">
        <f t="shared" si="21"/>
        <v>93347</v>
      </c>
      <c r="D206" s="388"/>
      <c r="E206" s="393"/>
    </row>
    <row r="207" spans="1:5" x14ac:dyDescent="0.3">
      <c r="A207" s="81" t="str">
        <f t="shared" si="20"/>
        <v>01/11/2022-30/11/2022</v>
      </c>
      <c r="B207" s="80">
        <f t="shared" si="21"/>
        <v>127447</v>
      </c>
      <c r="C207" s="80">
        <f t="shared" si="21"/>
        <v>92517</v>
      </c>
      <c r="D207" s="388"/>
      <c r="E207" s="393"/>
    </row>
    <row r="208" spans="1:5" x14ac:dyDescent="0.3">
      <c r="A208" s="81" t="str">
        <f t="shared" si="20"/>
        <v>01/12/2022-31/12/2022</v>
      </c>
      <c r="B208" s="80">
        <f t="shared" si="21"/>
        <v>127447</v>
      </c>
      <c r="C208" s="80">
        <f t="shared" si="21"/>
        <v>92988</v>
      </c>
      <c r="D208" s="388"/>
      <c r="E208" s="393"/>
    </row>
    <row r="209" spans="1:5" x14ac:dyDescent="0.3">
      <c r="A209" s="81" t="str">
        <f t="shared" si="20"/>
        <v>01/01/2023-31/01/2023</v>
      </c>
      <c r="B209" s="80">
        <f t="shared" si="21"/>
        <v>127447</v>
      </c>
      <c r="C209" s="80">
        <f t="shared" si="21"/>
        <v>92822</v>
      </c>
      <c r="D209" s="388"/>
      <c r="E209" s="393"/>
    </row>
    <row r="210" spans="1:5" x14ac:dyDescent="0.3">
      <c r="A210" s="81" t="str">
        <f t="shared" si="20"/>
        <v>01/02/2023-28/02/2023</v>
      </c>
      <c r="B210" s="80">
        <f t="shared" si="21"/>
        <v>127447</v>
      </c>
      <c r="C210" s="80">
        <f t="shared" si="21"/>
        <v>93454</v>
      </c>
      <c r="D210" s="388"/>
      <c r="E210" s="393"/>
    </row>
    <row r="211" spans="1:5" x14ac:dyDescent="0.3">
      <c r="A211" s="81" t="str">
        <f t="shared" si="20"/>
        <v>01/03/2023-31/03/2023</v>
      </c>
      <c r="B211" s="80">
        <f t="shared" si="21"/>
        <v>127447</v>
      </c>
      <c r="C211" s="80">
        <f t="shared" si="21"/>
        <v>94666</v>
      </c>
      <c r="D211" s="388"/>
      <c r="E211" s="393"/>
    </row>
    <row r="212" spans="1:5" x14ac:dyDescent="0.3">
      <c r="A212" s="73" t="s">
        <v>173</v>
      </c>
      <c r="B212" s="78">
        <f t="shared" si="21"/>
        <v>1</v>
      </c>
      <c r="C212" s="78">
        <f t="shared" si="21"/>
        <v>1</v>
      </c>
      <c r="D212" s="27" t="str">
        <f>D159</f>
        <v>%</v>
      </c>
      <c r="E212" s="77" t="s">
        <v>107</v>
      </c>
    </row>
    <row r="213" spans="1:5" ht="15.5" x14ac:dyDescent="0.4">
      <c r="A213" s="29" t="s">
        <v>193</v>
      </c>
      <c r="B213" s="117">
        <v>265</v>
      </c>
      <c r="C213" s="117">
        <v>265</v>
      </c>
      <c r="D213" s="27" t="s">
        <v>194</v>
      </c>
      <c r="E213" s="75" t="s">
        <v>119</v>
      </c>
    </row>
    <row r="214" spans="1:5" ht="15.5" x14ac:dyDescent="0.4">
      <c r="A214" s="29" t="s">
        <v>195</v>
      </c>
      <c r="B214" s="115">
        <f>44/28</f>
        <v>1.5714285714285714</v>
      </c>
      <c r="C214" s="115">
        <f>44/28</f>
        <v>1.5714285714285714</v>
      </c>
      <c r="D214" s="27" t="s">
        <v>196</v>
      </c>
      <c r="E214" s="77" t="s">
        <v>311</v>
      </c>
    </row>
    <row r="215" spans="1:5" ht="15.5" x14ac:dyDescent="0.4">
      <c r="A215" s="29" t="s">
        <v>197</v>
      </c>
      <c r="B215" s="115"/>
      <c r="C215" s="115"/>
      <c r="D215" s="27"/>
      <c r="E215" s="77"/>
    </row>
    <row r="216" spans="1:5" ht="13.5" customHeight="1" x14ac:dyDescent="0.3">
      <c r="A216" s="81" t="str">
        <f t="shared" ref="A216:A227" si="22">A200</f>
        <v>01/04/2022-30/04/2022</v>
      </c>
      <c r="B216" s="118">
        <f t="shared" ref="B216:C227" si="23">ROUNDDOWN($B$184*$B$185*B187*B200*$B$212,0)</f>
        <v>368</v>
      </c>
      <c r="C216" s="118">
        <f t="shared" si="23"/>
        <v>202</v>
      </c>
      <c r="D216" s="387" t="s">
        <v>188</v>
      </c>
      <c r="E216" s="381" t="s">
        <v>109</v>
      </c>
    </row>
    <row r="217" spans="1:5" x14ac:dyDescent="0.3">
      <c r="A217" s="81" t="str">
        <f t="shared" si="22"/>
        <v>01/05/2022-31/05/2022</v>
      </c>
      <c r="B217" s="118">
        <f t="shared" si="23"/>
        <v>377</v>
      </c>
      <c r="C217" s="118">
        <f t="shared" si="23"/>
        <v>206</v>
      </c>
      <c r="D217" s="388"/>
      <c r="E217" s="382"/>
    </row>
    <row r="218" spans="1:5" x14ac:dyDescent="0.3">
      <c r="A218" s="81" t="str">
        <f t="shared" si="22"/>
        <v>01/06/2022-30/06/2022</v>
      </c>
      <c r="B218" s="118">
        <f t="shared" si="23"/>
        <v>369</v>
      </c>
      <c r="C218" s="118">
        <f t="shared" si="23"/>
        <v>201</v>
      </c>
      <c r="D218" s="388"/>
      <c r="E218" s="382"/>
    </row>
    <row r="219" spans="1:5" x14ac:dyDescent="0.3">
      <c r="A219" s="81" t="str">
        <f t="shared" si="22"/>
        <v>01/07/2022-31/07/2022</v>
      </c>
      <c r="B219" s="118">
        <f t="shared" si="23"/>
        <v>379</v>
      </c>
      <c r="C219" s="118">
        <f t="shared" si="23"/>
        <v>205</v>
      </c>
      <c r="D219" s="388"/>
      <c r="E219" s="382"/>
    </row>
    <row r="220" spans="1:5" x14ac:dyDescent="0.3">
      <c r="A220" s="81" t="str">
        <f t="shared" si="22"/>
        <v>01/08/2022-31/08/2022</v>
      </c>
      <c r="B220" s="118">
        <f t="shared" si="23"/>
        <v>382</v>
      </c>
      <c r="C220" s="118">
        <f t="shared" si="23"/>
        <v>209</v>
      </c>
      <c r="D220" s="388"/>
      <c r="E220" s="382"/>
    </row>
    <row r="221" spans="1:5" x14ac:dyDescent="0.3">
      <c r="A221" s="81" t="str">
        <f t="shared" si="22"/>
        <v>01/09/2022-30/09/2022</v>
      </c>
      <c r="B221" s="118">
        <f t="shared" si="23"/>
        <v>375</v>
      </c>
      <c r="C221" s="118">
        <f t="shared" si="23"/>
        <v>197</v>
      </c>
      <c r="D221" s="388"/>
      <c r="E221" s="382"/>
    </row>
    <row r="222" spans="1:5" x14ac:dyDescent="0.3">
      <c r="A222" s="81" t="str">
        <f t="shared" si="22"/>
        <v>01/10/2022-31/10/2022</v>
      </c>
      <c r="B222" s="118">
        <f t="shared" si="23"/>
        <v>388</v>
      </c>
      <c r="C222" s="118">
        <f t="shared" si="23"/>
        <v>204</v>
      </c>
      <c r="D222" s="388"/>
      <c r="E222" s="382"/>
    </row>
    <row r="223" spans="1:5" x14ac:dyDescent="0.3">
      <c r="A223" s="81" t="str">
        <f t="shared" si="22"/>
        <v>01/11/2022-30/11/2022</v>
      </c>
      <c r="B223" s="118">
        <f t="shared" si="23"/>
        <v>369</v>
      </c>
      <c r="C223" s="118">
        <f t="shared" si="23"/>
        <v>198</v>
      </c>
      <c r="D223" s="388"/>
      <c r="E223" s="382"/>
    </row>
    <row r="224" spans="1:5" x14ac:dyDescent="0.3">
      <c r="A224" s="81" t="str">
        <f t="shared" si="22"/>
        <v>01/12/2022-31/12/2022</v>
      </c>
      <c r="B224" s="118">
        <f t="shared" si="23"/>
        <v>384</v>
      </c>
      <c r="C224" s="118">
        <f t="shared" si="23"/>
        <v>208</v>
      </c>
      <c r="D224" s="388"/>
      <c r="E224" s="382"/>
    </row>
    <row r="225" spans="1:6" x14ac:dyDescent="0.3">
      <c r="A225" s="81" t="str">
        <f t="shared" si="22"/>
        <v>01/01/2023-31/01/2023</v>
      </c>
      <c r="B225" s="118">
        <f t="shared" si="23"/>
        <v>383</v>
      </c>
      <c r="C225" s="118">
        <f t="shared" si="23"/>
        <v>203</v>
      </c>
      <c r="D225" s="388"/>
      <c r="E225" s="382"/>
    </row>
    <row r="226" spans="1:6" x14ac:dyDescent="0.3">
      <c r="A226" s="81" t="str">
        <f t="shared" si="22"/>
        <v>01/02/2023-28/02/2023</v>
      </c>
      <c r="B226" s="118">
        <f t="shared" si="23"/>
        <v>337</v>
      </c>
      <c r="C226" s="118">
        <f t="shared" si="23"/>
        <v>185</v>
      </c>
      <c r="D226" s="388"/>
      <c r="E226" s="382"/>
    </row>
    <row r="227" spans="1:6" x14ac:dyDescent="0.3">
      <c r="A227" s="81" t="str">
        <f t="shared" si="22"/>
        <v>01/03/2023-31/03/2023</v>
      </c>
      <c r="B227" s="118">
        <f t="shared" si="23"/>
        <v>384</v>
      </c>
      <c r="C227" s="118">
        <f t="shared" si="23"/>
        <v>208</v>
      </c>
      <c r="D227" s="388"/>
      <c r="E227" s="382"/>
    </row>
    <row r="228" spans="1:6" ht="15.5" x14ac:dyDescent="0.4">
      <c r="A228" s="88" t="str">
        <f>A173</f>
        <v>01/04/2022-31/12/2022</v>
      </c>
      <c r="B228" s="397">
        <f>SUM(B216:C224)</f>
        <v>5221</v>
      </c>
      <c r="C228" s="398"/>
      <c r="D228" s="27" t="s">
        <v>188</v>
      </c>
      <c r="E228" s="382"/>
    </row>
    <row r="229" spans="1:6" ht="15.5" x14ac:dyDescent="0.4">
      <c r="A229" s="88" t="str">
        <f>A174</f>
        <v>01/01/2023-31/03/2023</v>
      </c>
      <c r="B229" s="397">
        <f>SUM(B225:C227)</f>
        <v>1700</v>
      </c>
      <c r="C229" s="398"/>
      <c r="D229" s="27" t="s">
        <v>188</v>
      </c>
      <c r="E229" s="382"/>
    </row>
    <row r="230" spans="1:6" ht="16" thickBot="1" x14ac:dyDescent="0.45">
      <c r="A230" s="109" t="s">
        <v>198</v>
      </c>
      <c r="B230" s="399">
        <f>B229+B228</f>
        <v>6921</v>
      </c>
      <c r="C230" s="399"/>
      <c r="D230" s="33" t="s">
        <v>186</v>
      </c>
      <c r="E230" s="396"/>
    </row>
    <row r="231" spans="1:6" x14ac:dyDescent="0.3">
      <c r="A231" s="63"/>
      <c r="B231" s="119"/>
      <c r="C231" s="119"/>
    </row>
    <row r="232" spans="1:6" ht="17.5" thickBot="1" x14ac:dyDescent="0.45">
      <c r="A232" s="389" t="s">
        <v>199</v>
      </c>
      <c r="B232" s="390"/>
      <c r="C232" s="390"/>
      <c r="D232" s="390"/>
      <c r="E232" s="120">
        <f>B233+B234</f>
        <v>2881</v>
      </c>
      <c r="F232" s="120" t="s">
        <v>325</v>
      </c>
    </row>
    <row r="233" spans="1:6" s="63" customFormat="1" ht="15.5" x14ac:dyDescent="0.4">
      <c r="A233" s="121" t="str">
        <f>A228</f>
        <v>01/04/2022-31/12/2022</v>
      </c>
      <c r="B233" s="349">
        <f>INT(B213*B214/1000*(B228+B173))</f>
        <v>2174</v>
      </c>
      <c r="C233" s="122" t="s">
        <v>261</v>
      </c>
      <c r="E233" s="123"/>
    </row>
    <row r="234" spans="1:6" s="63" customFormat="1" ht="16" thickBot="1" x14ac:dyDescent="0.45">
      <c r="A234" s="124" t="str">
        <f>A229</f>
        <v>01/01/2023-31/03/2023</v>
      </c>
      <c r="B234" s="350">
        <f>INT(B213*B214/1000*(B229+B174))</f>
        <v>707</v>
      </c>
      <c r="C234" s="125" t="s">
        <v>261</v>
      </c>
    </row>
    <row r="235" spans="1:6" x14ac:dyDescent="0.3">
      <c r="A235" s="126"/>
      <c r="B235" s="127"/>
      <c r="D235" s="111"/>
    </row>
    <row r="236" spans="1:6" ht="17" x14ac:dyDescent="0.4">
      <c r="A236" s="128" t="s">
        <v>94</v>
      </c>
      <c r="B236" s="129"/>
      <c r="C236" s="130" t="s">
        <v>200</v>
      </c>
      <c r="D236" s="131"/>
      <c r="E236" s="120">
        <f>B238+B239</f>
        <v>231356</v>
      </c>
      <c r="F236" s="120" t="s">
        <v>325</v>
      </c>
    </row>
    <row r="237" spans="1:6" ht="14" thickBot="1" x14ac:dyDescent="0.35">
      <c r="B237" s="45"/>
    </row>
    <row r="238" spans="1:6" ht="15.5" x14ac:dyDescent="0.4">
      <c r="A238" s="121" t="str">
        <f>A233</f>
        <v>01/04/2022-31/12/2022</v>
      </c>
      <c r="B238" s="351">
        <f>ROUNDDOWN(B233+B86,0)</f>
        <v>174518</v>
      </c>
      <c r="C238" s="132" t="s">
        <v>261</v>
      </c>
      <c r="D238" s="111"/>
    </row>
    <row r="239" spans="1:6" ht="15.5" x14ac:dyDescent="0.4">
      <c r="A239" s="88" t="str">
        <f>A234</f>
        <v>01/01/2023-31/03/2023</v>
      </c>
      <c r="B239" s="352">
        <f>ROUNDDOWN(B234+B87,0)</f>
        <v>56838</v>
      </c>
      <c r="C239" s="133" t="s">
        <v>261</v>
      </c>
      <c r="D239" s="134"/>
    </row>
    <row r="240" spans="1:6" ht="16" thickBot="1" x14ac:dyDescent="0.45">
      <c r="A240" s="32" t="s">
        <v>122</v>
      </c>
      <c r="B240" s="353">
        <f>B238+B239</f>
        <v>231356</v>
      </c>
      <c r="C240" s="354" t="s">
        <v>261</v>
      </c>
    </row>
    <row r="245" spans="4:4" x14ac:dyDescent="0.3">
      <c r="D245" s="46"/>
    </row>
  </sheetData>
  <mergeCells count="35">
    <mergeCell ref="D216:D227"/>
    <mergeCell ref="E74:E88"/>
    <mergeCell ref="B86:C86"/>
    <mergeCell ref="B87:C87"/>
    <mergeCell ref="D134:D145"/>
    <mergeCell ref="E134:E145"/>
    <mergeCell ref="A232:D232"/>
    <mergeCell ref="E146:E158"/>
    <mergeCell ref="B173:C173"/>
    <mergeCell ref="E216:E230"/>
    <mergeCell ref="D199:D211"/>
    <mergeCell ref="E199:E211"/>
    <mergeCell ref="D186:D198"/>
    <mergeCell ref="E186:E198"/>
    <mergeCell ref="B229:C229"/>
    <mergeCell ref="B230:C230"/>
    <mergeCell ref="B174:C174"/>
    <mergeCell ref="B175:C175"/>
    <mergeCell ref="D161:D172"/>
    <mergeCell ref="E161:E175"/>
    <mergeCell ref="D146:D158"/>
    <mergeCell ref="B228:C228"/>
    <mergeCell ref="D18:D30"/>
    <mergeCell ref="E18:E30"/>
    <mergeCell ref="D31:D43"/>
    <mergeCell ref="E31:E43"/>
    <mergeCell ref="D118:D130"/>
    <mergeCell ref="E118:E130"/>
    <mergeCell ref="E46:E58"/>
    <mergeCell ref="D46:D58"/>
    <mergeCell ref="D105:D117"/>
    <mergeCell ref="E105:E117"/>
    <mergeCell ref="A91:D91"/>
    <mergeCell ref="D60:D72"/>
    <mergeCell ref="E60:E72"/>
  </mergeCells>
  <phoneticPr fontId="1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2"/>
  <sheetViews>
    <sheetView topLeftCell="A253" zoomScale="80" zoomScaleNormal="80" workbookViewId="0">
      <selection activeCell="B268" sqref="B268"/>
    </sheetView>
  </sheetViews>
  <sheetFormatPr defaultRowHeight="13.5" x14ac:dyDescent="0.3"/>
  <cols>
    <col min="1" max="1" width="35.1796875" style="3" customWidth="1"/>
    <col min="2" max="2" width="20.81640625" style="3" customWidth="1"/>
    <col min="3" max="3" width="24.453125" style="3" customWidth="1"/>
    <col min="4" max="4" width="32.1796875" style="3" bestFit="1" customWidth="1"/>
    <col min="5" max="5" width="47" style="3" customWidth="1"/>
    <col min="6" max="6" width="8.7265625" style="3"/>
    <col min="7" max="7" width="11.7265625" style="3" bestFit="1" customWidth="1"/>
    <col min="8" max="10" width="13" style="3" bestFit="1" customWidth="1"/>
    <col min="11" max="16384" width="8.7265625" style="3"/>
  </cols>
  <sheetData>
    <row r="1" spans="1:5" x14ac:dyDescent="0.3">
      <c r="A1" s="63" t="s">
        <v>43</v>
      </c>
    </row>
    <row r="3" spans="1:5" x14ac:dyDescent="0.3">
      <c r="E3" s="93"/>
    </row>
    <row r="4" spans="1:5" x14ac:dyDescent="0.3">
      <c r="A4" s="202" t="s">
        <v>19</v>
      </c>
    </row>
    <row r="5" spans="1:5" x14ac:dyDescent="0.3">
      <c r="A5" s="202"/>
    </row>
    <row r="6" spans="1:5" x14ac:dyDescent="0.3">
      <c r="A6" s="217" t="s">
        <v>40</v>
      </c>
      <c r="B6" s="217"/>
    </row>
    <row r="7" spans="1:5" x14ac:dyDescent="0.3">
      <c r="A7" s="63"/>
    </row>
    <row r="8" spans="1:5" x14ac:dyDescent="0.3">
      <c r="A8" s="218"/>
      <c r="B8" s="219"/>
      <c r="D8" s="220"/>
      <c r="E8" s="93"/>
    </row>
    <row r="9" spans="1:5" x14ac:dyDescent="0.3">
      <c r="A9" s="218"/>
      <c r="B9" s="219"/>
      <c r="C9" s="126"/>
      <c r="D9" s="126"/>
      <c r="E9" s="93"/>
    </row>
    <row r="10" spans="1:5" x14ac:dyDescent="0.3">
      <c r="A10" s="218"/>
      <c r="B10" s="219"/>
      <c r="C10" s="126"/>
      <c r="D10" s="126"/>
      <c r="E10" s="93"/>
    </row>
    <row r="11" spans="1:5" x14ac:dyDescent="0.3">
      <c r="B11" s="219"/>
      <c r="C11" s="126"/>
      <c r="D11" s="126"/>
      <c r="E11" s="93"/>
    </row>
    <row r="12" spans="1:5" ht="14" thickBot="1" x14ac:dyDescent="0.35">
      <c r="A12" s="218"/>
      <c r="B12" s="219"/>
      <c r="C12" s="126"/>
      <c r="D12" s="126"/>
    </row>
    <row r="13" spans="1:5" x14ac:dyDescent="0.3">
      <c r="A13" s="221" t="s">
        <v>62</v>
      </c>
      <c r="B13" s="98" t="s">
        <v>61</v>
      </c>
      <c r="C13" s="98" t="s">
        <v>59</v>
      </c>
      <c r="D13" s="434" t="s">
        <v>60</v>
      </c>
      <c r="E13" s="435"/>
    </row>
    <row r="14" spans="1:5" ht="15" customHeight="1" x14ac:dyDescent="0.4">
      <c r="A14" s="222" t="s">
        <v>245</v>
      </c>
      <c r="B14" s="35"/>
      <c r="C14" s="420" t="s">
        <v>108</v>
      </c>
      <c r="D14" s="422" t="s">
        <v>308</v>
      </c>
      <c r="E14" s="423"/>
    </row>
    <row r="15" spans="1:5" ht="15" customHeight="1" x14ac:dyDescent="0.3">
      <c r="A15" s="81" t="str">
        <f>'Baseline emission'!A216</f>
        <v>01/04/2022-30/04/2022</v>
      </c>
      <c r="B15" s="35">
        <f>'monitoring results'!B23</f>
        <v>5.7809699999999999</v>
      </c>
      <c r="C15" s="421"/>
      <c r="D15" s="424"/>
      <c r="E15" s="425"/>
    </row>
    <row r="16" spans="1:5" ht="15" customHeight="1" x14ac:dyDescent="0.3">
      <c r="A16" s="81" t="str">
        <f>'Baseline emission'!A217</f>
        <v>01/05/2022-31/05/2022</v>
      </c>
      <c r="B16" s="35">
        <f>'monitoring results'!B24</f>
        <v>5.9135400000000002</v>
      </c>
      <c r="C16" s="421"/>
      <c r="D16" s="424"/>
      <c r="E16" s="425"/>
    </row>
    <row r="17" spans="1:5" ht="15" customHeight="1" x14ac:dyDescent="0.3">
      <c r="A17" s="81" t="str">
        <f>'Baseline emission'!A218</f>
        <v>01/06/2022-30/06/2022</v>
      </c>
      <c r="B17" s="35">
        <f>'monitoring results'!B25</f>
        <v>5.9604699999999999</v>
      </c>
      <c r="C17" s="421"/>
      <c r="D17" s="424"/>
      <c r="E17" s="425"/>
    </row>
    <row r="18" spans="1:5" ht="15" customHeight="1" x14ac:dyDescent="0.3">
      <c r="A18" s="81" t="str">
        <f>'Baseline emission'!A219</f>
        <v>01/07/2022-31/07/2022</v>
      </c>
      <c r="B18" s="35">
        <f>'monitoring results'!B26</f>
        <v>5.9651500000000004</v>
      </c>
      <c r="C18" s="421"/>
      <c r="D18" s="424"/>
      <c r="E18" s="425"/>
    </row>
    <row r="19" spans="1:5" ht="15" customHeight="1" x14ac:dyDescent="0.3">
      <c r="A19" s="81" t="str">
        <f>'Baseline emission'!A220</f>
        <v>01/08/2022-31/08/2022</v>
      </c>
      <c r="B19" s="35">
        <f>'monitoring results'!B27</f>
        <v>5.96183</v>
      </c>
      <c r="C19" s="421"/>
      <c r="D19" s="424"/>
      <c r="E19" s="425"/>
    </row>
    <row r="20" spans="1:5" ht="15" customHeight="1" x14ac:dyDescent="0.3">
      <c r="A20" s="81" t="str">
        <f>'Baseline emission'!A221</f>
        <v>01/09/2022-30/09/2022</v>
      </c>
      <c r="B20" s="35">
        <f>'monitoring results'!B28</f>
        <v>5.9468099999999993</v>
      </c>
      <c r="C20" s="421"/>
      <c r="D20" s="424"/>
      <c r="E20" s="425"/>
    </row>
    <row r="21" spans="1:5" ht="15" customHeight="1" x14ac:dyDescent="0.3">
      <c r="A21" s="81" t="str">
        <f>'Baseline emission'!A222</f>
        <v>01/10/2022-31/10/2022</v>
      </c>
      <c r="B21" s="35">
        <f>'monitoring results'!B29</f>
        <v>5.971890000000001</v>
      </c>
      <c r="C21" s="421"/>
      <c r="D21" s="424"/>
      <c r="E21" s="425"/>
    </row>
    <row r="22" spans="1:5" ht="15" customHeight="1" x14ac:dyDescent="0.3">
      <c r="A22" s="81" t="str">
        <f>'Baseline emission'!A223</f>
        <v>01/11/2022-30/11/2022</v>
      </c>
      <c r="B22" s="35">
        <f>'monitoring results'!B30</f>
        <v>5.908710000000001</v>
      </c>
      <c r="C22" s="421"/>
      <c r="D22" s="424"/>
      <c r="E22" s="425"/>
    </row>
    <row r="23" spans="1:5" ht="15" customHeight="1" x14ac:dyDescent="0.3">
      <c r="A23" s="81" t="str">
        <f>'Baseline emission'!A224</f>
        <v>01/12/2022-31/12/2022</v>
      </c>
      <c r="B23" s="35">
        <f>'monitoring results'!B31</f>
        <v>5.9268799999999997</v>
      </c>
      <c r="C23" s="421"/>
      <c r="D23" s="424"/>
      <c r="E23" s="425"/>
    </row>
    <row r="24" spans="1:5" ht="15" customHeight="1" x14ac:dyDescent="0.3">
      <c r="A24" s="81" t="str">
        <f>'Baseline emission'!A225</f>
        <v>01/01/2023-31/01/2023</v>
      </c>
      <c r="B24" s="35">
        <f>'monitoring results'!B32</f>
        <v>5.9354600000000008</v>
      </c>
      <c r="C24" s="421"/>
      <c r="D24" s="424"/>
      <c r="E24" s="425"/>
    </row>
    <row r="25" spans="1:5" ht="15" customHeight="1" x14ac:dyDescent="0.3">
      <c r="A25" s="81" t="str">
        <f>'Baseline emission'!A226</f>
        <v>01/02/2023-28/02/2023</v>
      </c>
      <c r="B25" s="35">
        <f>'monitoring results'!B33</f>
        <v>5.9539800000000014</v>
      </c>
      <c r="C25" s="421"/>
      <c r="D25" s="424"/>
      <c r="E25" s="425"/>
    </row>
    <row r="26" spans="1:5" ht="15" customHeight="1" x14ac:dyDescent="0.3">
      <c r="A26" s="81" t="str">
        <f>'Baseline emission'!A227</f>
        <v>01/03/2023-31/03/2023</v>
      </c>
      <c r="B26" s="35">
        <f>'monitoring results'!B34</f>
        <v>5.9599200000000003</v>
      </c>
      <c r="C26" s="421"/>
      <c r="D26" s="424"/>
      <c r="E26" s="425"/>
    </row>
    <row r="27" spans="1:5" ht="28" customHeight="1" x14ac:dyDescent="0.4">
      <c r="A27" s="222" t="s">
        <v>246</v>
      </c>
      <c r="B27" s="223">
        <f>(0.8042*0.5+0.2135*0.5)</f>
        <v>0.50885000000000002</v>
      </c>
      <c r="C27" s="192" t="s">
        <v>247</v>
      </c>
      <c r="D27" s="436" t="s">
        <v>123</v>
      </c>
      <c r="E27" s="437"/>
    </row>
    <row r="28" spans="1:5" ht="28.5" customHeight="1" x14ac:dyDescent="0.4">
      <c r="A28" s="222" t="s">
        <v>248</v>
      </c>
      <c r="B28" s="224">
        <v>0.2</v>
      </c>
      <c r="C28" s="192" t="s">
        <v>93</v>
      </c>
      <c r="D28" s="436" t="s">
        <v>124</v>
      </c>
      <c r="E28" s="437"/>
    </row>
    <row r="29" spans="1:5" ht="15" customHeight="1" x14ac:dyDescent="0.4">
      <c r="A29" s="225" t="s">
        <v>249</v>
      </c>
      <c r="B29" s="226">
        <f>B30+B31</f>
        <v>44</v>
      </c>
      <c r="C29" s="192"/>
      <c r="D29" s="430"/>
      <c r="E29" s="431"/>
    </row>
    <row r="30" spans="1:5" ht="15" customHeight="1" x14ac:dyDescent="0.3">
      <c r="A30" s="227" t="str">
        <f>'Baseline emission'!A228</f>
        <v>01/04/2022-31/12/2022</v>
      </c>
      <c r="B30" s="226">
        <f>ROUNDUP(SUM(B15:B23)*B27*(1+B28),0)</f>
        <v>33</v>
      </c>
      <c r="C30" s="192" t="s">
        <v>217</v>
      </c>
      <c r="D30" s="426" t="s">
        <v>109</v>
      </c>
      <c r="E30" s="427"/>
    </row>
    <row r="31" spans="1:5" ht="15" customHeight="1" x14ac:dyDescent="0.3">
      <c r="A31" s="227" t="str">
        <f>'Baseline emission'!A229</f>
        <v>01/01/2023-31/03/2023</v>
      </c>
      <c r="B31" s="226">
        <f>ROUNDUP(SUM(B24:B26)*B27*(1+B28),0)</f>
        <v>11</v>
      </c>
      <c r="C31" s="192" t="s">
        <v>217</v>
      </c>
      <c r="D31" s="428"/>
      <c r="E31" s="429"/>
    </row>
    <row r="32" spans="1:5" ht="48" customHeight="1" thickBot="1" x14ac:dyDescent="0.45">
      <c r="A32" s="228" t="s">
        <v>250</v>
      </c>
      <c r="B32" s="229">
        <v>0</v>
      </c>
      <c r="C32" s="230" t="s">
        <v>217</v>
      </c>
      <c r="D32" s="432" t="s">
        <v>125</v>
      </c>
      <c r="E32" s="433"/>
    </row>
    <row r="33" spans="1:10" ht="23.5" customHeight="1" x14ac:dyDescent="0.3">
      <c r="A33" s="218"/>
      <c r="B33" s="231"/>
      <c r="C33" s="232"/>
      <c r="D33" s="233"/>
      <c r="E33" s="233"/>
    </row>
    <row r="34" spans="1:10" ht="23.5" customHeight="1" x14ac:dyDescent="0.3">
      <c r="A34" s="218"/>
      <c r="B34" s="231"/>
      <c r="C34" s="232"/>
      <c r="D34" s="233"/>
      <c r="E34" s="233"/>
    </row>
    <row r="35" spans="1:10" ht="15" customHeight="1" x14ac:dyDescent="0.3">
      <c r="A35" s="218"/>
      <c r="B35" s="219"/>
      <c r="C35" s="126"/>
      <c r="D35" s="126"/>
    </row>
    <row r="36" spans="1:10" ht="15" customHeight="1" x14ac:dyDescent="0.3">
      <c r="A36" s="218"/>
      <c r="B36" s="219"/>
      <c r="C36" s="126"/>
      <c r="D36" s="126"/>
    </row>
    <row r="37" spans="1:10" ht="14" thickBot="1" x14ac:dyDescent="0.35">
      <c r="A37" s="218"/>
      <c r="B37" s="219"/>
      <c r="C37" s="126"/>
      <c r="D37" s="126"/>
    </row>
    <row r="38" spans="1:10" x14ac:dyDescent="0.3">
      <c r="A38" s="234" t="s">
        <v>62</v>
      </c>
      <c r="B38" s="235" t="s">
        <v>126</v>
      </c>
      <c r="C38" s="235" t="s">
        <v>59</v>
      </c>
      <c r="D38" s="447" t="s">
        <v>4</v>
      </c>
      <c r="E38" s="448"/>
    </row>
    <row r="39" spans="1:10" ht="15.5" x14ac:dyDescent="0.4">
      <c r="A39" s="73" t="s">
        <v>251</v>
      </c>
      <c r="B39" s="76">
        <f>'Baseline emission'!B12</f>
        <v>28</v>
      </c>
      <c r="C39" s="27" t="s">
        <v>235</v>
      </c>
      <c r="D39" s="406" t="s">
        <v>127</v>
      </c>
      <c r="E39" s="407"/>
    </row>
    <row r="40" spans="1:10" ht="15.5" x14ac:dyDescent="0.4">
      <c r="A40" s="73" t="s">
        <v>252</v>
      </c>
      <c r="B40" s="76">
        <v>0.05</v>
      </c>
      <c r="C40" s="27" t="s">
        <v>253</v>
      </c>
      <c r="D40" s="406" t="s">
        <v>96</v>
      </c>
      <c r="E40" s="407"/>
    </row>
    <row r="41" spans="1:10" ht="15.5" customHeight="1" x14ac:dyDescent="0.3">
      <c r="A41" s="175" t="s">
        <v>254</v>
      </c>
      <c r="B41" s="236"/>
      <c r="C41" s="408" t="s">
        <v>101</v>
      </c>
      <c r="D41" s="422" t="s">
        <v>309</v>
      </c>
      <c r="E41" s="423"/>
    </row>
    <row r="42" spans="1:10" x14ac:dyDescent="0.3">
      <c r="A42" s="81" t="str">
        <f t="shared" ref="A42:A53" si="0">A15</f>
        <v>01/04/2022-30/04/2022</v>
      </c>
      <c r="B42" s="237">
        <f>'monitoring results'!M55</f>
        <v>637.50625045758022</v>
      </c>
      <c r="C42" s="409"/>
      <c r="D42" s="424"/>
      <c r="E42" s="425"/>
    </row>
    <row r="43" spans="1:10" x14ac:dyDescent="0.3">
      <c r="A43" s="81" t="str">
        <f t="shared" si="0"/>
        <v>01/05/2022-31/05/2022</v>
      </c>
      <c r="B43" s="237">
        <f>'monitoring results'!M56</f>
        <v>610.86869323956034</v>
      </c>
      <c r="C43" s="409"/>
      <c r="D43" s="424"/>
      <c r="E43" s="425"/>
    </row>
    <row r="44" spans="1:10" x14ac:dyDescent="0.3">
      <c r="A44" s="81" t="str">
        <f t="shared" si="0"/>
        <v>01/06/2022-30/06/2022</v>
      </c>
      <c r="B44" s="237">
        <f>'monitoring results'!M57</f>
        <v>661.37587768727997</v>
      </c>
      <c r="C44" s="409"/>
      <c r="D44" s="424"/>
      <c r="E44" s="425"/>
    </row>
    <row r="45" spans="1:10" x14ac:dyDescent="0.3">
      <c r="A45" s="81" t="str">
        <f t="shared" si="0"/>
        <v>01/07/2022-31/07/2022</v>
      </c>
      <c r="B45" s="237">
        <f>'monitoring results'!M58</f>
        <v>663.42453780708001</v>
      </c>
      <c r="C45" s="409"/>
      <c r="D45" s="424"/>
      <c r="E45" s="425"/>
    </row>
    <row r="46" spans="1:10" x14ac:dyDescent="0.3">
      <c r="A46" s="81" t="str">
        <f t="shared" si="0"/>
        <v>01/08/2022-31/08/2022</v>
      </c>
      <c r="B46" s="237">
        <f>'monitoring results'!M59</f>
        <v>677.52896661449984</v>
      </c>
      <c r="C46" s="409"/>
      <c r="D46" s="424"/>
      <c r="E46" s="425"/>
    </row>
    <row r="47" spans="1:10" x14ac:dyDescent="0.3">
      <c r="A47" s="81" t="str">
        <f t="shared" si="0"/>
        <v>01/09/2022-30/09/2022</v>
      </c>
      <c r="B47" s="237">
        <f>'monitoring results'!M60</f>
        <v>623.00280533400041</v>
      </c>
      <c r="C47" s="409"/>
      <c r="D47" s="424"/>
      <c r="E47" s="425"/>
      <c r="G47" s="44"/>
      <c r="H47" s="44"/>
      <c r="I47" s="44"/>
      <c r="J47" s="44"/>
    </row>
    <row r="48" spans="1:10" x14ac:dyDescent="0.3">
      <c r="A48" s="81" t="str">
        <f t="shared" si="0"/>
        <v>01/10/2022-31/10/2022</v>
      </c>
      <c r="B48" s="237">
        <f>'monitoring results'!M61</f>
        <v>652.58883050822988</v>
      </c>
      <c r="C48" s="409"/>
      <c r="D48" s="424"/>
      <c r="E48" s="425"/>
    </row>
    <row r="49" spans="1:5" x14ac:dyDescent="0.3">
      <c r="A49" s="81" t="str">
        <f t="shared" si="0"/>
        <v>01/11/2022-30/11/2022</v>
      </c>
      <c r="B49" s="237">
        <f>'monitoring results'!M62</f>
        <v>680.84813278187983</v>
      </c>
      <c r="C49" s="409"/>
      <c r="D49" s="424"/>
      <c r="E49" s="425"/>
    </row>
    <row r="50" spans="1:5" x14ac:dyDescent="0.3">
      <c r="A50" s="81" t="str">
        <f t="shared" si="0"/>
        <v>01/12/2022-31/12/2022</v>
      </c>
      <c r="B50" s="237">
        <f>'monitoring results'!M63</f>
        <v>631.55260079604</v>
      </c>
      <c r="C50" s="409"/>
      <c r="D50" s="424"/>
      <c r="E50" s="425"/>
    </row>
    <row r="51" spans="1:5" x14ac:dyDescent="0.3">
      <c r="A51" s="81" t="str">
        <f t="shared" si="0"/>
        <v>01/01/2023-31/01/2023</v>
      </c>
      <c r="B51" s="237">
        <f>'monitoring results'!M64</f>
        <v>653.35415594589017</v>
      </c>
      <c r="C51" s="409"/>
      <c r="D51" s="424"/>
      <c r="E51" s="425"/>
    </row>
    <row r="52" spans="1:5" x14ac:dyDescent="0.3">
      <c r="A52" s="81" t="str">
        <f t="shared" si="0"/>
        <v>01/02/2023-28/02/2023</v>
      </c>
      <c r="B52" s="237">
        <f>'monitoring results'!M65</f>
        <v>631.11251606130031</v>
      </c>
      <c r="C52" s="409"/>
      <c r="D52" s="424"/>
      <c r="E52" s="425"/>
    </row>
    <row r="53" spans="1:5" x14ac:dyDescent="0.3">
      <c r="A53" s="81" t="str">
        <f t="shared" si="0"/>
        <v>01/03/2023-31/03/2023</v>
      </c>
      <c r="B53" s="237">
        <f>'monitoring results'!M66</f>
        <v>686.13635288772002</v>
      </c>
      <c r="C53" s="409"/>
      <c r="D53" s="424"/>
      <c r="E53" s="425"/>
    </row>
    <row r="54" spans="1:5" ht="15" customHeight="1" x14ac:dyDescent="0.3">
      <c r="A54" s="238" t="s">
        <v>255</v>
      </c>
      <c r="B54" s="239">
        <f>B55+B56</f>
        <v>10932</v>
      </c>
      <c r="C54" s="240" t="s">
        <v>217</v>
      </c>
      <c r="D54" s="422" t="s">
        <v>63</v>
      </c>
      <c r="E54" s="423"/>
    </row>
    <row r="55" spans="1:5" ht="15" customHeight="1" x14ac:dyDescent="0.3">
      <c r="A55" s="88" t="str">
        <f>A30</f>
        <v>01/04/2022-31/12/2022</v>
      </c>
      <c r="B55" s="239">
        <f>INT(SUM(B42:B50)*B39*B40)</f>
        <v>8174</v>
      </c>
      <c r="C55" s="240" t="s">
        <v>217</v>
      </c>
      <c r="D55" s="424"/>
      <c r="E55" s="425"/>
    </row>
    <row r="56" spans="1:5" ht="15" customHeight="1" thickBot="1" x14ac:dyDescent="0.35">
      <c r="A56" s="124" t="str">
        <f>A31</f>
        <v>01/01/2023-31/03/2023</v>
      </c>
      <c r="B56" s="241">
        <f>INT(SUM(B51:B53)*B39*B40)</f>
        <v>2758</v>
      </c>
      <c r="C56" s="242" t="s">
        <v>217</v>
      </c>
      <c r="D56" s="441"/>
      <c r="E56" s="442"/>
    </row>
    <row r="57" spans="1:5" x14ac:dyDescent="0.3">
      <c r="A57" s="243"/>
      <c r="B57" s="119"/>
      <c r="C57" s="63"/>
      <c r="D57" s="63"/>
      <c r="E57" s="63"/>
    </row>
    <row r="58" spans="1:5" x14ac:dyDescent="0.3">
      <c r="A58" s="243"/>
      <c r="B58" s="119"/>
      <c r="C58" s="63"/>
      <c r="D58" s="63"/>
      <c r="E58" s="63"/>
    </row>
    <row r="59" spans="1:5" x14ac:dyDescent="0.3">
      <c r="A59" s="243"/>
      <c r="B59" s="119"/>
      <c r="C59" s="63"/>
      <c r="D59" s="244"/>
      <c r="E59" s="63"/>
    </row>
    <row r="60" spans="1:5" x14ac:dyDescent="0.3">
      <c r="A60" s="243"/>
      <c r="B60" s="119"/>
      <c r="C60" s="63"/>
      <c r="D60" s="63"/>
      <c r="E60" s="63"/>
    </row>
    <row r="61" spans="1:5" x14ac:dyDescent="0.3">
      <c r="A61" s="243"/>
      <c r="B61" s="119"/>
      <c r="C61" s="63"/>
      <c r="D61" s="63"/>
      <c r="E61" s="63"/>
    </row>
    <row r="62" spans="1:5" x14ac:dyDescent="0.3">
      <c r="A62" s="243"/>
      <c r="B62" s="119"/>
      <c r="C62" s="63"/>
      <c r="D62" s="63"/>
      <c r="E62" s="63"/>
    </row>
    <row r="63" spans="1:5" ht="14" thickBot="1" x14ac:dyDescent="0.35">
      <c r="A63" s="243"/>
      <c r="B63" s="119"/>
      <c r="C63" s="63"/>
      <c r="D63" s="63"/>
      <c r="E63" s="63"/>
    </row>
    <row r="64" spans="1:5" x14ac:dyDescent="0.3">
      <c r="A64" s="97" t="s">
        <v>62</v>
      </c>
      <c r="B64" s="98" t="s">
        <v>113</v>
      </c>
      <c r="C64" s="98" t="s">
        <v>59</v>
      </c>
      <c r="D64" s="434" t="s">
        <v>4</v>
      </c>
      <c r="E64" s="435"/>
    </row>
    <row r="65" spans="1:5" x14ac:dyDescent="0.3">
      <c r="A65" s="99"/>
      <c r="B65" s="100"/>
      <c r="C65" s="100"/>
      <c r="D65" s="398"/>
      <c r="E65" s="440"/>
    </row>
    <row r="66" spans="1:5" ht="15.5" x14ac:dyDescent="0.4">
      <c r="A66" s="73" t="s">
        <v>251</v>
      </c>
      <c r="B66" s="76">
        <f>'Baseline emission'!B12</f>
        <v>28</v>
      </c>
      <c r="C66" s="27" t="s">
        <v>235</v>
      </c>
      <c r="D66" s="406" t="s">
        <v>127</v>
      </c>
      <c r="E66" s="407"/>
    </row>
    <row r="67" spans="1:5" ht="15.5" x14ac:dyDescent="0.3">
      <c r="A67" s="245" t="s">
        <v>256</v>
      </c>
      <c r="B67" s="76"/>
      <c r="C67" s="27"/>
      <c r="D67" s="406"/>
      <c r="E67" s="407"/>
    </row>
    <row r="68" spans="1:5" ht="12.5" customHeight="1" x14ac:dyDescent="0.3">
      <c r="A68" s="81" t="str">
        <f t="shared" ref="A68:A79" si="1">A42</f>
        <v>01/04/2022-30/04/2022</v>
      </c>
      <c r="B68" s="246">
        <v>0</v>
      </c>
      <c r="C68" s="410" t="s">
        <v>114</v>
      </c>
      <c r="D68" s="443" t="str">
        <f>D41</f>
        <v>calculated, biogas flow, temperature and pressure is sourced from DCS system. CH4 is calculated as equation 16 in MR.</v>
      </c>
      <c r="E68" s="444"/>
    </row>
    <row r="69" spans="1:5" x14ac:dyDescent="0.3">
      <c r="A69" s="81" t="str">
        <f t="shared" si="1"/>
        <v>01/05/2022-31/05/2022</v>
      </c>
      <c r="B69" s="246">
        <v>0</v>
      </c>
      <c r="C69" s="410"/>
      <c r="D69" s="443"/>
      <c r="E69" s="444"/>
    </row>
    <row r="70" spans="1:5" x14ac:dyDescent="0.3">
      <c r="A70" s="81" t="str">
        <f t="shared" si="1"/>
        <v>01/06/2022-30/06/2022</v>
      </c>
      <c r="B70" s="246">
        <v>0</v>
      </c>
      <c r="C70" s="410"/>
      <c r="D70" s="443"/>
      <c r="E70" s="444"/>
    </row>
    <row r="71" spans="1:5" x14ac:dyDescent="0.3">
      <c r="A71" s="81" t="str">
        <f t="shared" si="1"/>
        <v>01/07/2022-31/07/2022</v>
      </c>
      <c r="B71" s="246">
        <v>0</v>
      </c>
      <c r="C71" s="410"/>
      <c r="D71" s="443"/>
      <c r="E71" s="444"/>
    </row>
    <row r="72" spans="1:5" x14ac:dyDescent="0.3">
      <c r="A72" s="81" t="str">
        <f t="shared" si="1"/>
        <v>01/08/2022-31/08/2022</v>
      </c>
      <c r="B72" s="246">
        <v>0</v>
      </c>
      <c r="C72" s="410"/>
      <c r="D72" s="443"/>
      <c r="E72" s="444"/>
    </row>
    <row r="73" spans="1:5" x14ac:dyDescent="0.3">
      <c r="A73" s="81" t="str">
        <f t="shared" si="1"/>
        <v>01/09/2022-30/09/2022</v>
      </c>
      <c r="B73" s="246">
        <v>0</v>
      </c>
      <c r="C73" s="410"/>
      <c r="D73" s="443"/>
      <c r="E73" s="444"/>
    </row>
    <row r="74" spans="1:5" x14ac:dyDescent="0.3">
      <c r="A74" s="81" t="str">
        <f t="shared" si="1"/>
        <v>01/10/2022-31/10/2022</v>
      </c>
      <c r="B74" s="246">
        <v>0</v>
      </c>
      <c r="C74" s="410"/>
      <c r="D74" s="443"/>
      <c r="E74" s="444"/>
    </row>
    <row r="75" spans="1:5" x14ac:dyDescent="0.3">
      <c r="A75" s="81" t="str">
        <f t="shared" si="1"/>
        <v>01/11/2022-30/11/2022</v>
      </c>
      <c r="B75" s="246">
        <v>0</v>
      </c>
      <c r="C75" s="410"/>
      <c r="D75" s="443"/>
      <c r="E75" s="444"/>
    </row>
    <row r="76" spans="1:5" x14ac:dyDescent="0.3">
      <c r="A76" s="81" t="str">
        <f t="shared" si="1"/>
        <v>01/12/2022-31/12/2022</v>
      </c>
      <c r="B76" s="246">
        <v>0</v>
      </c>
      <c r="C76" s="410"/>
      <c r="D76" s="443"/>
      <c r="E76" s="444"/>
    </row>
    <row r="77" spans="1:5" x14ac:dyDescent="0.3">
      <c r="A77" s="81" t="str">
        <f t="shared" si="1"/>
        <v>01/01/2023-31/01/2023</v>
      </c>
      <c r="B77" s="246">
        <v>0</v>
      </c>
      <c r="C77" s="410"/>
      <c r="D77" s="443"/>
      <c r="E77" s="444"/>
    </row>
    <row r="78" spans="1:5" x14ac:dyDescent="0.3">
      <c r="A78" s="81" t="str">
        <f t="shared" si="1"/>
        <v>01/02/2023-28/02/2023</v>
      </c>
      <c r="B78" s="246">
        <v>0</v>
      </c>
      <c r="C78" s="410"/>
      <c r="D78" s="443"/>
      <c r="E78" s="444"/>
    </row>
    <row r="79" spans="1:5" x14ac:dyDescent="0.3">
      <c r="A79" s="81" t="str">
        <f t="shared" si="1"/>
        <v>01/03/2023-31/03/2023</v>
      </c>
      <c r="B79" s="246">
        <v>0</v>
      </c>
      <c r="C79" s="410"/>
      <c r="D79" s="443"/>
      <c r="E79" s="444"/>
    </row>
    <row r="80" spans="1:5" ht="15.5" x14ac:dyDescent="0.4">
      <c r="A80" s="81" t="s">
        <v>257</v>
      </c>
      <c r="B80" s="239">
        <v>0</v>
      </c>
      <c r="C80" s="240" t="s">
        <v>93</v>
      </c>
      <c r="D80" s="450" t="s">
        <v>115</v>
      </c>
      <c r="E80" s="451"/>
    </row>
    <row r="81" spans="1:5" ht="15.5" x14ac:dyDescent="0.4">
      <c r="A81" s="81" t="s">
        <v>258</v>
      </c>
      <c r="B81" s="239"/>
      <c r="C81" s="240"/>
      <c r="D81" s="456"/>
      <c r="E81" s="457"/>
    </row>
    <row r="82" spans="1:5" x14ac:dyDescent="0.3">
      <c r="A82" s="88" t="str">
        <f>A55</f>
        <v>01/04/2022-31/12/2022</v>
      </c>
      <c r="B82" s="239">
        <f>ROUNDUP(B66*SUM(B68:B76)*(1-B80)/1000,0)</f>
        <v>0</v>
      </c>
      <c r="C82" s="410" t="s">
        <v>259</v>
      </c>
      <c r="D82" s="443" t="s">
        <v>106</v>
      </c>
      <c r="E82" s="444"/>
    </row>
    <row r="83" spans="1:5" x14ac:dyDescent="0.3">
      <c r="A83" s="88" t="str">
        <f>A56</f>
        <v>01/01/2023-31/03/2023</v>
      </c>
      <c r="B83" s="239">
        <f>ROUNDUP(B66*SUM(B77:B79)*(1-B80)/1000,0)</f>
        <v>0</v>
      </c>
      <c r="C83" s="410"/>
      <c r="D83" s="443"/>
      <c r="E83" s="444"/>
    </row>
    <row r="84" spans="1:5" ht="15.5" x14ac:dyDescent="0.3">
      <c r="A84" s="238" t="s">
        <v>260</v>
      </c>
      <c r="B84" s="239">
        <f>B85+B86</f>
        <v>10976</v>
      </c>
      <c r="C84" s="454" t="s">
        <v>261</v>
      </c>
      <c r="D84" s="443"/>
      <c r="E84" s="444"/>
    </row>
    <row r="85" spans="1:5" x14ac:dyDescent="0.3">
      <c r="A85" s="247" t="str">
        <f>A82</f>
        <v>01/04/2022-31/12/2022</v>
      </c>
      <c r="B85" s="239">
        <f>B30+B55+B82</f>
        <v>8207</v>
      </c>
      <c r="C85" s="454"/>
      <c r="D85" s="443"/>
      <c r="E85" s="444"/>
    </row>
    <row r="86" spans="1:5" ht="14" thickBot="1" x14ac:dyDescent="0.35">
      <c r="A86" s="361" t="str">
        <f>A83</f>
        <v>01/01/2023-31/03/2023</v>
      </c>
      <c r="B86" s="241">
        <f>B31+B56+B83</f>
        <v>2769</v>
      </c>
      <c r="C86" s="455"/>
      <c r="D86" s="458"/>
      <c r="E86" s="459"/>
    </row>
    <row r="87" spans="1:5" x14ac:dyDescent="0.3">
      <c r="A87" s="199"/>
      <c r="B87" s="119"/>
      <c r="C87" s="63"/>
      <c r="D87" s="63"/>
      <c r="E87" s="63"/>
    </row>
    <row r="88" spans="1:5" x14ac:dyDescent="0.3">
      <c r="A88" s="199"/>
      <c r="B88" s="119"/>
      <c r="C88" s="63"/>
      <c r="D88" s="63"/>
      <c r="E88" s="63"/>
    </row>
    <row r="89" spans="1:5" x14ac:dyDescent="0.3">
      <c r="A89" s="63"/>
      <c r="B89" s="119"/>
      <c r="C89" s="63"/>
      <c r="D89" s="63"/>
      <c r="E89" s="63"/>
    </row>
    <row r="90" spans="1:5" ht="15.5" x14ac:dyDescent="0.3">
      <c r="A90" s="248" t="s">
        <v>262</v>
      </c>
      <c r="B90" s="217"/>
    </row>
    <row r="91" spans="1:5" x14ac:dyDescent="0.3">
      <c r="A91" s="219"/>
    </row>
    <row r="92" spans="1:5" x14ac:dyDescent="0.3">
      <c r="A92" s="219"/>
      <c r="E92" s="64"/>
    </row>
    <row r="93" spans="1:5" x14ac:dyDescent="0.3">
      <c r="A93" s="219"/>
    </row>
    <row r="94" spans="1:5" x14ac:dyDescent="0.3">
      <c r="A94" s="219"/>
    </row>
    <row r="95" spans="1:5" x14ac:dyDescent="0.3">
      <c r="A95" s="219"/>
    </row>
    <row r="96" spans="1:5" ht="14" thickBot="1" x14ac:dyDescent="0.35">
      <c r="A96" s="231"/>
      <c r="B96" s="249"/>
      <c r="C96" s="249"/>
    </row>
    <row r="97" spans="1:5" x14ac:dyDescent="0.3">
      <c r="A97" s="250" t="s">
        <v>3</v>
      </c>
      <c r="B97" s="251" t="s">
        <v>18</v>
      </c>
      <c r="C97" s="251"/>
      <c r="D97" s="36" t="s">
        <v>2</v>
      </c>
      <c r="E97" s="252" t="s">
        <v>4</v>
      </c>
    </row>
    <row r="98" spans="1:5" x14ac:dyDescent="0.3">
      <c r="A98" s="238"/>
      <c r="B98" s="253" t="s">
        <v>32</v>
      </c>
      <c r="C98" s="253" t="s">
        <v>33</v>
      </c>
      <c r="D98" s="35"/>
      <c r="E98" s="254"/>
    </row>
    <row r="99" spans="1:5" ht="15.5" x14ac:dyDescent="0.4">
      <c r="A99" s="175" t="s">
        <v>263</v>
      </c>
      <c r="B99" s="260">
        <f>'Baseline emission'!B12</f>
        <v>28</v>
      </c>
      <c r="C99" s="260">
        <f>B99</f>
        <v>28</v>
      </c>
      <c r="D99" s="27" t="s">
        <v>235</v>
      </c>
      <c r="E99" s="171" t="s">
        <v>127</v>
      </c>
    </row>
    <row r="100" spans="1:5" ht="15.5" x14ac:dyDescent="0.3">
      <c r="A100" s="175" t="s">
        <v>264</v>
      </c>
      <c r="B100" s="256">
        <f>'[3]Baseline Emission'!B13</f>
        <v>6.7000000000000002E-4</v>
      </c>
      <c r="C100" s="256">
        <f>'[3]Baseline Emission'!C13</f>
        <v>6.7000000000000002E-4</v>
      </c>
      <c r="D100" s="27" t="s">
        <v>228</v>
      </c>
      <c r="E100" s="257" t="s">
        <v>310</v>
      </c>
    </row>
    <row r="101" spans="1:5" x14ac:dyDescent="0.3">
      <c r="A101" s="175"/>
      <c r="B101" s="258">
        <v>1E-3</v>
      </c>
      <c r="C101" s="258">
        <v>1E-3</v>
      </c>
      <c r="D101" s="27" t="s">
        <v>93</v>
      </c>
      <c r="E101" s="257"/>
    </row>
    <row r="102" spans="1:5" ht="15.5" x14ac:dyDescent="0.3">
      <c r="A102" s="175" t="s">
        <v>265</v>
      </c>
      <c r="B102" s="259">
        <v>1</v>
      </c>
      <c r="C102" s="259">
        <v>1</v>
      </c>
      <c r="D102" s="27" t="s">
        <v>93</v>
      </c>
      <c r="E102" s="257"/>
    </row>
    <row r="103" spans="1:5" ht="15.5" x14ac:dyDescent="0.3">
      <c r="A103" s="175" t="s">
        <v>266</v>
      </c>
      <c r="B103" s="259">
        <f>(1-80%)</f>
        <v>0.19999999999999996</v>
      </c>
      <c r="C103" s="259">
        <f>(1-80%)</f>
        <v>0.19999999999999996</v>
      </c>
      <c r="D103" s="27" t="s">
        <v>93</v>
      </c>
      <c r="E103" s="171" t="s">
        <v>313</v>
      </c>
    </row>
    <row r="104" spans="1:5" ht="27" x14ac:dyDescent="0.3">
      <c r="A104" s="175" t="s">
        <v>267</v>
      </c>
      <c r="B104" s="255">
        <f>'[3]Baseline Emission'!B17</f>
        <v>0.28999999999999998</v>
      </c>
      <c r="C104" s="255">
        <f>'[3]Baseline Emission'!C17</f>
        <v>0.28999999999999998</v>
      </c>
      <c r="D104" s="114" t="s">
        <v>268</v>
      </c>
      <c r="E104" s="341" t="s">
        <v>97</v>
      </c>
    </row>
    <row r="105" spans="1:5" ht="15.5" x14ac:dyDescent="0.3">
      <c r="A105" s="175" t="s">
        <v>269</v>
      </c>
      <c r="B105" s="260"/>
      <c r="C105" s="260"/>
      <c r="D105" s="438" t="str">
        <f>'[3]Baseline Emission'!D18</f>
        <v>No of heads</v>
      </c>
      <c r="E105" s="445" t="s">
        <v>326</v>
      </c>
    </row>
    <row r="106" spans="1:5" x14ac:dyDescent="0.3">
      <c r="A106" s="81" t="str">
        <f t="shared" ref="A106:A117" si="2">A68</f>
        <v>01/04/2022-30/04/2022</v>
      </c>
      <c r="B106" s="260">
        <f>'monitoring results'!B4</f>
        <v>127447</v>
      </c>
      <c r="C106" s="260">
        <f>'monitoring results'!C4</f>
        <v>94180</v>
      </c>
      <c r="D106" s="438"/>
      <c r="E106" s="446"/>
    </row>
    <row r="107" spans="1:5" x14ac:dyDescent="0.3">
      <c r="A107" s="81" t="str">
        <f t="shared" si="2"/>
        <v>01/05/2022-31/05/2022</v>
      </c>
      <c r="B107" s="260">
        <f>'monitoring results'!B5</f>
        <v>127447</v>
      </c>
      <c r="C107" s="260">
        <f>'monitoring results'!C5</f>
        <v>93502</v>
      </c>
      <c r="D107" s="438"/>
      <c r="E107" s="446"/>
    </row>
    <row r="108" spans="1:5" x14ac:dyDescent="0.3">
      <c r="A108" s="81" t="str">
        <f t="shared" si="2"/>
        <v>01/06/2022-30/06/2022</v>
      </c>
      <c r="B108" s="260">
        <f>'monitoring results'!B6</f>
        <v>127447</v>
      </c>
      <c r="C108" s="260">
        <f>'monitoring results'!C6</f>
        <v>93732</v>
      </c>
      <c r="D108" s="438"/>
      <c r="E108" s="446"/>
    </row>
    <row r="109" spans="1:5" x14ac:dyDescent="0.3">
      <c r="A109" s="81" t="str">
        <f t="shared" si="2"/>
        <v>01/07/2022-31/07/2022</v>
      </c>
      <c r="B109" s="260">
        <f>'monitoring results'!B7</f>
        <v>127447</v>
      </c>
      <c r="C109" s="260">
        <f>'monitoring results'!C7</f>
        <v>93352</v>
      </c>
      <c r="D109" s="438"/>
      <c r="E109" s="446"/>
    </row>
    <row r="110" spans="1:5" x14ac:dyDescent="0.3">
      <c r="A110" s="81" t="str">
        <f t="shared" si="2"/>
        <v>01/08/2022-31/08/2022</v>
      </c>
      <c r="B110" s="260">
        <f>'monitoring results'!B8</f>
        <v>127447</v>
      </c>
      <c r="C110" s="260">
        <f>'monitoring results'!C8</f>
        <v>94055</v>
      </c>
      <c r="D110" s="438"/>
      <c r="E110" s="446"/>
    </row>
    <row r="111" spans="1:5" x14ac:dyDescent="0.3">
      <c r="A111" s="81" t="str">
        <f t="shared" si="2"/>
        <v>01/09/2022-30/09/2022</v>
      </c>
      <c r="B111" s="260">
        <f>'monitoring results'!B9</f>
        <v>127447</v>
      </c>
      <c r="C111" s="260">
        <f>'monitoring results'!C9</f>
        <v>93324</v>
      </c>
      <c r="D111" s="438"/>
      <c r="E111" s="446"/>
    </row>
    <row r="112" spans="1:5" x14ac:dyDescent="0.3">
      <c r="A112" s="81" t="str">
        <f t="shared" si="2"/>
        <v>01/10/2022-31/10/2022</v>
      </c>
      <c r="B112" s="260">
        <f>'monitoring results'!B10</f>
        <v>127447</v>
      </c>
      <c r="C112" s="260">
        <f>'monitoring results'!C10</f>
        <v>93347</v>
      </c>
      <c r="D112" s="438"/>
      <c r="E112" s="446"/>
    </row>
    <row r="113" spans="1:5" x14ac:dyDescent="0.3">
      <c r="A113" s="81" t="str">
        <f t="shared" si="2"/>
        <v>01/11/2022-30/11/2022</v>
      </c>
      <c r="B113" s="260">
        <f>'monitoring results'!B11</f>
        <v>127447</v>
      </c>
      <c r="C113" s="260">
        <f>'monitoring results'!C11</f>
        <v>92517</v>
      </c>
      <c r="D113" s="438"/>
      <c r="E113" s="446"/>
    </row>
    <row r="114" spans="1:5" x14ac:dyDescent="0.3">
      <c r="A114" s="81" t="str">
        <f t="shared" si="2"/>
        <v>01/12/2022-31/12/2022</v>
      </c>
      <c r="B114" s="260">
        <f>'monitoring results'!B12</f>
        <v>127447</v>
      </c>
      <c r="C114" s="260">
        <f>'monitoring results'!C12</f>
        <v>92988</v>
      </c>
      <c r="D114" s="438"/>
      <c r="E114" s="446"/>
    </row>
    <row r="115" spans="1:5" x14ac:dyDescent="0.3">
      <c r="A115" s="81" t="str">
        <f t="shared" si="2"/>
        <v>01/01/2023-31/01/2023</v>
      </c>
      <c r="B115" s="260">
        <f>'monitoring results'!B13</f>
        <v>127447</v>
      </c>
      <c r="C115" s="260">
        <f>'monitoring results'!C13</f>
        <v>92822</v>
      </c>
      <c r="D115" s="438"/>
      <c r="E115" s="446"/>
    </row>
    <row r="116" spans="1:5" x14ac:dyDescent="0.3">
      <c r="A116" s="81" t="str">
        <f t="shared" si="2"/>
        <v>01/02/2023-28/02/2023</v>
      </c>
      <c r="B116" s="260">
        <f>'monitoring results'!B14</f>
        <v>127447</v>
      </c>
      <c r="C116" s="260">
        <f>'monitoring results'!C14</f>
        <v>93454</v>
      </c>
      <c r="D116" s="438"/>
      <c r="E116" s="446"/>
    </row>
    <row r="117" spans="1:5" x14ac:dyDescent="0.3">
      <c r="A117" s="81" t="str">
        <f t="shared" si="2"/>
        <v>01/03/2023-31/03/2023</v>
      </c>
      <c r="B117" s="260">
        <f>'monitoring results'!B15</f>
        <v>127447</v>
      </c>
      <c r="C117" s="260">
        <f>'monitoring results'!C15</f>
        <v>94666</v>
      </c>
      <c r="D117" s="438"/>
      <c r="E117" s="446"/>
    </row>
    <row r="118" spans="1:5" ht="15.5" x14ac:dyDescent="0.3">
      <c r="A118" s="175" t="s">
        <v>270</v>
      </c>
      <c r="B118" s="255"/>
      <c r="C118" s="255"/>
      <c r="D118" s="438" t="s">
        <v>95</v>
      </c>
      <c r="E118" s="439" t="s">
        <v>106</v>
      </c>
    </row>
    <row r="119" spans="1:5" x14ac:dyDescent="0.3">
      <c r="A119" s="81" t="str">
        <f t="shared" ref="A119:A130" si="3">A106</f>
        <v>01/04/2022-30/04/2022</v>
      </c>
      <c r="B119" s="255">
        <f>'Baseline emission'!B47</f>
        <v>18.417857142857141</v>
      </c>
      <c r="C119" s="255">
        <f>'Baseline emission'!C47</f>
        <v>23.946428571428569</v>
      </c>
      <c r="D119" s="438"/>
      <c r="E119" s="439"/>
    </row>
    <row r="120" spans="1:5" x14ac:dyDescent="0.3">
      <c r="A120" s="81" t="str">
        <f t="shared" si="3"/>
        <v>01/05/2022-31/05/2022</v>
      </c>
      <c r="B120" s="255">
        <f>'Baseline emission'!B48</f>
        <v>18.89892857142857</v>
      </c>
      <c r="C120" s="255">
        <f>'Baseline emission'!C48</f>
        <v>24.678214285714283</v>
      </c>
      <c r="D120" s="438"/>
      <c r="E120" s="439"/>
    </row>
    <row r="121" spans="1:5" x14ac:dyDescent="0.3">
      <c r="A121" s="81" t="str">
        <f t="shared" si="3"/>
        <v>01/06/2022-30/06/2022</v>
      </c>
      <c r="B121" s="255">
        <f>'Baseline emission'!B49</f>
        <v>18.482142857142854</v>
      </c>
      <c r="C121" s="255">
        <f>'Baseline emission'!C49</f>
        <v>24.010714285714286</v>
      </c>
      <c r="D121" s="438"/>
      <c r="E121" s="439"/>
    </row>
    <row r="122" spans="1:5" x14ac:dyDescent="0.3">
      <c r="A122" s="81" t="str">
        <f t="shared" si="3"/>
        <v>01/07/2022-31/07/2022</v>
      </c>
      <c r="B122" s="255">
        <f>'Baseline emission'!B50</f>
        <v>18.998571428571431</v>
      </c>
      <c r="C122" s="255">
        <f>'Baseline emission'!C50</f>
        <v>24.512142857142855</v>
      </c>
      <c r="D122" s="438"/>
      <c r="E122" s="439"/>
    </row>
    <row r="123" spans="1:5" x14ac:dyDescent="0.3">
      <c r="A123" s="81" t="str">
        <f t="shared" si="3"/>
        <v>01/08/2022-31/08/2022</v>
      </c>
      <c r="B123" s="255">
        <f>'Baseline emission'!B51</f>
        <v>19.131428571428575</v>
      </c>
      <c r="C123" s="255">
        <f>'Baseline emission'!C51</f>
        <v>24.844285714285714</v>
      </c>
      <c r="D123" s="438"/>
      <c r="E123" s="439"/>
    </row>
    <row r="124" spans="1:5" x14ac:dyDescent="0.3">
      <c r="A124" s="81" t="str">
        <f t="shared" si="3"/>
        <v>01/09/2022-30/09/2022</v>
      </c>
      <c r="B124" s="255">
        <f>'Baseline emission'!B52</f>
        <v>18.771428571428572</v>
      </c>
      <c r="C124" s="255">
        <f>'Baseline emission'!C52</f>
        <v>23.657142857142858</v>
      </c>
      <c r="D124" s="438"/>
      <c r="E124" s="439"/>
    </row>
    <row r="125" spans="1:5" x14ac:dyDescent="0.3">
      <c r="A125" s="81" t="str">
        <f t="shared" si="3"/>
        <v>01/10/2022-31/10/2022</v>
      </c>
      <c r="B125" s="255">
        <f>'Baseline emission'!B53</f>
        <v>19.463571428571431</v>
      </c>
      <c r="C125" s="255">
        <f>'Baseline emission'!C53</f>
        <v>24.478928571428568</v>
      </c>
      <c r="D125" s="438"/>
      <c r="E125" s="439"/>
    </row>
    <row r="126" spans="1:5" x14ac:dyDescent="0.3">
      <c r="A126" s="81" t="str">
        <f t="shared" si="3"/>
        <v>01/11/2022-30/11/2022</v>
      </c>
      <c r="B126" s="255">
        <f>'Baseline emission'!B54</f>
        <v>18.514285714285716</v>
      </c>
      <c r="C126" s="255">
        <f>'Baseline emission'!C54</f>
        <v>23.946428571428569</v>
      </c>
      <c r="D126" s="438"/>
      <c r="E126" s="439"/>
    </row>
    <row r="127" spans="1:5" x14ac:dyDescent="0.3">
      <c r="A127" s="81" t="str">
        <f t="shared" si="3"/>
        <v>01/12/2022-31/12/2022</v>
      </c>
      <c r="B127" s="255">
        <f>'Baseline emission'!B55</f>
        <v>19.264285714285716</v>
      </c>
      <c r="C127" s="255">
        <f>'Baseline emission'!C55</f>
        <v>24.977142857142859</v>
      </c>
      <c r="D127" s="438"/>
      <c r="E127" s="439"/>
    </row>
    <row r="128" spans="1:5" x14ac:dyDescent="0.3">
      <c r="A128" s="81" t="str">
        <f t="shared" si="3"/>
        <v>01/01/2023-31/01/2023</v>
      </c>
      <c r="B128" s="255">
        <f>'Baseline emission'!B56</f>
        <v>19.197857142857142</v>
      </c>
      <c r="C128" s="255">
        <f>'Baseline emission'!C56</f>
        <v>24.445714285714285</v>
      </c>
      <c r="D128" s="438"/>
      <c r="E128" s="439"/>
    </row>
    <row r="129" spans="1:5" x14ac:dyDescent="0.3">
      <c r="A129" s="81" t="str">
        <f t="shared" si="3"/>
        <v>01/02/2023-28/02/2023</v>
      </c>
      <c r="B129" s="255">
        <f>'Baseline emission'!B57</f>
        <v>16.89</v>
      </c>
      <c r="C129" s="255">
        <f>'Baseline emission'!C57</f>
        <v>22.2</v>
      </c>
      <c r="D129" s="438"/>
      <c r="E129" s="439"/>
    </row>
    <row r="130" spans="1:5" x14ac:dyDescent="0.3">
      <c r="A130" s="81" t="str">
        <f t="shared" si="3"/>
        <v>01/03/2023-31/03/2023</v>
      </c>
      <c r="B130" s="255">
        <f>'Baseline emission'!B58</f>
        <v>19.231071428571425</v>
      </c>
      <c r="C130" s="255">
        <f>'Baseline emission'!C58</f>
        <v>24.578571428571426</v>
      </c>
      <c r="D130" s="438"/>
      <c r="E130" s="439"/>
    </row>
    <row r="131" spans="1:5" ht="15.5" x14ac:dyDescent="0.3">
      <c r="A131" s="175" t="s">
        <v>271</v>
      </c>
      <c r="B131" s="259">
        <v>1</v>
      </c>
      <c r="C131" s="259">
        <v>1</v>
      </c>
      <c r="D131" s="27" t="s">
        <v>93</v>
      </c>
      <c r="E131" s="257" t="s">
        <v>128</v>
      </c>
    </row>
    <row r="132" spans="1:5" ht="15.5" x14ac:dyDescent="0.3">
      <c r="A132" s="175" t="s">
        <v>272</v>
      </c>
      <c r="B132" s="259"/>
      <c r="C132" s="259"/>
      <c r="D132" s="27"/>
      <c r="E132" s="257"/>
    </row>
    <row r="133" spans="1:5" x14ac:dyDescent="0.3">
      <c r="A133" s="81" t="str">
        <f t="shared" ref="A133:A144" si="4">A119</f>
        <v>01/04/2022-30/04/2022</v>
      </c>
      <c r="B133" s="255">
        <f>ROUNDUP(B99*B100*B101*B102*B103*B104*B106*B119*B131,0)</f>
        <v>3</v>
      </c>
      <c r="C133" s="255">
        <f>ROUNDUP(C99*C100*C101*C102*C103*C104*C106*C119*C131,0)</f>
        <v>3</v>
      </c>
      <c r="D133" s="438" t="s">
        <v>217</v>
      </c>
      <c r="E133" s="439" t="s">
        <v>106</v>
      </c>
    </row>
    <row r="134" spans="1:5" x14ac:dyDescent="0.3">
      <c r="A134" s="81" t="str">
        <f t="shared" si="4"/>
        <v>01/05/2022-31/05/2022</v>
      </c>
      <c r="B134" s="255">
        <f t="shared" ref="B134:C144" si="5">ROUNDUP($B$99*$B$100*$B$101*$B$102*$B$103*$B$104*B107*B120*$B$131,0)</f>
        <v>3</v>
      </c>
      <c r="C134" s="255">
        <f t="shared" si="5"/>
        <v>3</v>
      </c>
      <c r="D134" s="438"/>
      <c r="E134" s="439"/>
    </row>
    <row r="135" spans="1:5" x14ac:dyDescent="0.3">
      <c r="A135" s="81" t="str">
        <f t="shared" si="4"/>
        <v>01/06/2022-30/06/2022</v>
      </c>
      <c r="B135" s="255">
        <f t="shared" si="5"/>
        <v>3</v>
      </c>
      <c r="C135" s="255">
        <f t="shared" si="5"/>
        <v>3</v>
      </c>
      <c r="D135" s="438"/>
      <c r="E135" s="439"/>
    </row>
    <row r="136" spans="1:5" x14ac:dyDescent="0.3">
      <c r="A136" s="81" t="str">
        <f t="shared" si="4"/>
        <v>01/07/2022-31/07/2022</v>
      </c>
      <c r="B136" s="255">
        <f t="shared" si="5"/>
        <v>3</v>
      </c>
      <c r="C136" s="255">
        <f t="shared" si="5"/>
        <v>3</v>
      </c>
      <c r="D136" s="438"/>
      <c r="E136" s="439"/>
    </row>
    <row r="137" spans="1:5" x14ac:dyDescent="0.3">
      <c r="A137" s="81" t="str">
        <f t="shared" si="4"/>
        <v>01/08/2022-31/08/2022</v>
      </c>
      <c r="B137" s="255">
        <f t="shared" si="5"/>
        <v>3</v>
      </c>
      <c r="C137" s="255">
        <f t="shared" si="5"/>
        <v>3</v>
      </c>
      <c r="D137" s="438"/>
      <c r="E137" s="439"/>
    </row>
    <row r="138" spans="1:5" x14ac:dyDescent="0.3">
      <c r="A138" s="81" t="str">
        <f t="shared" si="4"/>
        <v>01/09/2022-30/09/2022</v>
      </c>
      <c r="B138" s="255">
        <f t="shared" si="5"/>
        <v>3</v>
      </c>
      <c r="C138" s="255">
        <f t="shared" si="5"/>
        <v>3</v>
      </c>
      <c r="D138" s="438"/>
      <c r="E138" s="439"/>
    </row>
    <row r="139" spans="1:5" x14ac:dyDescent="0.3">
      <c r="A139" s="81" t="str">
        <f t="shared" si="4"/>
        <v>01/10/2022-31/10/2022</v>
      </c>
      <c r="B139" s="255">
        <f t="shared" si="5"/>
        <v>3</v>
      </c>
      <c r="C139" s="255">
        <f t="shared" si="5"/>
        <v>3</v>
      </c>
      <c r="D139" s="438"/>
      <c r="E139" s="439"/>
    </row>
    <row r="140" spans="1:5" x14ac:dyDescent="0.3">
      <c r="A140" s="81" t="str">
        <f t="shared" si="4"/>
        <v>01/11/2022-30/11/2022</v>
      </c>
      <c r="B140" s="255">
        <f t="shared" si="5"/>
        <v>3</v>
      </c>
      <c r="C140" s="255">
        <f t="shared" si="5"/>
        <v>3</v>
      </c>
      <c r="D140" s="438"/>
      <c r="E140" s="439"/>
    </row>
    <row r="141" spans="1:5" x14ac:dyDescent="0.3">
      <c r="A141" s="81" t="str">
        <f t="shared" si="4"/>
        <v>01/12/2022-31/12/2022</v>
      </c>
      <c r="B141" s="255">
        <f t="shared" si="5"/>
        <v>3</v>
      </c>
      <c r="C141" s="255">
        <f t="shared" si="5"/>
        <v>3</v>
      </c>
      <c r="D141" s="438"/>
      <c r="E141" s="439"/>
    </row>
    <row r="142" spans="1:5" x14ac:dyDescent="0.3">
      <c r="A142" s="81" t="str">
        <f t="shared" si="4"/>
        <v>01/01/2023-31/01/2023</v>
      </c>
      <c r="B142" s="255">
        <f t="shared" si="5"/>
        <v>3</v>
      </c>
      <c r="C142" s="255">
        <f t="shared" si="5"/>
        <v>3</v>
      </c>
      <c r="D142" s="438"/>
      <c r="E142" s="439"/>
    </row>
    <row r="143" spans="1:5" x14ac:dyDescent="0.3">
      <c r="A143" s="81" t="str">
        <f t="shared" si="4"/>
        <v>01/02/2023-28/02/2023</v>
      </c>
      <c r="B143" s="255">
        <f t="shared" si="5"/>
        <v>3</v>
      </c>
      <c r="C143" s="255">
        <f t="shared" si="5"/>
        <v>3</v>
      </c>
      <c r="D143" s="438"/>
      <c r="E143" s="439"/>
    </row>
    <row r="144" spans="1:5" x14ac:dyDescent="0.3">
      <c r="A144" s="81" t="str">
        <f t="shared" si="4"/>
        <v>01/03/2023-31/03/2023</v>
      </c>
      <c r="B144" s="255">
        <f t="shared" si="5"/>
        <v>3</v>
      </c>
      <c r="C144" s="255">
        <f t="shared" si="5"/>
        <v>3</v>
      </c>
      <c r="D144" s="438"/>
      <c r="E144" s="439"/>
    </row>
    <row r="145" spans="1:9" ht="15.5" x14ac:dyDescent="0.4">
      <c r="A145" s="88" t="str">
        <f>A85</f>
        <v>01/04/2022-31/12/2022</v>
      </c>
      <c r="B145" s="411">
        <f>SUM(B133:C141)</f>
        <v>54</v>
      </c>
      <c r="C145" s="411"/>
      <c r="D145" s="27" t="s">
        <v>217</v>
      </c>
      <c r="E145" s="28" t="s">
        <v>106</v>
      </c>
    </row>
    <row r="146" spans="1:9" ht="15.5" x14ac:dyDescent="0.4">
      <c r="A146" s="88" t="str">
        <f>A86</f>
        <v>01/01/2023-31/03/2023</v>
      </c>
      <c r="B146" s="411">
        <f>SUM(B142:C144)</f>
        <v>18</v>
      </c>
      <c r="C146" s="411"/>
      <c r="D146" s="27" t="s">
        <v>217</v>
      </c>
      <c r="E146" s="28" t="s">
        <v>106</v>
      </c>
    </row>
    <row r="147" spans="1:9" ht="16" thickBot="1" x14ac:dyDescent="0.45">
      <c r="A147" s="261" t="s">
        <v>273</v>
      </c>
      <c r="B147" s="412">
        <f>B145+B146</f>
        <v>72</v>
      </c>
      <c r="C147" s="412"/>
      <c r="D147" s="33" t="s">
        <v>217</v>
      </c>
      <c r="E147" s="262" t="s">
        <v>106</v>
      </c>
    </row>
    <row r="148" spans="1:9" x14ac:dyDescent="0.3">
      <c r="A148" s="219"/>
    </row>
    <row r="149" spans="1:9" x14ac:dyDescent="0.3">
      <c r="A149" s="248" t="s">
        <v>41</v>
      </c>
    </row>
    <row r="150" spans="1:9" x14ac:dyDescent="0.3">
      <c r="A150" s="219"/>
    </row>
    <row r="151" spans="1:9" x14ac:dyDescent="0.3">
      <c r="A151" s="219"/>
      <c r="D151" s="64"/>
    </row>
    <row r="152" spans="1:9" x14ac:dyDescent="0.3">
      <c r="A152" s="63"/>
      <c r="D152" s="64"/>
    </row>
    <row r="153" spans="1:9" x14ac:dyDescent="0.3">
      <c r="A153" s="63"/>
      <c r="D153" s="64"/>
    </row>
    <row r="154" spans="1:9" x14ac:dyDescent="0.3">
      <c r="A154" s="63"/>
      <c r="D154" s="64"/>
    </row>
    <row r="155" spans="1:9" x14ac:dyDescent="0.3">
      <c r="A155" s="63"/>
      <c r="D155" s="64"/>
    </row>
    <row r="156" spans="1:9" ht="15.5" x14ac:dyDescent="0.4">
      <c r="A156" s="263" t="s">
        <v>274</v>
      </c>
      <c r="B156" s="204"/>
    </row>
    <row r="157" spans="1:9" ht="14" thickBot="1" x14ac:dyDescent="0.35">
      <c r="A157" s="218"/>
    </row>
    <row r="158" spans="1:9" x14ac:dyDescent="0.3">
      <c r="A158" s="97" t="s">
        <v>3</v>
      </c>
      <c r="B158" s="98" t="s">
        <v>18</v>
      </c>
      <c r="C158" s="98"/>
      <c r="D158" s="98" t="s">
        <v>2</v>
      </c>
      <c r="E158" s="98" t="s">
        <v>4</v>
      </c>
    </row>
    <row r="159" spans="1:9" s="69" customFormat="1" x14ac:dyDescent="0.3">
      <c r="A159" s="99"/>
      <c r="B159" s="100" t="s">
        <v>32</v>
      </c>
      <c r="C159" s="100" t="s">
        <v>33</v>
      </c>
      <c r="D159" s="100"/>
      <c r="E159" s="100"/>
      <c r="F159" s="3"/>
      <c r="G159" s="3"/>
      <c r="H159" s="3"/>
      <c r="I159" s="3"/>
    </row>
    <row r="160" spans="1:9" ht="36.5" customHeight="1" x14ac:dyDescent="0.3">
      <c r="A160" s="175" t="s">
        <v>275</v>
      </c>
      <c r="B160" s="342">
        <v>0</v>
      </c>
      <c r="C160" s="342">
        <v>0</v>
      </c>
      <c r="D160" s="114" t="s">
        <v>179</v>
      </c>
      <c r="E160" s="264" t="s">
        <v>64</v>
      </c>
    </row>
    <row r="161" spans="1:5" ht="15.5" x14ac:dyDescent="0.3">
      <c r="A161" s="175" t="s">
        <v>276</v>
      </c>
      <c r="B161" s="265"/>
      <c r="C161" s="265"/>
      <c r="D161" s="387" t="s">
        <v>69</v>
      </c>
      <c r="E161" s="387" t="s">
        <v>109</v>
      </c>
    </row>
    <row r="162" spans="1:5" x14ac:dyDescent="0.3">
      <c r="A162" s="81" t="str">
        <f t="shared" ref="A162:A173" si="6">A133</f>
        <v>01/04/2022-30/04/2022</v>
      </c>
      <c r="B162" s="265">
        <f>'Baseline emission'!B134</f>
        <v>0.72197999999999996</v>
      </c>
      <c r="C162" s="265">
        <f>'Baseline emission'!C134</f>
        <v>0.53639999999999988</v>
      </c>
      <c r="D162" s="388"/>
      <c r="E162" s="388"/>
    </row>
    <row r="163" spans="1:5" x14ac:dyDescent="0.3">
      <c r="A163" s="81" t="str">
        <f t="shared" si="6"/>
        <v>01/05/2022-31/05/2022</v>
      </c>
      <c r="B163" s="265">
        <f>'Baseline emission'!B135</f>
        <v>0.740838</v>
      </c>
      <c r="C163" s="265">
        <f>'Baseline emission'!C135</f>
        <v>0.55279199999999995</v>
      </c>
      <c r="D163" s="388"/>
      <c r="E163" s="388"/>
    </row>
    <row r="164" spans="1:5" x14ac:dyDescent="0.3">
      <c r="A164" s="81" t="str">
        <f t="shared" si="6"/>
        <v>01/06/2022-30/06/2022</v>
      </c>
      <c r="B164" s="265">
        <f>'Baseline emission'!B136</f>
        <v>0.72449999999999992</v>
      </c>
      <c r="C164" s="265">
        <f>'Baseline emission'!C136</f>
        <v>0.53783999999999998</v>
      </c>
      <c r="D164" s="388"/>
      <c r="E164" s="388"/>
    </row>
    <row r="165" spans="1:5" x14ac:dyDescent="0.3">
      <c r="A165" s="81" t="str">
        <f t="shared" si="6"/>
        <v>01/07/2022-31/07/2022</v>
      </c>
      <c r="B165" s="265">
        <f>'Baseline emission'!B137</f>
        <v>0.74474400000000007</v>
      </c>
      <c r="C165" s="265">
        <f>'Baseline emission'!C137</f>
        <v>0.54907199999999989</v>
      </c>
      <c r="D165" s="388"/>
      <c r="E165" s="388"/>
    </row>
    <row r="166" spans="1:5" x14ac:dyDescent="0.3">
      <c r="A166" s="81" t="str">
        <f t="shared" si="6"/>
        <v>01/08/2022-31/08/2022</v>
      </c>
      <c r="B166" s="265">
        <f>'Baseline emission'!B138</f>
        <v>0.74995200000000006</v>
      </c>
      <c r="C166" s="265">
        <f>'Baseline emission'!C138</f>
        <v>0.5565119999999999</v>
      </c>
      <c r="D166" s="388"/>
      <c r="E166" s="388"/>
    </row>
    <row r="167" spans="1:5" x14ac:dyDescent="0.3">
      <c r="A167" s="81" t="str">
        <f t="shared" si="6"/>
        <v>01/09/2022-30/09/2022</v>
      </c>
      <c r="B167" s="265">
        <f>'Baseline emission'!B139</f>
        <v>0.73584000000000005</v>
      </c>
      <c r="C167" s="265">
        <f>'Baseline emission'!C139</f>
        <v>0.52991999999999995</v>
      </c>
      <c r="D167" s="388"/>
      <c r="E167" s="388"/>
    </row>
    <row r="168" spans="1:5" x14ac:dyDescent="0.3">
      <c r="A168" s="81" t="str">
        <f t="shared" si="6"/>
        <v>01/10/2022-31/10/2022</v>
      </c>
      <c r="B168" s="265">
        <f>'Baseline emission'!B140</f>
        <v>0.76297199999999998</v>
      </c>
      <c r="C168" s="265">
        <f>'Baseline emission'!C140</f>
        <v>0.54832799999999993</v>
      </c>
      <c r="D168" s="388"/>
      <c r="E168" s="388"/>
    </row>
    <row r="169" spans="1:5" x14ac:dyDescent="0.3">
      <c r="A169" s="81" t="str">
        <f t="shared" si="6"/>
        <v>01/11/2022-30/11/2022</v>
      </c>
      <c r="B169" s="265">
        <f>'Baseline emission'!B141</f>
        <v>0.72576000000000007</v>
      </c>
      <c r="C169" s="265">
        <f>'Baseline emission'!C141</f>
        <v>0.53639999999999988</v>
      </c>
      <c r="D169" s="388"/>
      <c r="E169" s="388"/>
    </row>
    <row r="170" spans="1:5" x14ac:dyDescent="0.3">
      <c r="A170" s="81" t="str">
        <f t="shared" si="6"/>
        <v>01/12/2022-31/12/2022</v>
      </c>
      <c r="B170" s="265">
        <f>'Baseline emission'!B142</f>
        <v>0.75516000000000005</v>
      </c>
      <c r="C170" s="265">
        <f>'Baseline emission'!C142</f>
        <v>0.55948799999999999</v>
      </c>
      <c r="D170" s="388"/>
      <c r="E170" s="388"/>
    </row>
    <row r="171" spans="1:5" x14ac:dyDescent="0.3">
      <c r="A171" s="81" t="str">
        <f t="shared" si="6"/>
        <v>01/01/2023-31/01/2023</v>
      </c>
      <c r="B171" s="265">
        <f>'Baseline emission'!B143</f>
        <v>0.75255599999999989</v>
      </c>
      <c r="C171" s="265">
        <f>'Baseline emission'!C143</f>
        <v>0.54758399999999996</v>
      </c>
      <c r="D171" s="388"/>
      <c r="E171" s="388"/>
    </row>
    <row r="172" spans="1:5" x14ac:dyDescent="0.3">
      <c r="A172" s="81" t="str">
        <f t="shared" si="6"/>
        <v>01/02/2023-28/02/2023</v>
      </c>
      <c r="B172" s="265">
        <f>'Baseline emission'!B144</f>
        <v>0.66208800000000001</v>
      </c>
      <c r="C172" s="265">
        <f>'Baseline emission'!C144</f>
        <v>0.49727999999999994</v>
      </c>
      <c r="D172" s="388"/>
      <c r="E172" s="388"/>
    </row>
    <row r="173" spans="1:5" x14ac:dyDescent="0.3">
      <c r="A173" s="81" t="str">
        <f t="shared" si="6"/>
        <v>01/03/2023-31/03/2023</v>
      </c>
      <c r="B173" s="265">
        <f>'Baseline emission'!B145</f>
        <v>0.75385799999999992</v>
      </c>
      <c r="C173" s="265">
        <f>'Baseline emission'!C145</f>
        <v>0.55055999999999994</v>
      </c>
      <c r="D173" s="388"/>
      <c r="E173" s="388"/>
    </row>
    <row r="174" spans="1:5" x14ac:dyDescent="0.3">
      <c r="A174" s="175" t="s">
        <v>42</v>
      </c>
      <c r="B174" s="266">
        <v>1</v>
      </c>
      <c r="C174" s="266">
        <f>B174</f>
        <v>1</v>
      </c>
      <c r="D174" s="27" t="s">
        <v>93</v>
      </c>
      <c r="E174" s="77"/>
    </row>
    <row r="175" spans="1:5" ht="15.5" x14ac:dyDescent="0.3">
      <c r="A175" s="175" t="s">
        <v>277</v>
      </c>
      <c r="B175" s="266"/>
      <c r="C175" s="266"/>
      <c r="D175" s="27"/>
      <c r="E175" s="77"/>
    </row>
    <row r="176" spans="1:5" x14ac:dyDescent="0.3">
      <c r="A176" s="81" t="str">
        <f t="shared" ref="A176:A187" si="7">A162</f>
        <v>01/04/2022-30/04/2022</v>
      </c>
      <c r="B176" s="267">
        <f t="shared" ref="B176:B187" si="8">$B$160*B162*B106*$B$174</f>
        <v>0</v>
      </c>
      <c r="C176" s="267">
        <f t="shared" ref="C176:C187" si="9">$C$160*C162*C106*$C$174</f>
        <v>0</v>
      </c>
      <c r="D176" s="387" t="s">
        <v>188</v>
      </c>
      <c r="E176" s="381" t="s">
        <v>106</v>
      </c>
    </row>
    <row r="177" spans="1:5" x14ac:dyDescent="0.3">
      <c r="A177" s="81" t="str">
        <f t="shared" si="7"/>
        <v>01/05/2022-31/05/2022</v>
      </c>
      <c r="B177" s="267">
        <f t="shared" si="8"/>
        <v>0</v>
      </c>
      <c r="C177" s="267">
        <f t="shared" si="9"/>
        <v>0</v>
      </c>
      <c r="D177" s="388"/>
      <c r="E177" s="382"/>
    </row>
    <row r="178" spans="1:5" x14ac:dyDescent="0.3">
      <c r="A178" s="81" t="str">
        <f t="shared" si="7"/>
        <v>01/06/2022-30/06/2022</v>
      </c>
      <c r="B178" s="267">
        <f t="shared" si="8"/>
        <v>0</v>
      </c>
      <c r="C178" s="267">
        <f t="shared" si="9"/>
        <v>0</v>
      </c>
      <c r="D178" s="388"/>
      <c r="E178" s="382"/>
    </row>
    <row r="179" spans="1:5" x14ac:dyDescent="0.3">
      <c r="A179" s="81" t="str">
        <f t="shared" si="7"/>
        <v>01/07/2022-31/07/2022</v>
      </c>
      <c r="B179" s="267">
        <f t="shared" si="8"/>
        <v>0</v>
      </c>
      <c r="C179" s="267">
        <f t="shared" si="9"/>
        <v>0</v>
      </c>
      <c r="D179" s="388"/>
      <c r="E179" s="382"/>
    </row>
    <row r="180" spans="1:5" x14ac:dyDescent="0.3">
      <c r="A180" s="81" t="str">
        <f t="shared" si="7"/>
        <v>01/08/2022-31/08/2022</v>
      </c>
      <c r="B180" s="267">
        <f t="shared" si="8"/>
        <v>0</v>
      </c>
      <c r="C180" s="267">
        <f t="shared" si="9"/>
        <v>0</v>
      </c>
      <c r="D180" s="388"/>
      <c r="E180" s="382"/>
    </row>
    <row r="181" spans="1:5" x14ac:dyDescent="0.3">
      <c r="A181" s="81" t="str">
        <f t="shared" si="7"/>
        <v>01/09/2022-30/09/2022</v>
      </c>
      <c r="B181" s="267">
        <f t="shared" si="8"/>
        <v>0</v>
      </c>
      <c r="C181" s="267">
        <f t="shared" si="9"/>
        <v>0</v>
      </c>
      <c r="D181" s="388"/>
      <c r="E181" s="382"/>
    </row>
    <row r="182" spans="1:5" x14ac:dyDescent="0.3">
      <c r="A182" s="81" t="str">
        <f t="shared" si="7"/>
        <v>01/10/2022-31/10/2022</v>
      </c>
      <c r="B182" s="267">
        <f t="shared" si="8"/>
        <v>0</v>
      </c>
      <c r="C182" s="267">
        <f t="shared" si="9"/>
        <v>0</v>
      </c>
      <c r="D182" s="388"/>
      <c r="E182" s="382"/>
    </row>
    <row r="183" spans="1:5" x14ac:dyDescent="0.3">
      <c r="A183" s="81" t="str">
        <f t="shared" si="7"/>
        <v>01/11/2022-30/11/2022</v>
      </c>
      <c r="B183" s="267">
        <f t="shared" si="8"/>
        <v>0</v>
      </c>
      <c r="C183" s="267">
        <f t="shared" si="9"/>
        <v>0</v>
      </c>
      <c r="D183" s="388"/>
      <c r="E183" s="382"/>
    </row>
    <row r="184" spans="1:5" x14ac:dyDescent="0.3">
      <c r="A184" s="81" t="str">
        <f t="shared" si="7"/>
        <v>01/12/2022-31/12/2022</v>
      </c>
      <c r="B184" s="267">
        <f t="shared" si="8"/>
        <v>0</v>
      </c>
      <c r="C184" s="267">
        <f t="shared" si="9"/>
        <v>0</v>
      </c>
      <c r="D184" s="388"/>
      <c r="E184" s="382"/>
    </row>
    <row r="185" spans="1:5" x14ac:dyDescent="0.3">
      <c r="A185" s="81" t="str">
        <f t="shared" si="7"/>
        <v>01/01/2023-31/01/2023</v>
      </c>
      <c r="B185" s="267">
        <f t="shared" si="8"/>
        <v>0</v>
      </c>
      <c r="C185" s="267">
        <f t="shared" si="9"/>
        <v>0</v>
      </c>
      <c r="D185" s="388"/>
      <c r="E185" s="382"/>
    </row>
    <row r="186" spans="1:5" x14ac:dyDescent="0.3">
      <c r="A186" s="81" t="str">
        <f t="shared" si="7"/>
        <v>01/02/2023-28/02/2023</v>
      </c>
      <c r="B186" s="267">
        <f t="shared" si="8"/>
        <v>0</v>
      </c>
      <c r="C186" s="267">
        <f t="shared" si="9"/>
        <v>0</v>
      </c>
      <c r="D186" s="388"/>
      <c r="E186" s="382"/>
    </row>
    <row r="187" spans="1:5" x14ac:dyDescent="0.3">
      <c r="A187" s="81" t="str">
        <f t="shared" si="7"/>
        <v>01/03/2023-31/03/2023</v>
      </c>
      <c r="B187" s="267">
        <f t="shared" si="8"/>
        <v>0</v>
      </c>
      <c r="C187" s="267">
        <f t="shared" si="9"/>
        <v>0</v>
      </c>
      <c r="D187" s="388"/>
      <c r="E187" s="382"/>
    </row>
    <row r="188" spans="1:5" x14ac:dyDescent="0.3">
      <c r="A188" s="88" t="str">
        <f>A145</f>
        <v>01/04/2022-31/12/2022</v>
      </c>
      <c r="B188" s="415">
        <f>SUM(B176:C184)</f>
        <v>0</v>
      </c>
      <c r="C188" s="415"/>
      <c r="D188" s="388"/>
      <c r="E188" s="382"/>
    </row>
    <row r="189" spans="1:5" x14ac:dyDescent="0.3">
      <c r="A189" s="88" t="str">
        <f>A146</f>
        <v>01/01/2023-31/03/2023</v>
      </c>
      <c r="B189" s="415">
        <f>SUM(B185:C187)</f>
        <v>0</v>
      </c>
      <c r="C189" s="415"/>
      <c r="D189" s="388"/>
      <c r="E189" s="382"/>
    </row>
    <row r="190" spans="1:5" ht="15.5" x14ac:dyDescent="0.3">
      <c r="A190" s="238" t="s">
        <v>187</v>
      </c>
      <c r="B190" s="460">
        <f>B189+B188</f>
        <v>0</v>
      </c>
      <c r="C190" s="461"/>
      <c r="D190" s="413"/>
      <c r="E190" s="414"/>
    </row>
    <row r="191" spans="1:5" ht="27.5" customHeight="1" x14ac:dyDescent="0.3">
      <c r="A191" s="175" t="s">
        <v>275</v>
      </c>
      <c r="B191" s="268">
        <v>6.0000000000000001E-3</v>
      </c>
      <c r="C191" s="268">
        <v>6.0000000000000001E-3</v>
      </c>
      <c r="D191" s="114" t="s">
        <v>278</v>
      </c>
      <c r="E191" s="114"/>
    </row>
    <row r="192" spans="1:5" x14ac:dyDescent="0.3">
      <c r="A192" s="175" t="s">
        <v>42</v>
      </c>
      <c r="B192" s="259">
        <v>1</v>
      </c>
      <c r="C192" s="259">
        <v>1</v>
      </c>
      <c r="D192" s="27" t="s">
        <v>93</v>
      </c>
      <c r="E192" s="77"/>
    </row>
    <row r="193" spans="1:5" ht="15.5" x14ac:dyDescent="0.3">
      <c r="A193" s="175" t="s">
        <v>277</v>
      </c>
      <c r="B193" s="259"/>
      <c r="C193" s="259"/>
      <c r="D193" s="387" t="s">
        <v>188</v>
      </c>
      <c r="E193" s="381" t="s">
        <v>109</v>
      </c>
    </row>
    <row r="194" spans="1:5" x14ac:dyDescent="0.3">
      <c r="A194" s="81" t="str">
        <f t="shared" ref="A194:A207" si="10">A176</f>
        <v>01/04/2022-30/04/2022</v>
      </c>
      <c r="B194" s="269">
        <f t="shared" ref="B194:C205" si="11">$B$191*$B$192*B162*B106</f>
        <v>552.08511035999993</v>
      </c>
      <c r="C194" s="269">
        <f t="shared" si="11"/>
        <v>303.10891199999992</v>
      </c>
      <c r="D194" s="388"/>
      <c r="E194" s="382"/>
    </row>
    <row r="195" spans="1:5" x14ac:dyDescent="0.3">
      <c r="A195" s="81" t="str">
        <f t="shared" si="10"/>
        <v>01/05/2022-31/05/2022</v>
      </c>
      <c r="B195" s="269">
        <f t="shared" si="11"/>
        <v>566.50548351600003</v>
      </c>
      <c r="C195" s="269">
        <f t="shared" si="11"/>
        <v>310.12294550399997</v>
      </c>
      <c r="D195" s="388"/>
      <c r="E195" s="382"/>
    </row>
    <row r="196" spans="1:5" x14ac:dyDescent="0.3">
      <c r="A196" s="81" t="str">
        <f t="shared" si="10"/>
        <v>01/06/2022-30/06/2022</v>
      </c>
      <c r="B196" s="269">
        <f t="shared" si="11"/>
        <v>554.0121089999999</v>
      </c>
      <c r="C196" s="269">
        <f t="shared" si="11"/>
        <v>302.47691328000002</v>
      </c>
      <c r="D196" s="388"/>
      <c r="E196" s="382"/>
    </row>
    <row r="197" spans="1:5" x14ac:dyDescent="0.3">
      <c r="A197" s="81" t="str">
        <f t="shared" si="10"/>
        <v>01/07/2022-31/07/2022</v>
      </c>
      <c r="B197" s="269">
        <f t="shared" si="11"/>
        <v>569.49233140800004</v>
      </c>
      <c r="C197" s="269">
        <f t="shared" si="11"/>
        <v>307.54181606399993</v>
      </c>
      <c r="D197" s="388"/>
      <c r="E197" s="382"/>
    </row>
    <row r="198" spans="1:5" x14ac:dyDescent="0.3">
      <c r="A198" s="81" t="str">
        <f t="shared" si="10"/>
        <v>01/08/2022-31/08/2022</v>
      </c>
      <c r="B198" s="269">
        <f t="shared" si="11"/>
        <v>573.47479526400002</v>
      </c>
      <c r="C198" s="269">
        <f t="shared" si="11"/>
        <v>314.05641695999992</v>
      </c>
      <c r="D198" s="388"/>
      <c r="E198" s="382"/>
    </row>
    <row r="199" spans="1:5" x14ac:dyDescent="0.3">
      <c r="A199" s="81" t="str">
        <f t="shared" si="10"/>
        <v>01/09/2022-30/09/2022</v>
      </c>
      <c r="B199" s="269">
        <f t="shared" si="11"/>
        <v>562.68360288000008</v>
      </c>
      <c r="C199" s="269">
        <f t="shared" si="11"/>
        <v>296.72552447999999</v>
      </c>
      <c r="D199" s="388"/>
      <c r="E199" s="382"/>
    </row>
    <row r="200" spans="1:5" x14ac:dyDescent="0.3">
      <c r="A200" s="81" t="str">
        <f t="shared" si="10"/>
        <v>01/10/2022-31/10/2022</v>
      </c>
      <c r="B200" s="269">
        <f t="shared" si="11"/>
        <v>583.43095490400003</v>
      </c>
      <c r="C200" s="269">
        <f t="shared" si="11"/>
        <v>307.10864289599994</v>
      </c>
      <c r="D200" s="388"/>
      <c r="E200" s="382"/>
    </row>
    <row r="201" spans="1:5" x14ac:dyDescent="0.3">
      <c r="A201" s="81" t="str">
        <f t="shared" si="10"/>
        <v>01/11/2022-30/11/2022</v>
      </c>
      <c r="B201" s="269">
        <f t="shared" si="11"/>
        <v>554.97560831999999</v>
      </c>
      <c r="C201" s="269">
        <f t="shared" si="11"/>
        <v>297.75671279999995</v>
      </c>
      <c r="D201" s="388"/>
      <c r="E201" s="382"/>
    </row>
    <row r="202" spans="1:5" x14ac:dyDescent="0.3">
      <c r="A202" s="81" t="str">
        <f t="shared" si="10"/>
        <v>01/12/2022-31/12/2022</v>
      </c>
      <c r="B202" s="269">
        <f t="shared" si="11"/>
        <v>577.45725912000012</v>
      </c>
      <c r="C202" s="269">
        <f t="shared" si="11"/>
        <v>312.15402086400002</v>
      </c>
      <c r="D202" s="388"/>
      <c r="E202" s="382"/>
    </row>
    <row r="203" spans="1:5" x14ac:dyDescent="0.3">
      <c r="A203" s="81" t="str">
        <f t="shared" si="10"/>
        <v>01/01/2023-31/01/2023</v>
      </c>
      <c r="B203" s="269">
        <f t="shared" si="11"/>
        <v>575.46602719199984</v>
      </c>
      <c r="C203" s="269">
        <f t="shared" si="11"/>
        <v>304.96705228799999</v>
      </c>
      <c r="D203" s="388"/>
      <c r="E203" s="382"/>
    </row>
    <row r="204" spans="1:5" x14ac:dyDescent="0.3">
      <c r="A204" s="81" t="str">
        <f t="shared" si="10"/>
        <v>01/02/2023-28/02/2023</v>
      </c>
      <c r="B204" s="269">
        <f t="shared" si="11"/>
        <v>506.28677601600003</v>
      </c>
      <c r="C204" s="269">
        <f t="shared" si="11"/>
        <v>278.83683071999997</v>
      </c>
      <c r="D204" s="388"/>
      <c r="E204" s="382"/>
    </row>
    <row r="205" spans="1:5" x14ac:dyDescent="0.3">
      <c r="A205" s="81" t="str">
        <f t="shared" si="10"/>
        <v>01/03/2023-31/03/2023</v>
      </c>
      <c r="B205" s="269">
        <f t="shared" si="11"/>
        <v>576.46164315599992</v>
      </c>
      <c r="C205" s="269">
        <f t="shared" si="11"/>
        <v>312.71587775999996</v>
      </c>
      <c r="D205" s="388"/>
      <c r="E205" s="382"/>
    </row>
    <row r="206" spans="1:5" x14ac:dyDescent="0.3">
      <c r="A206" s="88" t="str">
        <f t="shared" si="10"/>
        <v>01/04/2022-31/12/2022</v>
      </c>
      <c r="B206" s="466">
        <f>ROUNDUP(SUM(B194:C202),0)</f>
        <v>7846</v>
      </c>
      <c r="C206" s="467"/>
      <c r="D206" s="387" t="s">
        <v>188</v>
      </c>
      <c r="E206" s="381" t="s">
        <v>110</v>
      </c>
    </row>
    <row r="207" spans="1:5" x14ac:dyDescent="0.3">
      <c r="A207" s="88" t="str">
        <f t="shared" si="10"/>
        <v>01/01/2023-31/03/2023</v>
      </c>
      <c r="B207" s="466">
        <f>ROUNDUP(SUM(B203:C205),0)</f>
        <v>2555</v>
      </c>
      <c r="C207" s="467"/>
      <c r="D207" s="388"/>
      <c r="E207" s="382"/>
    </row>
    <row r="208" spans="1:5" ht="16" thickBot="1" x14ac:dyDescent="0.35">
      <c r="A208" s="261" t="s">
        <v>187</v>
      </c>
      <c r="B208" s="416">
        <f>B206+B207</f>
        <v>10401</v>
      </c>
      <c r="C208" s="416"/>
      <c r="D208" s="419"/>
      <c r="E208" s="396"/>
    </row>
    <row r="210" spans="1:9" x14ac:dyDescent="0.3">
      <c r="A210" s="202" t="s">
        <v>21</v>
      </c>
      <c r="B210" s="204"/>
      <c r="C210" s="204"/>
      <c r="D210" s="64"/>
      <c r="E210" s="204"/>
    </row>
    <row r="211" spans="1:9" x14ac:dyDescent="0.3">
      <c r="A211" s="202"/>
      <c r="B211" s="204"/>
      <c r="C211" s="204"/>
      <c r="D211" s="64"/>
      <c r="E211" s="204"/>
    </row>
    <row r="212" spans="1:9" ht="14" thickBot="1" x14ac:dyDescent="0.35">
      <c r="A212" s="202" t="s">
        <v>279</v>
      </c>
      <c r="B212" s="204"/>
      <c r="C212" s="204"/>
      <c r="D212" s="204"/>
      <c r="E212" s="204"/>
    </row>
    <row r="213" spans="1:9" x14ac:dyDescent="0.3">
      <c r="A213" s="270" t="s">
        <v>3</v>
      </c>
      <c r="B213" s="98" t="s">
        <v>18</v>
      </c>
      <c r="C213" s="98"/>
      <c r="D213" s="98" t="s">
        <v>2</v>
      </c>
      <c r="E213" s="165" t="s">
        <v>4</v>
      </c>
    </row>
    <row r="214" spans="1:9" x14ac:dyDescent="0.3">
      <c r="A214" s="99"/>
      <c r="B214" s="100" t="str">
        <f>B159</f>
        <v>Market Swine</v>
      </c>
      <c r="C214" s="100" t="str">
        <f>C159</f>
        <v>Breeding Swine</v>
      </c>
      <c r="D214" s="100"/>
      <c r="E214" s="166"/>
    </row>
    <row r="215" spans="1:9" s="69" customFormat="1" ht="27" x14ac:dyDescent="0.4">
      <c r="A215" s="175" t="s">
        <v>280</v>
      </c>
      <c r="B215" s="271">
        <v>0.01</v>
      </c>
      <c r="C215" s="271">
        <f>B215</f>
        <v>0.01</v>
      </c>
      <c r="D215" s="27" t="s">
        <v>278</v>
      </c>
      <c r="E215" s="171" t="s">
        <v>56</v>
      </c>
      <c r="F215" s="3"/>
      <c r="G215" s="3"/>
      <c r="H215" s="3"/>
      <c r="I215" s="3"/>
    </row>
    <row r="216" spans="1:9" ht="54" x14ac:dyDescent="0.3">
      <c r="A216" s="175" t="s">
        <v>281</v>
      </c>
      <c r="B216" s="272">
        <v>0.4</v>
      </c>
      <c r="C216" s="272">
        <v>0.4</v>
      </c>
      <c r="D216" s="114" t="s">
        <v>93</v>
      </c>
      <c r="E216" s="174" t="s">
        <v>57</v>
      </c>
    </row>
    <row r="217" spans="1:9" x14ac:dyDescent="0.3">
      <c r="A217" s="175" t="s">
        <v>42</v>
      </c>
      <c r="B217" s="273">
        <v>1</v>
      </c>
      <c r="C217" s="273">
        <f>B217</f>
        <v>1</v>
      </c>
      <c r="D217" s="27" t="s">
        <v>111</v>
      </c>
      <c r="E217" s="195"/>
    </row>
    <row r="218" spans="1:9" ht="15.5" x14ac:dyDescent="0.3">
      <c r="A218" s="175" t="s">
        <v>197</v>
      </c>
      <c r="B218" s="76"/>
      <c r="C218" s="76"/>
      <c r="D218" s="387" t="s">
        <v>188</v>
      </c>
      <c r="E218" s="452" t="s">
        <v>109</v>
      </c>
    </row>
    <row r="219" spans="1:9" x14ac:dyDescent="0.3">
      <c r="A219" s="81" t="str">
        <f t="shared" ref="A219:A232" si="12">A194</f>
        <v>01/04/2022-30/04/2022</v>
      </c>
      <c r="B219" s="274">
        <f t="shared" ref="B219:B230" si="13">ROUNDUP($B$215*$B$216*$B$217*B162*B106,0)</f>
        <v>369</v>
      </c>
      <c r="C219" s="274">
        <f t="shared" ref="C219:C230" si="14">ROUNDUP($C$215*$C$216*$C$217*C162*C106,0)</f>
        <v>203</v>
      </c>
      <c r="D219" s="388"/>
      <c r="E219" s="453"/>
    </row>
    <row r="220" spans="1:9" x14ac:dyDescent="0.3">
      <c r="A220" s="81" t="str">
        <f t="shared" si="12"/>
        <v>01/05/2022-31/05/2022</v>
      </c>
      <c r="B220" s="274">
        <f t="shared" si="13"/>
        <v>378</v>
      </c>
      <c r="C220" s="274">
        <f t="shared" si="14"/>
        <v>207</v>
      </c>
      <c r="D220" s="388"/>
      <c r="E220" s="453"/>
    </row>
    <row r="221" spans="1:9" x14ac:dyDescent="0.3">
      <c r="A221" s="81" t="str">
        <f t="shared" si="12"/>
        <v>01/06/2022-30/06/2022</v>
      </c>
      <c r="B221" s="274">
        <f t="shared" si="13"/>
        <v>370</v>
      </c>
      <c r="C221" s="274">
        <f t="shared" si="14"/>
        <v>202</v>
      </c>
      <c r="D221" s="388"/>
      <c r="E221" s="453"/>
    </row>
    <row r="222" spans="1:9" x14ac:dyDescent="0.3">
      <c r="A222" s="81" t="str">
        <f t="shared" si="12"/>
        <v>01/07/2022-31/07/2022</v>
      </c>
      <c r="B222" s="274">
        <f t="shared" si="13"/>
        <v>380</v>
      </c>
      <c r="C222" s="274">
        <f t="shared" si="14"/>
        <v>206</v>
      </c>
      <c r="D222" s="388"/>
      <c r="E222" s="453"/>
    </row>
    <row r="223" spans="1:9" x14ac:dyDescent="0.3">
      <c r="A223" s="81" t="str">
        <f t="shared" si="12"/>
        <v>01/08/2022-31/08/2022</v>
      </c>
      <c r="B223" s="274">
        <f t="shared" si="13"/>
        <v>383</v>
      </c>
      <c r="C223" s="274">
        <f t="shared" si="14"/>
        <v>210</v>
      </c>
      <c r="D223" s="388"/>
      <c r="E223" s="453"/>
    </row>
    <row r="224" spans="1:9" x14ac:dyDescent="0.3">
      <c r="A224" s="81" t="str">
        <f t="shared" si="12"/>
        <v>01/09/2022-30/09/2022</v>
      </c>
      <c r="B224" s="274">
        <f t="shared" si="13"/>
        <v>376</v>
      </c>
      <c r="C224" s="274">
        <f t="shared" si="14"/>
        <v>198</v>
      </c>
      <c r="D224" s="388"/>
      <c r="E224" s="453"/>
    </row>
    <row r="225" spans="1:5" x14ac:dyDescent="0.3">
      <c r="A225" s="81" t="str">
        <f t="shared" si="12"/>
        <v>01/10/2022-31/10/2022</v>
      </c>
      <c r="B225" s="274">
        <f t="shared" si="13"/>
        <v>389</v>
      </c>
      <c r="C225" s="274">
        <f t="shared" si="14"/>
        <v>205</v>
      </c>
      <c r="D225" s="388"/>
      <c r="E225" s="453"/>
    </row>
    <row r="226" spans="1:5" x14ac:dyDescent="0.3">
      <c r="A226" s="81" t="str">
        <f t="shared" si="12"/>
        <v>01/11/2022-30/11/2022</v>
      </c>
      <c r="B226" s="274">
        <f t="shared" si="13"/>
        <v>370</v>
      </c>
      <c r="C226" s="274">
        <f t="shared" si="14"/>
        <v>199</v>
      </c>
      <c r="D226" s="388"/>
      <c r="E226" s="453"/>
    </row>
    <row r="227" spans="1:5" x14ac:dyDescent="0.3">
      <c r="A227" s="81" t="str">
        <f t="shared" si="12"/>
        <v>01/12/2022-31/12/2022</v>
      </c>
      <c r="B227" s="274">
        <f t="shared" si="13"/>
        <v>385</v>
      </c>
      <c r="C227" s="274">
        <f t="shared" si="14"/>
        <v>209</v>
      </c>
      <c r="D227" s="388"/>
      <c r="E227" s="453"/>
    </row>
    <row r="228" spans="1:5" x14ac:dyDescent="0.3">
      <c r="A228" s="81" t="str">
        <f t="shared" si="12"/>
        <v>01/01/2023-31/01/2023</v>
      </c>
      <c r="B228" s="274">
        <f t="shared" si="13"/>
        <v>384</v>
      </c>
      <c r="C228" s="274">
        <f t="shared" si="14"/>
        <v>204</v>
      </c>
      <c r="D228" s="388"/>
      <c r="E228" s="453"/>
    </row>
    <row r="229" spans="1:5" x14ac:dyDescent="0.3">
      <c r="A229" s="81" t="str">
        <f t="shared" si="12"/>
        <v>01/02/2023-28/02/2023</v>
      </c>
      <c r="B229" s="274">
        <f t="shared" si="13"/>
        <v>338</v>
      </c>
      <c r="C229" s="274">
        <f t="shared" si="14"/>
        <v>186</v>
      </c>
      <c r="D229" s="388"/>
      <c r="E229" s="453"/>
    </row>
    <row r="230" spans="1:5" x14ac:dyDescent="0.3">
      <c r="A230" s="81" t="str">
        <f t="shared" si="12"/>
        <v>01/03/2023-31/03/2023</v>
      </c>
      <c r="B230" s="274">
        <f t="shared" si="13"/>
        <v>385</v>
      </c>
      <c r="C230" s="274">
        <f t="shared" si="14"/>
        <v>209</v>
      </c>
      <c r="D230" s="388"/>
      <c r="E230" s="453"/>
    </row>
    <row r="231" spans="1:5" x14ac:dyDescent="0.3">
      <c r="A231" s="88" t="str">
        <f t="shared" si="12"/>
        <v>01/04/2022-31/12/2022</v>
      </c>
      <c r="B231" s="417">
        <f>SUM(B219:C227)</f>
        <v>5239</v>
      </c>
      <c r="C231" s="418"/>
      <c r="D231" s="275"/>
      <c r="E231" s="276"/>
    </row>
    <row r="232" spans="1:5" x14ac:dyDescent="0.3">
      <c r="A232" s="88" t="str">
        <f t="shared" si="12"/>
        <v>01/01/2023-31/03/2023</v>
      </c>
      <c r="B232" s="417">
        <f>SUM(B228:C230)</f>
        <v>1706</v>
      </c>
      <c r="C232" s="418"/>
      <c r="D232" s="387" t="s">
        <v>188</v>
      </c>
      <c r="E232" s="452" t="s">
        <v>109</v>
      </c>
    </row>
    <row r="233" spans="1:5" s="111" customFormat="1" ht="16" thickBot="1" x14ac:dyDescent="0.35">
      <c r="A233" s="277" t="s">
        <v>198</v>
      </c>
      <c r="B233" s="405">
        <f>B232+B231</f>
        <v>6945</v>
      </c>
      <c r="C233" s="405"/>
      <c r="D233" s="419"/>
      <c r="E233" s="465"/>
    </row>
    <row r="234" spans="1:5" ht="14" thickBot="1" x14ac:dyDescent="0.35">
      <c r="A234" s="204"/>
      <c r="B234" s="204"/>
      <c r="C234" s="204"/>
      <c r="D234" s="204"/>
      <c r="E234" s="204"/>
    </row>
    <row r="235" spans="1:5" x14ac:dyDescent="0.3">
      <c r="A235" s="270" t="s">
        <v>3</v>
      </c>
      <c r="B235" s="98" t="s">
        <v>18</v>
      </c>
      <c r="C235" s="98"/>
      <c r="D235" s="98" t="s">
        <v>2</v>
      </c>
      <c r="E235" s="98" t="s">
        <v>4</v>
      </c>
    </row>
    <row r="236" spans="1:5" x14ac:dyDescent="0.3">
      <c r="A236" s="99"/>
      <c r="B236" s="100" t="s">
        <v>32</v>
      </c>
      <c r="C236" s="100" t="s">
        <v>33</v>
      </c>
      <c r="D236" s="100"/>
      <c r="E236" s="100"/>
    </row>
    <row r="237" spans="1:5" ht="27" x14ac:dyDescent="0.3">
      <c r="A237" s="175" t="s">
        <v>280</v>
      </c>
      <c r="B237" s="272">
        <v>0.01</v>
      </c>
      <c r="C237" s="272">
        <f>B237</f>
        <v>0.01</v>
      </c>
      <c r="D237" s="264" t="s">
        <v>278</v>
      </c>
      <c r="E237" s="264" t="s">
        <v>56</v>
      </c>
    </row>
    <row r="238" spans="1:5" ht="54" x14ac:dyDescent="0.3">
      <c r="A238" s="175" t="s">
        <v>281</v>
      </c>
      <c r="B238" s="272">
        <v>0.45</v>
      </c>
      <c r="C238" s="272">
        <v>0.45</v>
      </c>
      <c r="D238" s="27" t="s">
        <v>93</v>
      </c>
      <c r="E238" s="278" t="s">
        <v>57</v>
      </c>
    </row>
    <row r="239" spans="1:5" x14ac:dyDescent="0.3">
      <c r="A239" s="175" t="s">
        <v>42</v>
      </c>
      <c r="B239" s="78">
        <v>1</v>
      </c>
      <c r="C239" s="78">
        <f>B239</f>
        <v>1</v>
      </c>
      <c r="D239" s="27" t="s">
        <v>1</v>
      </c>
      <c r="E239" s="75"/>
    </row>
    <row r="240" spans="1:5" ht="15.5" x14ac:dyDescent="0.4">
      <c r="A240" s="175" t="s">
        <v>193</v>
      </c>
      <c r="B240" s="113">
        <f>'Baseline emission'!B213</f>
        <v>265</v>
      </c>
      <c r="C240" s="113">
        <f>B240</f>
        <v>265</v>
      </c>
      <c r="D240" s="27" t="s">
        <v>282</v>
      </c>
      <c r="E240" s="278" t="s">
        <v>127</v>
      </c>
    </row>
    <row r="241" spans="1:5" ht="15.5" x14ac:dyDescent="0.3">
      <c r="A241" s="175" t="s">
        <v>197</v>
      </c>
      <c r="B241" s="113"/>
      <c r="C241" s="113"/>
      <c r="D241" s="27"/>
      <c r="E241" s="278"/>
    </row>
    <row r="242" spans="1:5" x14ac:dyDescent="0.3">
      <c r="A242" s="81" t="str">
        <f t="shared" ref="A242:A255" si="15">A219</f>
        <v>01/04/2022-30/04/2022</v>
      </c>
      <c r="B242" s="87">
        <f t="shared" ref="B242:B253" si="16">ROUNDUP($B$237*$B$238*$B$239*B162*B106,0)</f>
        <v>415</v>
      </c>
      <c r="C242" s="87">
        <f t="shared" ref="C242:C253" si="17">ROUNDUP($C$237*$C$238*$C$239*C162*C106,0)</f>
        <v>228</v>
      </c>
      <c r="D242" s="438" t="s">
        <v>188</v>
      </c>
      <c r="E242" s="443" t="s">
        <v>109</v>
      </c>
    </row>
    <row r="243" spans="1:5" x14ac:dyDescent="0.3">
      <c r="A243" s="81" t="str">
        <f t="shared" si="15"/>
        <v>01/05/2022-31/05/2022</v>
      </c>
      <c r="B243" s="87">
        <f t="shared" si="16"/>
        <v>425</v>
      </c>
      <c r="C243" s="87">
        <f t="shared" si="17"/>
        <v>233</v>
      </c>
      <c r="D243" s="438"/>
      <c r="E243" s="443"/>
    </row>
    <row r="244" spans="1:5" x14ac:dyDescent="0.3">
      <c r="A244" s="81" t="str">
        <f t="shared" si="15"/>
        <v>01/06/2022-30/06/2022</v>
      </c>
      <c r="B244" s="87">
        <f t="shared" si="16"/>
        <v>416</v>
      </c>
      <c r="C244" s="87">
        <f t="shared" si="17"/>
        <v>227</v>
      </c>
      <c r="D244" s="438"/>
      <c r="E244" s="443"/>
    </row>
    <row r="245" spans="1:5" x14ac:dyDescent="0.3">
      <c r="A245" s="81" t="str">
        <f t="shared" si="15"/>
        <v>01/07/2022-31/07/2022</v>
      </c>
      <c r="B245" s="87">
        <f t="shared" si="16"/>
        <v>428</v>
      </c>
      <c r="C245" s="87">
        <f t="shared" si="17"/>
        <v>231</v>
      </c>
      <c r="D245" s="438"/>
      <c r="E245" s="443"/>
    </row>
    <row r="246" spans="1:5" x14ac:dyDescent="0.3">
      <c r="A246" s="81" t="str">
        <f t="shared" si="15"/>
        <v>01/08/2022-31/08/2022</v>
      </c>
      <c r="B246" s="87">
        <f t="shared" si="16"/>
        <v>431</v>
      </c>
      <c r="C246" s="87">
        <f t="shared" si="17"/>
        <v>236</v>
      </c>
      <c r="D246" s="438"/>
      <c r="E246" s="443"/>
    </row>
    <row r="247" spans="1:5" x14ac:dyDescent="0.3">
      <c r="A247" s="81" t="str">
        <f t="shared" si="15"/>
        <v>01/09/2022-30/09/2022</v>
      </c>
      <c r="B247" s="87">
        <f t="shared" si="16"/>
        <v>423</v>
      </c>
      <c r="C247" s="87">
        <f t="shared" si="17"/>
        <v>223</v>
      </c>
      <c r="D247" s="438"/>
      <c r="E247" s="443"/>
    </row>
    <row r="248" spans="1:5" x14ac:dyDescent="0.3">
      <c r="A248" s="81" t="str">
        <f t="shared" si="15"/>
        <v>01/10/2022-31/10/2022</v>
      </c>
      <c r="B248" s="87">
        <f t="shared" si="16"/>
        <v>438</v>
      </c>
      <c r="C248" s="87">
        <f t="shared" si="17"/>
        <v>231</v>
      </c>
      <c r="D248" s="438"/>
      <c r="E248" s="443"/>
    </row>
    <row r="249" spans="1:5" x14ac:dyDescent="0.3">
      <c r="A249" s="81" t="str">
        <f t="shared" si="15"/>
        <v>01/11/2022-30/11/2022</v>
      </c>
      <c r="B249" s="87">
        <f t="shared" si="16"/>
        <v>417</v>
      </c>
      <c r="C249" s="87">
        <f t="shared" si="17"/>
        <v>224</v>
      </c>
      <c r="D249" s="438"/>
      <c r="E249" s="443"/>
    </row>
    <row r="250" spans="1:5" x14ac:dyDescent="0.3">
      <c r="A250" s="81" t="str">
        <f t="shared" si="15"/>
        <v>01/12/2022-31/12/2022</v>
      </c>
      <c r="B250" s="87">
        <f t="shared" si="16"/>
        <v>434</v>
      </c>
      <c r="C250" s="87">
        <f t="shared" si="17"/>
        <v>235</v>
      </c>
      <c r="D250" s="438"/>
      <c r="E250" s="443"/>
    </row>
    <row r="251" spans="1:5" x14ac:dyDescent="0.3">
      <c r="A251" s="81" t="str">
        <f t="shared" si="15"/>
        <v>01/01/2023-31/01/2023</v>
      </c>
      <c r="B251" s="87">
        <f t="shared" si="16"/>
        <v>432</v>
      </c>
      <c r="C251" s="87">
        <f t="shared" si="17"/>
        <v>229</v>
      </c>
      <c r="D251" s="438"/>
      <c r="E251" s="443"/>
    </row>
    <row r="252" spans="1:5" x14ac:dyDescent="0.3">
      <c r="A252" s="81" t="str">
        <f t="shared" si="15"/>
        <v>01/02/2023-28/02/2023</v>
      </c>
      <c r="B252" s="87">
        <f t="shared" si="16"/>
        <v>380</v>
      </c>
      <c r="C252" s="87">
        <f t="shared" si="17"/>
        <v>210</v>
      </c>
      <c r="D252" s="438"/>
      <c r="E252" s="443"/>
    </row>
    <row r="253" spans="1:5" x14ac:dyDescent="0.3">
      <c r="A253" s="81" t="str">
        <f t="shared" si="15"/>
        <v>01/03/2023-31/03/2023</v>
      </c>
      <c r="B253" s="87">
        <f t="shared" si="16"/>
        <v>433</v>
      </c>
      <c r="C253" s="87">
        <f t="shared" si="17"/>
        <v>235</v>
      </c>
      <c r="D253" s="438"/>
      <c r="E253" s="443"/>
    </row>
    <row r="254" spans="1:5" x14ac:dyDescent="0.3">
      <c r="A254" s="88" t="str">
        <f t="shared" si="15"/>
        <v>01/04/2022-31/12/2022</v>
      </c>
      <c r="B254" s="449">
        <f>SUM(B242:C250)</f>
        <v>5895</v>
      </c>
      <c r="C254" s="449"/>
      <c r="D254" s="114"/>
      <c r="E254" s="279"/>
    </row>
    <row r="255" spans="1:5" x14ac:dyDescent="0.3">
      <c r="A255" s="88" t="str">
        <f t="shared" si="15"/>
        <v>01/01/2023-31/03/2023</v>
      </c>
      <c r="B255" s="449">
        <f>SUM(B251:C253)</f>
        <v>1919</v>
      </c>
      <c r="C255" s="449"/>
      <c r="D255" s="438" t="s">
        <v>188</v>
      </c>
      <c r="E255" s="392" t="s">
        <v>109</v>
      </c>
    </row>
    <row r="256" spans="1:5" ht="16" thickBot="1" x14ac:dyDescent="0.45">
      <c r="A256" s="32" t="s">
        <v>198</v>
      </c>
      <c r="B256" s="416">
        <f>B255+B254</f>
        <v>7814</v>
      </c>
      <c r="C256" s="416"/>
      <c r="D256" s="462"/>
      <c r="E256" s="463"/>
    </row>
    <row r="257" spans="1:5" x14ac:dyDescent="0.3">
      <c r="A257" s="231"/>
      <c r="B257" s="280"/>
      <c r="C257" s="280"/>
      <c r="D257" s="204"/>
      <c r="E257" s="204"/>
    </row>
    <row r="258" spans="1:5" ht="16" thickBot="1" x14ac:dyDescent="0.45">
      <c r="A258" s="218" t="s">
        <v>283</v>
      </c>
      <c r="C258" s="281">
        <f>B259+B260</f>
        <v>10476</v>
      </c>
      <c r="D258" s="281" t="s">
        <v>261</v>
      </c>
      <c r="E258" s="205"/>
    </row>
    <row r="259" spans="1:5" ht="15.5" x14ac:dyDescent="0.4">
      <c r="A259" s="282" t="str">
        <f>A254</f>
        <v>01/04/2022-31/12/2022</v>
      </c>
      <c r="B259" s="464">
        <f>INT(B240*44/28*1/1000*(B188+B206+B231+B254))</f>
        <v>7903</v>
      </c>
      <c r="C259" s="464"/>
      <c r="D259" s="132" t="s">
        <v>261</v>
      </c>
      <c r="E259" s="205"/>
    </row>
    <row r="260" spans="1:5" ht="16" thickBot="1" x14ac:dyDescent="0.45">
      <c r="A260" s="283" t="str">
        <f>A255</f>
        <v>01/01/2023-31/03/2023</v>
      </c>
      <c r="B260" s="405">
        <f>INT(B240*44/28*1/1000*(B189+B207+B232+B255))</f>
        <v>2573</v>
      </c>
      <c r="C260" s="405"/>
      <c r="D260" s="354" t="s">
        <v>261</v>
      </c>
      <c r="E260" s="205"/>
    </row>
    <row r="261" spans="1:5" ht="27" customHeight="1" x14ac:dyDescent="0.3">
      <c r="A261" s="205"/>
      <c r="B261" s="205"/>
      <c r="C261" s="205"/>
      <c r="D261" s="205"/>
      <c r="E261" s="205"/>
    </row>
    <row r="262" spans="1:5" x14ac:dyDescent="0.3">
      <c r="D262" s="13"/>
    </row>
    <row r="264" spans="1:5" ht="16" thickBot="1" x14ac:dyDescent="0.45">
      <c r="A264" s="63" t="s">
        <v>284</v>
      </c>
      <c r="B264" s="284">
        <f>B265+B266</f>
        <v>21524</v>
      </c>
      <c r="C264" s="281" t="s">
        <v>261</v>
      </c>
    </row>
    <row r="265" spans="1:5" ht="15.5" x14ac:dyDescent="0.4">
      <c r="A265" s="282" t="str">
        <f>A259</f>
        <v>01/04/2022-31/12/2022</v>
      </c>
      <c r="B265" s="355">
        <f>B259+B145+B85</f>
        <v>16164</v>
      </c>
      <c r="C265" s="132" t="s">
        <v>261</v>
      </c>
    </row>
    <row r="266" spans="1:5" ht="16" thickBot="1" x14ac:dyDescent="0.45">
      <c r="A266" s="283" t="str">
        <f>A260</f>
        <v>01/01/2023-31/03/2023</v>
      </c>
      <c r="B266" s="356">
        <f>B260+B146+B86</f>
        <v>5360</v>
      </c>
      <c r="C266" s="354" t="s">
        <v>261</v>
      </c>
    </row>
    <row r="267" spans="1:5" x14ac:dyDescent="0.3">
      <c r="A267" s="285"/>
      <c r="B267" s="285"/>
      <c r="C267" s="285"/>
      <c r="D267" s="285"/>
    </row>
    <row r="270" spans="1:5" x14ac:dyDescent="0.3">
      <c r="C270" s="46"/>
    </row>
    <row r="271" spans="1:5" x14ac:dyDescent="0.3">
      <c r="C271" s="46"/>
    </row>
    <row r="272" spans="1:5" x14ac:dyDescent="0.3">
      <c r="D272" s="46"/>
    </row>
  </sheetData>
  <mergeCells count="64">
    <mergeCell ref="B190:C190"/>
    <mergeCell ref="B255:C255"/>
    <mergeCell ref="D255:D256"/>
    <mergeCell ref="E255:E256"/>
    <mergeCell ref="B259:C259"/>
    <mergeCell ref="E232:E233"/>
    <mergeCell ref="B233:C233"/>
    <mergeCell ref="B206:C206"/>
    <mergeCell ref="D206:D208"/>
    <mergeCell ref="E206:E208"/>
    <mergeCell ref="B208:C208"/>
    <mergeCell ref="B207:C207"/>
    <mergeCell ref="B188:C188"/>
    <mergeCell ref="D193:D205"/>
    <mergeCell ref="B231:C231"/>
    <mergeCell ref="B254:C254"/>
    <mergeCell ref="D64:E64"/>
    <mergeCell ref="D66:E66"/>
    <mergeCell ref="D80:E80"/>
    <mergeCell ref="D242:D253"/>
    <mergeCell ref="E242:E253"/>
    <mergeCell ref="D218:D230"/>
    <mergeCell ref="E218:E230"/>
    <mergeCell ref="E193:E205"/>
    <mergeCell ref="C82:C83"/>
    <mergeCell ref="C84:C86"/>
    <mergeCell ref="D81:E81"/>
    <mergeCell ref="D82:E86"/>
    <mergeCell ref="D13:E13"/>
    <mergeCell ref="D27:E27"/>
    <mergeCell ref="D28:E28"/>
    <mergeCell ref="D133:D144"/>
    <mergeCell ref="E133:E144"/>
    <mergeCell ref="D65:E65"/>
    <mergeCell ref="D54:E56"/>
    <mergeCell ref="D41:E53"/>
    <mergeCell ref="D68:E79"/>
    <mergeCell ref="D105:D117"/>
    <mergeCell ref="E105:E117"/>
    <mergeCell ref="D118:D130"/>
    <mergeCell ref="E118:E130"/>
    <mergeCell ref="D67:E67"/>
    <mergeCell ref="D38:E38"/>
    <mergeCell ref="C14:C26"/>
    <mergeCell ref="D14:E26"/>
    <mergeCell ref="D30:E31"/>
    <mergeCell ref="D29:E29"/>
    <mergeCell ref="D32:E32"/>
    <mergeCell ref="B260:C260"/>
    <mergeCell ref="D39:E39"/>
    <mergeCell ref="D40:E40"/>
    <mergeCell ref="C41:C53"/>
    <mergeCell ref="C68:C79"/>
    <mergeCell ref="B145:C145"/>
    <mergeCell ref="B146:C146"/>
    <mergeCell ref="B147:C147"/>
    <mergeCell ref="D161:D173"/>
    <mergeCell ref="E161:E173"/>
    <mergeCell ref="D176:D190"/>
    <mergeCell ref="E176:E190"/>
    <mergeCell ref="B189:C189"/>
    <mergeCell ref="B256:C256"/>
    <mergeCell ref="B232:C232"/>
    <mergeCell ref="D232:D233"/>
  </mergeCells>
  <phoneticPr fontId="1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6"/>
  <sheetViews>
    <sheetView topLeftCell="A268" zoomScale="90" zoomScaleNormal="90" workbookViewId="0">
      <selection activeCell="B255" sqref="B255:C255"/>
    </sheetView>
  </sheetViews>
  <sheetFormatPr defaultRowHeight="13.5" x14ac:dyDescent="0.3"/>
  <cols>
    <col min="1" max="1" width="34.6328125" style="3" customWidth="1"/>
    <col min="2" max="2" width="19.1796875" style="111" customWidth="1"/>
    <col min="3" max="3" width="17.54296875" style="111" customWidth="1"/>
    <col min="4" max="4" width="23.36328125" style="3" customWidth="1"/>
    <col min="5" max="5" width="44" style="3" customWidth="1"/>
    <col min="6" max="6" width="38.81640625" style="3" bestFit="1" customWidth="1"/>
    <col min="7" max="16384" width="8.7265625" style="3"/>
  </cols>
  <sheetData>
    <row r="1" spans="1:4" ht="15" x14ac:dyDescent="0.3">
      <c r="A1" s="62" t="s">
        <v>22</v>
      </c>
    </row>
    <row r="2" spans="1:4" x14ac:dyDescent="0.3">
      <c r="A2" s="63"/>
      <c r="B2" s="66"/>
    </row>
    <row r="3" spans="1:4" x14ac:dyDescent="0.3">
      <c r="A3" s="63"/>
    </row>
    <row r="4" spans="1:4" ht="15.5" x14ac:dyDescent="0.4">
      <c r="A4" s="3" t="s">
        <v>314</v>
      </c>
    </row>
    <row r="5" spans="1:4" x14ac:dyDescent="0.3">
      <c r="A5" s="63"/>
      <c r="D5" s="93"/>
    </row>
    <row r="6" spans="1:4" x14ac:dyDescent="0.3">
      <c r="A6" s="63"/>
      <c r="D6" s="93"/>
    </row>
    <row r="7" spans="1:4" x14ac:dyDescent="0.3">
      <c r="A7" s="63"/>
      <c r="D7" s="93"/>
    </row>
    <row r="8" spans="1:4" x14ac:dyDescent="0.3">
      <c r="A8" s="63"/>
      <c r="D8" s="93"/>
    </row>
    <row r="9" spans="1:4" x14ac:dyDescent="0.3">
      <c r="A9" s="63"/>
      <c r="D9" s="93"/>
    </row>
    <row r="10" spans="1:4" x14ac:dyDescent="0.3">
      <c r="A10" s="63"/>
      <c r="D10" s="93"/>
    </row>
    <row r="11" spans="1:4" x14ac:dyDescent="0.3">
      <c r="A11" s="63"/>
      <c r="D11" s="93"/>
    </row>
    <row r="12" spans="1:4" x14ac:dyDescent="0.3">
      <c r="A12" s="63"/>
      <c r="D12" s="93"/>
    </row>
    <row r="13" spans="1:4" x14ac:dyDescent="0.3">
      <c r="A13" s="63"/>
      <c r="D13" s="93"/>
    </row>
    <row r="14" spans="1:4" x14ac:dyDescent="0.3">
      <c r="A14" s="63"/>
      <c r="D14" s="93"/>
    </row>
    <row r="15" spans="1:4" x14ac:dyDescent="0.3">
      <c r="A15" s="63"/>
      <c r="D15" s="93"/>
    </row>
    <row r="16" spans="1:4" x14ac:dyDescent="0.3">
      <c r="A16" s="63"/>
      <c r="D16" s="93"/>
    </row>
    <row r="17" spans="1:5" x14ac:dyDescent="0.3">
      <c r="A17" s="63"/>
      <c r="D17" s="93"/>
    </row>
    <row r="18" spans="1:5" x14ac:dyDescent="0.3">
      <c r="A18" s="63"/>
    </row>
    <row r="19" spans="1:5" x14ac:dyDescent="0.3">
      <c r="A19" s="63"/>
    </row>
    <row r="20" spans="1:5" ht="14" thickBot="1" x14ac:dyDescent="0.35">
      <c r="A20" s="63"/>
    </row>
    <row r="21" spans="1:5" x14ac:dyDescent="0.3">
      <c r="A21" s="97" t="s">
        <v>3</v>
      </c>
      <c r="B21" s="98" t="s">
        <v>18</v>
      </c>
      <c r="C21" s="98"/>
      <c r="D21" s="98" t="s">
        <v>2</v>
      </c>
      <c r="E21" s="165" t="s">
        <v>4</v>
      </c>
    </row>
    <row r="22" spans="1:5" x14ac:dyDescent="0.3">
      <c r="A22" s="99"/>
      <c r="B22" s="100" t="str">
        <f>B289</f>
        <v>Market Swine</v>
      </c>
      <c r="C22" s="100" t="str">
        <f>C289</f>
        <v>Breeding Swine</v>
      </c>
      <c r="D22" s="100"/>
      <c r="E22" s="166"/>
    </row>
    <row r="23" spans="1:5" s="69" customFormat="1" x14ac:dyDescent="0.3">
      <c r="A23" s="167" t="s">
        <v>205</v>
      </c>
      <c r="B23" s="168"/>
      <c r="C23" s="168"/>
      <c r="D23" s="387" t="s">
        <v>70</v>
      </c>
      <c r="E23" s="452" t="s">
        <v>327</v>
      </c>
    </row>
    <row r="24" spans="1:5" s="69" customFormat="1" x14ac:dyDescent="0.3">
      <c r="A24" s="81" t="str">
        <f>'Project emission'!A15</f>
        <v>01/04/2022-30/04/2022</v>
      </c>
      <c r="B24" s="168">
        <f>'monitoring results'!B4</f>
        <v>127447</v>
      </c>
      <c r="C24" s="168">
        <f>'monitoring results'!C4</f>
        <v>94180</v>
      </c>
      <c r="D24" s="388"/>
      <c r="E24" s="453"/>
    </row>
    <row r="25" spans="1:5" s="69" customFormat="1" x14ac:dyDescent="0.3">
      <c r="A25" s="81" t="str">
        <f>'Project emission'!A16</f>
        <v>01/05/2022-31/05/2022</v>
      </c>
      <c r="B25" s="168">
        <f>'monitoring results'!B5</f>
        <v>127447</v>
      </c>
      <c r="C25" s="168">
        <f>'monitoring results'!C5</f>
        <v>93502</v>
      </c>
      <c r="D25" s="388"/>
      <c r="E25" s="453"/>
    </row>
    <row r="26" spans="1:5" s="69" customFormat="1" x14ac:dyDescent="0.3">
      <c r="A26" s="81" t="str">
        <f>'Project emission'!A17</f>
        <v>01/06/2022-30/06/2022</v>
      </c>
      <c r="B26" s="168">
        <f>'monitoring results'!B6</f>
        <v>127447</v>
      </c>
      <c r="C26" s="168">
        <f>'monitoring results'!C6</f>
        <v>93732</v>
      </c>
      <c r="D26" s="388"/>
      <c r="E26" s="453"/>
    </row>
    <row r="27" spans="1:5" s="69" customFormat="1" x14ac:dyDescent="0.3">
      <c r="A27" s="81" t="str">
        <f>'Project emission'!A18</f>
        <v>01/07/2022-31/07/2022</v>
      </c>
      <c r="B27" s="168">
        <f>'monitoring results'!B7</f>
        <v>127447</v>
      </c>
      <c r="C27" s="168">
        <f>'monitoring results'!C7</f>
        <v>93352</v>
      </c>
      <c r="D27" s="388"/>
      <c r="E27" s="453"/>
    </row>
    <row r="28" spans="1:5" s="69" customFormat="1" x14ac:dyDescent="0.3">
      <c r="A28" s="81" t="str">
        <f>'Project emission'!A19</f>
        <v>01/08/2022-31/08/2022</v>
      </c>
      <c r="B28" s="168">
        <f>'monitoring results'!B8</f>
        <v>127447</v>
      </c>
      <c r="C28" s="168">
        <f>'monitoring results'!C8</f>
        <v>94055</v>
      </c>
      <c r="D28" s="388"/>
      <c r="E28" s="453"/>
    </row>
    <row r="29" spans="1:5" s="69" customFormat="1" x14ac:dyDescent="0.3">
      <c r="A29" s="81" t="str">
        <f>'Project emission'!A20</f>
        <v>01/09/2022-30/09/2022</v>
      </c>
      <c r="B29" s="168">
        <f>'monitoring results'!B9</f>
        <v>127447</v>
      </c>
      <c r="C29" s="168">
        <f>'monitoring results'!C9</f>
        <v>93324</v>
      </c>
      <c r="D29" s="388"/>
      <c r="E29" s="453"/>
    </row>
    <row r="30" spans="1:5" s="69" customFormat="1" x14ac:dyDescent="0.3">
      <c r="A30" s="81" t="str">
        <f>'Project emission'!A21</f>
        <v>01/10/2022-31/10/2022</v>
      </c>
      <c r="B30" s="168">
        <f>'monitoring results'!B10</f>
        <v>127447</v>
      </c>
      <c r="C30" s="168">
        <f>'monitoring results'!C10</f>
        <v>93347</v>
      </c>
      <c r="D30" s="388"/>
      <c r="E30" s="453"/>
    </row>
    <row r="31" spans="1:5" s="69" customFormat="1" x14ac:dyDescent="0.3">
      <c r="A31" s="81" t="str">
        <f>'Project emission'!A22</f>
        <v>01/11/2022-30/11/2022</v>
      </c>
      <c r="B31" s="168">
        <f>'monitoring results'!B11</f>
        <v>127447</v>
      </c>
      <c r="C31" s="168">
        <f>'monitoring results'!C11</f>
        <v>92517</v>
      </c>
      <c r="D31" s="388"/>
      <c r="E31" s="453"/>
    </row>
    <row r="32" spans="1:5" s="69" customFormat="1" x14ac:dyDescent="0.3">
      <c r="A32" s="81" t="str">
        <f>'Project emission'!A23</f>
        <v>01/12/2022-31/12/2022</v>
      </c>
      <c r="B32" s="168">
        <f>'monitoring results'!B12</f>
        <v>127447</v>
      </c>
      <c r="C32" s="168">
        <f>'monitoring results'!C12</f>
        <v>92988</v>
      </c>
      <c r="D32" s="388"/>
      <c r="E32" s="453"/>
    </row>
    <row r="33" spans="1:5" s="69" customFormat="1" x14ac:dyDescent="0.3">
      <c r="A33" s="81" t="str">
        <f>'Project emission'!A24</f>
        <v>01/01/2023-31/01/2023</v>
      </c>
      <c r="B33" s="168">
        <f>'monitoring results'!B13</f>
        <v>127447</v>
      </c>
      <c r="C33" s="168">
        <f>'monitoring results'!C13</f>
        <v>92822</v>
      </c>
      <c r="D33" s="388"/>
      <c r="E33" s="453"/>
    </row>
    <row r="34" spans="1:5" s="69" customFormat="1" x14ac:dyDescent="0.3">
      <c r="A34" s="81" t="str">
        <f>'Project emission'!A25</f>
        <v>01/02/2023-28/02/2023</v>
      </c>
      <c r="B34" s="168">
        <f>'monitoring results'!B14</f>
        <v>127447</v>
      </c>
      <c r="C34" s="168">
        <f>'monitoring results'!C14</f>
        <v>93454</v>
      </c>
      <c r="D34" s="388"/>
      <c r="E34" s="453"/>
    </row>
    <row r="35" spans="1:5" s="69" customFormat="1" x14ac:dyDescent="0.3">
      <c r="A35" s="81" t="str">
        <f>'Project emission'!A26</f>
        <v>01/03/2023-31/03/2023</v>
      </c>
      <c r="B35" s="168">
        <f>'monitoring results'!B15</f>
        <v>127447</v>
      </c>
      <c r="C35" s="168">
        <f>'monitoring results'!C15</f>
        <v>94666</v>
      </c>
      <c r="D35" s="388"/>
      <c r="E35" s="453"/>
    </row>
    <row r="36" spans="1:5" x14ac:dyDescent="0.3">
      <c r="A36" s="167" t="s">
        <v>206</v>
      </c>
      <c r="B36" s="169"/>
      <c r="C36" s="169"/>
      <c r="D36" s="387" t="s">
        <v>47</v>
      </c>
      <c r="E36" s="452" t="s">
        <v>28</v>
      </c>
    </row>
    <row r="37" spans="1:5" x14ac:dyDescent="0.3">
      <c r="A37" s="81" t="str">
        <f t="shared" ref="A37:A48" si="0">A24</f>
        <v>01/04/2022-30/04/2022</v>
      </c>
      <c r="B37" s="169">
        <f>'Baseline emission'!B134</f>
        <v>0.72197999999999996</v>
      </c>
      <c r="C37" s="169">
        <f>'Baseline emission'!C134</f>
        <v>0.53639999999999988</v>
      </c>
      <c r="D37" s="388"/>
      <c r="E37" s="453"/>
    </row>
    <row r="38" spans="1:5" x14ac:dyDescent="0.3">
      <c r="A38" s="81" t="str">
        <f t="shared" si="0"/>
        <v>01/05/2022-31/05/2022</v>
      </c>
      <c r="B38" s="169">
        <f>'Baseline emission'!B135</f>
        <v>0.740838</v>
      </c>
      <c r="C38" s="169">
        <f>'Baseline emission'!C135</f>
        <v>0.55279199999999995</v>
      </c>
      <c r="D38" s="388"/>
      <c r="E38" s="453"/>
    </row>
    <row r="39" spans="1:5" x14ac:dyDescent="0.3">
      <c r="A39" s="81" t="str">
        <f t="shared" si="0"/>
        <v>01/06/2022-30/06/2022</v>
      </c>
      <c r="B39" s="169">
        <f>'Baseline emission'!B136</f>
        <v>0.72449999999999992</v>
      </c>
      <c r="C39" s="169">
        <f>'Baseline emission'!C136</f>
        <v>0.53783999999999998</v>
      </c>
      <c r="D39" s="388"/>
      <c r="E39" s="453"/>
    </row>
    <row r="40" spans="1:5" x14ac:dyDescent="0.3">
      <c r="A40" s="81" t="str">
        <f t="shared" si="0"/>
        <v>01/07/2022-31/07/2022</v>
      </c>
      <c r="B40" s="169">
        <f>'Baseline emission'!B137</f>
        <v>0.74474400000000007</v>
      </c>
      <c r="C40" s="169">
        <f>'Baseline emission'!C137</f>
        <v>0.54907199999999989</v>
      </c>
      <c r="D40" s="388"/>
      <c r="E40" s="453"/>
    </row>
    <row r="41" spans="1:5" x14ac:dyDescent="0.3">
      <c r="A41" s="81" t="str">
        <f t="shared" si="0"/>
        <v>01/08/2022-31/08/2022</v>
      </c>
      <c r="B41" s="169">
        <f>'Baseline emission'!B138</f>
        <v>0.74995200000000006</v>
      </c>
      <c r="C41" s="169">
        <f>'Baseline emission'!C138</f>
        <v>0.5565119999999999</v>
      </c>
      <c r="D41" s="388"/>
      <c r="E41" s="453"/>
    </row>
    <row r="42" spans="1:5" x14ac:dyDescent="0.3">
      <c r="A42" s="81" t="str">
        <f t="shared" si="0"/>
        <v>01/09/2022-30/09/2022</v>
      </c>
      <c r="B42" s="169">
        <f>'Baseline emission'!B139</f>
        <v>0.73584000000000005</v>
      </c>
      <c r="C42" s="169">
        <f>'Baseline emission'!C139</f>
        <v>0.52991999999999995</v>
      </c>
      <c r="D42" s="388"/>
      <c r="E42" s="453"/>
    </row>
    <row r="43" spans="1:5" x14ac:dyDescent="0.3">
      <c r="A43" s="81" t="str">
        <f t="shared" si="0"/>
        <v>01/10/2022-31/10/2022</v>
      </c>
      <c r="B43" s="169">
        <f>'Baseline emission'!B140</f>
        <v>0.76297199999999998</v>
      </c>
      <c r="C43" s="169">
        <f>'Baseline emission'!C140</f>
        <v>0.54832799999999993</v>
      </c>
      <c r="D43" s="388"/>
      <c r="E43" s="453"/>
    </row>
    <row r="44" spans="1:5" x14ac:dyDescent="0.3">
      <c r="A44" s="81" t="str">
        <f t="shared" si="0"/>
        <v>01/11/2022-30/11/2022</v>
      </c>
      <c r="B44" s="169">
        <f>'Baseline emission'!B141</f>
        <v>0.72576000000000007</v>
      </c>
      <c r="C44" s="169">
        <f>'Baseline emission'!C141</f>
        <v>0.53639999999999988</v>
      </c>
      <c r="D44" s="388"/>
      <c r="E44" s="453"/>
    </row>
    <row r="45" spans="1:5" x14ac:dyDescent="0.3">
      <c r="A45" s="81" t="str">
        <f t="shared" si="0"/>
        <v>01/12/2022-31/12/2022</v>
      </c>
      <c r="B45" s="169">
        <f>'Baseline emission'!B142</f>
        <v>0.75516000000000005</v>
      </c>
      <c r="C45" s="169">
        <f>'Baseline emission'!C142</f>
        <v>0.55948799999999999</v>
      </c>
      <c r="D45" s="388"/>
      <c r="E45" s="453"/>
    </row>
    <row r="46" spans="1:5" x14ac:dyDescent="0.3">
      <c r="A46" s="81" t="str">
        <f t="shared" si="0"/>
        <v>01/01/2023-31/01/2023</v>
      </c>
      <c r="B46" s="169">
        <f>'Baseline emission'!B143</f>
        <v>0.75255599999999989</v>
      </c>
      <c r="C46" s="169">
        <f>'Baseline emission'!C143</f>
        <v>0.54758399999999996</v>
      </c>
      <c r="D46" s="388"/>
      <c r="E46" s="453"/>
    </row>
    <row r="47" spans="1:5" x14ac:dyDescent="0.3">
      <c r="A47" s="81" t="str">
        <f t="shared" si="0"/>
        <v>01/02/2023-28/02/2023</v>
      </c>
      <c r="B47" s="169">
        <f>'Baseline emission'!B144</f>
        <v>0.66208800000000001</v>
      </c>
      <c r="C47" s="169">
        <f>'Baseline emission'!C144</f>
        <v>0.49727999999999994</v>
      </c>
      <c r="D47" s="388"/>
      <c r="E47" s="453"/>
    </row>
    <row r="48" spans="1:5" x14ac:dyDescent="0.3">
      <c r="A48" s="81" t="str">
        <f t="shared" si="0"/>
        <v>01/03/2023-31/03/2023</v>
      </c>
      <c r="B48" s="169">
        <f>'Baseline emission'!B145</f>
        <v>0.75385799999999992</v>
      </c>
      <c r="C48" s="169">
        <f>'Baseline emission'!C145</f>
        <v>0.55055999999999994</v>
      </c>
      <c r="D48" s="388"/>
      <c r="E48" s="453"/>
    </row>
    <row r="49" spans="1:6" s="69" customFormat="1" x14ac:dyDescent="0.3">
      <c r="A49" s="167" t="s">
        <v>207</v>
      </c>
      <c r="B49" s="170">
        <v>0.8</v>
      </c>
      <c r="C49" s="170">
        <v>0.8</v>
      </c>
      <c r="D49" s="114" t="s">
        <v>0</v>
      </c>
      <c r="E49" s="171" t="s">
        <v>315</v>
      </c>
      <c r="F49" s="172"/>
    </row>
    <row r="50" spans="1:6" ht="15.5" x14ac:dyDescent="0.4">
      <c r="A50" s="167" t="s">
        <v>13</v>
      </c>
      <c r="B50" s="173">
        <v>0.01</v>
      </c>
      <c r="C50" s="173">
        <v>0.01</v>
      </c>
      <c r="D50" s="27" t="s">
        <v>179</v>
      </c>
      <c r="E50" s="174" t="s">
        <v>45</v>
      </c>
    </row>
    <row r="51" spans="1:6" ht="15.5" x14ac:dyDescent="0.4">
      <c r="A51" s="167" t="s">
        <v>14</v>
      </c>
      <c r="B51" s="173">
        <v>7.4999999999999997E-3</v>
      </c>
      <c r="C51" s="173">
        <v>7.4999999999999997E-3</v>
      </c>
      <c r="D51" s="27" t="s">
        <v>179</v>
      </c>
      <c r="E51" s="174" t="s">
        <v>31</v>
      </c>
    </row>
    <row r="52" spans="1:6" ht="31" x14ac:dyDescent="0.3">
      <c r="A52" s="167" t="s">
        <v>12</v>
      </c>
      <c r="B52" s="173">
        <v>0.01</v>
      </c>
      <c r="C52" s="173">
        <v>0.01</v>
      </c>
      <c r="D52" s="264" t="s">
        <v>208</v>
      </c>
      <c r="E52" s="171" t="s">
        <v>31</v>
      </c>
      <c r="F52" s="172"/>
    </row>
    <row r="53" spans="1:6" ht="15.5" x14ac:dyDescent="0.3">
      <c r="A53" s="167" t="s">
        <v>209</v>
      </c>
      <c r="B53" s="173">
        <v>0.3</v>
      </c>
      <c r="C53" s="173">
        <v>0.3</v>
      </c>
      <c r="D53" s="27" t="s">
        <v>93</v>
      </c>
      <c r="E53" s="174" t="s">
        <v>31</v>
      </c>
    </row>
    <row r="54" spans="1:6" ht="27" x14ac:dyDescent="0.3">
      <c r="A54" s="167" t="s">
        <v>210</v>
      </c>
      <c r="B54" s="173">
        <v>0.2</v>
      </c>
      <c r="C54" s="173">
        <v>0.2</v>
      </c>
      <c r="D54" s="27" t="s">
        <v>93</v>
      </c>
      <c r="E54" s="174" t="s">
        <v>65</v>
      </c>
    </row>
    <row r="55" spans="1:6" ht="15.5" x14ac:dyDescent="0.4">
      <c r="A55" s="175" t="s">
        <v>193</v>
      </c>
      <c r="B55" s="37">
        <f>'Baseline emission'!B213</f>
        <v>265</v>
      </c>
      <c r="C55" s="37">
        <f>'Baseline emission'!C213</f>
        <v>265</v>
      </c>
      <c r="D55" s="27" t="s">
        <v>211</v>
      </c>
      <c r="E55" s="171" t="s">
        <v>127</v>
      </c>
    </row>
    <row r="56" spans="1:6" ht="15.5" x14ac:dyDescent="0.3">
      <c r="A56" s="176" t="s">
        <v>212</v>
      </c>
      <c r="B56" s="177"/>
      <c r="C56" s="177"/>
      <c r="D56" s="387" t="s">
        <v>213</v>
      </c>
      <c r="E56" s="452" t="s">
        <v>29</v>
      </c>
    </row>
    <row r="57" spans="1:6" x14ac:dyDescent="0.3">
      <c r="A57" s="81" t="str">
        <f t="shared" ref="A57:A68" si="1">A37</f>
        <v>01/04/2022-30/04/2022</v>
      </c>
      <c r="B57" s="169">
        <f t="shared" ref="B57:B68" si="2">ROUNDDOWN($B$50*(1-$B$49)*B37*B24,0)</f>
        <v>184</v>
      </c>
      <c r="C57" s="169">
        <f t="shared" ref="C57:C68" si="3">ROUNDUP($C$50*(1-$C$49)*C37*C24,0)</f>
        <v>102</v>
      </c>
      <c r="D57" s="388"/>
      <c r="E57" s="453"/>
    </row>
    <row r="58" spans="1:6" x14ac:dyDescent="0.3">
      <c r="A58" s="81" t="str">
        <f t="shared" si="1"/>
        <v>01/05/2022-31/05/2022</v>
      </c>
      <c r="B58" s="169">
        <f t="shared" si="2"/>
        <v>188</v>
      </c>
      <c r="C58" s="169">
        <f t="shared" si="3"/>
        <v>104</v>
      </c>
      <c r="D58" s="388"/>
      <c r="E58" s="453"/>
    </row>
    <row r="59" spans="1:6" x14ac:dyDescent="0.3">
      <c r="A59" s="81" t="str">
        <f t="shared" si="1"/>
        <v>01/06/2022-30/06/2022</v>
      </c>
      <c r="B59" s="169">
        <f t="shared" si="2"/>
        <v>184</v>
      </c>
      <c r="C59" s="169">
        <f t="shared" si="3"/>
        <v>101</v>
      </c>
      <c r="D59" s="388"/>
      <c r="E59" s="453"/>
    </row>
    <row r="60" spans="1:6" x14ac:dyDescent="0.3">
      <c r="A60" s="81" t="str">
        <f t="shared" si="1"/>
        <v>01/07/2022-31/07/2022</v>
      </c>
      <c r="B60" s="169">
        <f t="shared" si="2"/>
        <v>189</v>
      </c>
      <c r="C60" s="169">
        <f t="shared" si="3"/>
        <v>103</v>
      </c>
      <c r="D60" s="388"/>
      <c r="E60" s="453"/>
    </row>
    <row r="61" spans="1:6" x14ac:dyDescent="0.3">
      <c r="A61" s="81" t="str">
        <f t="shared" si="1"/>
        <v>01/08/2022-31/08/2022</v>
      </c>
      <c r="B61" s="169">
        <f t="shared" si="2"/>
        <v>191</v>
      </c>
      <c r="C61" s="169">
        <f t="shared" si="3"/>
        <v>105</v>
      </c>
      <c r="D61" s="388"/>
      <c r="E61" s="453"/>
    </row>
    <row r="62" spans="1:6" x14ac:dyDescent="0.3">
      <c r="A62" s="81" t="str">
        <f t="shared" si="1"/>
        <v>01/09/2022-30/09/2022</v>
      </c>
      <c r="B62" s="169">
        <f t="shared" si="2"/>
        <v>187</v>
      </c>
      <c r="C62" s="169">
        <f t="shared" si="3"/>
        <v>99</v>
      </c>
      <c r="D62" s="388"/>
      <c r="E62" s="453"/>
    </row>
    <row r="63" spans="1:6" x14ac:dyDescent="0.3">
      <c r="A63" s="81" t="str">
        <f t="shared" si="1"/>
        <v>01/10/2022-31/10/2022</v>
      </c>
      <c r="B63" s="169">
        <f t="shared" si="2"/>
        <v>194</v>
      </c>
      <c r="C63" s="169">
        <f t="shared" si="3"/>
        <v>103</v>
      </c>
      <c r="D63" s="388"/>
      <c r="E63" s="453"/>
    </row>
    <row r="64" spans="1:6" x14ac:dyDescent="0.3">
      <c r="A64" s="81" t="str">
        <f t="shared" si="1"/>
        <v>01/11/2022-30/11/2022</v>
      </c>
      <c r="B64" s="169">
        <f t="shared" si="2"/>
        <v>184</v>
      </c>
      <c r="C64" s="169">
        <f t="shared" si="3"/>
        <v>100</v>
      </c>
      <c r="D64" s="388"/>
      <c r="E64" s="453"/>
    </row>
    <row r="65" spans="1:5" x14ac:dyDescent="0.3">
      <c r="A65" s="81" t="str">
        <f t="shared" si="1"/>
        <v>01/12/2022-31/12/2022</v>
      </c>
      <c r="B65" s="169">
        <f t="shared" si="2"/>
        <v>192</v>
      </c>
      <c r="C65" s="169">
        <f t="shared" si="3"/>
        <v>105</v>
      </c>
      <c r="D65" s="388"/>
      <c r="E65" s="453"/>
    </row>
    <row r="66" spans="1:5" x14ac:dyDescent="0.3">
      <c r="A66" s="81" t="str">
        <f t="shared" si="1"/>
        <v>01/01/2023-31/01/2023</v>
      </c>
      <c r="B66" s="169">
        <f t="shared" si="2"/>
        <v>191</v>
      </c>
      <c r="C66" s="169">
        <f t="shared" si="3"/>
        <v>102</v>
      </c>
      <c r="D66" s="388"/>
      <c r="E66" s="453"/>
    </row>
    <row r="67" spans="1:5" x14ac:dyDescent="0.3">
      <c r="A67" s="81" t="str">
        <f t="shared" si="1"/>
        <v>01/02/2023-28/02/2023</v>
      </c>
      <c r="B67" s="169">
        <f t="shared" si="2"/>
        <v>168</v>
      </c>
      <c r="C67" s="169">
        <f t="shared" si="3"/>
        <v>93</v>
      </c>
      <c r="D67" s="388"/>
      <c r="E67" s="453"/>
    </row>
    <row r="68" spans="1:5" x14ac:dyDescent="0.3">
      <c r="A68" s="81" t="str">
        <f t="shared" si="1"/>
        <v>01/03/2023-31/03/2023</v>
      </c>
      <c r="B68" s="169">
        <f t="shared" si="2"/>
        <v>192</v>
      </c>
      <c r="C68" s="169">
        <f t="shared" si="3"/>
        <v>105</v>
      </c>
      <c r="D68" s="388"/>
      <c r="E68" s="453"/>
    </row>
    <row r="69" spans="1:5" x14ac:dyDescent="0.3">
      <c r="A69" s="88" t="str">
        <f>'Project emission'!A30</f>
        <v>01/04/2022-31/12/2022</v>
      </c>
      <c r="B69" s="471">
        <f>SUM(B57:C65)</f>
        <v>2615</v>
      </c>
      <c r="C69" s="472"/>
      <c r="D69" s="388"/>
      <c r="E69" s="453"/>
    </row>
    <row r="70" spans="1:5" x14ac:dyDescent="0.3">
      <c r="A70" s="88" t="str">
        <f>'Project emission'!A31</f>
        <v>01/01/2023-31/03/2023</v>
      </c>
      <c r="B70" s="471">
        <f>SUM(B66:C68)</f>
        <v>851</v>
      </c>
      <c r="C70" s="472"/>
      <c r="D70" s="388"/>
      <c r="E70" s="453"/>
    </row>
    <row r="71" spans="1:5" x14ac:dyDescent="0.3">
      <c r="A71" s="176" t="s">
        <v>146</v>
      </c>
      <c r="B71" s="475">
        <f>B69+B70</f>
        <v>3466</v>
      </c>
      <c r="C71" s="476"/>
      <c r="D71" s="413"/>
      <c r="E71" s="480"/>
    </row>
    <row r="72" spans="1:5" ht="15.5" x14ac:dyDescent="0.3">
      <c r="A72" s="176" t="s">
        <v>214</v>
      </c>
      <c r="B72" s="481"/>
      <c r="C72" s="482"/>
      <c r="D72" s="387" t="s">
        <v>215</v>
      </c>
      <c r="E72" s="452" t="s">
        <v>29</v>
      </c>
    </row>
    <row r="73" spans="1:5" x14ac:dyDescent="0.3">
      <c r="A73" s="81" t="str">
        <f t="shared" ref="A73:A86" si="4">A57</f>
        <v>01/04/2022-30/04/2022</v>
      </c>
      <c r="B73" s="178">
        <f t="shared" ref="B73:B84" si="5">ROUNDDOWN($B$51*$B$53*(1-$B$49)*B24*B37,0)</f>
        <v>41</v>
      </c>
      <c r="C73" s="178">
        <f t="shared" ref="C73:C84" si="6">ROUNDDOWN($C$51*$C$53*(1-$C$49)*C24*C37,0)</f>
        <v>22</v>
      </c>
      <c r="D73" s="388"/>
      <c r="E73" s="453"/>
    </row>
    <row r="74" spans="1:5" x14ac:dyDescent="0.3">
      <c r="A74" s="81" t="str">
        <f t="shared" si="4"/>
        <v>01/05/2022-31/05/2022</v>
      </c>
      <c r="B74" s="178">
        <f t="shared" si="5"/>
        <v>42</v>
      </c>
      <c r="C74" s="178">
        <f t="shared" si="6"/>
        <v>23</v>
      </c>
      <c r="D74" s="388"/>
      <c r="E74" s="453"/>
    </row>
    <row r="75" spans="1:5" x14ac:dyDescent="0.3">
      <c r="A75" s="81" t="str">
        <f t="shared" si="4"/>
        <v>01/06/2022-30/06/2022</v>
      </c>
      <c r="B75" s="178">
        <f t="shared" si="5"/>
        <v>41</v>
      </c>
      <c r="C75" s="178">
        <f t="shared" si="6"/>
        <v>22</v>
      </c>
      <c r="D75" s="388"/>
      <c r="E75" s="453"/>
    </row>
    <row r="76" spans="1:5" x14ac:dyDescent="0.3">
      <c r="A76" s="81" t="str">
        <f t="shared" si="4"/>
        <v>01/07/2022-31/07/2022</v>
      </c>
      <c r="B76" s="178">
        <f t="shared" si="5"/>
        <v>42</v>
      </c>
      <c r="C76" s="178">
        <f t="shared" si="6"/>
        <v>23</v>
      </c>
      <c r="D76" s="388"/>
      <c r="E76" s="453"/>
    </row>
    <row r="77" spans="1:5" x14ac:dyDescent="0.3">
      <c r="A77" s="81" t="str">
        <f t="shared" si="4"/>
        <v>01/08/2022-31/08/2022</v>
      </c>
      <c r="B77" s="178">
        <f t="shared" si="5"/>
        <v>43</v>
      </c>
      <c r="C77" s="178">
        <f t="shared" si="6"/>
        <v>23</v>
      </c>
      <c r="D77" s="388"/>
      <c r="E77" s="453"/>
    </row>
    <row r="78" spans="1:5" x14ac:dyDescent="0.3">
      <c r="A78" s="81" t="str">
        <f t="shared" si="4"/>
        <v>01/09/2022-30/09/2022</v>
      </c>
      <c r="B78" s="178">
        <f t="shared" si="5"/>
        <v>42</v>
      </c>
      <c r="C78" s="178">
        <f t="shared" si="6"/>
        <v>22</v>
      </c>
      <c r="D78" s="388"/>
      <c r="E78" s="453"/>
    </row>
    <row r="79" spans="1:5" x14ac:dyDescent="0.3">
      <c r="A79" s="81" t="str">
        <f t="shared" si="4"/>
        <v>01/10/2022-31/10/2022</v>
      </c>
      <c r="B79" s="178">
        <f t="shared" si="5"/>
        <v>43</v>
      </c>
      <c r="C79" s="178">
        <f t="shared" si="6"/>
        <v>23</v>
      </c>
      <c r="D79" s="388"/>
      <c r="E79" s="453"/>
    </row>
    <row r="80" spans="1:5" x14ac:dyDescent="0.3">
      <c r="A80" s="81" t="str">
        <f t="shared" si="4"/>
        <v>01/11/2022-30/11/2022</v>
      </c>
      <c r="B80" s="178">
        <f t="shared" si="5"/>
        <v>41</v>
      </c>
      <c r="C80" s="178">
        <f t="shared" si="6"/>
        <v>22</v>
      </c>
      <c r="D80" s="388"/>
      <c r="E80" s="453"/>
    </row>
    <row r="81" spans="1:5" x14ac:dyDescent="0.3">
      <c r="A81" s="81" t="str">
        <f t="shared" si="4"/>
        <v>01/12/2022-31/12/2022</v>
      </c>
      <c r="B81" s="178">
        <f t="shared" si="5"/>
        <v>43</v>
      </c>
      <c r="C81" s="178">
        <f t="shared" si="6"/>
        <v>23</v>
      </c>
      <c r="D81" s="388"/>
      <c r="E81" s="453"/>
    </row>
    <row r="82" spans="1:5" x14ac:dyDescent="0.3">
      <c r="A82" s="81" t="str">
        <f t="shared" si="4"/>
        <v>01/01/2023-31/01/2023</v>
      </c>
      <c r="B82" s="178">
        <f t="shared" si="5"/>
        <v>43</v>
      </c>
      <c r="C82" s="178">
        <f t="shared" si="6"/>
        <v>22</v>
      </c>
      <c r="D82" s="388"/>
      <c r="E82" s="453"/>
    </row>
    <row r="83" spans="1:5" x14ac:dyDescent="0.3">
      <c r="A83" s="81" t="str">
        <f t="shared" si="4"/>
        <v>01/02/2023-28/02/2023</v>
      </c>
      <c r="B83" s="178">
        <f t="shared" si="5"/>
        <v>37</v>
      </c>
      <c r="C83" s="178">
        <f t="shared" si="6"/>
        <v>20</v>
      </c>
      <c r="D83" s="388"/>
      <c r="E83" s="453"/>
    </row>
    <row r="84" spans="1:5" x14ac:dyDescent="0.3">
      <c r="A84" s="81" t="str">
        <f t="shared" si="4"/>
        <v>01/03/2023-31/03/2023</v>
      </c>
      <c r="B84" s="178">
        <f t="shared" si="5"/>
        <v>43</v>
      </c>
      <c r="C84" s="178">
        <f t="shared" si="6"/>
        <v>23</v>
      </c>
      <c r="D84" s="388"/>
      <c r="E84" s="453"/>
    </row>
    <row r="85" spans="1:5" x14ac:dyDescent="0.3">
      <c r="A85" s="88" t="str">
        <f t="shared" si="4"/>
        <v>01/04/2022-31/12/2022</v>
      </c>
      <c r="B85" s="473">
        <f>SUM(B73:C81)</f>
        <v>581</v>
      </c>
      <c r="C85" s="474"/>
      <c r="D85" s="388"/>
      <c r="E85" s="453"/>
    </row>
    <row r="86" spans="1:5" x14ac:dyDescent="0.3">
      <c r="A86" s="88" t="str">
        <f t="shared" si="4"/>
        <v>01/01/2023-31/03/2023</v>
      </c>
      <c r="B86" s="473">
        <f>SUM(B82:C84)</f>
        <v>188</v>
      </c>
      <c r="C86" s="474"/>
      <c r="D86" s="388"/>
      <c r="E86" s="453"/>
    </row>
    <row r="87" spans="1:5" x14ac:dyDescent="0.3">
      <c r="A87" s="176" t="s">
        <v>146</v>
      </c>
      <c r="B87" s="475">
        <f>B86+B85</f>
        <v>769</v>
      </c>
      <c r="C87" s="476"/>
      <c r="D87" s="413"/>
      <c r="E87" s="480"/>
    </row>
    <row r="88" spans="1:5" ht="15.5" x14ac:dyDescent="0.3">
      <c r="A88" s="176" t="s">
        <v>216</v>
      </c>
      <c r="B88" s="483"/>
      <c r="C88" s="484"/>
      <c r="D88" s="387" t="s">
        <v>215</v>
      </c>
      <c r="E88" s="452" t="s">
        <v>29</v>
      </c>
    </row>
    <row r="89" spans="1:5" x14ac:dyDescent="0.3">
      <c r="A89" s="81" t="str">
        <f t="shared" ref="A89:A102" si="7">A73</f>
        <v>01/04/2022-30/04/2022</v>
      </c>
      <c r="B89" s="177">
        <f t="shared" ref="B89:B100" si="8">ROUNDDOWN($B$52*(1-$B$49)*$B$54*B24*B37,0)</f>
        <v>36</v>
      </c>
      <c r="C89" s="177">
        <f t="shared" ref="C89:C100" si="9">ROUNDDOWN($C$52*(1-$C$49)*$C$54*C24*C37,0)</f>
        <v>20</v>
      </c>
      <c r="D89" s="388"/>
      <c r="E89" s="453"/>
    </row>
    <row r="90" spans="1:5" x14ac:dyDescent="0.3">
      <c r="A90" s="81" t="str">
        <f t="shared" si="7"/>
        <v>01/05/2022-31/05/2022</v>
      </c>
      <c r="B90" s="177">
        <f t="shared" si="8"/>
        <v>37</v>
      </c>
      <c r="C90" s="177">
        <f t="shared" si="9"/>
        <v>20</v>
      </c>
      <c r="D90" s="388"/>
      <c r="E90" s="453"/>
    </row>
    <row r="91" spans="1:5" x14ac:dyDescent="0.3">
      <c r="A91" s="81" t="str">
        <f t="shared" si="7"/>
        <v>01/06/2022-30/06/2022</v>
      </c>
      <c r="B91" s="177">
        <f t="shared" si="8"/>
        <v>36</v>
      </c>
      <c r="C91" s="177">
        <f t="shared" si="9"/>
        <v>20</v>
      </c>
      <c r="D91" s="388"/>
      <c r="E91" s="453"/>
    </row>
    <row r="92" spans="1:5" x14ac:dyDescent="0.3">
      <c r="A92" s="81" t="str">
        <f t="shared" si="7"/>
        <v>01/07/2022-31/07/2022</v>
      </c>
      <c r="B92" s="177">
        <f t="shared" si="8"/>
        <v>37</v>
      </c>
      <c r="C92" s="177">
        <f t="shared" si="9"/>
        <v>20</v>
      </c>
      <c r="D92" s="388"/>
      <c r="E92" s="453"/>
    </row>
    <row r="93" spans="1:5" x14ac:dyDescent="0.3">
      <c r="A93" s="81" t="str">
        <f t="shared" si="7"/>
        <v>01/08/2022-31/08/2022</v>
      </c>
      <c r="B93" s="177">
        <f t="shared" si="8"/>
        <v>38</v>
      </c>
      <c r="C93" s="177">
        <f t="shared" si="9"/>
        <v>20</v>
      </c>
      <c r="D93" s="388"/>
      <c r="E93" s="453"/>
    </row>
    <row r="94" spans="1:5" x14ac:dyDescent="0.3">
      <c r="A94" s="81" t="str">
        <f t="shared" si="7"/>
        <v>01/09/2022-30/09/2022</v>
      </c>
      <c r="B94" s="177">
        <f t="shared" si="8"/>
        <v>37</v>
      </c>
      <c r="C94" s="177">
        <f t="shared" si="9"/>
        <v>19</v>
      </c>
      <c r="D94" s="388"/>
      <c r="E94" s="453"/>
    </row>
    <row r="95" spans="1:5" x14ac:dyDescent="0.3">
      <c r="A95" s="81" t="str">
        <f t="shared" si="7"/>
        <v>01/10/2022-31/10/2022</v>
      </c>
      <c r="B95" s="177">
        <f t="shared" si="8"/>
        <v>38</v>
      </c>
      <c r="C95" s="177">
        <f t="shared" si="9"/>
        <v>20</v>
      </c>
      <c r="D95" s="388"/>
      <c r="E95" s="453"/>
    </row>
    <row r="96" spans="1:5" x14ac:dyDescent="0.3">
      <c r="A96" s="81" t="str">
        <f t="shared" si="7"/>
        <v>01/11/2022-30/11/2022</v>
      </c>
      <c r="B96" s="177">
        <f t="shared" si="8"/>
        <v>36</v>
      </c>
      <c r="C96" s="177">
        <f t="shared" si="9"/>
        <v>19</v>
      </c>
      <c r="D96" s="388"/>
      <c r="E96" s="453"/>
    </row>
    <row r="97" spans="1:5" x14ac:dyDescent="0.3">
      <c r="A97" s="81" t="str">
        <f t="shared" si="7"/>
        <v>01/12/2022-31/12/2022</v>
      </c>
      <c r="B97" s="177">
        <f t="shared" si="8"/>
        <v>38</v>
      </c>
      <c r="C97" s="177">
        <f t="shared" si="9"/>
        <v>20</v>
      </c>
      <c r="D97" s="388"/>
      <c r="E97" s="453"/>
    </row>
    <row r="98" spans="1:5" x14ac:dyDescent="0.3">
      <c r="A98" s="81" t="str">
        <f t="shared" si="7"/>
        <v>01/01/2023-31/01/2023</v>
      </c>
      <c r="B98" s="177">
        <f t="shared" si="8"/>
        <v>38</v>
      </c>
      <c r="C98" s="177">
        <f t="shared" si="9"/>
        <v>20</v>
      </c>
      <c r="D98" s="388"/>
      <c r="E98" s="453"/>
    </row>
    <row r="99" spans="1:5" x14ac:dyDescent="0.3">
      <c r="A99" s="81" t="str">
        <f t="shared" si="7"/>
        <v>01/02/2023-28/02/2023</v>
      </c>
      <c r="B99" s="177">
        <f t="shared" si="8"/>
        <v>33</v>
      </c>
      <c r="C99" s="177">
        <f t="shared" si="9"/>
        <v>18</v>
      </c>
      <c r="D99" s="388"/>
      <c r="E99" s="453"/>
    </row>
    <row r="100" spans="1:5" x14ac:dyDescent="0.3">
      <c r="A100" s="81" t="str">
        <f t="shared" si="7"/>
        <v>01/03/2023-31/03/2023</v>
      </c>
      <c r="B100" s="177">
        <f t="shared" si="8"/>
        <v>38</v>
      </c>
      <c r="C100" s="177">
        <f t="shared" si="9"/>
        <v>20</v>
      </c>
      <c r="D100" s="388"/>
      <c r="E100" s="453"/>
    </row>
    <row r="101" spans="1:5" x14ac:dyDescent="0.3">
      <c r="A101" s="88" t="str">
        <f t="shared" si="7"/>
        <v>01/04/2022-31/12/2022</v>
      </c>
      <c r="B101" s="473">
        <f>SUM(B89:C97)</f>
        <v>511</v>
      </c>
      <c r="C101" s="474"/>
      <c r="D101" s="388"/>
      <c r="E101" s="453"/>
    </row>
    <row r="102" spans="1:5" x14ac:dyDescent="0.3">
      <c r="A102" s="88" t="str">
        <f t="shared" si="7"/>
        <v>01/01/2023-31/03/2023</v>
      </c>
      <c r="B102" s="473">
        <f>SUM(B98:C100)</f>
        <v>167</v>
      </c>
      <c r="C102" s="474"/>
      <c r="D102" s="388"/>
      <c r="E102" s="453"/>
    </row>
    <row r="103" spans="1:5" x14ac:dyDescent="0.3">
      <c r="A103" s="81" t="s">
        <v>146</v>
      </c>
      <c r="B103" s="475">
        <f>B102+B101</f>
        <v>678</v>
      </c>
      <c r="C103" s="476"/>
      <c r="D103" s="413"/>
      <c r="E103" s="480"/>
    </row>
    <row r="104" spans="1:5" ht="15.5" customHeight="1" x14ac:dyDescent="0.3">
      <c r="A104" s="88" t="str">
        <f>A101</f>
        <v>01/04/2022-31/12/2022</v>
      </c>
      <c r="B104" s="475">
        <f>ROUNDDOWN(B55*44/28*1/1000*(B69+B85+B101),0)</f>
        <v>1543</v>
      </c>
      <c r="C104" s="476"/>
      <c r="D104" s="387" t="s">
        <v>217</v>
      </c>
      <c r="E104" s="452" t="s">
        <v>29</v>
      </c>
    </row>
    <row r="105" spans="1:5" ht="15.5" customHeight="1" x14ac:dyDescent="0.3">
      <c r="A105" s="88" t="str">
        <f>A102</f>
        <v>01/01/2023-31/03/2023</v>
      </c>
      <c r="B105" s="475">
        <f>ROUNDDOWN(B55*44/28*1/1000*(B70+B86+B102),0)</f>
        <v>502</v>
      </c>
      <c r="C105" s="476"/>
      <c r="D105" s="388"/>
      <c r="E105" s="453"/>
    </row>
    <row r="106" spans="1:5" ht="16" thickBot="1" x14ac:dyDescent="0.35">
      <c r="A106" s="179" t="s">
        <v>218</v>
      </c>
      <c r="B106" s="478">
        <f>B105+B104</f>
        <v>2045</v>
      </c>
      <c r="C106" s="479"/>
      <c r="D106" s="419"/>
      <c r="E106" s="465"/>
    </row>
    <row r="107" spans="1:5" x14ac:dyDescent="0.3">
      <c r="A107" s="180"/>
      <c r="B107" s="181"/>
      <c r="C107" s="181"/>
    </row>
    <row r="108" spans="1:5" x14ac:dyDescent="0.3">
      <c r="A108" s="180"/>
      <c r="B108" s="181"/>
      <c r="C108" s="181"/>
    </row>
    <row r="109" spans="1:5" x14ac:dyDescent="0.3">
      <c r="A109" s="180"/>
      <c r="B109" s="181"/>
      <c r="C109" s="181"/>
      <c r="D109" s="93"/>
    </row>
    <row r="110" spans="1:5" x14ac:dyDescent="0.3">
      <c r="A110" s="180"/>
      <c r="B110" s="181"/>
      <c r="C110" s="181"/>
      <c r="D110" s="93"/>
    </row>
    <row r="111" spans="1:5" x14ac:dyDescent="0.3">
      <c r="A111" s="180"/>
      <c r="B111" s="181"/>
      <c r="C111" s="181"/>
      <c r="D111" s="93"/>
    </row>
    <row r="112" spans="1:5" x14ac:dyDescent="0.3">
      <c r="A112" s="180"/>
      <c r="B112" s="181"/>
      <c r="C112" s="181"/>
      <c r="D112" s="93"/>
    </row>
    <row r="113" spans="1:6" x14ac:dyDescent="0.3">
      <c r="A113" s="180"/>
      <c r="B113" s="181"/>
      <c r="C113" s="181"/>
      <c r="D113" s="93"/>
    </row>
    <row r="114" spans="1:6" x14ac:dyDescent="0.3">
      <c r="A114" s="180"/>
      <c r="B114" s="181"/>
      <c r="C114" s="181"/>
      <c r="D114" s="93"/>
    </row>
    <row r="115" spans="1:6" x14ac:dyDescent="0.3">
      <c r="A115" s="180"/>
      <c r="B115" s="181"/>
      <c r="C115" s="181"/>
      <c r="D115" s="93"/>
    </row>
    <row r="116" spans="1:6" x14ac:dyDescent="0.3">
      <c r="A116" s="180"/>
      <c r="B116" s="181"/>
      <c r="C116" s="181"/>
      <c r="D116" s="93"/>
    </row>
    <row r="117" spans="1:6" x14ac:dyDescent="0.3">
      <c r="A117" s="180"/>
      <c r="B117" s="181"/>
      <c r="C117" s="181"/>
      <c r="D117" s="93"/>
    </row>
    <row r="118" spans="1:6" x14ac:dyDescent="0.3">
      <c r="A118" s="180"/>
      <c r="B118" s="181"/>
      <c r="C118" s="181"/>
      <c r="D118" s="93"/>
    </row>
    <row r="119" spans="1:6" x14ac:dyDescent="0.3">
      <c r="A119" s="180"/>
      <c r="B119" s="181"/>
      <c r="C119" s="181"/>
      <c r="D119" s="93"/>
    </row>
    <row r="120" spans="1:6" x14ac:dyDescent="0.3">
      <c r="A120" s="180"/>
      <c r="B120" s="181"/>
      <c r="C120" s="181"/>
      <c r="D120" s="93"/>
    </row>
    <row r="121" spans="1:6" x14ac:dyDescent="0.3">
      <c r="A121" s="180"/>
      <c r="B121" s="181"/>
      <c r="C121" s="181"/>
      <c r="D121" s="93"/>
    </row>
    <row r="122" spans="1:6" ht="14" thickBot="1" x14ac:dyDescent="0.35">
      <c r="A122" s="180"/>
      <c r="B122" s="181"/>
      <c r="C122" s="181"/>
    </row>
    <row r="123" spans="1:6" x14ac:dyDescent="0.3">
      <c r="A123" s="97" t="s">
        <v>3</v>
      </c>
      <c r="B123" s="98" t="s">
        <v>18</v>
      </c>
      <c r="C123" s="98"/>
      <c r="D123" s="98" t="s">
        <v>2</v>
      </c>
      <c r="E123" s="165" t="s">
        <v>4</v>
      </c>
    </row>
    <row r="124" spans="1:6" x14ac:dyDescent="0.3">
      <c r="A124" s="167" t="s">
        <v>219</v>
      </c>
      <c r="B124" s="170">
        <v>0.25</v>
      </c>
      <c r="C124" s="170">
        <f>B124</f>
        <v>0.25</v>
      </c>
      <c r="D124" s="114" t="s">
        <v>0</v>
      </c>
      <c r="E124" s="174" t="s">
        <v>316</v>
      </c>
      <c r="F124" s="182"/>
    </row>
    <row r="125" spans="1:6" x14ac:dyDescent="0.3">
      <c r="A125" s="167" t="s">
        <v>219</v>
      </c>
      <c r="B125" s="170">
        <v>0.05</v>
      </c>
      <c r="C125" s="170">
        <v>0.05</v>
      </c>
      <c r="D125" s="114"/>
      <c r="E125" s="174" t="s">
        <v>317</v>
      </c>
      <c r="F125" s="182"/>
    </row>
    <row r="126" spans="1:6" ht="15.5" x14ac:dyDescent="0.4">
      <c r="A126" s="167" t="s">
        <v>13</v>
      </c>
      <c r="B126" s="173">
        <v>0.01</v>
      </c>
      <c r="C126" s="173">
        <v>0.01</v>
      </c>
      <c r="D126" s="27" t="s">
        <v>220</v>
      </c>
      <c r="E126" s="174" t="s">
        <v>45</v>
      </c>
      <c r="F126" s="182"/>
    </row>
    <row r="127" spans="1:6" ht="15.5" x14ac:dyDescent="0.4">
      <c r="A127" s="167" t="s">
        <v>14</v>
      </c>
      <c r="B127" s="173">
        <v>7.4999999999999997E-3</v>
      </c>
      <c r="C127" s="173">
        <v>7.4999999999999997E-3</v>
      </c>
      <c r="D127" s="27" t="s">
        <v>220</v>
      </c>
      <c r="E127" s="174" t="s">
        <v>31</v>
      </c>
      <c r="F127" s="182"/>
    </row>
    <row r="128" spans="1:6" ht="31" x14ac:dyDescent="0.4">
      <c r="A128" s="167" t="s">
        <v>12</v>
      </c>
      <c r="B128" s="173">
        <v>0.01</v>
      </c>
      <c r="C128" s="173">
        <v>0.01</v>
      </c>
      <c r="D128" s="278" t="s">
        <v>208</v>
      </c>
      <c r="E128" s="171" t="s">
        <v>31</v>
      </c>
      <c r="F128" s="182"/>
    </row>
    <row r="129" spans="1:6" ht="15.5" x14ac:dyDescent="0.3">
      <c r="A129" s="167" t="s">
        <v>209</v>
      </c>
      <c r="B129" s="173">
        <v>0.3</v>
      </c>
      <c r="C129" s="173">
        <v>0.3</v>
      </c>
      <c r="D129" s="27" t="s">
        <v>93</v>
      </c>
      <c r="E129" s="174" t="s">
        <v>31</v>
      </c>
      <c r="F129" s="182"/>
    </row>
    <row r="130" spans="1:6" ht="54" x14ac:dyDescent="0.3">
      <c r="A130" s="167" t="s">
        <v>210</v>
      </c>
      <c r="B130" s="173">
        <v>0.2</v>
      </c>
      <c r="C130" s="173">
        <v>0.2</v>
      </c>
      <c r="D130" s="114" t="s">
        <v>93</v>
      </c>
      <c r="E130" s="174" t="s">
        <v>58</v>
      </c>
      <c r="F130" s="182"/>
    </row>
    <row r="131" spans="1:6" ht="15.5" x14ac:dyDescent="0.3">
      <c r="A131" s="176" t="s">
        <v>221</v>
      </c>
      <c r="B131" s="114"/>
      <c r="C131" s="114"/>
      <c r="D131" s="387" t="s">
        <v>135</v>
      </c>
      <c r="E131" s="453" t="s">
        <v>109</v>
      </c>
      <c r="F131" s="182"/>
    </row>
    <row r="132" spans="1:6" x14ac:dyDescent="0.3">
      <c r="A132" s="81" t="str">
        <f t="shared" ref="A132:A145" si="10">A89</f>
        <v>01/04/2022-30/04/2022</v>
      </c>
      <c r="B132" s="178">
        <f t="shared" ref="B132:B143" si="11">ROUNDUP($B$126*(1-$B$124)*(1-$B$125)*B24*B37,0)</f>
        <v>656</v>
      </c>
      <c r="C132" s="178">
        <f t="shared" ref="C132:C143" si="12">ROUNDUP($C$126*(1-$C$124)*(1-$C$125)*C37*C24,0)</f>
        <v>360</v>
      </c>
      <c r="D132" s="388"/>
      <c r="E132" s="453"/>
      <c r="F132" s="182"/>
    </row>
    <row r="133" spans="1:6" x14ac:dyDescent="0.3">
      <c r="A133" s="81" t="str">
        <f t="shared" si="10"/>
        <v>01/05/2022-31/05/2022</v>
      </c>
      <c r="B133" s="178">
        <f t="shared" si="11"/>
        <v>673</v>
      </c>
      <c r="C133" s="178">
        <f t="shared" si="12"/>
        <v>369</v>
      </c>
      <c r="D133" s="388"/>
      <c r="E133" s="453"/>
      <c r="F133" s="182"/>
    </row>
    <row r="134" spans="1:6" x14ac:dyDescent="0.3">
      <c r="A134" s="81" t="str">
        <f t="shared" si="10"/>
        <v>01/06/2022-30/06/2022</v>
      </c>
      <c r="B134" s="178">
        <f t="shared" si="11"/>
        <v>658</v>
      </c>
      <c r="C134" s="178">
        <f t="shared" si="12"/>
        <v>360</v>
      </c>
      <c r="D134" s="388"/>
      <c r="E134" s="453"/>
      <c r="F134" s="182"/>
    </row>
    <row r="135" spans="1:6" x14ac:dyDescent="0.3">
      <c r="A135" s="81" t="str">
        <f t="shared" si="10"/>
        <v>01/07/2022-31/07/2022</v>
      </c>
      <c r="B135" s="178">
        <f t="shared" si="11"/>
        <v>677</v>
      </c>
      <c r="C135" s="178">
        <f t="shared" si="12"/>
        <v>366</v>
      </c>
      <c r="D135" s="388"/>
      <c r="E135" s="453"/>
      <c r="F135" s="182"/>
    </row>
    <row r="136" spans="1:6" x14ac:dyDescent="0.3">
      <c r="A136" s="81" t="str">
        <f t="shared" si="10"/>
        <v>01/08/2022-31/08/2022</v>
      </c>
      <c r="B136" s="178">
        <f t="shared" si="11"/>
        <v>682</v>
      </c>
      <c r="C136" s="178">
        <f t="shared" si="12"/>
        <v>373</v>
      </c>
      <c r="D136" s="388"/>
      <c r="E136" s="453"/>
      <c r="F136" s="182"/>
    </row>
    <row r="137" spans="1:6" x14ac:dyDescent="0.3">
      <c r="A137" s="81" t="str">
        <f t="shared" si="10"/>
        <v>01/09/2022-30/09/2022</v>
      </c>
      <c r="B137" s="178">
        <f t="shared" si="11"/>
        <v>669</v>
      </c>
      <c r="C137" s="178">
        <f t="shared" si="12"/>
        <v>353</v>
      </c>
      <c r="D137" s="388"/>
      <c r="E137" s="453"/>
      <c r="F137" s="182"/>
    </row>
    <row r="138" spans="1:6" x14ac:dyDescent="0.3">
      <c r="A138" s="81" t="str">
        <f t="shared" si="10"/>
        <v>01/10/2022-31/10/2022</v>
      </c>
      <c r="B138" s="178">
        <f t="shared" si="11"/>
        <v>693</v>
      </c>
      <c r="C138" s="178">
        <f t="shared" si="12"/>
        <v>365</v>
      </c>
      <c r="D138" s="388"/>
      <c r="E138" s="453"/>
      <c r="F138" s="182"/>
    </row>
    <row r="139" spans="1:6" x14ac:dyDescent="0.3">
      <c r="A139" s="81" t="str">
        <f t="shared" si="10"/>
        <v>01/11/2022-30/11/2022</v>
      </c>
      <c r="B139" s="178">
        <f t="shared" si="11"/>
        <v>660</v>
      </c>
      <c r="C139" s="178">
        <f t="shared" si="12"/>
        <v>354</v>
      </c>
      <c r="D139" s="388"/>
      <c r="E139" s="453"/>
      <c r="F139" s="182"/>
    </row>
    <row r="140" spans="1:6" x14ac:dyDescent="0.3">
      <c r="A140" s="81" t="str">
        <f t="shared" si="10"/>
        <v>01/12/2022-31/12/2022</v>
      </c>
      <c r="B140" s="178">
        <f t="shared" si="11"/>
        <v>686</v>
      </c>
      <c r="C140" s="178">
        <f t="shared" si="12"/>
        <v>371</v>
      </c>
      <c r="D140" s="388"/>
      <c r="E140" s="453"/>
      <c r="F140" s="182"/>
    </row>
    <row r="141" spans="1:6" x14ac:dyDescent="0.3">
      <c r="A141" s="81" t="str">
        <f t="shared" si="10"/>
        <v>01/01/2023-31/01/2023</v>
      </c>
      <c r="B141" s="178">
        <f t="shared" si="11"/>
        <v>684</v>
      </c>
      <c r="C141" s="178">
        <f t="shared" si="12"/>
        <v>363</v>
      </c>
      <c r="D141" s="388"/>
      <c r="E141" s="453"/>
      <c r="F141" s="182"/>
    </row>
    <row r="142" spans="1:6" x14ac:dyDescent="0.3">
      <c r="A142" s="81" t="str">
        <f t="shared" si="10"/>
        <v>01/02/2023-28/02/2023</v>
      </c>
      <c r="B142" s="178">
        <f t="shared" si="11"/>
        <v>602</v>
      </c>
      <c r="C142" s="178">
        <f t="shared" si="12"/>
        <v>332</v>
      </c>
      <c r="D142" s="388"/>
      <c r="E142" s="453"/>
      <c r="F142" s="182"/>
    </row>
    <row r="143" spans="1:6" x14ac:dyDescent="0.3">
      <c r="A143" s="81" t="str">
        <f t="shared" si="10"/>
        <v>01/03/2023-31/03/2023</v>
      </c>
      <c r="B143" s="178">
        <f t="shared" si="11"/>
        <v>685</v>
      </c>
      <c r="C143" s="178">
        <f t="shared" si="12"/>
        <v>372</v>
      </c>
      <c r="D143" s="388"/>
      <c r="E143" s="453"/>
      <c r="F143" s="182"/>
    </row>
    <row r="144" spans="1:6" x14ac:dyDescent="0.3">
      <c r="A144" s="88" t="str">
        <f t="shared" si="10"/>
        <v>01/04/2022-31/12/2022</v>
      </c>
      <c r="B144" s="477">
        <f>SUM(B132:C140)</f>
        <v>9325</v>
      </c>
      <c r="C144" s="477"/>
      <c r="D144" s="388"/>
      <c r="E144" s="453"/>
      <c r="F144" s="182"/>
    </row>
    <row r="145" spans="1:6" x14ac:dyDescent="0.3">
      <c r="A145" s="88" t="str">
        <f t="shared" si="10"/>
        <v>01/01/2023-31/03/2023</v>
      </c>
      <c r="B145" s="477">
        <f>SUM(B141:C143)</f>
        <v>3038</v>
      </c>
      <c r="C145" s="477"/>
      <c r="D145" s="388"/>
      <c r="E145" s="453"/>
      <c r="F145" s="182"/>
    </row>
    <row r="146" spans="1:6" x14ac:dyDescent="0.3">
      <c r="A146" s="3" t="s">
        <v>147</v>
      </c>
      <c r="B146" s="486">
        <f>B145+B144</f>
        <v>12363</v>
      </c>
      <c r="C146" s="486"/>
      <c r="D146" s="388"/>
      <c r="E146" s="453"/>
      <c r="F146" s="182"/>
    </row>
    <row r="147" spans="1:6" ht="15.5" x14ac:dyDescent="0.4">
      <c r="A147" s="183" t="s">
        <v>222</v>
      </c>
      <c r="B147" s="177"/>
      <c r="C147" s="177"/>
      <c r="D147" s="388"/>
      <c r="E147" s="453"/>
      <c r="F147" s="182"/>
    </row>
    <row r="148" spans="1:6" x14ac:dyDescent="0.3">
      <c r="A148" s="81" t="str">
        <f t="shared" ref="A148:A161" si="13">A132</f>
        <v>01/04/2022-30/04/2022</v>
      </c>
      <c r="B148" s="177">
        <f t="shared" ref="B148:B159" si="14">ROUNDUP($B$127*$B$129*(1-$B$124)*(1-$B$125)*B37*B24,0)</f>
        <v>148</v>
      </c>
      <c r="C148" s="177">
        <f t="shared" ref="C148:C159" si="15">ROUNDUP($C$127*$C$129*(1-$C$124)*(1-$C$125)*C37*C24,0)</f>
        <v>81</v>
      </c>
      <c r="D148" s="388"/>
      <c r="E148" s="453"/>
      <c r="F148" s="182"/>
    </row>
    <row r="149" spans="1:6" x14ac:dyDescent="0.3">
      <c r="A149" s="81" t="str">
        <f t="shared" si="13"/>
        <v>01/05/2022-31/05/2022</v>
      </c>
      <c r="B149" s="177">
        <f t="shared" si="14"/>
        <v>152</v>
      </c>
      <c r="C149" s="177">
        <f t="shared" si="15"/>
        <v>83</v>
      </c>
      <c r="D149" s="388"/>
      <c r="E149" s="453"/>
      <c r="F149" s="182"/>
    </row>
    <row r="150" spans="1:6" x14ac:dyDescent="0.3">
      <c r="A150" s="81" t="str">
        <f t="shared" si="13"/>
        <v>01/06/2022-30/06/2022</v>
      </c>
      <c r="B150" s="177">
        <f t="shared" si="14"/>
        <v>149</v>
      </c>
      <c r="C150" s="177">
        <f t="shared" si="15"/>
        <v>81</v>
      </c>
      <c r="D150" s="388"/>
      <c r="E150" s="453"/>
      <c r="F150" s="182"/>
    </row>
    <row r="151" spans="1:6" x14ac:dyDescent="0.3">
      <c r="A151" s="81" t="str">
        <f t="shared" si="13"/>
        <v>01/07/2022-31/07/2022</v>
      </c>
      <c r="B151" s="177">
        <f t="shared" si="14"/>
        <v>153</v>
      </c>
      <c r="C151" s="177">
        <f t="shared" si="15"/>
        <v>83</v>
      </c>
      <c r="D151" s="388"/>
      <c r="E151" s="453"/>
      <c r="F151" s="182"/>
    </row>
    <row r="152" spans="1:6" x14ac:dyDescent="0.3">
      <c r="A152" s="81" t="str">
        <f t="shared" si="13"/>
        <v>01/08/2022-31/08/2022</v>
      </c>
      <c r="B152" s="177">
        <f t="shared" si="14"/>
        <v>154</v>
      </c>
      <c r="C152" s="177">
        <f t="shared" si="15"/>
        <v>84</v>
      </c>
      <c r="D152" s="388"/>
      <c r="E152" s="453"/>
      <c r="F152" s="182"/>
    </row>
    <row r="153" spans="1:6" x14ac:dyDescent="0.3">
      <c r="A153" s="81" t="str">
        <f t="shared" si="13"/>
        <v>01/09/2022-30/09/2022</v>
      </c>
      <c r="B153" s="177">
        <f t="shared" si="14"/>
        <v>151</v>
      </c>
      <c r="C153" s="177">
        <f t="shared" si="15"/>
        <v>80</v>
      </c>
      <c r="D153" s="388"/>
      <c r="E153" s="453"/>
      <c r="F153" s="182"/>
    </row>
    <row r="154" spans="1:6" x14ac:dyDescent="0.3">
      <c r="A154" s="81" t="str">
        <f t="shared" si="13"/>
        <v>01/10/2022-31/10/2022</v>
      </c>
      <c r="B154" s="177">
        <f t="shared" si="14"/>
        <v>156</v>
      </c>
      <c r="C154" s="177">
        <f t="shared" si="15"/>
        <v>83</v>
      </c>
      <c r="D154" s="388"/>
      <c r="E154" s="453"/>
      <c r="F154" s="182"/>
    </row>
    <row r="155" spans="1:6" x14ac:dyDescent="0.3">
      <c r="A155" s="81" t="str">
        <f t="shared" si="13"/>
        <v>01/11/2022-30/11/2022</v>
      </c>
      <c r="B155" s="177">
        <f t="shared" si="14"/>
        <v>149</v>
      </c>
      <c r="C155" s="177">
        <f t="shared" si="15"/>
        <v>80</v>
      </c>
      <c r="D155" s="388"/>
      <c r="E155" s="453"/>
      <c r="F155" s="182"/>
    </row>
    <row r="156" spans="1:6" x14ac:dyDescent="0.3">
      <c r="A156" s="81" t="str">
        <f t="shared" si="13"/>
        <v>01/12/2022-31/12/2022</v>
      </c>
      <c r="B156" s="177">
        <f t="shared" si="14"/>
        <v>155</v>
      </c>
      <c r="C156" s="177">
        <f t="shared" si="15"/>
        <v>84</v>
      </c>
      <c r="D156" s="388"/>
      <c r="E156" s="453"/>
      <c r="F156" s="182"/>
    </row>
    <row r="157" spans="1:6" x14ac:dyDescent="0.3">
      <c r="A157" s="81" t="str">
        <f t="shared" si="13"/>
        <v>01/01/2023-31/01/2023</v>
      </c>
      <c r="B157" s="177">
        <f t="shared" si="14"/>
        <v>154</v>
      </c>
      <c r="C157" s="177">
        <f t="shared" si="15"/>
        <v>82</v>
      </c>
      <c r="D157" s="388"/>
      <c r="E157" s="453"/>
      <c r="F157" s="182"/>
    </row>
    <row r="158" spans="1:6" x14ac:dyDescent="0.3">
      <c r="A158" s="81" t="str">
        <f t="shared" si="13"/>
        <v>01/02/2023-28/02/2023</v>
      </c>
      <c r="B158" s="177">
        <f t="shared" si="14"/>
        <v>136</v>
      </c>
      <c r="C158" s="177">
        <f t="shared" si="15"/>
        <v>75</v>
      </c>
      <c r="D158" s="388"/>
      <c r="E158" s="453"/>
      <c r="F158" s="182"/>
    </row>
    <row r="159" spans="1:6" x14ac:dyDescent="0.3">
      <c r="A159" s="81" t="str">
        <f t="shared" si="13"/>
        <v>01/03/2023-31/03/2023</v>
      </c>
      <c r="B159" s="177">
        <f t="shared" si="14"/>
        <v>155</v>
      </c>
      <c r="C159" s="177">
        <f t="shared" si="15"/>
        <v>84</v>
      </c>
      <c r="D159" s="388"/>
      <c r="E159" s="453"/>
      <c r="F159" s="182"/>
    </row>
    <row r="160" spans="1:6" x14ac:dyDescent="0.3">
      <c r="A160" s="88" t="str">
        <f t="shared" si="13"/>
        <v>01/04/2022-31/12/2022</v>
      </c>
      <c r="B160" s="473">
        <f>SUM(B148:C156)</f>
        <v>2106</v>
      </c>
      <c r="C160" s="474"/>
      <c r="D160" s="388"/>
      <c r="E160" s="453"/>
      <c r="F160" s="182"/>
    </row>
    <row r="161" spans="1:6" x14ac:dyDescent="0.3">
      <c r="A161" s="88" t="str">
        <f t="shared" si="13"/>
        <v>01/01/2023-31/03/2023</v>
      </c>
      <c r="B161" s="473">
        <f>SUM(B157:C159)</f>
        <v>686</v>
      </c>
      <c r="C161" s="474"/>
      <c r="D161" s="388"/>
      <c r="E161" s="453"/>
      <c r="F161" s="182"/>
    </row>
    <row r="162" spans="1:6" x14ac:dyDescent="0.3">
      <c r="A162" s="88" t="s">
        <v>146</v>
      </c>
      <c r="B162" s="473">
        <f>B160+B161</f>
        <v>2792</v>
      </c>
      <c r="C162" s="474"/>
      <c r="D162" s="388"/>
      <c r="E162" s="453"/>
      <c r="F162" s="182"/>
    </row>
    <row r="163" spans="1:6" ht="15.5" x14ac:dyDescent="0.3">
      <c r="A163" s="176" t="s">
        <v>223</v>
      </c>
      <c r="B163" s="184"/>
      <c r="C163" s="185"/>
      <c r="D163" s="388"/>
      <c r="E163" s="453"/>
      <c r="F163" s="182"/>
    </row>
    <row r="164" spans="1:6" x14ac:dyDescent="0.3">
      <c r="A164" s="81" t="str">
        <f t="shared" ref="A164:A177" si="16">A148</f>
        <v>01/04/2022-30/04/2022</v>
      </c>
      <c r="B164" s="186">
        <f t="shared" ref="B164:B175" si="17">ROUNDUP($B$128*(1-$B$124)*(1-$B$125)*$B$130*B37*B24,0)</f>
        <v>132</v>
      </c>
      <c r="C164" s="187">
        <f t="shared" ref="C164:C175" si="18">ROUNDUP($C$128*$C$130*(1-$C$124)*(1-$C$125)*C37*C24,0)</f>
        <v>72</v>
      </c>
      <c r="D164" s="388"/>
      <c r="E164" s="453"/>
      <c r="F164" s="182"/>
    </row>
    <row r="165" spans="1:6" x14ac:dyDescent="0.3">
      <c r="A165" s="81" t="str">
        <f t="shared" si="16"/>
        <v>01/05/2022-31/05/2022</v>
      </c>
      <c r="B165" s="186">
        <f t="shared" si="17"/>
        <v>135</v>
      </c>
      <c r="C165" s="187">
        <f t="shared" si="18"/>
        <v>74</v>
      </c>
      <c r="D165" s="388"/>
      <c r="E165" s="453"/>
      <c r="F165" s="182"/>
    </row>
    <row r="166" spans="1:6" x14ac:dyDescent="0.3">
      <c r="A166" s="81" t="str">
        <f t="shared" si="16"/>
        <v>01/06/2022-30/06/2022</v>
      </c>
      <c r="B166" s="186">
        <f t="shared" si="17"/>
        <v>132</v>
      </c>
      <c r="C166" s="187">
        <f t="shared" si="18"/>
        <v>72</v>
      </c>
      <c r="D166" s="388"/>
      <c r="E166" s="453"/>
      <c r="F166" s="182"/>
    </row>
    <row r="167" spans="1:6" x14ac:dyDescent="0.3">
      <c r="A167" s="81" t="str">
        <f t="shared" si="16"/>
        <v>01/07/2022-31/07/2022</v>
      </c>
      <c r="B167" s="186">
        <f t="shared" si="17"/>
        <v>136</v>
      </c>
      <c r="C167" s="187">
        <f t="shared" si="18"/>
        <v>74</v>
      </c>
      <c r="D167" s="388"/>
      <c r="E167" s="453"/>
      <c r="F167" s="182"/>
    </row>
    <row r="168" spans="1:6" x14ac:dyDescent="0.3">
      <c r="A168" s="81" t="str">
        <f t="shared" si="16"/>
        <v>01/08/2022-31/08/2022</v>
      </c>
      <c r="B168" s="186">
        <f t="shared" si="17"/>
        <v>137</v>
      </c>
      <c r="C168" s="187">
        <f t="shared" si="18"/>
        <v>75</v>
      </c>
      <c r="D168" s="388"/>
      <c r="E168" s="453"/>
      <c r="F168" s="182"/>
    </row>
    <row r="169" spans="1:6" x14ac:dyDescent="0.3">
      <c r="A169" s="81" t="str">
        <f t="shared" si="16"/>
        <v>01/09/2022-30/09/2022</v>
      </c>
      <c r="B169" s="186">
        <f t="shared" si="17"/>
        <v>134</v>
      </c>
      <c r="C169" s="187">
        <f t="shared" si="18"/>
        <v>71</v>
      </c>
      <c r="D169" s="388"/>
      <c r="E169" s="453"/>
      <c r="F169" s="182"/>
    </row>
    <row r="170" spans="1:6" x14ac:dyDescent="0.3">
      <c r="A170" s="81" t="str">
        <f t="shared" si="16"/>
        <v>01/10/2022-31/10/2022</v>
      </c>
      <c r="B170" s="186">
        <f t="shared" si="17"/>
        <v>139</v>
      </c>
      <c r="C170" s="187">
        <f t="shared" si="18"/>
        <v>73</v>
      </c>
      <c r="D170" s="388"/>
      <c r="E170" s="453"/>
      <c r="F170" s="182"/>
    </row>
    <row r="171" spans="1:6" x14ac:dyDescent="0.3">
      <c r="A171" s="81" t="str">
        <f t="shared" si="16"/>
        <v>01/11/2022-30/11/2022</v>
      </c>
      <c r="B171" s="186">
        <f t="shared" si="17"/>
        <v>132</v>
      </c>
      <c r="C171" s="187">
        <f t="shared" si="18"/>
        <v>71</v>
      </c>
      <c r="D171" s="388"/>
      <c r="E171" s="453"/>
      <c r="F171" s="182"/>
    </row>
    <row r="172" spans="1:6" x14ac:dyDescent="0.3">
      <c r="A172" s="81" t="str">
        <f t="shared" si="16"/>
        <v>01/12/2022-31/12/2022</v>
      </c>
      <c r="B172" s="186">
        <f t="shared" si="17"/>
        <v>138</v>
      </c>
      <c r="C172" s="187">
        <f t="shared" si="18"/>
        <v>75</v>
      </c>
      <c r="D172" s="388"/>
      <c r="E172" s="453"/>
      <c r="F172" s="182"/>
    </row>
    <row r="173" spans="1:6" x14ac:dyDescent="0.3">
      <c r="A173" s="81" t="str">
        <f t="shared" si="16"/>
        <v>01/01/2023-31/01/2023</v>
      </c>
      <c r="B173" s="186">
        <f t="shared" si="17"/>
        <v>137</v>
      </c>
      <c r="C173" s="187">
        <f t="shared" si="18"/>
        <v>73</v>
      </c>
      <c r="D173" s="388"/>
      <c r="E173" s="453"/>
      <c r="F173" s="182"/>
    </row>
    <row r="174" spans="1:6" x14ac:dyDescent="0.3">
      <c r="A174" s="81" t="str">
        <f t="shared" si="16"/>
        <v>01/02/2023-28/02/2023</v>
      </c>
      <c r="B174" s="186">
        <f t="shared" si="17"/>
        <v>121</v>
      </c>
      <c r="C174" s="187">
        <f t="shared" si="18"/>
        <v>67</v>
      </c>
      <c r="D174" s="388"/>
      <c r="E174" s="453"/>
      <c r="F174" s="182"/>
    </row>
    <row r="175" spans="1:6" x14ac:dyDescent="0.3">
      <c r="A175" s="81" t="str">
        <f t="shared" si="16"/>
        <v>01/03/2023-31/03/2023</v>
      </c>
      <c r="B175" s="186">
        <f t="shared" si="17"/>
        <v>137</v>
      </c>
      <c r="C175" s="187">
        <f t="shared" si="18"/>
        <v>75</v>
      </c>
      <c r="D175" s="388"/>
      <c r="E175" s="453"/>
      <c r="F175" s="182"/>
    </row>
    <row r="176" spans="1:6" x14ac:dyDescent="0.3">
      <c r="A176" s="88" t="str">
        <f t="shared" si="16"/>
        <v>01/04/2022-31/12/2022</v>
      </c>
      <c r="B176" s="473">
        <f>SUM(B164:C172)</f>
        <v>1872</v>
      </c>
      <c r="C176" s="474"/>
      <c r="D176" s="388"/>
      <c r="E176" s="453"/>
      <c r="F176" s="182"/>
    </row>
    <row r="177" spans="1:6" x14ac:dyDescent="0.3">
      <c r="A177" s="88" t="str">
        <f t="shared" si="16"/>
        <v>01/01/2023-31/03/2023</v>
      </c>
      <c r="B177" s="473">
        <f>SUM(B173:C175)</f>
        <v>610</v>
      </c>
      <c r="C177" s="474"/>
      <c r="D177" s="388"/>
      <c r="E177" s="453"/>
      <c r="F177" s="182"/>
    </row>
    <row r="178" spans="1:6" x14ac:dyDescent="0.3">
      <c r="A178" s="88" t="s">
        <v>146</v>
      </c>
      <c r="B178" s="473">
        <f>B176+B177</f>
        <v>2482</v>
      </c>
      <c r="C178" s="474"/>
      <c r="D178" s="413"/>
      <c r="E178" s="453"/>
      <c r="F178" s="182"/>
    </row>
    <row r="179" spans="1:6" ht="15.5" customHeight="1" x14ac:dyDescent="0.3">
      <c r="A179" s="188" t="str">
        <f>A176</f>
        <v>01/04/2022-31/12/2022</v>
      </c>
      <c r="B179" s="486">
        <f>ROUNDUP(B55*44/28*1/1000*(B144+B160+B176),0)</f>
        <v>5540</v>
      </c>
      <c r="C179" s="486"/>
      <c r="D179" s="387" t="s">
        <v>217</v>
      </c>
      <c r="E179" s="453"/>
      <c r="F179" s="182"/>
    </row>
    <row r="180" spans="1:6" x14ac:dyDescent="0.3">
      <c r="A180" s="188" t="str">
        <f>A177</f>
        <v>01/01/2023-31/03/2023</v>
      </c>
      <c r="B180" s="486">
        <f>ROUNDUP(B55*44/28*1/1000*(B145+B161+B177),0)</f>
        <v>1805</v>
      </c>
      <c r="C180" s="486"/>
      <c r="D180" s="388"/>
      <c r="E180" s="453"/>
      <c r="F180" s="182"/>
    </row>
    <row r="181" spans="1:6" ht="16" thickBot="1" x14ac:dyDescent="0.35">
      <c r="A181" s="179" t="s">
        <v>224</v>
      </c>
      <c r="B181" s="485">
        <f>B179+B180</f>
        <v>7345</v>
      </c>
      <c r="C181" s="485"/>
      <c r="D181" s="419"/>
      <c r="E181" s="465"/>
      <c r="F181" s="182"/>
    </row>
    <row r="182" spans="1:6" x14ac:dyDescent="0.3">
      <c r="A182" s="180"/>
      <c r="B182" s="181"/>
      <c r="C182" s="181"/>
    </row>
    <row r="183" spans="1:6" x14ac:dyDescent="0.3">
      <c r="A183" s="180"/>
      <c r="B183" s="181"/>
      <c r="C183" s="181"/>
    </row>
    <row r="185" spans="1:6" x14ac:dyDescent="0.3">
      <c r="A185" s="3" t="s">
        <v>44</v>
      </c>
    </row>
    <row r="187" spans="1:6" x14ac:dyDescent="0.3">
      <c r="E187" s="93"/>
    </row>
    <row r="188" spans="1:6" x14ac:dyDescent="0.3">
      <c r="E188" s="93"/>
    </row>
    <row r="189" spans="1:6" x14ac:dyDescent="0.3">
      <c r="E189" s="93"/>
    </row>
    <row r="190" spans="1:6" x14ac:dyDescent="0.3">
      <c r="E190" s="93"/>
    </row>
    <row r="191" spans="1:6" x14ac:dyDescent="0.3">
      <c r="E191" s="93"/>
    </row>
    <row r="192" spans="1:6" x14ac:dyDescent="0.3">
      <c r="E192" s="93"/>
    </row>
    <row r="193" spans="1:5" x14ac:dyDescent="0.3">
      <c r="A193" s="63"/>
    </row>
    <row r="194" spans="1:5" ht="14" thickBot="1" x14ac:dyDescent="0.35">
      <c r="A194" s="63"/>
    </row>
    <row r="195" spans="1:5" x14ac:dyDescent="0.3">
      <c r="A195" s="97" t="s">
        <v>3</v>
      </c>
      <c r="B195" s="98" t="s">
        <v>18</v>
      </c>
      <c r="C195" s="98"/>
      <c r="D195" s="98" t="s">
        <v>2</v>
      </c>
      <c r="E195" s="165" t="s">
        <v>4</v>
      </c>
    </row>
    <row r="196" spans="1:5" ht="15.5" x14ac:dyDescent="0.4">
      <c r="A196" s="189" t="s">
        <v>225</v>
      </c>
      <c r="B196" s="27">
        <f>'Baseline emission'!B12</f>
        <v>28</v>
      </c>
      <c r="C196" s="27">
        <f>B196</f>
        <v>28</v>
      </c>
      <c r="D196" s="27" t="s">
        <v>226</v>
      </c>
      <c r="E196" s="174" t="s">
        <v>127</v>
      </c>
    </row>
    <row r="197" spans="1:5" ht="14.5" x14ac:dyDescent="0.3">
      <c r="A197" s="189" t="s">
        <v>227</v>
      </c>
      <c r="B197" s="27">
        <f>'[3]Baseline Emission'!B13</f>
        <v>6.7000000000000002E-4</v>
      </c>
      <c r="C197" s="27">
        <f>'[3]Baseline Emission'!C13</f>
        <v>6.7000000000000002E-4</v>
      </c>
      <c r="D197" s="27" t="s">
        <v>228</v>
      </c>
      <c r="E197" s="174" t="s">
        <v>318</v>
      </c>
    </row>
    <row r="198" spans="1:5" x14ac:dyDescent="0.3">
      <c r="A198" s="190" t="s">
        <v>23</v>
      </c>
      <c r="B198" s="173">
        <v>1</v>
      </c>
      <c r="C198" s="173">
        <v>1</v>
      </c>
      <c r="D198" s="27" t="s">
        <v>93</v>
      </c>
      <c r="E198" s="174" t="s">
        <v>318</v>
      </c>
    </row>
    <row r="199" spans="1:5" x14ac:dyDescent="0.3">
      <c r="A199" s="167" t="s">
        <v>229</v>
      </c>
      <c r="B199" s="191"/>
      <c r="C199" s="191"/>
      <c r="D199" s="468" t="s">
        <v>129</v>
      </c>
      <c r="E199" s="490" t="s">
        <v>109</v>
      </c>
    </row>
    <row r="200" spans="1:5" x14ac:dyDescent="0.3">
      <c r="A200" s="81" t="str">
        <f t="shared" ref="A200:A211" si="19">A164</f>
        <v>01/04/2022-30/04/2022</v>
      </c>
      <c r="B200" s="191">
        <f>'Baseline emission'!B47</f>
        <v>18.417857142857141</v>
      </c>
      <c r="C200" s="191">
        <f>'Baseline emission'!C47</f>
        <v>23.946428571428569</v>
      </c>
      <c r="D200" s="468"/>
      <c r="E200" s="490"/>
    </row>
    <row r="201" spans="1:5" x14ac:dyDescent="0.3">
      <c r="A201" s="81" t="str">
        <f t="shared" si="19"/>
        <v>01/05/2022-31/05/2022</v>
      </c>
      <c r="B201" s="191">
        <f>'Baseline emission'!B48</f>
        <v>18.89892857142857</v>
      </c>
      <c r="C201" s="191">
        <f>'Baseline emission'!C48</f>
        <v>24.678214285714283</v>
      </c>
      <c r="D201" s="468"/>
      <c r="E201" s="490"/>
    </row>
    <row r="202" spans="1:5" x14ac:dyDescent="0.3">
      <c r="A202" s="81" t="str">
        <f t="shared" si="19"/>
        <v>01/06/2022-30/06/2022</v>
      </c>
      <c r="B202" s="191">
        <f>'Baseline emission'!B49</f>
        <v>18.482142857142854</v>
      </c>
      <c r="C202" s="191">
        <f>'Baseline emission'!C49</f>
        <v>24.010714285714286</v>
      </c>
      <c r="D202" s="468"/>
      <c r="E202" s="490"/>
    </row>
    <row r="203" spans="1:5" x14ac:dyDescent="0.3">
      <c r="A203" s="81" t="str">
        <f t="shared" si="19"/>
        <v>01/07/2022-31/07/2022</v>
      </c>
      <c r="B203" s="191">
        <f>'Baseline emission'!B50</f>
        <v>18.998571428571431</v>
      </c>
      <c r="C203" s="191">
        <f>'Baseline emission'!C50</f>
        <v>24.512142857142855</v>
      </c>
      <c r="D203" s="468"/>
      <c r="E203" s="490"/>
    </row>
    <row r="204" spans="1:5" x14ac:dyDescent="0.3">
      <c r="A204" s="81" t="str">
        <f t="shared" si="19"/>
        <v>01/08/2022-31/08/2022</v>
      </c>
      <c r="B204" s="191">
        <f>'Baseline emission'!B51</f>
        <v>19.131428571428575</v>
      </c>
      <c r="C204" s="191">
        <f>'Baseline emission'!C51</f>
        <v>24.844285714285714</v>
      </c>
      <c r="D204" s="468"/>
      <c r="E204" s="490"/>
    </row>
    <row r="205" spans="1:5" x14ac:dyDescent="0.3">
      <c r="A205" s="81" t="str">
        <f t="shared" si="19"/>
        <v>01/09/2022-30/09/2022</v>
      </c>
      <c r="B205" s="191">
        <f>'Baseline emission'!B52</f>
        <v>18.771428571428572</v>
      </c>
      <c r="C205" s="191">
        <f>'Baseline emission'!C52</f>
        <v>23.657142857142858</v>
      </c>
      <c r="D205" s="468"/>
      <c r="E205" s="490"/>
    </row>
    <row r="206" spans="1:5" x14ac:dyDescent="0.3">
      <c r="A206" s="81" t="str">
        <f t="shared" si="19"/>
        <v>01/10/2022-31/10/2022</v>
      </c>
      <c r="B206" s="191">
        <f>'Baseline emission'!B53</f>
        <v>19.463571428571431</v>
      </c>
      <c r="C206" s="191">
        <f>'Baseline emission'!C53</f>
        <v>24.478928571428568</v>
      </c>
      <c r="D206" s="468"/>
      <c r="E206" s="490"/>
    </row>
    <row r="207" spans="1:5" x14ac:dyDescent="0.3">
      <c r="A207" s="81" t="str">
        <f t="shared" si="19"/>
        <v>01/11/2022-30/11/2022</v>
      </c>
      <c r="B207" s="191">
        <f>'Baseline emission'!B54</f>
        <v>18.514285714285716</v>
      </c>
      <c r="C207" s="191">
        <f>'Baseline emission'!C54</f>
        <v>23.946428571428569</v>
      </c>
      <c r="D207" s="468"/>
      <c r="E207" s="490"/>
    </row>
    <row r="208" spans="1:5" x14ac:dyDescent="0.3">
      <c r="A208" s="81" t="str">
        <f t="shared" si="19"/>
        <v>01/12/2022-31/12/2022</v>
      </c>
      <c r="B208" s="191">
        <f>'Baseline emission'!B55</f>
        <v>19.264285714285716</v>
      </c>
      <c r="C208" s="191">
        <f>'Baseline emission'!C55</f>
        <v>24.977142857142859</v>
      </c>
      <c r="D208" s="468"/>
      <c r="E208" s="490"/>
    </row>
    <row r="209" spans="1:5" x14ac:dyDescent="0.3">
      <c r="A209" s="81" t="str">
        <f t="shared" si="19"/>
        <v>01/01/2023-31/01/2023</v>
      </c>
      <c r="B209" s="191">
        <f>'Baseline emission'!B56</f>
        <v>19.197857142857142</v>
      </c>
      <c r="C209" s="191">
        <f>'Baseline emission'!C56</f>
        <v>24.445714285714285</v>
      </c>
      <c r="D209" s="468"/>
      <c r="E209" s="490"/>
    </row>
    <row r="210" spans="1:5" x14ac:dyDescent="0.3">
      <c r="A210" s="81" t="str">
        <f t="shared" si="19"/>
        <v>01/02/2023-28/02/2023</v>
      </c>
      <c r="B210" s="191">
        <f>'Baseline emission'!B57</f>
        <v>16.89</v>
      </c>
      <c r="C210" s="191">
        <f>'Baseline emission'!C57</f>
        <v>22.2</v>
      </c>
      <c r="D210" s="468"/>
      <c r="E210" s="490"/>
    </row>
    <row r="211" spans="1:5" x14ac:dyDescent="0.3">
      <c r="A211" s="81" t="str">
        <f t="shared" si="19"/>
        <v>01/03/2023-31/03/2023</v>
      </c>
      <c r="B211" s="191">
        <f>'Baseline emission'!B58</f>
        <v>19.231071428571425</v>
      </c>
      <c r="C211" s="191">
        <f>'Baseline emission'!C58</f>
        <v>24.578571428571426</v>
      </c>
      <c r="D211" s="468"/>
      <c r="E211" s="490"/>
    </row>
    <row r="212" spans="1:5" ht="15.5" x14ac:dyDescent="0.3">
      <c r="A212" s="167" t="s">
        <v>230</v>
      </c>
      <c r="B212" s="192">
        <v>0.28999999999999998</v>
      </c>
      <c r="C212" s="173">
        <v>0.28999999999999998</v>
      </c>
      <c r="D212" s="27" t="s">
        <v>231</v>
      </c>
      <c r="E212" s="174" t="s">
        <v>7</v>
      </c>
    </row>
    <row r="213" spans="1:5" s="69" customFormat="1" ht="15.5" x14ac:dyDescent="0.3">
      <c r="A213" s="190" t="s">
        <v>232</v>
      </c>
      <c r="B213" s="170">
        <v>0.85</v>
      </c>
      <c r="C213" s="170">
        <v>0.85</v>
      </c>
      <c r="D213" s="193" t="s">
        <v>93</v>
      </c>
      <c r="E213" s="171" t="s">
        <v>319</v>
      </c>
    </row>
    <row r="214" spans="1:5" ht="15.5" customHeight="1" x14ac:dyDescent="0.3">
      <c r="A214" s="190" t="s">
        <v>42</v>
      </c>
      <c r="B214" s="194">
        <v>1</v>
      </c>
      <c r="C214" s="194">
        <f>B214</f>
        <v>1</v>
      </c>
      <c r="D214" s="173" t="s">
        <v>93</v>
      </c>
      <c r="E214" s="195"/>
    </row>
    <row r="215" spans="1:5" ht="15.5" customHeight="1" x14ac:dyDescent="0.3">
      <c r="A215" s="190" t="s">
        <v>233</v>
      </c>
      <c r="B215" s="194"/>
      <c r="C215" s="194"/>
      <c r="D215" s="173"/>
      <c r="E215" s="195"/>
    </row>
    <row r="216" spans="1:5" ht="15.5" customHeight="1" x14ac:dyDescent="0.3">
      <c r="A216" s="81" t="str">
        <f t="shared" ref="A216:A227" si="20">A200</f>
        <v>01/04/2022-30/04/2022</v>
      </c>
      <c r="B216" s="168">
        <f t="shared" ref="B216:B227" si="21">ROUNDDOWN($B$196*$B$197*$B$198*(1-$B$213)*$B$212*$B$214*B200*B24,0)</f>
        <v>1915</v>
      </c>
      <c r="C216" s="168">
        <f t="shared" ref="C216:C227" si="22">ROUNDDOWN($C$196*$C$197*$C$198*(1-$C$213)*$C$212*$C$214*C200*C24,0)</f>
        <v>1840</v>
      </c>
      <c r="D216" s="438" t="s">
        <v>217</v>
      </c>
      <c r="E216" s="439" t="s">
        <v>28</v>
      </c>
    </row>
    <row r="217" spans="1:5" x14ac:dyDescent="0.3">
      <c r="A217" s="81" t="str">
        <f t="shared" si="20"/>
        <v>01/05/2022-31/05/2022</v>
      </c>
      <c r="B217" s="168">
        <f t="shared" si="21"/>
        <v>1965</v>
      </c>
      <c r="C217" s="168">
        <f t="shared" si="22"/>
        <v>1883</v>
      </c>
      <c r="D217" s="438"/>
      <c r="E217" s="439"/>
    </row>
    <row r="218" spans="1:5" x14ac:dyDescent="0.3">
      <c r="A218" s="81" t="str">
        <f t="shared" si="20"/>
        <v>01/06/2022-30/06/2022</v>
      </c>
      <c r="B218" s="168">
        <f t="shared" si="21"/>
        <v>1922</v>
      </c>
      <c r="C218" s="168">
        <f t="shared" si="22"/>
        <v>1836</v>
      </c>
      <c r="D218" s="438"/>
      <c r="E218" s="439"/>
    </row>
    <row r="219" spans="1:5" x14ac:dyDescent="0.3">
      <c r="A219" s="81" t="str">
        <f t="shared" si="20"/>
        <v>01/07/2022-31/07/2022</v>
      </c>
      <c r="B219" s="168">
        <f t="shared" si="21"/>
        <v>1975</v>
      </c>
      <c r="C219" s="168">
        <f t="shared" si="22"/>
        <v>1867</v>
      </c>
      <c r="D219" s="438"/>
      <c r="E219" s="439"/>
    </row>
    <row r="220" spans="1:5" x14ac:dyDescent="0.3">
      <c r="A220" s="81" t="str">
        <f t="shared" si="20"/>
        <v>01/08/2022-31/08/2022</v>
      </c>
      <c r="B220" s="168">
        <f t="shared" si="21"/>
        <v>1989</v>
      </c>
      <c r="C220" s="168">
        <f t="shared" si="22"/>
        <v>1906</v>
      </c>
      <c r="D220" s="438"/>
      <c r="E220" s="439"/>
    </row>
    <row r="221" spans="1:5" x14ac:dyDescent="0.3">
      <c r="A221" s="81" t="str">
        <f t="shared" si="20"/>
        <v>01/09/2022-30/09/2022</v>
      </c>
      <c r="B221" s="168">
        <f t="shared" si="21"/>
        <v>1952</v>
      </c>
      <c r="C221" s="168">
        <f t="shared" si="22"/>
        <v>1801</v>
      </c>
      <c r="D221" s="438"/>
      <c r="E221" s="439"/>
    </row>
    <row r="222" spans="1:5" x14ac:dyDescent="0.3">
      <c r="A222" s="81" t="str">
        <f t="shared" si="20"/>
        <v>01/10/2022-31/10/2022</v>
      </c>
      <c r="B222" s="168">
        <f t="shared" si="21"/>
        <v>2024</v>
      </c>
      <c r="C222" s="168">
        <f t="shared" si="22"/>
        <v>1864</v>
      </c>
      <c r="D222" s="438"/>
      <c r="E222" s="439"/>
    </row>
    <row r="223" spans="1:5" x14ac:dyDescent="0.3">
      <c r="A223" s="81" t="str">
        <f t="shared" si="20"/>
        <v>01/11/2022-30/11/2022</v>
      </c>
      <c r="B223" s="168">
        <f t="shared" si="21"/>
        <v>1925</v>
      </c>
      <c r="C223" s="168">
        <f t="shared" si="22"/>
        <v>1807</v>
      </c>
      <c r="D223" s="438"/>
      <c r="E223" s="439"/>
    </row>
    <row r="224" spans="1:5" x14ac:dyDescent="0.3">
      <c r="A224" s="81" t="str">
        <f t="shared" si="20"/>
        <v>01/12/2022-31/12/2022</v>
      </c>
      <c r="B224" s="168">
        <f t="shared" si="21"/>
        <v>2003</v>
      </c>
      <c r="C224" s="168">
        <f t="shared" si="22"/>
        <v>1895</v>
      </c>
      <c r="D224" s="438"/>
      <c r="E224" s="439"/>
    </row>
    <row r="225" spans="1:5" x14ac:dyDescent="0.3">
      <c r="A225" s="81" t="str">
        <f t="shared" si="20"/>
        <v>01/01/2023-31/01/2023</v>
      </c>
      <c r="B225" s="168">
        <f t="shared" si="21"/>
        <v>1996</v>
      </c>
      <c r="C225" s="168">
        <f t="shared" si="22"/>
        <v>1851</v>
      </c>
      <c r="D225" s="438"/>
      <c r="E225" s="439"/>
    </row>
    <row r="226" spans="1:5" x14ac:dyDescent="0.3">
      <c r="A226" s="81" t="str">
        <f t="shared" si="20"/>
        <v>01/02/2023-28/02/2023</v>
      </c>
      <c r="B226" s="168">
        <f t="shared" si="21"/>
        <v>1756</v>
      </c>
      <c r="C226" s="168">
        <f t="shared" si="22"/>
        <v>1693</v>
      </c>
      <c r="D226" s="438"/>
      <c r="E226" s="439"/>
    </row>
    <row r="227" spans="1:5" x14ac:dyDescent="0.3">
      <c r="A227" s="81" t="str">
        <f t="shared" si="20"/>
        <v>01/03/2023-31/03/2023</v>
      </c>
      <c r="B227" s="168">
        <f t="shared" si="21"/>
        <v>2000</v>
      </c>
      <c r="C227" s="168">
        <f t="shared" si="22"/>
        <v>1898</v>
      </c>
      <c r="D227" s="438"/>
      <c r="E227" s="439"/>
    </row>
    <row r="228" spans="1:5" x14ac:dyDescent="0.3">
      <c r="A228" s="88" t="str">
        <f>A179</f>
        <v>01/04/2022-31/12/2022</v>
      </c>
      <c r="B228" s="489">
        <f>SUM(B216:C224)</f>
        <v>34369</v>
      </c>
      <c r="C228" s="489"/>
      <c r="D228" s="438"/>
      <c r="E228" s="439"/>
    </row>
    <row r="229" spans="1:5" x14ac:dyDescent="0.3">
      <c r="A229" s="88" t="str">
        <f>A180</f>
        <v>01/01/2023-31/03/2023</v>
      </c>
      <c r="B229" s="489">
        <f>SUM(B225:C227)</f>
        <v>11194</v>
      </c>
      <c r="C229" s="489"/>
      <c r="D229" s="438"/>
      <c r="E229" s="439"/>
    </row>
    <row r="230" spans="1:5" ht="16" thickBot="1" x14ac:dyDescent="0.45">
      <c r="A230" s="109" t="s">
        <v>234</v>
      </c>
      <c r="B230" s="485">
        <f>B229+B228</f>
        <v>45563</v>
      </c>
      <c r="C230" s="485"/>
      <c r="D230" s="462"/>
      <c r="E230" s="491"/>
    </row>
    <row r="231" spans="1:5" x14ac:dyDescent="0.3">
      <c r="A231" s="63"/>
    </row>
    <row r="232" spans="1:5" ht="14" thickBot="1" x14ac:dyDescent="0.35">
      <c r="A232" s="63"/>
    </row>
    <row r="233" spans="1:5" x14ac:dyDescent="0.3">
      <c r="A233" s="97" t="s">
        <v>3</v>
      </c>
      <c r="B233" s="98" t="s">
        <v>18</v>
      </c>
      <c r="C233" s="98"/>
      <c r="D233" s="98" t="s">
        <v>2</v>
      </c>
      <c r="E233" s="165" t="s">
        <v>4</v>
      </c>
    </row>
    <row r="234" spans="1:5" ht="15.5" x14ac:dyDescent="0.4">
      <c r="A234" s="189" t="s">
        <v>225</v>
      </c>
      <c r="B234" s="27">
        <f>B196</f>
        <v>28</v>
      </c>
      <c r="C234" s="27">
        <f>C196</f>
        <v>28</v>
      </c>
      <c r="D234" s="27" t="s">
        <v>235</v>
      </c>
      <c r="E234" s="28" t="s">
        <v>127</v>
      </c>
    </row>
    <row r="235" spans="1:5" ht="14.5" x14ac:dyDescent="0.3">
      <c r="A235" s="189" t="s">
        <v>227</v>
      </c>
      <c r="B235" s="27">
        <f>'[3]Baseline Emission'!B13</f>
        <v>6.7000000000000002E-4</v>
      </c>
      <c r="C235" s="27">
        <f>'[3]Baseline Emission'!C13</f>
        <v>6.7000000000000002E-4</v>
      </c>
      <c r="D235" s="27" t="s">
        <v>228</v>
      </c>
      <c r="E235" s="28" t="s">
        <v>318</v>
      </c>
    </row>
    <row r="236" spans="1:5" x14ac:dyDescent="0.3">
      <c r="A236" s="190" t="s">
        <v>23</v>
      </c>
      <c r="B236" s="173">
        <v>1</v>
      </c>
      <c r="C236" s="173">
        <v>1</v>
      </c>
      <c r="D236" s="27" t="s">
        <v>93</v>
      </c>
      <c r="E236" s="28" t="s">
        <v>318</v>
      </c>
    </row>
    <row r="237" spans="1:5" ht="15.5" x14ac:dyDescent="0.3">
      <c r="A237" s="167" t="s">
        <v>236</v>
      </c>
      <c r="B237" s="192">
        <v>0.28999999999999998</v>
      </c>
      <c r="C237" s="173">
        <v>0.28999999999999998</v>
      </c>
      <c r="D237" s="27" t="s">
        <v>231</v>
      </c>
      <c r="E237" s="28" t="s">
        <v>7</v>
      </c>
    </row>
    <row r="238" spans="1:5" x14ac:dyDescent="0.3">
      <c r="A238" s="190" t="s">
        <v>237</v>
      </c>
      <c r="B238" s="170">
        <v>0.8</v>
      </c>
      <c r="C238" s="194">
        <v>0.8</v>
      </c>
      <c r="D238" s="27" t="s">
        <v>93</v>
      </c>
      <c r="E238" s="28" t="s">
        <v>320</v>
      </c>
    </row>
    <row r="239" spans="1:5" x14ac:dyDescent="0.3">
      <c r="A239" s="190" t="s">
        <v>237</v>
      </c>
      <c r="B239" s="170">
        <v>0.2</v>
      </c>
      <c r="C239" s="170">
        <v>0.2</v>
      </c>
      <c r="D239" s="173" t="s">
        <v>93</v>
      </c>
      <c r="E239" s="28" t="s">
        <v>320</v>
      </c>
    </row>
    <row r="240" spans="1:5" x14ac:dyDescent="0.3">
      <c r="A240" s="190" t="s">
        <v>42</v>
      </c>
      <c r="B240" s="170">
        <v>1</v>
      </c>
      <c r="C240" s="170">
        <v>1</v>
      </c>
      <c r="D240" s="173" t="s">
        <v>93</v>
      </c>
      <c r="E240" s="28"/>
    </row>
    <row r="241" spans="1:5" ht="15.5" x14ac:dyDescent="0.3">
      <c r="A241" s="190" t="s">
        <v>238</v>
      </c>
      <c r="B241" s="170"/>
      <c r="C241" s="170"/>
      <c r="D241" s="173"/>
      <c r="E241" s="28"/>
    </row>
    <row r="242" spans="1:5" ht="15.5" customHeight="1" x14ac:dyDescent="0.3">
      <c r="A242" s="81" t="str">
        <f t="shared" ref="A242:A255" si="23">A216</f>
        <v>01/04/2022-30/04/2022</v>
      </c>
      <c r="B242" s="168">
        <f t="shared" ref="B242:B253" si="24">ROUNDUP($B$234*$B$235*$B$236*(1-$B$238)*(1-$B$239)*$B$237*$B$240*B200*B24,0)</f>
        <v>2044</v>
      </c>
      <c r="C242" s="168">
        <f t="shared" ref="C242:C253" si="25">ROUNDUP($C$234*$C$235*$C$236*(1-$C$238)*(1-$C$239)*$C$237*$C$240*C200*C24,0)</f>
        <v>1964</v>
      </c>
      <c r="D242" s="469" t="s">
        <v>217</v>
      </c>
      <c r="E242" s="487" t="s">
        <v>109</v>
      </c>
    </row>
    <row r="243" spans="1:5" ht="12.5" customHeight="1" x14ac:dyDescent="0.3">
      <c r="A243" s="81" t="str">
        <f t="shared" si="23"/>
        <v>01/05/2022-31/05/2022</v>
      </c>
      <c r="B243" s="168">
        <f t="shared" si="24"/>
        <v>2097</v>
      </c>
      <c r="C243" s="168">
        <f t="shared" si="25"/>
        <v>2009</v>
      </c>
      <c r="D243" s="469"/>
      <c r="E243" s="487"/>
    </row>
    <row r="244" spans="1:5" ht="12.5" customHeight="1" x14ac:dyDescent="0.3">
      <c r="A244" s="81" t="str">
        <f t="shared" si="23"/>
        <v>01/06/2022-30/06/2022</v>
      </c>
      <c r="B244" s="168">
        <f t="shared" si="24"/>
        <v>2051</v>
      </c>
      <c r="C244" s="168">
        <f t="shared" si="25"/>
        <v>1960</v>
      </c>
      <c r="D244" s="469"/>
      <c r="E244" s="487"/>
    </row>
    <row r="245" spans="1:5" ht="12.5" customHeight="1" x14ac:dyDescent="0.3">
      <c r="A245" s="81" t="str">
        <f t="shared" si="23"/>
        <v>01/07/2022-31/07/2022</v>
      </c>
      <c r="B245" s="168">
        <f t="shared" si="24"/>
        <v>2108</v>
      </c>
      <c r="C245" s="168">
        <f t="shared" si="25"/>
        <v>1992</v>
      </c>
      <c r="D245" s="469"/>
      <c r="E245" s="487"/>
    </row>
    <row r="246" spans="1:5" ht="12.5" customHeight="1" x14ac:dyDescent="0.3">
      <c r="A246" s="81" t="str">
        <f t="shared" si="23"/>
        <v>01/08/2022-31/08/2022</v>
      </c>
      <c r="B246" s="168">
        <f t="shared" si="24"/>
        <v>2123</v>
      </c>
      <c r="C246" s="168">
        <f t="shared" si="25"/>
        <v>2035</v>
      </c>
      <c r="D246" s="469"/>
      <c r="E246" s="487"/>
    </row>
    <row r="247" spans="1:5" ht="12.5" customHeight="1" x14ac:dyDescent="0.3">
      <c r="A247" s="81" t="str">
        <f t="shared" si="23"/>
        <v>01/09/2022-30/09/2022</v>
      </c>
      <c r="B247" s="168">
        <f t="shared" si="24"/>
        <v>2083</v>
      </c>
      <c r="C247" s="168">
        <f t="shared" si="25"/>
        <v>1922</v>
      </c>
      <c r="D247" s="469"/>
      <c r="E247" s="487"/>
    </row>
    <row r="248" spans="1:5" ht="12.5" customHeight="1" x14ac:dyDescent="0.3">
      <c r="A248" s="81" t="str">
        <f t="shared" si="23"/>
        <v>01/10/2022-31/10/2022</v>
      </c>
      <c r="B248" s="168">
        <f t="shared" si="24"/>
        <v>2160</v>
      </c>
      <c r="C248" s="168">
        <f t="shared" si="25"/>
        <v>1990</v>
      </c>
      <c r="D248" s="469"/>
      <c r="E248" s="487"/>
    </row>
    <row r="249" spans="1:5" ht="12.5" customHeight="1" x14ac:dyDescent="0.3">
      <c r="A249" s="81" t="str">
        <f t="shared" si="23"/>
        <v>01/11/2022-30/11/2022</v>
      </c>
      <c r="B249" s="168">
        <f t="shared" si="24"/>
        <v>2054</v>
      </c>
      <c r="C249" s="168">
        <f t="shared" si="25"/>
        <v>1929</v>
      </c>
      <c r="D249" s="469"/>
      <c r="E249" s="487"/>
    </row>
    <row r="250" spans="1:5" ht="12.5" customHeight="1" x14ac:dyDescent="0.3">
      <c r="A250" s="81" t="str">
        <f t="shared" si="23"/>
        <v>01/12/2022-31/12/2022</v>
      </c>
      <c r="B250" s="168">
        <f t="shared" si="24"/>
        <v>2138</v>
      </c>
      <c r="C250" s="168">
        <f t="shared" si="25"/>
        <v>2022</v>
      </c>
      <c r="D250" s="469"/>
      <c r="E250" s="487"/>
    </row>
    <row r="251" spans="1:5" ht="12.5" customHeight="1" x14ac:dyDescent="0.3">
      <c r="A251" s="81" t="str">
        <f t="shared" si="23"/>
        <v>01/01/2023-31/01/2023</v>
      </c>
      <c r="B251" s="168">
        <f t="shared" si="24"/>
        <v>2130</v>
      </c>
      <c r="C251" s="168">
        <f t="shared" si="25"/>
        <v>1976</v>
      </c>
      <c r="D251" s="469"/>
      <c r="E251" s="487"/>
    </row>
    <row r="252" spans="1:5" ht="12.5" customHeight="1" x14ac:dyDescent="0.3">
      <c r="A252" s="81" t="str">
        <f t="shared" si="23"/>
        <v>01/02/2023-28/02/2023</v>
      </c>
      <c r="B252" s="168">
        <f t="shared" si="24"/>
        <v>1874</v>
      </c>
      <c r="C252" s="168">
        <f t="shared" si="25"/>
        <v>1806</v>
      </c>
      <c r="D252" s="469"/>
      <c r="E252" s="487"/>
    </row>
    <row r="253" spans="1:5" ht="12.5" customHeight="1" x14ac:dyDescent="0.3">
      <c r="A253" s="81" t="str">
        <f t="shared" si="23"/>
        <v>01/03/2023-31/03/2023</v>
      </c>
      <c r="B253" s="168">
        <f t="shared" si="24"/>
        <v>2134</v>
      </c>
      <c r="C253" s="168">
        <f t="shared" si="25"/>
        <v>2026</v>
      </c>
      <c r="D253" s="469"/>
      <c r="E253" s="487"/>
    </row>
    <row r="254" spans="1:5" ht="12.5" customHeight="1" x14ac:dyDescent="0.3">
      <c r="A254" s="88" t="str">
        <f t="shared" si="23"/>
        <v>01/04/2022-31/12/2022</v>
      </c>
      <c r="B254" s="489">
        <f>SUM(B242:C250)</f>
        <v>36681</v>
      </c>
      <c r="C254" s="489"/>
      <c r="D254" s="469"/>
      <c r="E254" s="487"/>
    </row>
    <row r="255" spans="1:5" ht="12.5" customHeight="1" x14ac:dyDescent="0.3">
      <c r="A255" s="88" t="str">
        <f t="shared" si="23"/>
        <v>01/01/2023-31/03/2023</v>
      </c>
      <c r="B255" s="489">
        <f>SUM(B251:C253)</f>
        <v>11946</v>
      </c>
      <c r="C255" s="489"/>
      <c r="D255" s="469"/>
      <c r="E255" s="487"/>
    </row>
    <row r="256" spans="1:5" ht="16" thickBot="1" x14ac:dyDescent="0.45">
      <c r="A256" s="109" t="s">
        <v>239</v>
      </c>
      <c r="B256" s="485">
        <f>B255+B254</f>
        <v>48627</v>
      </c>
      <c r="C256" s="485"/>
      <c r="D256" s="470"/>
      <c r="E256" s="488"/>
    </row>
    <row r="257" spans="1:6" x14ac:dyDescent="0.3">
      <c r="A257" s="63"/>
    </row>
    <row r="258" spans="1:6" ht="14" thickBot="1" x14ac:dyDescent="0.35"/>
    <row r="259" spans="1:6" ht="15.5" x14ac:dyDescent="0.4">
      <c r="A259" s="196" t="s">
        <v>234</v>
      </c>
      <c r="B259" s="347">
        <f>B261+B260</f>
        <v>45563</v>
      </c>
      <c r="C259" s="132" t="s">
        <v>261</v>
      </c>
      <c r="D259" s="40"/>
    </row>
    <row r="260" spans="1:6" ht="15.5" x14ac:dyDescent="0.4">
      <c r="A260" s="107" t="str">
        <f>A254</f>
        <v>01/04/2022-31/12/2022</v>
      </c>
      <c r="B260" s="345">
        <f>B228</f>
        <v>34369</v>
      </c>
      <c r="C260" s="133" t="s">
        <v>261</v>
      </c>
      <c r="D260" s="40"/>
    </row>
    <row r="261" spans="1:6" ht="15.5" x14ac:dyDescent="0.4">
      <c r="A261" s="107" t="str">
        <f>A255</f>
        <v>01/01/2023-31/03/2023</v>
      </c>
      <c r="B261" s="345">
        <f>B229</f>
        <v>11194</v>
      </c>
      <c r="C261" s="133" t="s">
        <v>261</v>
      </c>
      <c r="D261" s="40"/>
    </row>
    <row r="262" spans="1:6" ht="15.5" x14ac:dyDescent="0.4">
      <c r="A262" s="197" t="s">
        <v>240</v>
      </c>
      <c r="B262" s="345">
        <f>B264+B263</f>
        <v>48627</v>
      </c>
      <c r="C262" s="133" t="s">
        <v>261</v>
      </c>
      <c r="D262" s="40"/>
      <c r="F262" s="39"/>
    </row>
    <row r="263" spans="1:6" ht="15.5" x14ac:dyDescent="0.4">
      <c r="A263" s="107" t="str">
        <f>A260</f>
        <v>01/04/2022-31/12/2022</v>
      </c>
      <c r="B263" s="345">
        <f>B254</f>
        <v>36681</v>
      </c>
      <c r="C263" s="133" t="s">
        <v>261</v>
      </c>
      <c r="D263" s="40"/>
      <c r="F263" s="39"/>
    </row>
    <row r="264" spans="1:6" ht="15.5" x14ac:dyDescent="0.4">
      <c r="A264" s="107" t="str">
        <f>A261</f>
        <v>01/01/2023-31/03/2023</v>
      </c>
      <c r="B264" s="345">
        <f>B255</f>
        <v>11946</v>
      </c>
      <c r="C264" s="133" t="s">
        <v>261</v>
      </c>
      <c r="D264" s="40"/>
      <c r="F264" s="39"/>
    </row>
    <row r="265" spans="1:6" ht="15.5" x14ac:dyDescent="0.4">
      <c r="A265" s="197" t="s">
        <v>218</v>
      </c>
      <c r="B265" s="345">
        <f>B267+B266</f>
        <v>2045</v>
      </c>
      <c r="C265" s="133" t="s">
        <v>261</v>
      </c>
      <c r="D265" s="40"/>
      <c r="E265" s="198"/>
    </row>
    <row r="266" spans="1:6" ht="15.5" x14ac:dyDescent="0.4">
      <c r="A266" s="107" t="str">
        <f>A260</f>
        <v>01/04/2022-31/12/2022</v>
      </c>
      <c r="B266" s="345">
        <f>B104</f>
        <v>1543</v>
      </c>
      <c r="C266" s="133" t="s">
        <v>261</v>
      </c>
      <c r="D266" s="40"/>
      <c r="E266" s="198"/>
    </row>
    <row r="267" spans="1:6" ht="15.5" x14ac:dyDescent="0.4">
      <c r="A267" s="107" t="str">
        <f>A261</f>
        <v>01/01/2023-31/03/2023</v>
      </c>
      <c r="B267" s="345">
        <f>B105</f>
        <v>502</v>
      </c>
      <c r="C267" s="133" t="s">
        <v>261</v>
      </c>
      <c r="D267" s="40"/>
      <c r="E267" s="198"/>
    </row>
    <row r="268" spans="1:6" ht="15.5" x14ac:dyDescent="0.4">
      <c r="A268" s="197" t="s">
        <v>224</v>
      </c>
      <c r="B268" s="345">
        <f>B270+B269</f>
        <v>7345</v>
      </c>
      <c r="C268" s="133" t="s">
        <v>261</v>
      </c>
    </row>
    <row r="269" spans="1:6" ht="15.5" x14ac:dyDescent="0.4">
      <c r="A269" s="107" t="str">
        <f>A266</f>
        <v>01/04/2022-31/12/2022</v>
      </c>
      <c r="B269" s="345">
        <f>B179</f>
        <v>5540</v>
      </c>
      <c r="C269" s="133" t="s">
        <v>261</v>
      </c>
    </row>
    <row r="270" spans="1:6" ht="16" thickBot="1" x14ac:dyDescent="0.45">
      <c r="A270" s="357" t="str">
        <f>A267</f>
        <v>01/01/2023-31/03/2023</v>
      </c>
      <c r="B270" s="346">
        <f>B180</f>
        <v>1805</v>
      </c>
      <c r="C270" s="354" t="s">
        <v>261</v>
      </c>
    </row>
    <row r="271" spans="1:6" x14ac:dyDescent="0.3">
      <c r="A271" s="199"/>
      <c r="B271" s="200"/>
    </row>
    <row r="272" spans="1:6" x14ac:dyDescent="0.3">
      <c r="A272" s="199"/>
      <c r="B272" s="200"/>
    </row>
    <row r="273" spans="1:5" x14ac:dyDescent="0.3">
      <c r="A273" s="199"/>
      <c r="B273" s="200"/>
    </row>
    <row r="274" spans="1:5" x14ac:dyDescent="0.3">
      <c r="A274" s="199"/>
      <c r="B274" s="200"/>
    </row>
    <row r="275" spans="1:5" ht="14" thickBot="1" x14ac:dyDescent="0.35"/>
    <row r="276" spans="1:5" ht="15.5" x14ac:dyDescent="0.4">
      <c r="A276" s="196" t="s">
        <v>112</v>
      </c>
      <c r="B276" s="358">
        <f>B278+B277</f>
        <v>8364</v>
      </c>
      <c r="C276" s="132" t="s">
        <v>261</v>
      </c>
    </row>
    <row r="277" spans="1:5" ht="15.5" x14ac:dyDescent="0.4">
      <c r="A277" s="107" t="str">
        <f>A269</f>
        <v>01/04/2022-31/12/2022</v>
      </c>
      <c r="B277" s="359">
        <f>B269-B266+B263-B260</f>
        <v>6309</v>
      </c>
      <c r="C277" s="133" t="s">
        <v>261</v>
      </c>
    </row>
    <row r="278" spans="1:5" ht="16" thickBot="1" x14ac:dyDescent="0.45">
      <c r="A278" s="357" t="str">
        <f>A270</f>
        <v>01/01/2023-31/03/2023</v>
      </c>
      <c r="B278" s="360">
        <f>B270-B267+B264-B261</f>
        <v>2055</v>
      </c>
      <c r="C278" s="354" t="s">
        <v>261</v>
      </c>
    </row>
    <row r="279" spans="1:5" x14ac:dyDescent="0.3">
      <c r="A279" s="63"/>
      <c r="B279" s="201"/>
    </row>
    <row r="280" spans="1:5" x14ac:dyDescent="0.3">
      <c r="A280" s="63"/>
      <c r="B280" s="201"/>
    </row>
    <row r="281" spans="1:5" x14ac:dyDescent="0.3">
      <c r="A281" s="63"/>
      <c r="B281" s="201"/>
    </row>
    <row r="282" spans="1:5" x14ac:dyDescent="0.3">
      <c r="C282" s="134"/>
    </row>
    <row r="287" spans="1:5" x14ac:dyDescent="0.3">
      <c r="A287" s="202" t="s">
        <v>241</v>
      </c>
      <c r="B287" s="203"/>
      <c r="C287" s="203"/>
      <c r="D287" s="204"/>
      <c r="E287" s="204"/>
    </row>
    <row r="288" spans="1:5" x14ac:dyDescent="0.3">
      <c r="A288" s="205" t="s">
        <v>3</v>
      </c>
      <c r="B288" s="205" t="s">
        <v>18</v>
      </c>
      <c r="C288" s="205"/>
      <c r="D288" s="205" t="s">
        <v>2</v>
      </c>
      <c r="E288" s="205" t="s">
        <v>4</v>
      </c>
    </row>
    <row r="289" spans="1:5" x14ac:dyDescent="0.3">
      <c r="A289" s="205"/>
      <c r="B289" s="205" t="str">
        <f>'[3]Baseline Emission'!B10</f>
        <v>Market Swine</v>
      </c>
      <c r="C289" s="205" t="str">
        <f>'[3]Baseline Emission'!C10</f>
        <v>Breeding Swine</v>
      </c>
      <c r="D289" s="205"/>
      <c r="E289" s="205"/>
    </row>
    <row r="290" spans="1:5" x14ac:dyDescent="0.3">
      <c r="A290" s="206" t="s">
        <v>242</v>
      </c>
      <c r="B290" s="207">
        <v>0.01</v>
      </c>
      <c r="C290" s="208">
        <v>0.02</v>
      </c>
      <c r="D290" s="203" t="s">
        <v>15</v>
      </c>
      <c r="E290" s="209" t="s">
        <v>7</v>
      </c>
    </row>
    <row r="291" spans="1:5" ht="15.5" x14ac:dyDescent="0.3">
      <c r="A291" s="206" t="s">
        <v>243</v>
      </c>
      <c r="B291" s="210"/>
      <c r="C291" s="210"/>
      <c r="D291" s="203" t="s">
        <v>16</v>
      </c>
      <c r="E291" s="204" t="s">
        <v>26</v>
      </c>
    </row>
    <row r="292" spans="1:5" x14ac:dyDescent="0.3">
      <c r="A292" s="211" t="s">
        <v>23</v>
      </c>
      <c r="B292" s="210"/>
      <c r="C292" s="210"/>
      <c r="D292" s="203"/>
      <c r="E292" s="204" t="s">
        <v>7</v>
      </c>
    </row>
    <row r="293" spans="1:5" x14ac:dyDescent="0.3">
      <c r="A293" s="211" t="s">
        <v>244</v>
      </c>
      <c r="B293" s="212"/>
      <c r="C293" s="208"/>
      <c r="D293" s="203" t="s">
        <v>17</v>
      </c>
      <c r="E293" s="204" t="s">
        <v>7</v>
      </c>
    </row>
    <row r="294" spans="1:5" x14ac:dyDescent="0.3">
      <c r="A294" s="211" t="s">
        <v>24</v>
      </c>
      <c r="B294" s="213"/>
      <c r="C294" s="213"/>
      <c r="D294" s="203"/>
      <c r="E294" s="204" t="s">
        <v>30</v>
      </c>
    </row>
    <row r="295" spans="1:5" x14ac:dyDescent="0.3">
      <c r="A295" s="214" t="s">
        <v>20</v>
      </c>
      <c r="B295" s="215"/>
      <c r="C295" s="215"/>
      <c r="D295" s="202"/>
      <c r="E295" s="202" t="s">
        <v>28</v>
      </c>
    </row>
    <row r="296" spans="1:5" x14ac:dyDescent="0.3">
      <c r="A296" s="202" t="s">
        <v>25</v>
      </c>
      <c r="B296" s="216"/>
      <c r="C296" s="205"/>
      <c r="D296" s="202"/>
      <c r="E296" s="202"/>
    </row>
  </sheetData>
  <mergeCells count="53">
    <mergeCell ref="E131:E181"/>
    <mergeCell ref="B145:C145"/>
    <mergeCell ref="E242:E256"/>
    <mergeCell ref="B255:C255"/>
    <mergeCell ref="B256:C256"/>
    <mergeCell ref="E199:E211"/>
    <mergeCell ref="D216:D230"/>
    <mergeCell ref="E216:E230"/>
    <mergeCell ref="B229:C229"/>
    <mergeCell ref="B230:C230"/>
    <mergeCell ref="B228:C228"/>
    <mergeCell ref="B254:C254"/>
    <mergeCell ref="B146:C146"/>
    <mergeCell ref="D179:D181"/>
    <mergeCell ref="B160:C160"/>
    <mergeCell ref="B178:C178"/>
    <mergeCell ref="B177:C177"/>
    <mergeCell ref="B162:C162"/>
    <mergeCell ref="B181:C181"/>
    <mergeCell ref="B161:C161"/>
    <mergeCell ref="B179:C179"/>
    <mergeCell ref="B180:C180"/>
    <mergeCell ref="E72:E87"/>
    <mergeCell ref="B86:C86"/>
    <mergeCell ref="B87:C87"/>
    <mergeCell ref="B72:C72"/>
    <mergeCell ref="E104:E106"/>
    <mergeCell ref="E88:E103"/>
    <mergeCell ref="B102:C102"/>
    <mergeCell ref="B103:C103"/>
    <mergeCell ref="B88:C88"/>
    <mergeCell ref="D23:D35"/>
    <mergeCell ref="E23:E35"/>
    <mergeCell ref="D36:D48"/>
    <mergeCell ref="E36:E48"/>
    <mergeCell ref="D56:D71"/>
    <mergeCell ref="E56:E71"/>
    <mergeCell ref="D199:D211"/>
    <mergeCell ref="D242:D256"/>
    <mergeCell ref="B69:C69"/>
    <mergeCell ref="B85:C85"/>
    <mergeCell ref="B101:C101"/>
    <mergeCell ref="B104:C104"/>
    <mergeCell ref="B144:C144"/>
    <mergeCell ref="B70:C70"/>
    <mergeCell ref="B71:C71"/>
    <mergeCell ref="B105:C105"/>
    <mergeCell ref="D72:D87"/>
    <mergeCell ref="B106:C106"/>
    <mergeCell ref="D88:D103"/>
    <mergeCell ref="D104:D106"/>
    <mergeCell ref="D131:D178"/>
    <mergeCell ref="B176:C176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45C9-9E4A-4316-8D78-9C8B5BFAAC9D}">
  <dimension ref="B3:K16"/>
  <sheetViews>
    <sheetView workbookViewId="0">
      <selection activeCell="F5" sqref="F5"/>
    </sheetView>
  </sheetViews>
  <sheetFormatPr defaultRowHeight="13.5" x14ac:dyDescent="0.3"/>
  <cols>
    <col min="1" max="1" width="8.7265625" style="3"/>
    <col min="2" max="2" width="27.6328125" style="3" bestFit="1" customWidth="1"/>
    <col min="3" max="3" width="29.36328125" style="3" bestFit="1" customWidth="1"/>
    <col min="4" max="4" width="26.54296875" style="3" bestFit="1" customWidth="1"/>
    <col min="5" max="5" width="28.36328125" style="3" bestFit="1" customWidth="1"/>
    <col min="6" max="6" width="31.1796875" style="3" bestFit="1" customWidth="1"/>
    <col min="7" max="7" width="17.90625" style="3" customWidth="1"/>
    <col min="8" max="8" width="12.1796875" style="3" customWidth="1"/>
    <col min="9" max="9" width="10.7265625" style="3" customWidth="1"/>
    <col min="10" max="10" width="9.26953125" style="3" bestFit="1" customWidth="1"/>
    <col min="11" max="16384" width="8.7265625" style="3"/>
  </cols>
  <sheetData>
    <row r="3" spans="2:11" ht="14" thickBot="1" x14ac:dyDescent="0.35"/>
    <row r="4" spans="2:11" ht="15.5" x14ac:dyDescent="0.3">
      <c r="B4" s="152" t="s">
        <v>116</v>
      </c>
      <c r="C4" s="153" t="s">
        <v>201</v>
      </c>
      <c r="D4" s="153" t="s">
        <v>202</v>
      </c>
      <c r="E4" s="153" t="s">
        <v>203</v>
      </c>
      <c r="F4" s="154" t="s">
        <v>204</v>
      </c>
    </row>
    <row r="5" spans="2:11" x14ac:dyDescent="0.3">
      <c r="B5" s="155" t="str">
        <f>'Baseline emission'!A238</f>
        <v>01/04/2022-31/12/2022</v>
      </c>
      <c r="C5" s="156">
        <f>'Baseline emission'!B238</f>
        <v>174518</v>
      </c>
      <c r="D5" s="157">
        <f>'Project emission'!B265</f>
        <v>16164</v>
      </c>
      <c r="E5" s="158">
        <f>'Leakage emission'!B277</f>
        <v>6309</v>
      </c>
      <c r="F5" s="159">
        <f>C5-D5-E5</f>
        <v>152045</v>
      </c>
    </row>
    <row r="6" spans="2:11" x14ac:dyDescent="0.3">
      <c r="B6" s="155" t="str">
        <f>'Baseline emission'!A239</f>
        <v>01/01/2023-31/03/2023</v>
      </c>
      <c r="C6" s="156">
        <f>'Baseline emission'!B239</f>
        <v>56838</v>
      </c>
      <c r="D6" s="157">
        <f>'Project emission'!B266</f>
        <v>5360</v>
      </c>
      <c r="E6" s="158">
        <f>'Leakage emission'!B278</f>
        <v>2055</v>
      </c>
      <c r="F6" s="159">
        <f t="shared" ref="F6" si="0">C6-D6-E6</f>
        <v>49423</v>
      </c>
    </row>
    <row r="7" spans="2:11" ht="14" thickBot="1" x14ac:dyDescent="0.35">
      <c r="B7" s="160" t="s">
        <v>134</v>
      </c>
      <c r="C7" s="161">
        <f>SUM(C5:C6)</f>
        <v>231356</v>
      </c>
      <c r="D7" s="161">
        <f>SUM(D5:D6)</f>
        <v>21524</v>
      </c>
      <c r="E7" s="161">
        <f>SUM(E5:E6)</f>
        <v>8364</v>
      </c>
      <c r="F7" s="162">
        <f>SUM(F5:F6)</f>
        <v>201468</v>
      </c>
      <c r="G7" s="163"/>
    </row>
    <row r="10" spans="2:11" x14ac:dyDescent="0.3">
      <c r="F10" s="135"/>
    </row>
    <row r="11" spans="2:11" x14ac:dyDescent="0.3">
      <c r="E11" s="12"/>
      <c r="F11" s="492"/>
      <c r="J11" s="135"/>
    </row>
    <row r="12" spans="2:11" x14ac:dyDescent="0.3">
      <c r="E12" s="164"/>
      <c r="F12" s="492"/>
      <c r="J12" s="135"/>
    </row>
    <row r="13" spans="2:11" x14ac:dyDescent="0.3">
      <c r="E13" s="12"/>
      <c r="F13" s="492"/>
      <c r="G13" s="41"/>
      <c r="J13" s="135"/>
      <c r="K13" s="48"/>
    </row>
    <row r="16" spans="2:11" x14ac:dyDescent="0.3">
      <c r="F16" s="135"/>
    </row>
  </sheetData>
  <mergeCells count="1">
    <mergeCell ref="F11:F13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96"/>
  <sheetViews>
    <sheetView tabSelected="1" topLeftCell="A52" zoomScale="80" zoomScaleNormal="80" workbookViewId="0">
      <selection activeCell="E70" sqref="E70"/>
    </sheetView>
  </sheetViews>
  <sheetFormatPr defaultRowHeight="13.5" x14ac:dyDescent="0.3"/>
  <cols>
    <col min="1" max="1" width="25.6328125" style="3" bestFit="1" customWidth="1"/>
    <col min="2" max="2" width="18.90625" style="3" customWidth="1"/>
    <col min="3" max="3" width="17.08984375" style="3" customWidth="1"/>
    <col min="4" max="4" width="15.7265625" style="3" customWidth="1"/>
    <col min="5" max="5" width="19.1796875" style="3" customWidth="1"/>
    <col min="6" max="6" width="17.453125" style="3" customWidth="1"/>
    <col min="7" max="7" width="16.7265625" style="3" customWidth="1"/>
    <col min="8" max="8" width="25.08984375" style="3" customWidth="1"/>
    <col min="9" max="9" width="15.36328125" style="3" customWidth="1"/>
    <col min="10" max="10" width="16.08984375" style="3" customWidth="1"/>
    <col min="11" max="11" width="17.6328125" style="3" customWidth="1"/>
    <col min="12" max="12" width="18.08984375" style="3" bestFit="1" customWidth="1"/>
    <col min="13" max="13" width="18.6328125" style="3" bestFit="1" customWidth="1"/>
    <col min="14" max="14" width="15.54296875" style="3" customWidth="1"/>
    <col min="15" max="15" width="14.08984375" style="3" bestFit="1" customWidth="1"/>
    <col min="16" max="16" width="16.1796875" style="3" customWidth="1"/>
    <col min="17" max="17" width="14.26953125" style="3" customWidth="1"/>
    <col min="18" max="18" width="14.7265625" style="3" customWidth="1"/>
    <col min="19" max="19" width="14.1796875" style="3" customWidth="1"/>
    <col min="20" max="20" width="14.6328125" style="3" customWidth="1"/>
    <col min="21" max="21" width="15.08984375" style="3" customWidth="1"/>
    <col min="22" max="22" width="14.1796875" style="3" customWidth="1"/>
    <col min="23" max="23" width="16.1796875" style="3" customWidth="1"/>
    <col min="24" max="16384" width="8.7265625" style="3"/>
  </cols>
  <sheetData>
    <row r="1" spans="1:18" ht="49" customHeight="1" x14ac:dyDescent="0.4">
      <c r="A1" s="493" t="s">
        <v>321</v>
      </c>
      <c r="B1" s="494"/>
      <c r="C1" s="494"/>
      <c r="D1" s="494"/>
      <c r="E1" s="495"/>
      <c r="H1" s="569" t="s">
        <v>371</v>
      </c>
      <c r="I1" s="572"/>
      <c r="J1" s="573" t="s">
        <v>407</v>
      </c>
      <c r="K1" s="574" t="s">
        <v>149</v>
      </c>
      <c r="L1" s="574" t="s">
        <v>393</v>
      </c>
      <c r="M1" s="575" t="s">
        <v>151</v>
      </c>
      <c r="N1" s="575" t="s">
        <v>152</v>
      </c>
      <c r="O1" s="575" t="s">
        <v>153</v>
      </c>
      <c r="P1" s="575" t="s">
        <v>154</v>
      </c>
      <c r="Q1" s="575" t="s">
        <v>155</v>
      </c>
      <c r="R1" s="576" t="s">
        <v>156</v>
      </c>
    </row>
    <row r="2" spans="1:18" ht="15.5" x14ac:dyDescent="0.4">
      <c r="A2" s="496" t="s">
        <v>133</v>
      </c>
      <c r="B2" s="456" t="s">
        <v>157</v>
      </c>
      <c r="C2" s="456"/>
      <c r="D2" s="456" t="s">
        <v>158</v>
      </c>
      <c r="E2" s="457"/>
      <c r="H2" s="570" t="s">
        <v>133</v>
      </c>
      <c r="I2" s="571" t="s">
        <v>372</v>
      </c>
      <c r="J2" s="377" t="s">
        <v>405</v>
      </c>
      <c r="K2" s="100" t="s">
        <v>405</v>
      </c>
      <c r="L2" s="100" t="s">
        <v>405</v>
      </c>
      <c r="M2" s="100" t="s">
        <v>405</v>
      </c>
      <c r="N2" s="100" t="s">
        <v>405</v>
      </c>
      <c r="O2" s="100" t="s">
        <v>405</v>
      </c>
      <c r="P2" s="100" t="s">
        <v>405</v>
      </c>
      <c r="Q2" s="100" t="s">
        <v>405</v>
      </c>
      <c r="R2" s="166" t="s">
        <v>405</v>
      </c>
    </row>
    <row r="3" spans="1:18" x14ac:dyDescent="0.3">
      <c r="A3" s="497"/>
      <c r="B3" s="27" t="s">
        <v>32</v>
      </c>
      <c r="C3" s="27" t="s">
        <v>103</v>
      </c>
      <c r="D3" s="27" t="s">
        <v>32</v>
      </c>
      <c r="E3" s="28" t="s">
        <v>103</v>
      </c>
      <c r="H3" s="563"/>
      <c r="I3" s="27" t="s">
        <v>32</v>
      </c>
      <c r="J3" s="566" t="s">
        <v>32</v>
      </c>
      <c r="K3" s="27" t="s">
        <v>32</v>
      </c>
      <c r="L3" s="27" t="s">
        <v>32</v>
      </c>
      <c r="M3" s="27" t="s">
        <v>32</v>
      </c>
      <c r="N3" s="27" t="s">
        <v>32</v>
      </c>
      <c r="O3" s="27" t="s">
        <v>32</v>
      </c>
      <c r="P3" s="27" t="s">
        <v>32</v>
      </c>
      <c r="Q3" s="27" t="s">
        <v>32</v>
      </c>
      <c r="R3" s="28" t="s">
        <v>32</v>
      </c>
    </row>
    <row r="4" spans="1:18" x14ac:dyDescent="0.3">
      <c r="A4" s="29" t="s">
        <v>329</v>
      </c>
      <c r="B4" s="378">
        <f>SUM(J17:R17)</f>
        <v>127447</v>
      </c>
      <c r="C4" s="27">
        <f>'2022.04'!E138</f>
        <v>94180</v>
      </c>
      <c r="D4" s="30">
        <f>'2022.04'!C142</f>
        <v>57.3</v>
      </c>
      <c r="E4" s="149">
        <f>'2022.04'!D142</f>
        <v>74.5</v>
      </c>
      <c r="G4" s="31"/>
      <c r="H4" s="564" t="str">
        <f>A4</f>
        <v>01/04/2022-30/04/2022</v>
      </c>
      <c r="I4" s="378">
        <f>SUM(J4:R4)</f>
        <v>21420</v>
      </c>
      <c r="J4" s="567">
        <v>357</v>
      </c>
      <c r="K4" s="559">
        <v>1041</v>
      </c>
      <c r="L4" s="559">
        <v>3772</v>
      </c>
      <c r="M4" s="559">
        <v>4713</v>
      </c>
      <c r="N4" s="559">
        <v>1505</v>
      </c>
      <c r="O4" s="559">
        <v>4285</v>
      </c>
      <c r="P4" s="559">
        <v>4460</v>
      </c>
      <c r="Q4" s="559">
        <v>320</v>
      </c>
      <c r="R4" s="560">
        <v>967</v>
      </c>
    </row>
    <row r="5" spans="1:18" x14ac:dyDescent="0.3">
      <c r="A5" s="29" t="s">
        <v>330</v>
      </c>
      <c r="B5" s="378">
        <f>B4</f>
        <v>127447</v>
      </c>
      <c r="C5" s="27">
        <f>'2022.05'!E138</f>
        <v>93502</v>
      </c>
      <c r="D5" s="30">
        <f>'2022.05'!C142</f>
        <v>56.9</v>
      </c>
      <c r="E5" s="149">
        <f>'2022.05'!D142</f>
        <v>74.3</v>
      </c>
      <c r="G5" s="31"/>
      <c r="H5" s="564" t="str">
        <f t="shared" ref="H5:H15" si="0">A5</f>
        <v>01/05/2022-31/05/2022</v>
      </c>
      <c r="I5" s="378">
        <f t="shared" ref="I5:I15" si="1">SUM(J5:R5)</f>
        <v>21604</v>
      </c>
      <c r="J5" s="567">
        <v>340</v>
      </c>
      <c r="K5" s="559">
        <v>1074</v>
      </c>
      <c r="L5" s="559">
        <v>3791</v>
      </c>
      <c r="M5" s="559">
        <v>4791</v>
      </c>
      <c r="N5" s="559">
        <v>1529</v>
      </c>
      <c r="O5" s="559">
        <v>4289</v>
      </c>
      <c r="P5" s="559">
        <v>4488</v>
      </c>
      <c r="Q5" s="559">
        <v>325</v>
      </c>
      <c r="R5" s="560">
        <v>977</v>
      </c>
    </row>
    <row r="6" spans="1:18" x14ac:dyDescent="0.3">
      <c r="A6" s="29" t="s">
        <v>331</v>
      </c>
      <c r="B6" s="378">
        <f t="shared" ref="B6:B15" si="2">B5</f>
        <v>127447</v>
      </c>
      <c r="C6" s="27">
        <f>'2022.06'!E138</f>
        <v>93732</v>
      </c>
      <c r="D6" s="30">
        <f>'2022.06'!C142</f>
        <v>57.5</v>
      </c>
      <c r="E6" s="149">
        <f>'2022.06'!D142</f>
        <v>74.7</v>
      </c>
      <c r="G6" s="31"/>
      <c r="H6" s="564" t="str">
        <f t="shared" si="0"/>
        <v>01/06/2022-30/06/2022</v>
      </c>
      <c r="I6" s="378">
        <f t="shared" si="1"/>
        <v>21463</v>
      </c>
      <c r="J6" s="567">
        <v>341</v>
      </c>
      <c r="K6" s="559">
        <v>1080</v>
      </c>
      <c r="L6" s="559">
        <v>3729</v>
      </c>
      <c r="M6" s="559">
        <v>4708</v>
      </c>
      <c r="N6" s="559">
        <v>1524</v>
      </c>
      <c r="O6" s="559">
        <v>4396</v>
      </c>
      <c r="P6" s="559">
        <v>4410</v>
      </c>
      <c r="Q6" s="559">
        <v>317</v>
      </c>
      <c r="R6" s="560">
        <v>958</v>
      </c>
    </row>
    <row r="7" spans="1:18" x14ac:dyDescent="0.3">
      <c r="A7" s="29" t="s">
        <v>332</v>
      </c>
      <c r="B7" s="378">
        <f t="shared" si="2"/>
        <v>127447</v>
      </c>
      <c r="C7" s="27">
        <f>'2022.07'!E138</f>
        <v>93352</v>
      </c>
      <c r="D7" s="30">
        <f>'2022.07'!C142</f>
        <v>57.2</v>
      </c>
      <c r="E7" s="149">
        <f>'2022.07'!D142</f>
        <v>73.8</v>
      </c>
      <c r="G7" s="31"/>
      <c r="H7" s="564" t="str">
        <f t="shared" si="0"/>
        <v>01/07/2022-31/07/2022</v>
      </c>
      <c r="I7" s="378">
        <f t="shared" si="1"/>
        <v>21477</v>
      </c>
      <c r="J7" s="567">
        <v>333</v>
      </c>
      <c r="K7" s="559">
        <v>1057</v>
      </c>
      <c r="L7" s="559">
        <v>3744</v>
      </c>
      <c r="M7" s="559">
        <v>4731</v>
      </c>
      <c r="N7" s="559">
        <v>1537</v>
      </c>
      <c r="O7" s="559">
        <v>4324</v>
      </c>
      <c r="P7" s="559">
        <v>4469</v>
      </c>
      <c r="Q7" s="559">
        <v>319</v>
      </c>
      <c r="R7" s="560">
        <v>963</v>
      </c>
    </row>
    <row r="8" spans="1:18" x14ac:dyDescent="0.3">
      <c r="A8" s="29" t="s">
        <v>333</v>
      </c>
      <c r="B8" s="378">
        <f t="shared" si="2"/>
        <v>127447</v>
      </c>
      <c r="C8" s="27">
        <f>'2022.08'!E138</f>
        <v>94055</v>
      </c>
      <c r="D8" s="30">
        <f>'2022.08'!C142</f>
        <v>57.6</v>
      </c>
      <c r="E8" s="149">
        <f>'2022.08'!D142</f>
        <v>74.8</v>
      </c>
      <c r="G8" s="31"/>
      <c r="H8" s="564" t="str">
        <f t="shared" si="0"/>
        <v>01/08/2022-31/08/2022</v>
      </c>
      <c r="I8" s="378">
        <f t="shared" si="1"/>
        <v>21629</v>
      </c>
      <c r="J8" s="567">
        <v>356</v>
      </c>
      <c r="K8" s="559">
        <v>1063</v>
      </c>
      <c r="L8" s="559">
        <v>3748</v>
      </c>
      <c r="M8" s="559">
        <v>4825</v>
      </c>
      <c r="N8" s="559">
        <v>1530</v>
      </c>
      <c r="O8" s="559">
        <v>4334</v>
      </c>
      <c r="P8" s="559">
        <v>4483</v>
      </c>
      <c r="Q8" s="559">
        <v>326</v>
      </c>
      <c r="R8" s="560">
        <v>964</v>
      </c>
    </row>
    <row r="9" spans="1:18" x14ac:dyDescent="0.3">
      <c r="A9" s="29" t="s">
        <v>334</v>
      </c>
      <c r="B9" s="378">
        <f t="shared" si="2"/>
        <v>127447</v>
      </c>
      <c r="C9" s="27">
        <f>'2022.09'!E138</f>
        <v>93324</v>
      </c>
      <c r="D9" s="30">
        <f>'2022.09'!C142</f>
        <v>58.4</v>
      </c>
      <c r="E9" s="149">
        <f>'2022.09'!D142</f>
        <v>73.599999999999994</v>
      </c>
      <c r="G9" s="31"/>
      <c r="H9" s="564" t="str">
        <f t="shared" si="0"/>
        <v>01/09/2022-30/09/2022</v>
      </c>
      <c r="I9" s="378">
        <f t="shared" si="1"/>
        <v>21580</v>
      </c>
      <c r="J9" s="567">
        <v>354</v>
      </c>
      <c r="K9" s="559">
        <v>1066</v>
      </c>
      <c r="L9" s="559">
        <v>3717</v>
      </c>
      <c r="M9" s="559">
        <v>4732</v>
      </c>
      <c r="N9" s="559">
        <v>1538</v>
      </c>
      <c r="O9" s="559">
        <v>4409</v>
      </c>
      <c r="P9" s="559">
        <v>4465</v>
      </c>
      <c r="Q9" s="559">
        <v>316</v>
      </c>
      <c r="R9" s="560">
        <v>983</v>
      </c>
    </row>
    <row r="10" spans="1:18" x14ac:dyDescent="0.3">
      <c r="A10" s="29" t="s">
        <v>335</v>
      </c>
      <c r="B10" s="378">
        <f t="shared" si="2"/>
        <v>127447</v>
      </c>
      <c r="C10" s="27">
        <f>'2022.10'!E138</f>
        <v>93347</v>
      </c>
      <c r="D10" s="30">
        <f>'2022.10'!C142</f>
        <v>58.6</v>
      </c>
      <c r="E10" s="149">
        <f>'2022.10'!D142</f>
        <v>73.7</v>
      </c>
      <c r="G10" s="31"/>
      <c r="H10" s="564" t="str">
        <f t="shared" si="0"/>
        <v>01/10/2022-31/10/2022</v>
      </c>
      <c r="I10" s="378">
        <f t="shared" si="1"/>
        <v>21490</v>
      </c>
      <c r="J10" s="567">
        <v>339</v>
      </c>
      <c r="K10" s="559">
        <v>1044</v>
      </c>
      <c r="L10" s="559">
        <v>3710</v>
      </c>
      <c r="M10" s="559">
        <v>4767</v>
      </c>
      <c r="N10" s="559">
        <v>1510</v>
      </c>
      <c r="O10" s="559">
        <v>4400</v>
      </c>
      <c r="P10" s="559">
        <v>4415</v>
      </c>
      <c r="Q10" s="559">
        <v>323</v>
      </c>
      <c r="R10" s="560">
        <v>982</v>
      </c>
    </row>
    <row r="11" spans="1:18" x14ac:dyDescent="0.3">
      <c r="A11" s="29" t="s">
        <v>336</v>
      </c>
      <c r="B11" s="378">
        <f t="shared" si="2"/>
        <v>127447</v>
      </c>
      <c r="C11" s="27">
        <f>'2022.11'!E138</f>
        <v>92517</v>
      </c>
      <c r="D11" s="30">
        <f>'2022.11'!C142</f>
        <v>57.6</v>
      </c>
      <c r="E11" s="149">
        <f>'2022.11'!D142</f>
        <v>74.5</v>
      </c>
      <c r="G11" s="31"/>
      <c r="H11" s="564" t="str">
        <f t="shared" si="0"/>
        <v>01/11/2022-30/11/2022</v>
      </c>
      <c r="I11" s="378">
        <f t="shared" si="1"/>
        <v>21587</v>
      </c>
      <c r="J11" s="567">
        <v>359</v>
      </c>
      <c r="K11" s="559">
        <v>1071</v>
      </c>
      <c r="L11" s="559">
        <v>3771</v>
      </c>
      <c r="M11" s="559">
        <v>4752</v>
      </c>
      <c r="N11" s="559">
        <v>1499</v>
      </c>
      <c r="O11" s="559">
        <v>4303</v>
      </c>
      <c r="P11" s="559">
        <v>4524</v>
      </c>
      <c r="Q11" s="559">
        <v>328</v>
      </c>
      <c r="R11" s="560">
        <v>980</v>
      </c>
    </row>
    <row r="12" spans="1:18" x14ac:dyDescent="0.3">
      <c r="A12" s="29" t="s">
        <v>337</v>
      </c>
      <c r="B12" s="378">
        <f t="shared" si="2"/>
        <v>127447</v>
      </c>
      <c r="C12" s="27">
        <f>'2022.12'!E138</f>
        <v>92988</v>
      </c>
      <c r="D12" s="30">
        <f>'2022.12'!C142</f>
        <v>58</v>
      </c>
      <c r="E12" s="149">
        <f>'2022.12'!D142</f>
        <v>75.2</v>
      </c>
      <c r="G12" s="31"/>
      <c r="H12" s="564" t="str">
        <f t="shared" si="0"/>
        <v>01/12/2022-31/12/2022</v>
      </c>
      <c r="I12" s="378">
        <f t="shared" si="1"/>
        <v>21536</v>
      </c>
      <c r="J12" s="567">
        <v>337</v>
      </c>
      <c r="K12" s="559">
        <v>1064</v>
      </c>
      <c r="L12" s="559">
        <v>3787</v>
      </c>
      <c r="M12" s="559">
        <v>4762</v>
      </c>
      <c r="N12" s="559">
        <v>1502</v>
      </c>
      <c r="O12" s="559">
        <v>4325</v>
      </c>
      <c r="P12" s="559">
        <v>4479</v>
      </c>
      <c r="Q12" s="559">
        <v>327</v>
      </c>
      <c r="R12" s="560">
        <v>953</v>
      </c>
    </row>
    <row r="13" spans="1:18" x14ac:dyDescent="0.3">
      <c r="A13" s="29" t="s">
        <v>338</v>
      </c>
      <c r="B13" s="378">
        <f t="shared" si="2"/>
        <v>127447</v>
      </c>
      <c r="C13" s="27">
        <f>'2023.01'!E138</f>
        <v>92822</v>
      </c>
      <c r="D13" s="30">
        <f>'2023.01'!C142</f>
        <v>57.8</v>
      </c>
      <c r="E13" s="149">
        <f>'2023.01'!D142</f>
        <v>73.599999999999994</v>
      </c>
      <c r="G13" s="31"/>
      <c r="H13" s="564" t="str">
        <f t="shared" si="0"/>
        <v>01/01/2023-31/01/2023</v>
      </c>
      <c r="I13" s="378">
        <f t="shared" si="1"/>
        <v>21504</v>
      </c>
      <c r="J13" s="567">
        <v>348</v>
      </c>
      <c r="K13" s="559">
        <v>1058</v>
      </c>
      <c r="L13" s="559">
        <v>3713</v>
      </c>
      <c r="M13" s="559">
        <v>4757</v>
      </c>
      <c r="N13" s="559">
        <v>1536</v>
      </c>
      <c r="O13" s="559">
        <v>4378</v>
      </c>
      <c r="P13" s="559">
        <v>4428</v>
      </c>
      <c r="Q13" s="559">
        <v>321</v>
      </c>
      <c r="R13" s="560">
        <v>965</v>
      </c>
    </row>
    <row r="14" spans="1:18" x14ac:dyDescent="0.3">
      <c r="A14" s="29" t="s">
        <v>339</v>
      </c>
      <c r="B14" s="378">
        <f t="shared" si="2"/>
        <v>127447</v>
      </c>
      <c r="C14" s="27">
        <f>'2023.02'!E138</f>
        <v>93454</v>
      </c>
      <c r="D14" s="30">
        <f>'2023.02'!C142</f>
        <v>56.3</v>
      </c>
      <c r="E14" s="149">
        <f>'2023.02'!D142</f>
        <v>74</v>
      </c>
      <c r="G14" s="31"/>
      <c r="H14" s="564" t="str">
        <f t="shared" si="0"/>
        <v>01/02/2023-28/02/2023</v>
      </c>
      <c r="I14" s="378">
        <f t="shared" si="1"/>
        <v>21629</v>
      </c>
      <c r="J14" s="567">
        <v>352</v>
      </c>
      <c r="K14" s="559">
        <v>1055</v>
      </c>
      <c r="L14" s="559">
        <v>3721</v>
      </c>
      <c r="M14" s="559">
        <v>4816</v>
      </c>
      <c r="N14" s="559">
        <v>1518</v>
      </c>
      <c r="O14" s="559">
        <v>4382</v>
      </c>
      <c r="P14" s="559">
        <v>4506</v>
      </c>
      <c r="Q14" s="559">
        <v>324</v>
      </c>
      <c r="R14" s="560">
        <v>955</v>
      </c>
    </row>
    <row r="15" spans="1:18" x14ac:dyDescent="0.3">
      <c r="A15" s="29" t="s">
        <v>340</v>
      </c>
      <c r="B15" s="378">
        <f t="shared" si="2"/>
        <v>127447</v>
      </c>
      <c r="C15" s="27">
        <f>'2023.03'!E138</f>
        <v>94666</v>
      </c>
      <c r="D15" s="30">
        <f>'2023.03'!C142</f>
        <v>57.9</v>
      </c>
      <c r="E15" s="149">
        <f>'2023.03'!D142</f>
        <v>74</v>
      </c>
      <c r="G15" s="31"/>
      <c r="H15" s="564" t="str">
        <f t="shared" si="0"/>
        <v>01/03/2023-31/03/2023</v>
      </c>
      <c r="I15" s="378">
        <f t="shared" si="1"/>
        <v>21524</v>
      </c>
      <c r="J15" s="567">
        <v>358</v>
      </c>
      <c r="K15" s="559">
        <v>1046</v>
      </c>
      <c r="L15" s="559">
        <v>3756</v>
      </c>
      <c r="M15" s="559">
        <v>4688</v>
      </c>
      <c r="N15" s="559">
        <v>1540</v>
      </c>
      <c r="O15" s="559">
        <v>4316</v>
      </c>
      <c r="P15" s="559">
        <v>4520</v>
      </c>
      <c r="Q15" s="559">
        <v>322</v>
      </c>
      <c r="R15" s="560">
        <v>978</v>
      </c>
    </row>
    <row r="16" spans="1:18" ht="14" thickBot="1" x14ac:dyDescent="0.35">
      <c r="A16" s="32" t="s">
        <v>104</v>
      </c>
      <c r="B16" s="33">
        <f>AVERAGE(B4:B15)</f>
        <v>127447</v>
      </c>
      <c r="C16" s="151">
        <f>AVERAGE(C4:C15)</f>
        <v>93494.916666666672</v>
      </c>
      <c r="D16" s="34">
        <f>AVERAGE(D4:D15)</f>
        <v>57.591666666666661</v>
      </c>
      <c r="E16" s="150">
        <f>AVERAGE(E4:E15)</f>
        <v>74.225000000000009</v>
      </c>
      <c r="H16" s="564" t="s">
        <v>385</v>
      </c>
      <c r="I16" s="378">
        <f>SUM(I4:I15)</f>
        <v>258443</v>
      </c>
      <c r="J16" s="567">
        <f t="shared" ref="J16:R16" si="3">SUM(J4:J15)</f>
        <v>4174</v>
      </c>
      <c r="K16" s="559">
        <f t="shared" si="3"/>
        <v>12719</v>
      </c>
      <c r="L16" s="559">
        <f t="shared" si="3"/>
        <v>44959</v>
      </c>
      <c r="M16" s="559">
        <f t="shared" si="3"/>
        <v>57042</v>
      </c>
      <c r="N16" s="559">
        <f t="shared" si="3"/>
        <v>18268</v>
      </c>
      <c r="O16" s="559">
        <f t="shared" si="3"/>
        <v>52141</v>
      </c>
      <c r="P16" s="559">
        <f t="shared" si="3"/>
        <v>53647</v>
      </c>
      <c r="Q16" s="559">
        <f t="shared" si="3"/>
        <v>3868</v>
      </c>
      <c r="R16" s="560">
        <f t="shared" si="3"/>
        <v>11625</v>
      </c>
    </row>
    <row r="17" spans="1:23" ht="16" thickBot="1" x14ac:dyDescent="0.35">
      <c r="H17" s="565" t="s">
        <v>386</v>
      </c>
      <c r="I17" s="561">
        <f>ROUNDDOWN(I16*180/365,0)</f>
        <v>127451</v>
      </c>
      <c r="J17" s="568">
        <f>INT(J16*180/365)</f>
        <v>2058</v>
      </c>
      <c r="K17" s="561">
        <f t="shared" ref="K17:R17" si="4">INT(K16*180/365)</f>
        <v>6272</v>
      </c>
      <c r="L17" s="561">
        <f t="shared" si="4"/>
        <v>22171</v>
      </c>
      <c r="M17" s="561">
        <f t="shared" si="4"/>
        <v>28130</v>
      </c>
      <c r="N17" s="561">
        <f t="shared" si="4"/>
        <v>9008</v>
      </c>
      <c r="O17" s="561">
        <f t="shared" si="4"/>
        <v>25713</v>
      </c>
      <c r="P17" s="561">
        <f t="shared" si="4"/>
        <v>26456</v>
      </c>
      <c r="Q17" s="561">
        <f t="shared" si="4"/>
        <v>1907</v>
      </c>
      <c r="R17" s="562">
        <f t="shared" si="4"/>
        <v>5732</v>
      </c>
    </row>
    <row r="18" spans="1:23" x14ac:dyDescent="0.3">
      <c r="H18" s="553"/>
      <c r="I18" s="554"/>
    </row>
    <row r="19" spans="1:23" ht="14" thickBot="1" x14ac:dyDescent="0.35"/>
    <row r="20" spans="1:23" ht="26.5" customHeight="1" x14ac:dyDescent="0.3">
      <c r="A20" s="534" t="s">
        <v>388</v>
      </c>
      <c r="B20" s="434"/>
      <c r="C20" s="434"/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5"/>
    </row>
    <row r="21" spans="1:23" ht="26.5" customHeight="1" x14ac:dyDescent="0.3">
      <c r="A21" s="535"/>
      <c r="B21" s="536" t="s">
        <v>389</v>
      </c>
      <c r="C21" s="536"/>
      <c r="D21" s="398" t="s">
        <v>406</v>
      </c>
      <c r="E21" s="398"/>
      <c r="F21" s="398"/>
      <c r="G21" s="398"/>
      <c r="H21" s="398" t="s">
        <v>149</v>
      </c>
      <c r="I21" s="398"/>
      <c r="J21" s="398"/>
      <c r="K21" s="398"/>
      <c r="L21" s="398" t="s">
        <v>393</v>
      </c>
      <c r="M21" s="398"/>
      <c r="N21" s="398"/>
      <c r="O21" s="398"/>
      <c r="P21" s="398" t="s">
        <v>151</v>
      </c>
      <c r="Q21" s="398"/>
      <c r="R21" s="398"/>
      <c r="S21" s="398"/>
      <c r="T21" s="398" t="s">
        <v>152</v>
      </c>
      <c r="U21" s="398"/>
      <c r="V21" s="398"/>
      <c r="W21" s="440"/>
    </row>
    <row r="22" spans="1:23" ht="15.5" x14ac:dyDescent="0.4">
      <c r="A22" s="99" t="s">
        <v>133</v>
      </c>
      <c r="B22" s="100" t="s">
        <v>387</v>
      </c>
      <c r="C22" s="100" t="s">
        <v>390</v>
      </c>
      <c r="D22" s="100" t="s">
        <v>387</v>
      </c>
      <c r="E22" s="100" t="s">
        <v>390</v>
      </c>
      <c r="F22" s="289" t="s">
        <v>391</v>
      </c>
      <c r="G22" s="289" t="s">
        <v>392</v>
      </c>
      <c r="H22" s="100" t="s">
        <v>387</v>
      </c>
      <c r="I22" s="100" t="s">
        <v>390</v>
      </c>
      <c r="J22" s="289" t="s">
        <v>391</v>
      </c>
      <c r="K22" s="289" t="s">
        <v>392</v>
      </c>
      <c r="L22" s="100" t="s">
        <v>387</v>
      </c>
      <c r="M22" s="100" t="s">
        <v>390</v>
      </c>
      <c r="N22" s="289" t="s">
        <v>391</v>
      </c>
      <c r="O22" s="289" t="s">
        <v>392</v>
      </c>
      <c r="P22" s="100" t="s">
        <v>387</v>
      </c>
      <c r="Q22" s="100" t="s">
        <v>390</v>
      </c>
      <c r="R22" s="289" t="s">
        <v>391</v>
      </c>
      <c r="S22" s="289" t="s">
        <v>392</v>
      </c>
      <c r="T22" s="100" t="s">
        <v>387</v>
      </c>
      <c r="U22" s="100" t="s">
        <v>390</v>
      </c>
      <c r="V22" s="289" t="s">
        <v>391</v>
      </c>
      <c r="W22" s="537" t="s">
        <v>392</v>
      </c>
    </row>
    <row r="23" spans="1:23" x14ac:dyDescent="0.3">
      <c r="A23" s="29" t="str">
        <f>A4</f>
        <v>01/04/2022-30/04/2022</v>
      </c>
      <c r="B23" s="348">
        <f>D23+H23+L23+P23+T23+B38+F38+J38+N38</f>
        <v>5.7809699999999999</v>
      </c>
      <c r="C23" s="348">
        <f t="shared" ref="C23:C34" si="5">E23+I23+M23+Q23+U23+C38+G38+K38+O38</f>
        <v>2654.5585700000001</v>
      </c>
      <c r="D23" s="27">
        <v>0</v>
      </c>
      <c r="E23" s="548">
        <v>62.589399999999998</v>
      </c>
      <c r="F23" s="541">
        <v>50251.900000000031</v>
      </c>
      <c r="G23" s="541">
        <v>48744.560000000056</v>
      </c>
      <c r="H23" s="27">
        <v>0</v>
      </c>
      <c r="I23" s="27">
        <v>91.304349999999999</v>
      </c>
      <c r="J23" s="541">
        <v>60583.96</v>
      </c>
      <c r="K23" s="541">
        <v>58462.670000000013</v>
      </c>
      <c r="L23" s="549">
        <v>0</v>
      </c>
      <c r="M23" s="348">
        <v>504.35410999999999</v>
      </c>
      <c r="N23" s="541">
        <v>308659.56000000006</v>
      </c>
      <c r="O23" s="541">
        <v>297854.35000000003</v>
      </c>
      <c r="P23" s="27">
        <v>2.3832100000000001</v>
      </c>
      <c r="Q23" s="348">
        <v>450.01123000000001</v>
      </c>
      <c r="R23" s="541">
        <v>298734.80000000005</v>
      </c>
      <c r="S23" s="541">
        <v>289690.62000000029</v>
      </c>
      <c r="T23" s="549">
        <v>0</v>
      </c>
      <c r="U23" s="348">
        <v>248.51864</v>
      </c>
      <c r="V23" s="541">
        <v>161056.61000000007</v>
      </c>
      <c r="W23" s="547">
        <v>155904.20000000013</v>
      </c>
    </row>
    <row r="24" spans="1:23" x14ac:dyDescent="0.3">
      <c r="A24" s="29" t="str">
        <f>A5</f>
        <v>01/05/2022-31/05/2022</v>
      </c>
      <c r="B24" s="348">
        <f t="shared" ref="B24:B34" si="6">D24+H24+L24+P24+T24+B39+F39+J39+N39</f>
        <v>5.9135400000000002</v>
      </c>
      <c r="C24" s="348">
        <f t="shared" si="5"/>
        <v>2734.3483699999997</v>
      </c>
      <c r="D24" s="27">
        <v>0</v>
      </c>
      <c r="E24" s="548">
        <v>64.644620000000003</v>
      </c>
      <c r="F24" s="541">
        <v>45131.600000000057</v>
      </c>
      <c r="G24" s="541">
        <v>43776.919999999976</v>
      </c>
      <c r="H24" s="27">
        <v>0</v>
      </c>
      <c r="I24" s="27">
        <v>93.749290000000002</v>
      </c>
      <c r="J24" s="541">
        <v>54692.380000000034</v>
      </c>
      <c r="K24" s="541">
        <v>52778.209999999955</v>
      </c>
      <c r="L24" s="549">
        <v>0</v>
      </c>
      <c r="M24" s="348">
        <v>519.34149000000002</v>
      </c>
      <c r="N24" s="541">
        <v>277584.36000000028</v>
      </c>
      <c r="O24" s="541">
        <v>267872.5299999998</v>
      </c>
      <c r="P24" s="27">
        <v>2.4641500000000001</v>
      </c>
      <c r="Q24" s="348">
        <v>465.29396000000003</v>
      </c>
      <c r="R24" s="541">
        <v>272032.99000000005</v>
      </c>
      <c r="S24" s="541">
        <v>263634.02000000025</v>
      </c>
      <c r="T24" s="549">
        <v>0</v>
      </c>
      <c r="U24" s="348">
        <v>261.86691000000002</v>
      </c>
      <c r="V24" s="541">
        <v>146364.54999999993</v>
      </c>
      <c r="W24" s="547">
        <v>141680.24000000011</v>
      </c>
    </row>
    <row r="25" spans="1:23" x14ac:dyDescent="0.3">
      <c r="A25" s="29" t="str">
        <f>A6</f>
        <v>01/06/2022-30/06/2022</v>
      </c>
      <c r="B25" s="348">
        <f t="shared" si="6"/>
        <v>5.9604699999999999</v>
      </c>
      <c r="C25" s="348">
        <f t="shared" si="5"/>
        <v>2649.15265</v>
      </c>
      <c r="D25" s="27">
        <v>0</v>
      </c>
      <c r="E25" s="548">
        <v>63.371380000000002</v>
      </c>
      <c r="F25" s="541">
        <v>50394.339999999982</v>
      </c>
      <c r="G25" s="541">
        <v>48882.369999999966</v>
      </c>
      <c r="H25" s="27">
        <v>0</v>
      </c>
      <c r="I25" s="27">
        <v>91.292519999999996</v>
      </c>
      <c r="J25" s="541">
        <v>60987.40999999996</v>
      </c>
      <c r="K25" s="541">
        <v>58852.990000000063</v>
      </c>
      <c r="L25" s="549">
        <v>0</v>
      </c>
      <c r="M25" s="348">
        <v>501.06387999999998</v>
      </c>
      <c r="N25" s="541">
        <v>307145.51999999949</v>
      </c>
      <c r="O25" s="541">
        <v>296399.94000000024</v>
      </c>
      <c r="P25" s="27">
        <v>2.4794300000000002</v>
      </c>
      <c r="Q25" s="348">
        <v>453.07681000000002</v>
      </c>
      <c r="R25" s="541">
        <v>299953.14999999979</v>
      </c>
      <c r="S25" s="541">
        <v>290928.4200000001</v>
      </c>
      <c r="T25" s="549">
        <v>0</v>
      </c>
      <c r="U25" s="348">
        <v>252.17570000000001</v>
      </c>
      <c r="V25" s="541">
        <v>164508.98999999993</v>
      </c>
      <c r="W25" s="547">
        <v>159241.35999999996</v>
      </c>
    </row>
    <row r="26" spans="1:23" x14ac:dyDescent="0.3">
      <c r="A26" s="29" t="str">
        <f>A7</f>
        <v>01/07/2022-31/07/2022</v>
      </c>
      <c r="B26" s="348">
        <f t="shared" si="6"/>
        <v>5.9651500000000004</v>
      </c>
      <c r="C26" s="348">
        <f t="shared" si="5"/>
        <v>2732.3962900000001</v>
      </c>
      <c r="D26" s="27">
        <v>0</v>
      </c>
      <c r="E26" s="548">
        <v>64.499570000000006</v>
      </c>
      <c r="F26" s="541">
        <v>47796.409999999996</v>
      </c>
      <c r="G26" s="541">
        <v>46363.159999999953</v>
      </c>
      <c r="H26" s="27">
        <v>0</v>
      </c>
      <c r="I26" s="27">
        <v>93.883629999999997</v>
      </c>
      <c r="J26" s="541">
        <v>59134.939999999973</v>
      </c>
      <c r="K26" s="541">
        <v>57064.099999999962</v>
      </c>
      <c r="L26" s="549">
        <v>0</v>
      </c>
      <c r="M26" s="348">
        <v>514.44899999999996</v>
      </c>
      <c r="N26" s="541">
        <v>298655.2799999995</v>
      </c>
      <c r="O26" s="541">
        <v>288204.72999999981</v>
      </c>
      <c r="P26" s="27">
        <v>2.4640800000000005</v>
      </c>
      <c r="Q26" s="348">
        <v>465.28170999999998</v>
      </c>
      <c r="R26" s="541">
        <v>289955.69000000029</v>
      </c>
      <c r="S26" s="541">
        <v>281287.79000000004</v>
      </c>
      <c r="T26" s="549">
        <v>0</v>
      </c>
      <c r="U26" s="348">
        <v>257.56094999999999</v>
      </c>
      <c r="V26" s="541">
        <v>155596.44999999992</v>
      </c>
      <c r="W26" s="547">
        <v>150617.34999999995</v>
      </c>
    </row>
    <row r="27" spans="1:23" x14ac:dyDescent="0.3">
      <c r="A27" s="29" t="str">
        <f>A8</f>
        <v>01/08/2022-31/08/2022</v>
      </c>
      <c r="B27" s="348">
        <f t="shared" si="6"/>
        <v>5.96183</v>
      </c>
      <c r="C27" s="348">
        <f t="shared" si="5"/>
        <v>2741.1012599999999</v>
      </c>
      <c r="D27" s="27">
        <v>0</v>
      </c>
      <c r="E27" s="548">
        <v>66.208920000000006</v>
      </c>
      <c r="F27" s="541">
        <v>49365.89000000005</v>
      </c>
      <c r="G27" s="541">
        <v>47885.580000000031</v>
      </c>
      <c r="H27" s="27">
        <v>0</v>
      </c>
      <c r="I27" s="27">
        <v>93.969149999999999</v>
      </c>
      <c r="J27" s="541">
        <v>60718.459999999926</v>
      </c>
      <c r="K27" s="541">
        <v>58593.599999999962</v>
      </c>
      <c r="L27" s="549">
        <v>0</v>
      </c>
      <c r="M27" s="348">
        <v>518.88543000000004</v>
      </c>
      <c r="N27" s="541">
        <v>307530.11999999988</v>
      </c>
      <c r="O27" s="541">
        <v>296764.51999999967</v>
      </c>
      <c r="P27" s="27">
        <v>2.4741000000000004</v>
      </c>
      <c r="Q27" s="348">
        <v>467.17248999999998</v>
      </c>
      <c r="R27" s="541">
        <v>299802.80999999965</v>
      </c>
      <c r="S27" s="541">
        <v>290966.33000000007</v>
      </c>
      <c r="T27" s="549">
        <v>0</v>
      </c>
      <c r="U27" s="348">
        <v>260.14449000000002</v>
      </c>
      <c r="V27" s="541">
        <v>163953.74000000011</v>
      </c>
      <c r="W27" s="547">
        <v>158708.0300000002</v>
      </c>
    </row>
    <row r="28" spans="1:23" ht="13.5" customHeight="1" x14ac:dyDescent="0.3">
      <c r="A28" s="29" t="str">
        <f>A9</f>
        <v>01/09/2022-30/09/2022</v>
      </c>
      <c r="B28" s="348">
        <f t="shared" si="6"/>
        <v>5.9468099999999993</v>
      </c>
      <c r="C28" s="348">
        <f t="shared" si="5"/>
        <v>2644.6296600000001</v>
      </c>
      <c r="D28" s="27">
        <v>0</v>
      </c>
      <c r="E28" s="548">
        <v>63.271129999999999</v>
      </c>
      <c r="F28" s="541">
        <v>48393.58</v>
      </c>
      <c r="G28" s="541">
        <v>46941.539999999928</v>
      </c>
      <c r="H28" s="27">
        <v>0</v>
      </c>
      <c r="I28" s="27">
        <v>90.500540000000015</v>
      </c>
      <c r="J28" s="541">
        <v>59127.290000000066</v>
      </c>
      <c r="K28" s="541">
        <v>57056.099999999969</v>
      </c>
      <c r="L28" s="549">
        <v>0</v>
      </c>
      <c r="M28" s="348">
        <v>502.40136999999999</v>
      </c>
      <c r="N28" s="541">
        <v>296706.95999999979</v>
      </c>
      <c r="O28" s="541">
        <v>286321.12000000011</v>
      </c>
      <c r="P28" s="27">
        <v>2.4727299999999999</v>
      </c>
      <c r="Q28" s="348">
        <v>451.85296</v>
      </c>
      <c r="R28" s="541">
        <v>291930.94000000035</v>
      </c>
      <c r="S28" s="541">
        <v>283202.81</v>
      </c>
      <c r="T28" s="549">
        <v>0</v>
      </c>
      <c r="U28" s="348">
        <v>251.67814000000001</v>
      </c>
      <c r="V28" s="541">
        <v>157886.12000000005</v>
      </c>
      <c r="W28" s="547">
        <v>152832.88000000006</v>
      </c>
    </row>
    <row r="29" spans="1:23" ht="13.5" customHeight="1" x14ac:dyDescent="0.3">
      <c r="A29" s="29" t="str">
        <f>A10</f>
        <v>01/10/2022-31/10/2022</v>
      </c>
      <c r="B29" s="348">
        <f t="shared" si="6"/>
        <v>5.971890000000001</v>
      </c>
      <c r="C29" s="348">
        <f t="shared" si="5"/>
        <v>2733.0968200000002</v>
      </c>
      <c r="D29" s="27">
        <v>0</v>
      </c>
      <c r="E29" s="548">
        <v>65.03828</v>
      </c>
      <c r="F29" s="541">
        <v>49255.110000000008</v>
      </c>
      <c r="G29" s="541">
        <v>47777.979999999945</v>
      </c>
      <c r="H29" s="27">
        <v>0</v>
      </c>
      <c r="I29" s="27">
        <v>93.737020000000001</v>
      </c>
      <c r="J29" s="541">
        <v>60805.460000000006</v>
      </c>
      <c r="K29" s="541">
        <v>58677.089999999989</v>
      </c>
      <c r="L29" s="549">
        <v>0</v>
      </c>
      <c r="M29" s="348">
        <v>518.00095999999996</v>
      </c>
      <c r="N29" s="541">
        <v>304633.02</v>
      </c>
      <c r="O29" s="541">
        <v>293970.68000000005</v>
      </c>
      <c r="P29" s="27">
        <v>2.4881400000000005</v>
      </c>
      <c r="Q29" s="348">
        <v>469.82465000000002</v>
      </c>
      <c r="R29" s="541">
        <v>299794.91999999975</v>
      </c>
      <c r="S29" s="541">
        <v>290696.25999999983</v>
      </c>
      <c r="T29" s="549">
        <v>0</v>
      </c>
      <c r="U29" s="348">
        <v>258.17790000000002</v>
      </c>
      <c r="V29" s="541">
        <v>161257.80000000005</v>
      </c>
      <c r="W29" s="547">
        <v>156098.12999999998</v>
      </c>
    </row>
    <row r="30" spans="1:23" ht="13.5" customHeight="1" x14ac:dyDescent="0.3">
      <c r="A30" s="29" t="str">
        <f>A11</f>
        <v>01/11/2022-30/11/2022</v>
      </c>
      <c r="B30" s="348">
        <f t="shared" si="6"/>
        <v>5.908710000000001</v>
      </c>
      <c r="C30" s="348">
        <f t="shared" si="5"/>
        <v>2633.9832299999998</v>
      </c>
      <c r="D30" s="27">
        <v>0</v>
      </c>
      <c r="E30" s="548">
        <v>63.832560000000001</v>
      </c>
      <c r="F30" s="541">
        <v>50560.460000000021</v>
      </c>
      <c r="G30" s="541">
        <v>49043.169999999911</v>
      </c>
      <c r="H30" s="27">
        <v>0</v>
      </c>
      <c r="I30" s="27">
        <v>90.949719999999999</v>
      </c>
      <c r="J30" s="541">
        <v>60860.84999999994</v>
      </c>
      <c r="K30" s="541">
        <v>58730.360000000044</v>
      </c>
      <c r="L30" s="549">
        <v>0</v>
      </c>
      <c r="M30" s="348">
        <v>498.87040000000002</v>
      </c>
      <c r="N30" s="541">
        <v>307260.05999999947</v>
      </c>
      <c r="O30" s="541">
        <v>296510.50000000006</v>
      </c>
      <c r="P30" s="27">
        <v>2.4627200000000005</v>
      </c>
      <c r="Q30" s="348">
        <v>450.0231</v>
      </c>
      <c r="R30" s="541">
        <v>301013.21000000014</v>
      </c>
      <c r="S30" s="541">
        <v>291951.25000000012</v>
      </c>
      <c r="T30" s="549">
        <v>0</v>
      </c>
      <c r="U30" s="348">
        <v>248.60572999999999</v>
      </c>
      <c r="V30" s="541">
        <v>162875.34000000005</v>
      </c>
      <c r="W30" s="547">
        <v>157663.13999999998</v>
      </c>
    </row>
    <row r="31" spans="1:23" ht="13.5" customHeight="1" x14ac:dyDescent="0.3">
      <c r="A31" s="29" t="str">
        <f>A12</f>
        <v>01/12/2022-31/12/2022</v>
      </c>
      <c r="B31" s="348">
        <f t="shared" si="6"/>
        <v>5.9268799999999997</v>
      </c>
      <c r="C31" s="348">
        <f t="shared" si="5"/>
        <v>2727.5775999999996</v>
      </c>
      <c r="D31" s="27">
        <v>0</v>
      </c>
      <c r="E31" s="548">
        <v>64.945009999999996</v>
      </c>
      <c r="F31" s="541">
        <v>48317.019999999968</v>
      </c>
      <c r="G31" s="541">
        <v>46868.230000000018</v>
      </c>
      <c r="H31" s="27">
        <v>0</v>
      </c>
      <c r="I31" s="27">
        <v>94.066860000000005</v>
      </c>
      <c r="J31" s="541">
        <v>58614.340000000004</v>
      </c>
      <c r="K31" s="541">
        <v>56563.110000000008</v>
      </c>
      <c r="L31" s="549">
        <v>0</v>
      </c>
      <c r="M31" s="348">
        <v>514.96040000000005</v>
      </c>
      <c r="N31" s="541">
        <v>297498.96000000008</v>
      </c>
      <c r="O31" s="541">
        <v>287086.87999999989</v>
      </c>
      <c r="P31" s="27">
        <v>2.4633700000000003</v>
      </c>
      <c r="Q31" s="348">
        <v>465.14659999999998</v>
      </c>
      <c r="R31" s="541">
        <v>291142.37000000005</v>
      </c>
      <c r="S31" s="541">
        <v>282285.9800000001</v>
      </c>
      <c r="T31" s="549">
        <v>0</v>
      </c>
      <c r="U31" s="348">
        <v>258.12646000000001</v>
      </c>
      <c r="V31" s="541">
        <v>157574.59999999983</v>
      </c>
      <c r="W31" s="547">
        <v>152533.99999999994</v>
      </c>
    </row>
    <row r="32" spans="1:23" ht="13.5" customHeight="1" x14ac:dyDescent="0.3">
      <c r="A32" s="29" t="str">
        <f>A13</f>
        <v>01/01/2023-31/01/2023</v>
      </c>
      <c r="B32" s="348">
        <f t="shared" si="6"/>
        <v>5.9354600000000008</v>
      </c>
      <c r="C32" s="348">
        <f t="shared" si="5"/>
        <v>2726.9516699999999</v>
      </c>
      <c r="D32" s="27">
        <v>0</v>
      </c>
      <c r="E32" s="548">
        <v>65.804850000000002</v>
      </c>
      <c r="F32" s="541">
        <v>49666.500000000022</v>
      </c>
      <c r="G32" s="541">
        <v>48176.569999999971</v>
      </c>
      <c r="H32" s="27">
        <v>0</v>
      </c>
      <c r="I32" s="27">
        <v>93.541629999999998</v>
      </c>
      <c r="J32" s="541">
        <v>60710.509999999958</v>
      </c>
      <c r="K32" s="541">
        <v>58585.210000000014</v>
      </c>
      <c r="L32" s="549">
        <v>0</v>
      </c>
      <c r="M32" s="348">
        <v>521.24883999999997</v>
      </c>
      <c r="N32" s="541">
        <v>306736.31999999972</v>
      </c>
      <c r="O32" s="541">
        <v>295998.73000000039</v>
      </c>
      <c r="P32" s="27">
        <v>2.4553700000000003</v>
      </c>
      <c r="Q32" s="348">
        <v>463.63641000000001</v>
      </c>
      <c r="R32" s="541">
        <v>302722.06999999989</v>
      </c>
      <c r="S32" s="541">
        <v>293686.58999999968</v>
      </c>
      <c r="T32" s="549">
        <v>0</v>
      </c>
      <c r="U32" s="348">
        <v>257.23962</v>
      </c>
      <c r="V32" s="541">
        <v>161644.07000000007</v>
      </c>
      <c r="W32" s="547">
        <v>156472.29</v>
      </c>
    </row>
    <row r="33" spans="1:23" ht="13.5" customHeight="1" x14ac:dyDescent="0.3">
      <c r="A33" s="29" t="str">
        <f>A14</f>
        <v>01/02/2023-28/02/2023</v>
      </c>
      <c r="B33" s="348">
        <f t="shared" si="6"/>
        <v>5.9539800000000014</v>
      </c>
      <c r="C33" s="348">
        <f t="shared" si="5"/>
        <v>2469.5426699999998</v>
      </c>
      <c r="D33" s="27">
        <v>0</v>
      </c>
      <c r="E33" s="548">
        <v>59.099820000000001</v>
      </c>
      <c r="F33" s="541">
        <v>48745.749999999956</v>
      </c>
      <c r="G33" s="541">
        <v>47284.099999999969</v>
      </c>
      <c r="H33" s="27">
        <v>0</v>
      </c>
      <c r="I33" s="27">
        <v>84.445040000000006</v>
      </c>
      <c r="J33" s="541">
        <v>58905.26000000006</v>
      </c>
      <c r="K33" s="541">
        <v>56844.000000000058</v>
      </c>
      <c r="L33" s="549">
        <v>0</v>
      </c>
      <c r="M33" s="348">
        <v>468.77059000000003</v>
      </c>
      <c r="N33" s="541">
        <v>295408.08000000031</v>
      </c>
      <c r="O33" s="541">
        <v>285062.68</v>
      </c>
      <c r="P33" s="27">
        <v>2.47546</v>
      </c>
      <c r="Q33" s="348">
        <v>422.1952</v>
      </c>
      <c r="R33" s="541">
        <v>289963.34000000003</v>
      </c>
      <c r="S33" s="541">
        <v>281240.85000000027</v>
      </c>
      <c r="T33" s="549">
        <v>0</v>
      </c>
      <c r="U33" s="348">
        <v>233.77344999999997</v>
      </c>
      <c r="V33" s="541">
        <v>155650.96999999991</v>
      </c>
      <c r="W33" s="547">
        <v>150668.65999999997</v>
      </c>
    </row>
    <row r="34" spans="1:23" ht="13.5" customHeight="1" x14ac:dyDescent="0.3">
      <c r="A34" s="538" t="str">
        <f>A15</f>
        <v>01/03/2023-31/03/2023</v>
      </c>
      <c r="B34" s="348">
        <f t="shared" si="6"/>
        <v>5.9599200000000003</v>
      </c>
      <c r="C34" s="348">
        <f t="shared" si="5"/>
        <v>2748.3779999999997</v>
      </c>
      <c r="D34" s="27">
        <v>0</v>
      </c>
      <c r="E34" s="548">
        <v>65.991380000000007</v>
      </c>
      <c r="F34" s="541">
        <v>49595.280000000072</v>
      </c>
      <c r="G34" s="541">
        <v>48107.590000000004</v>
      </c>
      <c r="H34" s="27">
        <v>0</v>
      </c>
      <c r="I34" s="27">
        <v>94.164559999999994</v>
      </c>
      <c r="J34" s="541">
        <v>60924.129999999961</v>
      </c>
      <c r="K34" s="541">
        <v>58791.309999999969</v>
      </c>
      <c r="L34" s="549">
        <v>0</v>
      </c>
      <c r="M34" s="348">
        <v>518.69200000000001</v>
      </c>
      <c r="N34" s="541">
        <v>304935.84000000026</v>
      </c>
      <c r="O34" s="541">
        <v>294261.7399999997</v>
      </c>
      <c r="P34" s="27">
        <v>2.4653900000000002</v>
      </c>
      <c r="Q34" s="27">
        <v>465.52728999999999</v>
      </c>
      <c r="R34" s="541">
        <v>299707.86999999959</v>
      </c>
      <c r="S34" s="541">
        <v>290805.30000000005</v>
      </c>
      <c r="T34" s="549">
        <v>0</v>
      </c>
      <c r="U34" s="348">
        <v>262.75375000000003</v>
      </c>
      <c r="V34" s="541">
        <v>161611.85999999993</v>
      </c>
      <c r="W34" s="547">
        <v>156440.22000000015</v>
      </c>
    </row>
    <row r="35" spans="1:23" x14ac:dyDescent="0.3">
      <c r="A35" s="533" t="s">
        <v>71</v>
      </c>
      <c r="B35" s="552">
        <f>SUM(B23:B34)</f>
        <v>71.185609999999997</v>
      </c>
      <c r="C35" s="552">
        <f>SUM(C23:C34)</f>
        <v>32195.716789999999</v>
      </c>
      <c r="D35" s="27"/>
      <c r="E35" s="35"/>
      <c r="F35" s="35"/>
      <c r="G35" s="35"/>
      <c r="H35" s="27"/>
      <c r="I35" s="27"/>
      <c r="J35" s="27"/>
      <c r="K35" s="27"/>
      <c r="L35" s="27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254"/>
    </row>
    <row r="36" spans="1:23" x14ac:dyDescent="0.3">
      <c r="A36" s="197"/>
      <c r="B36" s="539" t="s">
        <v>153</v>
      </c>
      <c r="C36" s="539"/>
      <c r="D36" s="539"/>
      <c r="E36" s="539"/>
      <c r="F36" s="398" t="s">
        <v>154</v>
      </c>
      <c r="G36" s="398"/>
      <c r="H36" s="398"/>
      <c r="I36" s="398"/>
      <c r="J36" s="398" t="s">
        <v>396</v>
      </c>
      <c r="K36" s="398"/>
      <c r="L36" s="398"/>
      <c r="M36" s="398"/>
      <c r="N36" s="398" t="s">
        <v>156</v>
      </c>
      <c r="O36" s="398"/>
      <c r="P36" s="398"/>
      <c r="Q36" s="398"/>
      <c r="R36" s="533"/>
      <c r="S36" s="533"/>
      <c r="T36" s="533"/>
      <c r="U36" s="533"/>
      <c r="V36" s="533"/>
      <c r="W36" s="540"/>
    </row>
    <row r="37" spans="1:23" ht="15.5" x14ac:dyDescent="0.4">
      <c r="A37" s="99" t="s">
        <v>394</v>
      </c>
      <c r="B37" s="100" t="s">
        <v>387</v>
      </c>
      <c r="C37" s="100" t="s">
        <v>390</v>
      </c>
      <c r="D37" s="289" t="s">
        <v>391</v>
      </c>
      <c r="E37" s="289" t="s">
        <v>392</v>
      </c>
      <c r="F37" s="100" t="s">
        <v>387</v>
      </c>
      <c r="G37" s="100" t="s">
        <v>390</v>
      </c>
      <c r="H37" s="289" t="s">
        <v>391</v>
      </c>
      <c r="I37" s="289" t="s">
        <v>392</v>
      </c>
      <c r="J37" s="100" t="s">
        <v>387</v>
      </c>
      <c r="K37" s="100" t="s">
        <v>390</v>
      </c>
      <c r="L37" s="289" t="s">
        <v>391</v>
      </c>
      <c r="M37" s="289" t="s">
        <v>392</v>
      </c>
      <c r="N37" s="100" t="s">
        <v>387</v>
      </c>
      <c r="O37" s="100" t="s">
        <v>390</v>
      </c>
      <c r="P37" s="289" t="s">
        <v>391</v>
      </c>
      <c r="Q37" s="289" t="s">
        <v>392</v>
      </c>
      <c r="R37" s="533"/>
      <c r="S37" s="533"/>
      <c r="T37" s="533"/>
      <c r="U37" s="533"/>
      <c r="V37" s="533"/>
      <c r="W37" s="540"/>
    </row>
    <row r="38" spans="1:23" x14ac:dyDescent="0.3">
      <c r="A38" s="29" t="s">
        <v>373</v>
      </c>
      <c r="B38" s="549">
        <v>0</v>
      </c>
      <c r="C38" s="348">
        <v>525.56907000000001</v>
      </c>
      <c r="D38" s="541">
        <v>347594.35000000003</v>
      </c>
      <c r="E38" s="541">
        <v>333687.01000000018</v>
      </c>
      <c r="F38" s="348">
        <v>2.1401000000000003</v>
      </c>
      <c r="G38" s="348">
        <v>466.13114999999999</v>
      </c>
      <c r="H38" s="541">
        <v>308520.42000000016</v>
      </c>
      <c r="I38" s="541">
        <v>299475.89</v>
      </c>
      <c r="J38" s="549">
        <v>0</v>
      </c>
      <c r="K38" s="348">
        <v>63.235019999999999</v>
      </c>
      <c r="L38" s="541">
        <v>42354.930000000008</v>
      </c>
      <c r="M38" s="541">
        <v>40787.500000000029</v>
      </c>
      <c r="N38" s="348">
        <v>1.25766</v>
      </c>
      <c r="O38" s="348">
        <v>242.84559999999999</v>
      </c>
      <c r="P38" s="541">
        <v>159137.88000000015</v>
      </c>
      <c r="Q38" s="541">
        <v>154642.07000000009</v>
      </c>
      <c r="R38" s="35"/>
      <c r="S38" s="35"/>
      <c r="T38" s="35"/>
      <c r="U38" s="35"/>
      <c r="V38" s="35"/>
      <c r="W38" s="254"/>
    </row>
    <row r="39" spans="1:23" x14ac:dyDescent="0.3">
      <c r="A39" s="29" t="s">
        <v>374</v>
      </c>
      <c r="B39" s="549">
        <v>0</v>
      </c>
      <c r="C39" s="348">
        <v>542.12192000000005</v>
      </c>
      <c r="D39" s="541">
        <v>316346.0300000002</v>
      </c>
      <c r="E39" s="541">
        <v>303695.48000000004</v>
      </c>
      <c r="F39" s="348">
        <v>2.1921900000000001</v>
      </c>
      <c r="G39" s="348">
        <v>477.47726</v>
      </c>
      <c r="H39" s="541">
        <v>279358.44000000012</v>
      </c>
      <c r="I39" s="541">
        <v>271002.28000000026</v>
      </c>
      <c r="J39" s="549">
        <v>0</v>
      </c>
      <c r="K39" s="348">
        <v>67.096440000000001</v>
      </c>
      <c r="L39" s="541">
        <v>38601.019999999982</v>
      </c>
      <c r="M39" s="541">
        <v>37173.24</v>
      </c>
      <c r="N39" s="348">
        <v>1.2572000000000001</v>
      </c>
      <c r="O39" s="348">
        <v>242.75648000000001</v>
      </c>
      <c r="P39" s="541">
        <v>142946.46000000002</v>
      </c>
      <c r="Q39" s="541">
        <v>138982.83999999985</v>
      </c>
      <c r="R39" s="35"/>
      <c r="S39" s="35"/>
      <c r="T39" s="35"/>
      <c r="U39" s="35"/>
      <c r="V39" s="35"/>
      <c r="W39" s="254"/>
    </row>
    <row r="40" spans="1:23" x14ac:dyDescent="0.3">
      <c r="A40" s="29" t="s">
        <v>375</v>
      </c>
      <c r="B40" s="549">
        <v>0</v>
      </c>
      <c r="C40" s="348">
        <v>520.60447999999997</v>
      </c>
      <c r="D40" s="541">
        <v>354845.2800000002</v>
      </c>
      <c r="E40" s="541">
        <v>340649.01000000018</v>
      </c>
      <c r="F40" s="348">
        <v>2.19767</v>
      </c>
      <c r="G40" s="348">
        <v>463.23027999999999</v>
      </c>
      <c r="H40" s="541">
        <v>310443.66000000021</v>
      </c>
      <c r="I40" s="541">
        <v>300925.83999999956</v>
      </c>
      <c r="J40" s="549">
        <v>0</v>
      </c>
      <c r="K40" s="348">
        <v>64.522040000000004</v>
      </c>
      <c r="L40" s="541">
        <v>43332.62999999999</v>
      </c>
      <c r="M40" s="541">
        <v>41729.900000000009</v>
      </c>
      <c r="N40" s="348">
        <v>1.2833699999999999</v>
      </c>
      <c r="O40" s="348">
        <v>239.81556</v>
      </c>
      <c r="P40" s="541">
        <v>159227.88000000003</v>
      </c>
      <c r="Q40" s="541">
        <v>154895.1399999999</v>
      </c>
      <c r="R40" s="35"/>
      <c r="S40" s="35"/>
      <c r="T40" s="35"/>
      <c r="U40" s="35"/>
      <c r="V40" s="35"/>
      <c r="W40" s="254"/>
    </row>
    <row r="41" spans="1:23" x14ac:dyDescent="0.3">
      <c r="A41" s="29" t="s">
        <v>376</v>
      </c>
      <c r="B41" s="549">
        <v>0</v>
      </c>
      <c r="C41" s="348">
        <v>540.51184000000001</v>
      </c>
      <c r="D41" s="541">
        <v>342167.35999999981</v>
      </c>
      <c r="E41" s="541">
        <v>328482.84999999939</v>
      </c>
      <c r="F41" s="348">
        <v>2.2134800000000001</v>
      </c>
      <c r="G41" s="348">
        <v>482.11333999999999</v>
      </c>
      <c r="H41" s="541">
        <v>300342.24000000022</v>
      </c>
      <c r="I41" s="541">
        <v>291050.42000000016</v>
      </c>
      <c r="J41" s="549">
        <v>0</v>
      </c>
      <c r="K41" s="348">
        <v>65.472300000000004</v>
      </c>
      <c r="L41" s="541">
        <v>41040.380000000034</v>
      </c>
      <c r="M41" s="541">
        <v>39522.080000000038</v>
      </c>
      <c r="N41" s="348">
        <v>1.28759</v>
      </c>
      <c r="O41" s="348">
        <v>248.62395000000001</v>
      </c>
      <c r="P41" s="541">
        <v>156150.72000000006</v>
      </c>
      <c r="Q41" s="541">
        <v>151805.97000000012</v>
      </c>
      <c r="R41" s="35"/>
      <c r="S41" s="35"/>
      <c r="T41" s="35"/>
      <c r="U41" s="35"/>
      <c r="V41" s="35"/>
      <c r="W41" s="254"/>
    </row>
    <row r="42" spans="1:23" x14ac:dyDescent="0.3">
      <c r="A42" s="29" t="s">
        <v>377</v>
      </c>
      <c r="B42" s="549">
        <v>0</v>
      </c>
      <c r="C42" s="348">
        <v>541.68890999999996</v>
      </c>
      <c r="D42" s="541">
        <v>352943.95999999996</v>
      </c>
      <c r="E42" s="541">
        <v>338824.58999999944</v>
      </c>
      <c r="F42" s="348">
        <v>2.1928900000000002</v>
      </c>
      <c r="G42" s="348">
        <v>477.62970999999999</v>
      </c>
      <c r="H42" s="541">
        <v>307652.87999999995</v>
      </c>
      <c r="I42" s="541">
        <v>298523.17999999976</v>
      </c>
      <c r="J42" s="549">
        <v>0</v>
      </c>
      <c r="K42" s="348">
        <v>65.378159999999994</v>
      </c>
      <c r="L42" s="541">
        <v>43546.500000000029</v>
      </c>
      <c r="M42" s="541">
        <v>41934.970000000008</v>
      </c>
      <c r="N42" s="348">
        <v>1.29484</v>
      </c>
      <c r="O42" s="348">
        <v>250.024</v>
      </c>
      <c r="P42" s="541">
        <v>156093.41999999984</v>
      </c>
      <c r="Q42" s="541">
        <v>151643.82999999981</v>
      </c>
      <c r="R42" s="35"/>
      <c r="S42" s="35"/>
      <c r="T42" s="35"/>
      <c r="U42" s="35"/>
      <c r="V42" s="35"/>
      <c r="W42" s="254"/>
    </row>
    <row r="43" spans="1:23" x14ac:dyDescent="0.3">
      <c r="A43" s="29" t="s">
        <v>378</v>
      </c>
      <c r="B43" s="549">
        <v>0</v>
      </c>
      <c r="C43" s="348">
        <v>518.57352000000003</v>
      </c>
      <c r="D43" s="541">
        <v>338935.2100000002</v>
      </c>
      <c r="E43" s="541">
        <v>325367.43</v>
      </c>
      <c r="F43" s="348">
        <v>2.2045500000000002</v>
      </c>
      <c r="G43" s="348">
        <v>464.68072000000001</v>
      </c>
      <c r="H43" s="541">
        <v>298473.12000000052</v>
      </c>
      <c r="I43" s="541">
        <v>289498.55000000022</v>
      </c>
      <c r="J43" s="549">
        <v>0</v>
      </c>
      <c r="K43" s="348">
        <v>64.442319999999995</v>
      </c>
      <c r="L43" s="541">
        <v>41875.679999999949</v>
      </c>
      <c r="M43" s="541">
        <v>40326.069999999949</v>
      </c>
      <c r="N43" s="348">
        <v>1.26953</v>
      </c>
      <c r="O43" s="348">
        <v>237.22896</v>
      </c>
      <c r="P43" s="541">
        <v>154202.40000000023</v>
      </c>
      <c r="Q43" s="541">
        <v>149890.78999999986</v>
      </c>
      <c r="R43" s="35"/>
      <c r="S43" s="35"/>
      <c r="T43" s="35"/>
      <c r="U43" s="35"/>
      <c r="V43" s="35"/>
      <c r="W43" s="254"/>
    </row>
    <row r="44" spans="1:23" x14ac:dyDescent="0.3">
      <c r="A44" s="29" t="s">
        <v>379</v>
      </c>
      <c r="B44" s="549">
        <v>0</v>
      </c>
      <c r="C44" s="348">
        <v>534.83768999999995</v>
      </c>
      <c r="D44" s="541">
        <v>351895.72999999981</v>
      </c>
      <c r="E44" s="541">
        <v>337818.06000000006</v>
      </c>
      <c r="F44" s="348">
        <v>2.2011100000000003</v>
      </c>
      <c r="G44" s="348">
        <v>479.42068</v>
      </c>
      <c r="H44" s="541">
        <v>310640.04000000033</v>
      </c>
      <c r="I44" s="541">
        <v>301220.27000000014</v>
      </c>
      <c r="J44" s="549">
        <v>0</v>
      </c>
      <c r="K44" s="348">
        <v>66.390280000000004</v>
      </c>
      <c r="L44" s="541">
        <v>42492.41</v>
      </c>
      <c r="M44" s="541">
        <v>40920.81</v>
      </c>
      <c r="N44" s="348">
        <v>1.28264</v>
      </c>
      <c r="O44" s="348">
        <v>247.66936000000001</v>
      </c>
      <c r="P44" s="541">
        <v>159866.22000000003</v>
      </c>
      <c r="Q44" s="541">
        <v>155396.29</v>
      </c>
      <c r="R44" s="35"/>
      <c r="S44" s="35"/>
      <c r="T44" s="35"/>
      <c r="U44" s="35"/>
      <c r="V44" s="35"/>
      <c r="W44" s="254"/>
    </row>
    <row r="45" spans="1:23" x14ac:dyDescent="0.3">
      <c r="A45" s="29" t="s">
        <v>380</v>
      </c>
      <c r="B45" s="549">
        <v>0</v>
      </c>
      <c r="C45" s="348">
        <v>520.74417000000005</v>
      </c>
      <c r="D45" s="541">
        <v>352662.05</v>
      </c>
      <c r="E45" s="541">
        <v>338551.46000000008</v>
      </c>
      <c r="F45" s="348">
        <v>2.1970300000000003</v>
      </c>
      <c r="G45" s="348">
        <v>463.09507000000002</v>
      </c>
      <c r="H45" s="541">
        <v>307751.09999999963</v>
      </c>
      <c r="I45" s="541">
        <v>298558.22000000003</v>
      </c>
      <c r="J45" s="549">
        <v>0</v>
      </c>
      <c r="K45" s="348">
        <v>64.476479999999995</v>
      </c>
      <c r="L45" s="541">
        <v>42431.309999999969</v>
      </c>
      <c r="M45" s="541">
        <v>40860.189999999995</v>
      </c>
      <c r="N45" s="348">
        <v>1.2489600000000001</v>
      </c>
      <c r="O45" s="348">
        <v>233.386</v>
      </c>
      <c r="P45" s="541">
        <v>160766.4599999999</v>
      </c>
      <c r="Q45" s="541">
        <v>156293.08999999991</v>
      </c>
      <c r="R45" s="35"/>
      <c r="S45" s="35"/>
      <c r="T45" s="35"/>
      <c r="U45" s="35"/>
      <c r="V45" s="35"/>
      <c r="W45" s="254"/>
    </row>
    <row r="46" spans="1:23" x14ac:dyDescent="0.3">
      <c r="A46" s="29" t="s">
        <v>381</v>
      </c>
      <c r="B46" s="549">
        <v>0</v>
      </c>
      <c r="C46" s="348">
        <v>540.91162999999983</v>
      </c>
      <c r="D46" s="541">
        <v>337612.97000000009</v>
      </c>
      <c r="E46" s="541">
        <v>324106.42000000004</v>
      </c>
      <c r="F46" s="348">
        <v>2.1935899999999999</v>
      </c>
      <c r="G46" s="348">
        <v>477.78214000000003</v>
      </c>
      <c r="H46" s="541">
        <v>299407.67999999988</v>
      </c>
      <c r="I46" s="541">
        <v>290311.40999999992</v>
      </c>
      <c r="J46" s="549">
        <v>0</v>
      </c>
      <c r="K46" s="348">
        <v>66.425579999999997</v>
      </c>
      <c r="L46" s="541">
        <v>41823.939999999959</v>
      </c>
      <c r="M46" s="541">
        <v>40276.570000000014</v>
      </c>
      <c r="N46" s="348">
        <v>1.2699200000000002</v>
      </c>
      <c r="O46" s="348">
        <v>245.21292</v>
      </c>
      <c r="P46" s="541">
        <v>152539.20000000001</v>
      </c>
      <c r="Q46" s="541">
        <v>148263.91999999995</v>
      </c>
      <c r="R46" s="35"/>
      <c r="S46" s="35"/>
      <c r="T46" s="35"/>
      <c r="U46" s="35"/>
      <c r="V46" s="35"/>
      <c r="W46" s="254"/>
    </row>
    <row r="47" spans="1:23" x14ac:dyDescent="0.3">
      <c r="A47" s="29" t="s">
        <v>382</v>
      </c>
      <c r="B47" s="549">
        <v>0</v>
      </c>
      <c r="C47" s="348">
        <v>533.90491999999995</v>
      </c>
      <c r="D47" s="541">
        <v>348201.63000000006</v>
      </c>
      <c r="E47" s="541">
        <v>334275.3000000001</v>
      </c>
      <c r="F47" s="348">
        <v>2.1983700000000002</v>
      </c>
      <c r="G47" s="348">
        <v>478.82369</v>
      </c>
      <c r="H47" s="541">
        <v>308905.08000000048</v>
      </c>
      <c r="I47" s="541">
        <v>299561.64999999985</v>
      </c>
      <c r="J47" s="549">
        <v>0</v>
      </c>
      <c r="K47" s="348">
        <v>65.260480000000001</v>
      </c>
      <c r="L47" s="541">
        <v>43088.189999999988</v>
      </c>
      <c r="M47" s="541">
        <v>41493.639999999992</v>
      </c>
      <c r="N47" s="348">
        <v>1.28172</v>
      </c>
      <c r="O47" s="348">
        <v>247.49123</v>
      </c>
      <c r="P47" s="541">
        <v>159252.41999999995</v>
      </c>
      <c r="Q47" s="541">
        <v>154900.21999999997</v>
      </c>
      <c r="R47" s="35"/>
      <c r="S47" s="35"/>
      <c r="T47" s="35"/>
      <c r="U47" s="35"/>
      <c r="V47" s="35"/>
      <c r="W47" s="254"/>
    </row>
    <row r="48" spans="1:23" x14ac:dyDescent="0.3">
      <c r="A48" s="29" t="s">
        <v>383</v>
      </c>
      <c r="B48" s="549">
        <v>0</v>
      </c>
      <c r="C48" s="348">
        <v>485.90750000000003</v>
      </c>
      <c r="D48" s="541">
        <v>339026.15999999986</v>
      </c>
      <c r="E48" s="541">
        <v>325462.6999999999</v>
      </c>
      <c r="F48" s="348">
        <v>2.2038500000000005</v>
      </c>
      <c r="G48" s="348">
        <v>433.5643</v>
      </c>
      <c r="H48" s="541">
        <v>298386.00000000012</v>
      </c>
      <c r="I48" s="541">
        <v>289334.73999999982</v>
      </c>
      <c r="J48" s="549">
        <v>0</v>
      </c>
      <c r="K48" s="348">
        <v>59.476439999999997</v>
      </c>
      <c r="L48" s="541">
        <v>41846.109999999986</v>
      </c>
      <c r="M48" s="541">
        <v>40298.030000000042</v>
      </c>
      <c r="N48" s="348">
        <v>1.27467</v>
      </c>
      <c r="O48" s="348">
        <v>222.31032999999999</v>
      </c>
      <c r="P48" s="541">
        <v>150068.16000000006</v>
      </c>
      <c r="Q48" s="541">
        <v>145845.86000000016</v>
      </c>
      <c r="R48" s="35"/>
      <c r="S48" s="35"/>
      <c r="T48" s="35"/>
      <c r="U48" s="35"/>
      <c r="V48" s="35"/>
      <c r="W48" s="254"/>
    </row>
    <row r="49" spans="1:23" x14ac:dyDescent="0.3">
      <c r="A49" s="29" t="s">
        <v>384</v>
      </c>
      <c r="B49" s="549">
        <v>0</v>
      </c>
      <c r="C49" s="348">
        <v>545.04235000000006</v>
      </c>
      <c r="D49" s="541">
        <v>352156.01000000018</v>
      </c>
      <c r="E49" s="541">
        <v>338064.36000000004</v>
      </c>
      <c r="F49" s="348">
        <v>2.2120800000000003</v>
      </c>
      <c r="G49" s="348">
        <v>481.80856</v>
      </c>
      <c r="H49" s="541">
        <v>307849.32000000012</v>
      </c>
      <c r="I49" s="541">
        <v>298609.38</v>
      </c>
      <c r="J49" s="549">
        <v>0</v>
      </c>
      <c r="K49" s="348">
        <v>66.766909999999996</v>
      </c>
      <c r="L49" s="541">
        <v>43111.100000000006</v>
      </c>
      <c r="M49" s="541">
        <v>41516.710000000006</v>
      </c>
      <c r="N49" s="348">
        <v>1.2824500000000001</v>
      </c>
      <c r="O49" s="348">
        <v>247.63120000000001</v>
      </c>
      <c r="P49" s="541">
        <v>157672.92000000004</v>
      </c>
      <c r="Q49" s="541">
        <v>153122.81</v>
      </c>
      <c r="R49" s="35"/>
      <c r="S49" s="35"/>
      <c r="T49" s="35"/>
      <c r="U49" s="35"/>
      <c r="V49" s="35"/>
      <c r="W49" s="254"/>
    </row>
    <row r="50" spans="1:23" ht="14" thickBot="1" x14ac:dyDescent="0.35">
      <c r="A50" s="542" t="s">
        <v>395</v>
      </c>
      <c r="B50" s="543"/>
      <c r="C50" s="543"/>
      <c r="D50" s="543"/>
      <c r="E50" s="543"/>
      <c r="F50" s="543"/>
      <c r="G50" s="544"/>
      <c r="H50" s="33"/>
      <c r="I50" s="33"/>
      <c r="J50" s="33"/>
      <c r="K50" s="33"/>
      <c r="L50" s="33"/>
      <c r="M50" s="545"/>
      <c r="N50" s="545"/>
      <c r="O50" s="545"/>
      <c r="P50" s="545"/>
      <c r="Q50" s="545"/>
      <c r="R50" s="545"/>
      <c r="S50" s="545"/>
      <c r="T50" s="545"/>
      <c r="U50" s="545"/>
      <c r="V50" s="545"/>
      <c r="W50" s="546"/>
    </row>
    <row r="53" spans="1:23" ht="14" thickBot="1" x14ac:dyDescent="0.35"/>
    <row r="54" spans="1:23" ht="17" x14ac:dyDescent="0.4">
      <c r="A54" s="555" t="str">
        <f>A22</f>
        <v>Time interval</v>
      </c>
      <c r="B54" s="556" t="s">
        <v>397</v>
      </c>
      <c r="C54" s="556" t="s">
        <v>398</v>
      </c>
      <c r="D54" s="556" t="s">
        <v>102</v>
      </c>
      <c r="E54" s="557" t="s">
        <v>399</v>
      </c>
      <c r="F54" s="557" t="s">
        <v>98</v>
      </c>
      <c r="G54" s="557" t="s">
        <v>400</v>
      </c>
      <c r="H54" s="557" t="s">
        <v>99</v>
      </c>
      <c r="I54" s="557" t="s">
        <v>100</v>
      </c>
      <c r="J54" s="556" t="s">
        <v>401</v>
      </c>
      <c r="K54" s="557" t="s">
        <v>402</v>
      </c>
      <c r="L54" s="557" t="s">
        <v>403</v>
      </c>
      <c r="M54" s="558" t="s">
        <v>404</v>
      </c>
      <c r="P54" s="550"/>
      <c r="R54" s="551"/>
      <c r="S54" s="551"/>
    </row>
    <row r="55" spans="1:23" x14ac:dyDescent="0.3">
      <c r="A55" s="50" t="str">
        <f>A23</f>
        <v>01/04/2022-30/04/2022</v>
      </c>
      <c r="B55" s="51">
        <f>F23+J23+N23+R23+V23+D38+H38+L38+P38</f>
        <v>1736894.4100000006</v>
      </c>
      <c r="C55" s="51">
        <f>G23+K23+O23+S23+W23+E38+I38+M38+Q38</f>
        <v>1679248.8700000008</v>
      </c>
      <c r="D55" s="52">
        <v>0</v>
      </c>
      <c r="E55" s="53">
        <v>35.75</v>
      </c>
      <c r="F55" s="53">
        <f>E55+273.15</f>
        <v>308.89999999999998</v>
      </c>
      <c r="G55" s="54">
        <f>101.325*1000</f>
        <v>101325</v>
      </c>
      <c r="H55" s="54">
        <v>16.04</v>
      </c>
      <c r="I55" s="55">
        <v>8314</v>
      </c>
      <c r="J55" s="56">
        <f>ROUND(G55*H55/F55/I55,2)/1000</f>
        <v>6.3000000000000003E-4</v>
      </c>
      <c r="K55" s="57">
        <v>58.26</v>
      </c>
      <c r="L55" s="53">
        <f>B55</f>
        <v>1736894.4100000006</v>
      </c>
      <c r="M55" s="343">
        <f>J55*K55*L55/100</f>
        <v>637.50625045758022</v>
      </c>
      <c r="N55" s="13"/>
      <c r="P55" s="550"/>
      <c r="Q55" s="44"/>
      <c r="R55" s="551"/>
      <c r="S55" s="551"/>
    </row>
    <row r="56" spans="1:23" x14ac:dyDescent="0.3">
      <c r="A56" s="50" t="str">
        <f>A24</f>
        <v>01/05/2022-31/05/2022</v>
      </c>
      <c r="B56" s="51">
        <f t="shared" ref="B56:C66" si="7">F24+J24+N24+R24+V24+D39+H39+L39+P39</f>
        <v>1573057.8300000008</v>
      </c>
      <c r="C56" s="51">
        <f t="shared" si="7"/>
        <v>1520595.7600000002</v>
      </c>
      <c r="D56" s="52">
        <v>0</v>
      </c>
      <c r="E56" s="53">
        <v>36.659999999999997</v>
      </c>
      <c r="F56" s="53">
        <f t="shared" ref="F56:F66" si="8">E56+273.15</f>
        <v>309.80999999999995</v>
      </c>
      <c r="G56" s="54">
        <f t="shared" ref="G56:G66" si="9">101.325*1000</f>
        <v>101325</v>
      </c>
      <c r="H56" s="54">
        <v>16.04</v>
      </c>
      <c r="I56" s="55">
        <v>8314</v>
      </c>
      <c r="J56" s="56">
        <f t="shared" ref="J56:J66" si="10">ROUND(G56*H56/F56/I56,2)/1000</f>
        <v>6.3000000000000003E-4</v>
      </c>
      <c r="K56" s="57">
        <v>61.64</v>
      </c>
      <c r="L56" s="53">
        <f t="shared" ref="L56:L66" si="11">B56</f>
        <v>1573057.8300000008</v>
      </c>
      <c r="M56" s="343">
        <f t="shared" ref="M56:M66" si="12">J56*K56*L56/100</f>
        <v>610.86869323956034</v>
      </c>
      <c r="N56" s="13"/>
      <c r="P56" s="550"/>
      <c r="Q56" s="44"/>
      <c r="R56" s="551"/>
      <c r="S56" s="551"/>
    </row>
    <row r="57" spans="1:23" x14ac:dyDescent="0.3">
      <c r="A57" s="50" t="str">
        <f>A25</f>
        <v>01/06/2022-30/06/2022</v>
      </c>
      <c r="B57" s="51">
        <f t="shared" si="7"/>
        <v>1750838.8599999996</v>
      </c>
      <c r="C57" s="51">
        <f t="shared" si="7"/>
        <v>1692504.97</v>
      </c>
      <c r="D57" s="52">
        <v>0</v>
      </c>
      <c r="E57" s="53">
        <v>38.51</v>
      </c>
      <c r="F57" s="53">
        <f t="shared" si="8"/>
        <v>311.65999999999997</v>
      </c>
      <c r="G57" s="54">
        <f t="shared" si="9"/>
        <v>101325</v>
      </c>
      <c r="H57" s="54">
        <v>16.04</v>
      </c>
      <c r="I57" s="55">
        <v>8314</v>
      </c>
      <c r="J57" s="56">
        <f t="shared" si="10"/>
        <v>6.3000000000000003E-4</v>
      </c>
      <c r="K57" s="57">
        <v>59.96</v>
      </c>
      <c r="L57" s="53">
        <f t="shared" si="11"/>
        <v>1750838.8599999996</v>
      </c>
      <c r="M57" s="343">
        <f t="shared" si="12"/>
        <v>661.37587768727997</v>
      </c>
      <c r="N57" s="38"/>
      <c r="P57" s="550"/>
      <c r="Q57" s="44"/>
      <c r="R57" s="551"/>
      <c r="S57" s="551"/>
    </row>
    <row r="58" spans="1:23" x14ac:dyDescent="0.3">
      <c r="A58" s="50" t="str">
        <f>A26</f>
        <v>01/07/2022-31/07/2022</v>
      </c>
      <c r="B58" s="51">
        <f t="shared" si="7"/>
        <v>1690839.47</v>
      </c>
      <c r="C58" s="51">
        <f t="shared" si="7"/>
        <v>1634398.4499999995</v>
      </c>
      <c r="D58" s="52">
        <v>0</v>
      </c>
      <c r="E58" s="53">
        <v>38.22</v>
      </c>
      <c r="F58" s="53">
        <f t="shared" si="8"/>
        <v>311.37</v>
      </c>
      <c r="G58" s="54">
        <f t="shared" si="9"/>
        <v>101325</v>
      </c>
      <c r="H58" s="54">
        <v>16.04</v>
      </c>
      <c r="I58" s="55">
        <v>8314</v>
      </c>
      <c r="J58" s="56">
        <f t="shared" si="10"/>
        <v>6.3000000000000003E-4</v>
      </c>
      <c r="K58" s="57">
        <v>62.28</v>
      </c>
      <c r="L58" s="53">
        <f t="shared" si="11"/>
        <v>1690839.47</v>
      </c>
      <c r="M58" s="343">
        <f>J58*K58*L58/100</f>
        <v>663.42453780708001</v>
      </c>
      <c r="P58" s="550"/>
      <c r="Q58" s="44"/>
      <c r="R58" s="551"/>
      <c r="S58" s="551"/>
    </row>
    <row r="59" spans="1:23" x14ac:dyDescent="0.3">
      <c r="A59" s="50" t="str">
        <f>A27</f>
        <v>01/08/2022-31/08/2022</v>
      </c>
      <c r="B59" s="51">
        <f t="shared" si="7"/>
        <v>1741607.7799999993</v>
      </c>
      <c r="C59" s="51">
        <f t="shared" si="7"/>
        <v>1683844.629999999</v>
      </c>
      <c r="D59" s="52">
        <v>0</v>
      </c>
      <c r="E59" s="53">
        <v>35.69</v>
      </c>
      <c r="F59" s="53">
        <f t="shared" si="8"/>
        <v>308.83999999999997</v>
      </c>
      <c r="G59" s="54">
        <f t="shared" si="9"/>
        <v>101325</v>
      </c>
      <c r="H59" s="54">
        <v>16.04</v>
      </c>
      <c r="I59" s="55">
        <v>8314</v>
      </c>
      <c r="J59" s="56">
        <f t="shared" si="10"/>
        <v>6.3000000000000003E-4</v>
      </c>
      <c r="K59" s="57">
        <v>61.75</v>
      </c>
      <c r="L59" s="53">
        <f t="shared" si="11"/>
        <v>1741607.7799999993</v>
      </c>
      <c r="M59" s="343">
        <f t="shared" si="12"/>
        <v>677.52896661449984</v>
      </c>
      <c r="P59" s="550"/>
      <c r="Q59" s="44"/>
      <c r="R59" s="551"/>
      <c r="S59" s="551"/>
    </row>
    <row r="60" spans="1:23" x14ac:dyDescent="0.3">
      <c r="A60" s="50" t="str">
        <f>A28</f>
        <v>01/09/2022-30/09/2022</v>
      </c>
      <c r="B60" s="51">
        <f t="shared" si="7"/>
        <v>1687531.3000000012</v>
      </c>
      <c r="C60" s="51">
        <f t="shared" si="7"/>
        <v>1631437.2900000003</v>
      </c>
      <c r="D60" s="52">
        <v>0</v>
      </c>
      <c r="E60" s="53">
        <v>36.049999999999997</v>
      </c>
      <c r="F60" s="53">
        <f t="shared" si="8"/>
        <v>309.2</v>
      </c>
      <c r="G60" s="54">
        <f t="shared" si="9"/>
        <v>101325</v>
      </c>
      <c r="H60" s="54">
        <v>16.04</v>
      </c>
      <c r="I60" s="55">
        <v>8314</v>
      </c>
      <c r="J60" s="56">
        <f t="shared" si="10"/>
        <v>6.3000000000000003E-4</v>
      </c>
      <c r="K60" s="57">
        <v>58.6</v>
      </c>
      <c r="L60" s="53">
        <f t="shared" si="11"/>
        <v>1687531.3000000012</v>
      </c>
      <c r="M60" s="343">
        <f t="shared" si="12"/>
        <v>623.00280533400041</v>
      </c>
      <c r="P60" s="550"/>
      <c r="Q60" s="44"/>
      <c r="R60" s="551"/>
      <c r="S60" s="551"/>
    </row>
    <row r="61" spans="1:23" x14ac:dyDescent="0.3">
      <c r="A61" s="50" t="str">
        <f>A29</f>
        <v>01/10/2022-31/10/2022</v>
      </c>
      <c r="B61" s="51">
        <f t="shared" si="7"/>
        <v>1740640.7099999997</v>
      </c>
      <c r="C61" s="51">
        <f t="shared" si="7"/>
        <v>1682575.5699999998</v>
      </c>
      <c r="D61" s="52">
        <v>0</v>
      </c>
      <c r="E61" s="53">
        <v>37.07</v>
      </c>
      <c r="F61" s="53">
        <f t="shared" si="8"/>
        <v>310.21999999999997</v>
      </c>
      <c r="G61" s="54">
        <f t="shared" si="9"/>
        <v>101325</v>
      </c>
      <c r="H61" s="54">
        <v>16.04</v>
      </c>
      <c r="I61" s="55">
        <v>8314</v>
      </c>
      <c r="J61" s="56">
        <f t="shared" si="10"/>
        <v>6.3000000000000003E-4</v>
      </c>
      <c r="K61" s="57">
        <v>59.51</v>
      </c>
      <c r="L61" s="53">
        <f t="shared" si="11"/>
        <v>1740640.7099999997</v>
      </c>
      <c r="M61" s="343">
        <f t="shared" si="12"/>
        <v>652.58883050822988</v>
      </c>
      <c r="P61" s="550"/>
      <c r="Q61" s="44"/>
      <c r="R61" s="551"/>
      <c r="S61" s="551"/>
    </row>
    <row r="62" spans="1:23" x14ac:dyDescent="0.3">
      <c r="A62" s="50" t="str">
        <f>A30</f>
        <v>01/11/2022-30/11/2022</v>
      </c>
      <c r="B62" s="51">
        <f t="shared" si="7"/>
        <v>1746180.8399999994</v>
      </c>
      <c r="C62" s="51">
        <f t="shared" si="7"/>
        <v>1688161.3800000001</v>
      </c>
      <c r="D62" s="52">
        <v>0</v>
      </c>
      <c r="E62" s="53">
        <v>38.26</v>
      </c>
      <c r="F62" s="53">
        <f t="shared" si="8"/>
        <v>311.40999999999997</v>
      </c>
      <c r="G62" s="54">
        <f t="shared" si="9"/>
        <v>101325</v>
      </c>
      <c r="H62" s="54">
        <v>16.04</v>
      </c>
      <c r="I62" s="55">
        <v>8314</v>
      </c>
      <c r="J62" s="56">
        <f t="shared" si="10"/>
        <v>6.3000000000000003E-4</v>
      </c>
      <c r="K62" s="57">
        <v>61.89</v>
      </c>
      <c r="L62" s="53">
        <f t="shared" si="11"/>
        <v>1746180.8399999994</v>
      </c>
      <c r="M62" s="343">
        <f t="shared" si="12"/>
        <v>680.84813278187983</v>
      </c>
      <c r="P62" s="550"/>
      <c r="Q62" s="44"/>
      <c r="R62" s="551"/>
      <c r="S62" s="551"/>
    </row>
    <row r="63" spans="1:23" x14ac:dyDescent="0.3">
      <c r="A63" s="50" t="str">
        <f>A31</f>
        <v>01/12/2022-31/12/2022</v>
      </c>
      <c r="B63" s="51">
        <f t="shared" si="7"/>
        <v>1684531.08</v>
      </c>
      <c r="C63" s="51">
        <f t="shared" si="7"/>
        <v>1628296.52</v>
      </c>
      <c r="D63" s="52">
        <v>0</v>
      </c>
      <c r="E63" s="53">
        <v>37</v>
      </c>
      <c r="F63" s="53">
        <f t="shared" si="8"/>
        <v>310.14999999999998</v>
      </c>
      <c r="G63" s="54">
        <f t="shared" si="9"/>
        <v>101325</v>
      </c>
      <c r="H63" s="54">
        <v>16.04</v>
      </c>
      <c r="I63" s="55">
        <v>8314</v>
      </c>
      <c r="J63" s="56">
        <f t="shared" si="10"/>
        <v>6.3000000000000003E-4</v>
      </c>
      <c r="K63" s="57">
        <v>59.51</v>
      </c>
      <c r="L63" s="53">
        <f t="shared" si="11"/>
        <v>1684531.08</v>
      </c>
      <c r="M63" s="343">
        <f t="shared" si="12"/>
        <v>631.55260079604</v>
      </c>
      <c r="P63" s="550"/>
      <c r="Q63" s="44"/>
      <c r="R63" s="551"/>
      <c r="S63" s="551"/>
    </row>
    <row r="64" spans="1:23" x14ac:dyDescent="0.3">
      <c r="A64" s="50" t="str">
        <f>A32</f>
        <v>01/01/2023-31/01/2023</v>
      </c>
      <c r="B64" s="51">
        <f t="shared" si="7"/>
        <v>1740926.7900000003</v>
      </c>
      <c r="C64" s="51">
        <f t="shared" si="7"/>
        <v>1683150.2</v>
      </c>
      <c r="D64" s="52">
        <v>0</v>
      </c>
      <c r="E64" s="53">
        <v>38.31</v>
      </c>
      <c r="F64" s="53">
        <f t="shared" si="8"/>
        <v>311.45999999999998</v>
      </c>
      <c r="G64" s="54">
        <f t="shared" si="9"/>
        <v>101325</v>
      </c>
      <c r="H64" s="54">
        <v>16.04</v>
      </c>
      <c r="I64" s="55">
        <v>8314</v>
      </c>
      <c r="J64" s="56">
        <f t="shared" si="10"/>
        <v>6.3000000000000003E-4</v>
      </c>
      <c r="K64" s="57">
        <v>59.57</v>
      </c>
      <c r="L64" s="53">
        <f t="shared" si="11"/>
        <v>1740926.7900000003</v>
      </c>
      <c r="M64" s="343">
        <f t="shared" si="12"/>
        <v>653.35415594589017</v>
      </c>
      <c r="P64" s="550"/>
      <c r="Q64" s="44"/>
      <c r="R64" s="551"/>
      <c r="S64" s="551"/>
    </row>
    <row r="65" spans="1:19" x14ac:dyDescent="0.3">
      <c r="A65" s="50" t="str">
        <f>A33</f>
        <v>01/02/2023-28/02/2023</v>
      </c>
      <c r="B65" s="51">
        <f t="shared" si="7"/>
        <v>1677999.8300000005</v>
      </c>
      <c r="C65" s="51">
        <f t="shared" si="7"/>
        <v>1622041.62</v>
      </c>
      <c r="D65" s="52">
        <v>0</v>
      </c>
      <c r="E65" s="53">
        <v>37.31</v>
      </c>
      <c r="F65" s="53">
        <f t="shared" si="8"/>
        <v>310.45999999999998</v>
      </c>
      <c r="G65" s="54">
        <f t="shared" si="9"/>
        <v>101325</v>
      </c>
      <c r="H65" s="54">
        <v>16.04</v>
      </c>
      <c r="I65" s="55">
        <v>8314</v>
      </c>
      <c r="J65" s="56">
        <f t="shared" si="10"/>
        <v>6.3000000000000003E-4</v>
      </c>
      <c r="K65" s="57">
        <v>59.7</v>
      </c>
      <c r="L65" s="53">
        <f t="shared" si="11"/>
        <v>1677999.8300000005</v>
      </c>
      <c r="M65" s="343">
        <f t="shared" si="12"/>
        <v>631.11251606130031</v>
      </c>
      <c r="P65" s="550"/>
      <c r="Q65" s="44"/>
      <c r="R65" s="551"/>
      <c r="S65" s="551"/>
    </row>
    <row r="66" spans="1:19" x14ac:dyDescent="0.3">
      <c r="A66" s="50" t="str">
        <f>A34</f>
        <v>01/03/2023-31/03/2023</v>
      </c>
      <c r="B66" s="51">
        <f t="shared" si="7"/>
        <v>1737564.33</v>
      </c>
      <c r="C66" s="51">
        <f t="shared" si="7"/>
        <v>1679719.42</v>
      </c>
      <c r="D66" s="52">
        <v>0</v>
      </c>
      <c r="E66" s="53">
        <v>35.96</v>
      </c>
      <c r="F66" s="53">
        <f t="shared" si="8"/>
        <v>309.10999999999996</v>
      </c>
      <c r="G66" s="54">
        <f t="shared" si="9"/>
        <v>101325</v>
      </c>
      <c r="H66" s="54">
        <v>16.04</v>
      </c>
      <c r="I66" s="55">
        <v>8314</v>
      </c>
      <c r="J66" s="56">
        <f t="shared" si="10"/>
        <v>6.3000000000000003E-4</v>
      </c>
      <c r="K66" s="57">
        <v>62.68</v>
      </c>
      <c r="L66" s="53">
        <f t="shared" si="11"/>
        <v>1737564.33</v>
      </c>
      <c r="M66" s="343">
        <f t="shared" si="12"/>
        <v>686.13635288772002</v>
      </c>
      <c r="P66" s="550"/>
      <c r="Q66" s="44"/>
    </row>
    <row r="67" spans="1:19" ht="14" thickBot="1" x14ac:dyDescent="0.35">
      <c r="A67" s="58" t="s">
        <v>71</v>
      </c>
      <c r="B67" s="59">
        <f>SUM(B55:B66)</f>
        <v>20508613.230000004</v>
      </c>
      <c r="C67" s="59">
        <f>SUM(C55:C66)</f>
        <v>19825974.68</v>
      </c>
      <c r="D67" s="59">
        <f>SUM(D55:D66)</f>
        <v>0</v>
      </c>
      <c r="E67" s="373">
        <f>AVERAGE(E55:E66)</f>
        <v>37.06583333333333</v>
      </c>
      <c r="F67" s="373">
        <f>AVERAGE(F55:F66)</f>
        <v>310.21583333333331</v>
      </c>
      <c r="G67" s="60"/>
      <c r="H67" s="60"/>
      <c r="I67" s="60"/>
      <c r="J67" s="61">
        <f>AVERAGE(J55:J66)</f>
        <v>6.3000000000000013E-4</v>
      </c>
      <c r="K67" s="60">
        <f>AVERAGE(K55:K66)</f>
        <v>60.445833333333333</v>
      </c>
      <c r="L67" s="59">
        <f>SUM(L55:L66)</f>
        <v>20508613.230000004</v>
      </c>
      <c r="M67" s="344">
        <f>SUM(M55:M66)</f>
        <v>7809.299720121061</v>
      </c>
      <c r="P67" s="44"/>
      <c r="Q67" s="44"/>
    </row>
    <row r="68" spans="1:19" x14ac:dyDescent="0.3">
      <c r="D68" s="39"/>
      <c r="O68" s="40"/>
      <c r="P68" s="40"/>
      <c r="Q68" s="41"/>
    </row>
    <row r="69" spans="1:19" ht="14" thickBot="1" x14ac:dyDescent="0.35">
      <c r="B69" s="39"/>
      <c r="C69" s="135"/>
      <c r="L69" s="42"/>
      <c r="M69" s="39"/>
      <c r="O69" s="13"/>
      <c r="R69" s="39"/>
    </row>
    <row r="70" spans="1:19" ht="15.5" x14ac:dyDescent="0.4">
      <c r="A70" s="363" t="s">
        <v>362</v>
      </c>
      <c r="B70" s="364">
        <f>'Baseline emission'!B88</f>
        <v>228475</v>
      </c>
      <c r="C70" s="365" t="s">
        <v>363</v>
      </c>
      <c r="D70" s="42"/>
      <c r="O70" s="43"/>
      <c r="Q70" s="41"/>
    </row>
    <row r="71" spans="1:19" ht="15.5" x14ac:dyDescent="0.4">
      <c r="A71" s="366" t="s">
        <v>364</v>
      </c>
      <c r="B71" s="367">
        <f>'Project emission'!B84</f>
        <v>10976</v>
      </c>
      <c r="C71" s="368" t="s">
        <v>363</v>
      </c>
      <c r="D71" s="44"/>
      <c r="E71" s="45"/>
      <c r="F71" s="45"/>
      <c r="O71" s="13"/>
      <c r="P71" s="40"/>
      <c r="Q71" s="41"/>
    </row>
    <row r="72" spans="1:19" ht="15.5" x14ac:dyDescent="0.4">
      <c r="A72" s="366" t="s">
        <v>365</v>
      </c>
      <c r="B72" s="369">
        <f>B70-B71</f>
        <v>217499</v>
      </c>
      <c r="C72" s="368" t="s">
        <v>363</v>
      </c>
      <c r="D72" s="42"/>
      <c r="E72" s="45"/>
      <c r="F72" s="45"/>
      <c r="O72" s="46"/>
      <c r="P72" s="40"/>
    </row>
    <row r="73" spans="1:19" ht="16" thickBot="1" x14ac:dyDescent="0.45">
      <c r="A73" s="370" t="s">
        <v>366</v>
      </c>
      <c r="B73" s="371">
        <f>M67*28</f>
        <v>218660.39216338971</v>
      </c>
      <c r="C73" s="372" t="s">
        <v>363</v>
      </c>
      <c r="D73" s="42"/>
      <c r="E73" s="45"/>
      <c r="F73" s="45"/>
      <c r="O73" s="47"/>
    </row>
    <row r="74" spans="1:19" x14ac:dyDescent="0.3">
      <c r="B74" s="42"/>
      <c r="C74" s="42"/>
      <c r="D74" s="42"/>
      <c r="E74" s="45"/>
      <c r="F74" s="45"/>
      <c r="O74" s="40"/>
    </row>
    <row r="75" spans="1:19" x14ac:dyDescent="0.3">
      <c r="B75" s="42"/>
      <c r="C75" s="42"/>
      <c r="D75" s="42"/>
      <c r="E75" s="45"/>
      <c r="F75" s="39"/>
    </row>
    <row r="76" spans="1:19" x14ac:dyDescent="0.3">
      <c r="B76" s="42"/>
      <c r="C76" s="42"/>
      <c r="D76" s="42"/>
      <c r="E76" s="45"/>
      <c r="F76" s="39"/>
    </row>
    <row r="77" spans="1:19" x14ac:dyDescent="0.3">
      <c r="B77" s="42"/>
      <c r="C77" s="42"/>
      <c r="D77" s="42"/>
      <c r="F77" s="39"/>
    </row>
    <row r="78" spans="1:19" x14ac:dyDescent="0.3">
      <c r="B78" s="42"/>
      <c r="C78" s="42"/>
      <c r="D78" s="42"/>
    </row>
    <row r="79" spans="1:19" x14ac:dyDescent="0.3">
      <c r="B79" s="42"/>
      <c r="C79" s="42"/>
      <c r="D79" s="42"/>
    </row>
    <row r="80" spans="1:19" x14ac:dyDescent="0.3">
      <c r="B80" s="42"/>
      <c r="C80" s="42"/>
      <c r="D80" s="42"/>
    </row>
    <row r="81" spans="2:14" x14ac:dyDescent="0.3">
      <c r="B81" s="39"/>
    </row>
    <row r="84" spans="2:14" x14ac:dyDescent="0.3">
      <c r="L84" s="48"/>
    </row>
    <row r="96" spans="2:14" x14ac:dyDescent="0.3">
      <c r="N96" s="49"/>
    </row>
  </sheetData>
  <mergeCells count="18">
    <mergeCell ref="B36:E36"/>
    <mergeCell ref="F36:I36"/>
    <mergeCell ref="J36:M36"/>
    <mergeCell ref="N36:Q36"/>
    <mergeCell ref="A50:G50"/>
    <mergeCell ref="H1:I1"/>
    <mergeCell ref="H2:H3"/>
    <mergeCell ref="A20:W20"/>
    <mergeCell ref="B21:C21"/>
    <mergeCell ref="D21:G21"/>
    <mergeCell ref="H21:K21"/>
    <mergeCell ref="L21:O21"/>
    <mergeCell ref="P21:S21"/>
    <mergeCell ref="T21:W21"/>
    <mergeCell ref="A1:E1"/>
    <mergeCell ref="A2:A3"/>
    <mergeCell ref="B2:C2"/>
    <mergeCell ref="D2:E2"/>
  </mergeCells>
  <phoneticPr fontId="11" type="noConversion"/>
  <conditionalFormatting sqref="B72">
    <cfRule type="cellIs" dxfId="2" priority="2" operator="lessThanOrEqual">
      <formula>$B$73</formula>
    </cfRule>
    <cfRule type="cellIs" dxfId="1" priority="3" operator="lessThan">
      <formula>$U$73</formula>
    </cfRule>
  </conditionalFormatting>
  <conditionalFormatting sqref="C23:C34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73A2-5D64-4EB5-9408-BDABC9AF8E7C}">
  <dimension ref="A1:CG53"/>
  <sheetViews>
    <sheetView zoomScale="85" zoomScaleNormal="85" workbookViewId="0">
      <pane xSplit="1" ySplit="3" topLeftCell="B4" activePane="bottomRight" state="frozenSplit"/>
      <selection pane="topRight" activeCell="G1" sqref="G1"/>
      <selection pane="bottomLeft" activeCell="A7" sqref="A7"/>
      <selection pane="bottomRight" activeCell="I68" sqref="I68"/>
    </sheetView>
  </sheetViews>
  <sheetFormatPr defaultColWidth="8.54296875" defaultRowHeight="13.5" x14ac:dyDescent="0.25"/>
  <cols>
    <col min="1" max="1" width="29.1796875" style="8" bestFit="1" customWidth="1"/>
    <col min="2" max="2" width="18.1796875" style="8" customWidth="1"/>
    <col min="3" max="3" width="17" style="8" customWidth="1"/>
    <col min="4" max="4" width="11.54296875" style="8" customWidth="1"/>
    <col min="5" max="5" width="13.36328125" style="8" bestFit="1" customWidth="1"/>
    <col min="6" max="6" width="10.36328125" style="8" bestFit="1" customWidth="1"/>
    <col min="7" max="7" width="17.08984375" style="8" customWidth="1"/>
    <col min="8" max="8" width="9.81640625" style="8" customWidth="1"/>
    <col min="9" max="9" width="11" style="8" bestFit="1" customWidth="1"/>
    <col min="10" max="10" width="9.81640625" style="8" customWidth="1"/>
    <col min="11" max="11" width="18.453125" style="8" customWidth="1"/>
    <col min="12" max="12" width="9" style="8" customWidth="1"/>
    <col min="13" max="13" width="12.1796875" style="8" bestFit="1" customWidth="1"/>
    <col min="14" max="14" width="6.1796875" style="8" bestFit="1" customWidth="1"/>
    <col min="15" max="15" width="10" style="8" bestFit="1" customWidth="1"/>
    <col min="16" max="16" width="12.453125" style="8" customWidth="1"/>
    <col min="17" max="17" width="12.1796875" style="8" customWidth="1"/>
    <col min="18" max="18" width="11.453125" style="8" customWidth="1"/>
    <col min="19" max="19" width="10.453125" style="8" customWidth="1"/>
    <col min="20" max="20" width="14.6328125" style="8" customWidth="1"/>
    <col min="21" max="21" width="11.453125" style="8" customWidth="1"/>
    <col min="22" max="22" width="9.453125" style="8" customWidth="1"/>
    <col min="23" max="23" width="5.453125" style="8" customWidth="1"/>
    <col min="24" max="24" width="10.36328125" style="8" bestFit="1" customWidth="1"/>
    <col min="25" max="25" width="10" style="8" bestFit="1" customWidth="1"/>
    <col min="26" max="26" width="12.1796875" style="8" bestFit="1" customWidth="1"/>
    <col min="27" max="27" width="8.1796875" style="8" customWidth="1"/>
    <col min="28" max="28" width="11.1796875" style="8" customWidth="1"/>
    <col min="29" max="29" width="15" style="8" customWidth="1"/>
    <col min="30" max="30" width="11.453125" style="8" customWidth="1"/>
    <col min="31" max="31" width="14.453125" style="8" customWidth="1"/>
    <col min="32" max="32" width="4.54296875" style="8" customWidth="1"/>
    <col min="33" max="33" width="10.1796875" style="8" bestFit="1" customWidth="1"/>
    <col min="34" max="34" width="15.90625" style="8" bestFit="1" customWidth="1"/>
    <col min="35" max="35" width="9.54296875" style="8" customWidth="1"/>
    <col min="36" max="36" width="10.54296875" style="8" customWidth="1"/>
    <col min="37" max="37" width="9.1796875" style="8" bestFit="1" customWidth="1"/>
    <col min="38" max="38" width="15" style="8" customWidth="1"/>
    <col min="39" max="39" width="12.08984375" style="8" customWidth="1"/>
    <col min="40" max="40" width="9.81640625" style="8" customWidth="1"/>
    <col min="41" max="41" width="4.54296875" style="8" customWidth="1"/>
    <col min="42" max="42" width="7.1796875" style="8" customWidth="1"/>
    <col min="43" max="43" width="9.81640625" style="8" customWidth="1"/>
    <col min="44" max="44" width="11.453125" style="8" customWidth="1"/>
    <col min="45" max="45" width="9.453125" style="8" customWidth="1"/>
    <col min="46" max="46" width="10.1796875" style="8" customWidth="1"/>
    <col min="47" max="47" width="13.453125" style="8" customWidth="1"/>
    <col min="48" max="48" width="9.453125" style="8" customWidth="1"/>
    <col min="49" max="49" width="10.1796875" style="8" customWidth="1"/>
    <col min="50" max="50" width="4.54296875" style="8" customWidth="1"/>
    <col min="51" max="51" width="7.81640625" style="8" customWidth="1"/>
    <col min="52" max="52" width="9.1796875" style="8" customWidth="1"/>
    <col min="53" max="53" width="10.54296875" style="8" customWidth="1"/>
    <col min="54" max="54" width="9.81640625" style="8" customWidth="1"/>
    <col min="55" max="55" width="10.1796875" style="8" customWidth="1"/>
    <col min="56" max="56" width="19.26953125" style="8" customWidth="1"/>
    <col min="57" max="57" width="11.453125" style="8" customWidth="1"/>
    <col min="58" max="58" width="11.08984375" style="8" customWidth="1"/>
    <col min="59" max="59" width="4.81640625" style="8" customWidth="1"/>
    <col min="60" max="61" width="9.453125" style="8" customWidth="1"/>
    <col min="62" max="62" width="10.453125" style="8" customWidth="1"/>
    <col min="63" max="63" width="9.1796875" style="8" customWidth="1"/>
    <col min="64" max="64" width="11.453125" style="8" customWidth="1"/>
    <col min="65" max="65" width="19" style="8" customWidth="1"/>
    <col min="66" max="66" width="11.453125" style="8" customWidth="1"/>
    <col min="67" max="67" width="10.1796875" style="8" customWidth="1"/>
    <col min="68" max="68" width="4.81640625" style="8" customWidth="1"/>
    <col min="69" max="70" width="9.453125" style="8" customWidth="1"/>
    <col min="71" max="71" width="10.453125" style="8" customWidth="1"/>
    <col min="72" max="72" width="9.1796875" style="8" customWidth="1"/>
    <col min="73" max="73" width="11.453125" style="8" customWidth="1"/>
    <col min="74" max="74" width="19" style="8" customWidth="1"/>
    <col min="75" max="75" width="11.453125" style="8" customWidth="1"/>
    <col min="76" max="76" width="10.26953125" style="8" customWidth="1"/>
    <col min="77" max="77" width="4.81640625" style="8" customWidth="1"/>
    <col min="78" max="79" width="9.453125" style="8" customWidth="1"/>
    <col min="80" max="80" width="10.453125" style="8" customWidth="1"/>
    <col min="81" max="81" width="9.1796875" style="8" customWidth="1"/>
    <col min="82" max="82" width="11.453125" style="8" customWidth="1"/>
    <col min="83" max="83" width="19" style="8" customWidth="1"/>
    <col min="84" max="84" width="11.1796875" style="8" customWidth="1"/>
    <col min="85" max="85" width="13.453125" style="8" customWidth="1"/>
    <col min="86" max="16384" width="8.54296875" style="8"/>
  </cols>
  <sheetData>
    <row r="1" spans="1:85" x14ac:dyDescent="0.25">
      <c r="A1" s="502" t="s">
        <v>79</v>
      </c>
      <c r="B1" s="502"/>
      <c r="C1" s="502"/>
      <c r="D1" s="502"/>
      <c r="E1" s="502"/>
      <c r="F1" s="502"/>
      <c r="G1" s="286"/>
      <c r="H1" s="286"/>
      <c r="I1" s="286"/>
      <c r="J1" s="286"/>
      <c r="K1" s="286"/>
      <c r="L1" s="286"/>
      <c r="M1" s="286"/>
      <c r="N1" s="287"/>
      <c r="O1" s="287"/>
      <c r="P1" s="287"/>
      <c r="Q1" s="287"/>
      <c r="R1" s="287"/>
      <c r="S1" s="287"/>
      <c r="T1" s="287"/>
    </row>
    <row r="2" spans="1:85" ht="31.5" customHeight="1" x14ac:dyDescent="0.25">
      <c r="A2" s="509" t="s">
        <v>133</v>
      </c>
      <c r="B2" s="288" t="s">
        <v>80</v>
      </c>
      <c r="C2" s="503" t="s">
        <v>148</v>
      </c>
      <c r="D2" s="504"/>
      <c r="E2" s="504"/>
      <c r="F2" s="504"/>
      <c r="G2" s="504"/>
      <c r="H2" s="504"/>
      <c r="I2" s="504"/>
      <c r="J2" s="504"/>
      <c r="K2" s="505"/>
      <c r="L2" s="506" t="s">
        <v>149</v>
      </c>
      <c r="M2" s="507"/>
      <c r="N2" s="507"/>
      <c r="O2" s="507"/>
      <c r="P2" s="507"/>
      <c r="Q2" s="507"/>
      <c r="R2" s="507"/>
      <c r="S2" s="507"/>
      <c r="T2" s="508"/>
      <c r="U2" s="503" t="s">
        <v>150</v>
      </c>
      <c r="V2" s="504"/>
      <c r="W2" s="504"/>
      <c r="X2" s="504"/>
      <c r="Y2" s="504"/>
      <c r="Z2" s="504"/>
      <c r="AA2" s="504"/>
      <c r="AB2" s="504"/>
      <c r="AC2" s="505"/>
      <c r="AD2" s="506" t="s">
        <v>151</v>
      </c>
      <c r="AE2" s="507"/>
      <c r="AF2" s="507"/>
      <c r="AG2" s="507"/>
      <c r="AH2" s="507"/>
      <c r="AI2" s="507"/>
      <c r="AJ2" s="507"/>
      <c r="AK2" s="507"/>
      <c r="AL2" s="508"/>
      <c r="AM2" s="503" t="s">
        <v>152</v>
      </c>
      <c r="AN2" s="504"/>
      <c r="AO2" s="504"/>
      <c r="AP2" s="504"/>
      <c r="AQ2" s="504"/>
      <c r="AR2" s="504"/>
      <c r="AS2" s="504"/>
      <c r="AT2" s="504"/>
      <c r="AU2" s="505"/>
      <c r="AV2" s="506" t="s">
        <v>153</v>
      </c>
      <c r="AW2" s="507"/>
      <c r="AX2" s="507"/>
      <c r="AY2" s="507"/>
      <c r="AZ2" s="507"/>
      <c r="BA2" s="507"/>
      <c r="BB2" s="507"/>
      <c r="BC2" s="507"/>
      <c r="BD2" s="508"/>
      <c r="BE2" s="503" t="s">
        <v>154</v>
      </c>
      <c r="BF2" s="504"/>
      <c r="BG2" s="504"/>
      <c r="BH2" s="504"/>
      <c r="BI2" s="504"/>
      <c r="BJ2" s="504"/>
      <c r="BK2" s="504"/>
      <c r="BL2" s="504"/>
      <c r="BM2" s="505"/>
      <c r="BN2" s="506" t="s">
        <v>155</v>
      </c>
      <c r="BO2" s="507"/>
      <c r="BP2" s="507"/>
      <c r="BQ2" s="507"/>
      <c r="BR2" s="507"/>
      <c r="BS2" s="507"/>
      <c r="BT2" s="507"/>
      <c r="BU2" s="507"/>
      <c r="BV2" s="508"/>
      <c r="BW2" s="503" t="s">
        <v>156</v>
      </c>
      <c r="BX2" s="504"/>
      <c r="BY2" s="504"/>
      <c r="BZ2" s="504"/>
      <c r="CA2" s="504"/>
      <c r="CB2" s="504"/>
      <c r="CC2" s="504"/>
      <c r="CD2" s="504"/>
      <c r="CE2" s="505"/>
      <c r="CF2" s="498" t="s">
        <v>285</v>
      </c>
      <c r="CG2" s="500" t="s">
        <v>286</v>
      </c>
    </row>
    <row r="3" spans="1:85" ht="30.75" customHeight="1" x14ac:dyDescent="0.25">
      <c r="A3" s="510"/>
      <c r="B3" s="289" t="s">
        <v>81</v>
      </c>
      <c r="C3" s="290" t="s">
        <v>287</v>
      </c>
      <c r="D3" s="291" t="s">
        <v>288</v>
      </c>
      <c r="E3" s="291" t="s">
        <v>289</v>
      </c>
      <c r="F3" s="291" t="s">
        <v>290</v>
      </c>
      <c r="G3" s="291" t="s">
        <v>291</v>
      </c>
      <c r="H3" s="291" t="s">
        <v>292</v>
      </c>
      <c r="I3" s="291" t="s">
        <v>293</v>
      </c>
      <c r="J3" s="291" t="s">
        <v>294</v>
      </c>
      <c r="K3" s="291"/>
      <c r="L3" s="292" t="s">
        <v>287</v>
      </c>
      <c r="M3" s="293" t="s">
        <v>288</v>
      </c>
      <c r="N3" s="293" t="s">
        <v>289</v>
      </c>
      <c r="O3" s="293" t="s">
        <v>290</v>
      </c>
      <c r="P3" s="293" t="s">
        <v>291</v>
      </c>
      <c r="Q3" s="293" t="s">
        <v>292</v>
      </c>
      <c r="R3" s="293" t="s">
        <v>293</v>
      </c>
      <c r="S3" s="293" t="s">
        <v>294</v>
      </c>
      <c r="T3" s="293"/>
      <c r="U3" s="290" t="s">
        <v>287</v>
      </c>
      <c r="V3" s="291" t="s">
        <v>288</v>
      </c>
      <c r="W3" s="291" t="s">
        <v>289</v>
      </c>
      <c r="X3" s="291" t="s">
        <v>290</v>
      </c>
      <c r="Y3" s="291" t="s">
        <v>291</v>
      </c>
      <c r="Z3" s="291" t="s">
        <v>292</v>
      </c>
      <c r="AA3" s="291" t="s">
        <v>293</v>
      </c>
      <c r="AB3" s="291" t="s">
        <v>294</v>
      </c>
      <c r="AC3" s="291"/>
      <c r="AD3" s="292" t="s">
        <v>287</v>
      </c>
      <c r="AE3" s="293" t="s">
        <v>288</v>
      </c>
      <c r="AF3" s="293" t="s">
        <v>289</v>
      </c>
      <c r="AG3" s="293" t="s">
        <v>290</v>
      </c>
      <c r="AH3" s="293" t="s">
        <v>291</v>
      </c>
      <c r="AI3" s="293" t="s">
        <v>292</v>
      </c>
      <c r="AJ3" s="293" t="s">
        <v>293</v>
      </c>
      <c r="AK3" s="293" t="s">
        <v>294</v>
      </c>
      <c r="AL3" s="293"/>
      <c r="AM3" s="290" t="s">
        <v>287</v>
      </c>
      <c r="AN3" s="291" t="s">
        <v>288</v>
      </c>
      <c r="AO3" s="291" t="s">
        <v>289</v>
      </c>
      <c r="AP3" s="291" t="s">
        <v>290</v>
      </c>
      <c r="AQ3" s="291" t="s">
        <v>291</v>
      </c>
      <c r="AR3" s="291" t="s">
        <v>292</v>
      </c>
      <c r="AS3" s="291" t="s">
        <v>293</v>
      </c>
      <c r="AT3" s="291" t="s">
        <v>294</v>
      </c>
      <c r="AU3" s="291"/>
      <c r="AV3" s="292" t="s">
        <v>287</v>
      </c>
      <c r="AW3" s="293" t="s">
        <v>288</v>
      </c>
      <c r="AX3" s="293" t="s">
        <v>289</v>
      </c>
      <c r="AY3" s="293" t="s">
        <v>290</v>
      </c>
      <c r="AZ3" s="293" t="s">
        <v>291</v>
      </c>
      <c r="BA3" s="293" t="s">
        <v>292</v>
      </c>
      <c r="BB3" s="293" t="s">
        <v>293</v>
      </c>
      <c r="BC3" s="293" t="s">
        <v>294</v>
      </c>
      <c r="BD3" s="293"/>
      <c r="BE3" s="290" t="s">
        <v>287</v>
      </c>
      <c r="BF3" s="291" t="s">
        <v>288</v>
      </c>
      <c r="BG3" s="291" t="s">
        <v>289</v>
      </c>
      <c r="BH3" s="291" t="s">
        <v>290</v>
      </c>
      <c r="BI3" s="291" t="s">
        <v>291</v>
      </c>
      <c r="BJ3" s="291" t="s">
        <v>292</v>
      </c>
      <c r="BK3" s="291" t="s">
        <v>293</v>
      </c>
      <c r="BL3" s="291" t="s">
        <v>294</v>
      </c>
      <c r="BM3" s="291"/>
      <c r="BN3" s="292" t="s">
        <v>287</v>
      </c>
      <c r="BO3" s="293" t="s">
        <v>288</v>
      </c>
      <c r="BP3" s="293" t="s">
        <v>289</v>
      </c>
      <c r="BQ3" s="293" t="s">
        <v>290</v>
      </c>
      <c r="BR3" s="293" t="s">
        <v>291</v>
      </c>
      <c r="BS3" s="293" t="s">
        <v>292</v>
      </c>
      <c r="BT3" s="293" t="s">
        <v>293</v>
      </c>
      <c r="BU3" s="293" t="s">
        <v>294</v>
      </c>
      <c r="BV3" s="293"/>
      <c r="BW3" s="290" t="s">
        <v>287</v>
      </c>
      <c r="BX3" s="291" t="s">
        <v>288</v>
      </c>
      <c r="BY3" s="291" t="s">
        <v>289</v>
      </c>
      <c r="BZ3" s="291" t="s">
        <v>290</v>
      </c>
      <c r="CA3" s="291" t="s">
        <v>291</v>
      </c>
      <c r="CB3" s="291" t="s">
        <v>292</v>
      </c>
      <c r="CC3" s="291" t="s">
        <v>293</v>
      </c>
      <c r="CD3" s="291" t="s">
        <v>294</v>
      </c>
      <c r="CE3" s="291"/>
      <c r="CF3" s="499"/>
      <c r="CG3" s="501"/>
    </row>
    <row r="4" spans="1:85" x14ac:dyDescent="0.25">
      <c r="A4" s="294" t="str">
        <f>'monitoring results'!A4</f>
        <v>01/04/2022-30/04/2022</v>
      </c>
      <c r="B4" s="295">
        <f>F4+O4+X4+AG4+AP4+AY4+BH4+BQ4+BZ4</f>
        <v>221627</v>
      </c>
      <c r="C4" s="296">
        <f>AVERAGE('2022.04'!B5:G7)</f>
        <v>67.179999999999993</v>
      </c>
      <c r="D4" s="296">
        <f>_xlfn.STDEV.S('2022.04'!B5:G7)</f>
        <v>27.254939264025435</v>
      </c>
      <c r="E4" s="291">
        <f>COUNT('2022.04'!B5:G7)</f>
        <v>15</v>
      </c>
      <c r="F4" s="291">
        <f>'2022.04'!D129+'2022.04'!E129</f>
        <v>6243</v>
      </c>
      <c r="G4" s="297">
        <f>F4/B4</f>
        <v>2.8168950534005335E-2</v>
      </c>
      <c r="H4" s="297">
        <f t="shared" ref="H4:H15" si="0">F4*C4/B4</f>
        <v>1.892390096874478</v>
      </c>
      <c r="I4" s="297">
        <f>1-(E4/F4)</f>
        <v>0.99759730898606436</v>
      </c>
      <c r="J4" s="297">
        <f t="shared" ref="J4:J15" si="1">D4*D4/E4</f>
        <v>49.522114285714352</v>
      </c>
      <c r="K4" s="298">
        <f t="shared" ref="K4:K15" si="2">G4*G4*I4*J4</f>
        <v>3.9200876838593267E-2</v>
      </c>
      <c r="L4" s="299">
        <f>AVERAGE('2022.04'!B11:G14)</f>
        <v>61.346666666666678</v>
      </c>
      <c r="M4" s="299">
        <f>_xlfn.STDEV.S('2022.04'!B11:G15)</f>
        <v>31.725788462932947</v>
      </c>
      <c r="N4" s="300">
        <f>COUNT('2022.04'!B11:G15)</f>
        <v>18</v>
      </c>
      <c r="O4" s="300">
        <f>'2022.04'!D130+'2022.04'!E130</f>
        <v>7724</v>
      </c>
      <c r="P4" s="301">
        <f t="shared" ref="P4:P15" si="3">O4/B4</f>
        <v>3.4851349339205064E-2</v>
      </c>
      <c r="Q4" s="302">
        <f t="shared" ref="Q4:Q15" si="4">O4*L4/B4</f>
        <v>2.1380141107957669</v>
      </c>
      <c r="R4" s="302">
        <f t="shared" ref="R4:R15" si="5">1-N4/O4</f>
        <v>0.99766960124287929</v>
      </c>
      <c r="S4" s="302">
        <f t="shared" ref="S4:S15" si="6">M4*M4/N4</f>
        <v>55.918091866376074</v>
      </c>
      <c r="T4" s="302">
        <f t="shared" ref="T4:T15" si="7">P4*P4*R4*S4</f>
        <v>6.7760761421910329E-2</v>
      </c>
      <c r="U4" s="303">
        <f>AVERAGE('2022.04'!B19:G33)</f>
        <v>64.293333333333351</v>
      </c>
      <c r="V4" s="303">
        <f>_xlfn.STDEV.S('2022.04'!B19:G33)</f>
        <v>28.053285847594505</v>
      </c>
      <c r="W4" s="291">
        <f>COUNT('2022.04'!B19:G33)</f>
        <v>75</v>
      </c>
      <c r="X4" s="291">
        <f>'2022.04'!D131+'2022.04'!E131</f>
        <v>37709</v>
      </c>
      <c r="Y4" s="297">
        <f t="shared" ref="Y4:Y15" si="8">X4/$B$4</f>
        <v>0.17014623669498752</v>
      </c>
      <c r="Z4" s="297">
        <f t="shared" ref="Z4:Z15" si="9">X4*U4/B4</f>
        <v>10.939268711243066</v>
      </c>
      <c r="AA4" s="297">
        <f t="shared" ref="AA4:AA15" si="10">1-W4/X4</f>
        <v>0.99801108488689705</v>
      </c>
      <c r="AB4" s="297">
        <f t="shared" ref="AB4:AB15" si="11">V4*V4/W4</f>
        <v>10.493157957957949</v>
      </c>
      <c r="AC4" s="298">
        <f t="shared" ref="AC4:AC15" si="12">Y4*Y4*AA4*AB4</f>
        <v>0.30317003306889551</v>
      </c>
      <c r="AD4" s="304">
        <f>AVERAGE('2022.04'!B37:G55)</f>
        <v>61.914102564102556</v>
      </c>
      <c r="AE4" s="304">
        <f>_xlfn.STDEV.S('2022.04'!B37:G55)</f>
        <v>30.733562703612435</v>
      </c>
      <c r="AF4" s="293">
        <f>COUNT('2022.04'!B37:G55)</f>
        <v>78</v>
      </c>
      <c r="AG4" s="293">
        <f>'2022.04'!D132+'2022.04'!E132</f>
        <v>37873</v>
      </c>
      <c r="AH4" s="293">
        <f t="shared" ref="AH4:AH15" si="13">AG4/B4</f>
        <v>0.17088621873688675</v>
      </c>
      <c r="AI4" s="302">
        <f t="shared" ref="AI4:AI15" si="14">AG4*AD4/B4</f>
        <v>10.580266873667272</v>
      </c>
      <c r="AJ4" s="302">
        <f t="shared" ref="AJ4:AJ15" si="15">1-AF4/AG4</f>
        <v>0.99794048530615476</v>
      </c>
      <c r="AK4" s="302">
        <f t="shared" ref="AK4:AK15" si="16">AE4*AE4/AF4</f>
        <v>12.109639441754837</v>
      </c>
      <c r="AL4" s="305">
        <f t="shared" ref="AL4:AL15" si="17">AH4*AH4*AJ4*AK4</f>
        <v>0.35289859917085359</v>
      </c>
      <c r="AM4" s="303">
        <f>AVERAGE('2022.04'!B59:G65)</f>
        <v>66.745238095238093</v>
      </c>
      <c r="AN4" s="306">
        <f>_xlfn.STDEV.S('2022.04'!B59:G65)</f>
        <v>31.477597162309927</v>
      </c>
      <c r="AO4" s="291">
        <f>COUNT('2022.04'!B59:G65)</f>
        <v>42</v>
      </c>
      <c r="AP4" s="291">
        <f>'2022.04'!D133+'2022.04'!E133</f>
        <v>19979</v>
      </c>
      <c r="AQ4" s="291">
        <f t="shared" ref="AQ4:AQ15" si="18">AP4/B4</f>
        <v>9.0146958628686935E-2</v>
      </c>
      <c r="AR4" s="297">
        <f t="shared" ref="AR4" si="19">AP4*AM4/$B$4</f>
        <v>6.0168802172332869</v>
      </c>
      <c r="AS4" s="297">
        <f t="shared" ref="AS4:AS15" si="20">1-AO4/AP4</f>
        <v>0.99789779268231649</v>
      </c>
      <c r="AT4" s="297">
        <f>AN4*AN4/AO4</f>
        <v>23.591407693158619</v>
      </c>
      <c r="AU4" s="298">
        <f t="shared" ref="AU4:AU15" si="21">AQ4*AQ4*AS4*AT4</f>
        <v>0.19131194017874517</v>
      </c>
      <c r="AV4" s="305">
        <f>AVERAGE('2022.04'!B69:G85)</f>
        <v>65.383333333333326</v>
      </c>
      <c r="AW4" s="302">
        <f>_xlfn.STDEV.S('2022.04'!B69:G85)</f>
        <v>29.254950698144739</v>
      </c>
      <c r="AX4" s="293">
        <f>COUNT('2022.04'!B69:G85)</f>
        <v>96</v>
      </c>
      <c r="AY4" s="293">
        <f>'2022.04'!D134+'2022.04'!E134</f>
        <v>48909</v>
      </c>
      <c r="AZ4" s="293">
        <f t="shared" ref="AZ4:AZ15" si="22">AY4/B4</f>
        <v>0.22068159565395912</v>
      </c>
      <c r="BA4" s="302">
        <f>AY4*AV4/B4</f>
        <v>14.428898329174693</v>
      </c>
      <c r="BB4" s="302">
        <f t="shared" ref="BB4:BB15" si="23">1-AX4/AY4</f>
        <v>0.99803717107280865</v>
      </c>
      <c r="BC4" s="302">
        <f t="shared" ref="BC4:BC15" si="24">AW4*AW4/AX4</f>
        <v>8.9151264619883275</v>
      </c>
      <c r="BD4" s="305">
        <f t="shared" ref="BD4:BD15" si="25">AZ4*AZ4*BB4*BC4</f>
        <v>0.43331772622940795</v>
      </c>
      <c r="BE4" s="296">
        <f>AVERAGE('2022.04'!B89:G106)</f>
        <v>61.753424657534232</v>
      </c>
      <c r="BF4" s="307">
        <f>_xlfn.STDEV.S('2022.04'!B89:G106)</f>
        <v>30.513722241858247</v>
      </c>
      <c r="BG4" s="291">
        <f>COUNT('2022.04'!B89:G106)</f>
        <v>73</v>
      </c>
      <c r="BH4" s="291">
        <f>'2022.04'!D135+'2022.04'!E135</f>
        <v>37922</v>
      </c>
      <c r="BI4" s="291">
        <f>BH4/B4</f>
        <v>0.17110731093233225</v>
      </c>
      <c r="BJ4" s="297">
        <f>BH4*BE4/B4</f>
        <v>10.566462434013063</v>
      </c>
      <c r="BK4" s="297">
        <f t="shared" ref="BK4:BK15" si="26">1-BG4/BH4</f>
        <v>0.99807499604451244</v>
      </c>
      <c r="BL4" s="297">
        <f t="shared" ref="BL4:BL15" si="27">BF4*BF4/BG4</f>
        <v>12.754619795250337</v>
      </c>
      <c r="BM4" s="298">
        <f t="shared" ref="BM4:BM15" si="28">BI4*BI4*BK4*BL4</f>
        <v>0.37270723649176069</v>
      </c>
      <c r="BN4" s="299">
        <f>AVERAGE('2022.04'!B110:G112)</f>
        <v>67.133333333333326</v>
      </c>
      <c r="BO4" s="301">
        <f>_xlfn.STDEV.S('2022.04'!B110:G112)</f>
        <v>30.626567987070771</v>
      </c>
      <c r="BP4" s="293">
        <f>COUNT('2022.04'!B110:G112)</f>
        <v>15</v>
      </c>
      <c r="BQ4" s="293">
        <f>'2022.04'!D136+'2022.04'!E136</f>
        <v>5552</v>
      </c>
      <c r="BR4" s="293">
        <f>BQ4/B4</f>
        <v>2.5051099369661638E-2</v>
      </c>
      <c r="BS4" s="302">
        <f>BQ4*BN4/B4</f>
        <v>1.681763804349951</v>
      </c>
      <c r="BT4" s="302">
        <f t="shared" ref="BT4:BT15" si="29">1-BP4/BQ4</f>
        <v>0.99729827089337175</v>
      </c>
      <c r="BU4" s="302">
        <f t="shared" ref="BU4:BU15" si="30">BO4*BO4/BP4</f>
        <v>62.532444444444543</v>
      </c>
      <c r="BV4" s="305">
        <f t="shared" ref="BV4:BV15" si="31">BR4*BR4*BT4*BU4</f>
        <v>3.9136686313383975E-2</v>
      </c>
      <c r="BW4" s="296">
        <f>AVERAGE('2022.04'!B116:G124)</f>
        <v>69.464102564102575</v>
      </c>
      <c r="BX4" s="307">
        <f>_xlfn.STDEV.S('2022.04'!B116:G124)</f>
        <v>29.474301805752233</v>
      </c>
      <c r="BY4" s="291">
        <f>COUNT('2022.04'!B116:G124)</f>
        <v>39</v>
      </c>
      <c r="BZ4" s="291">
        <f>'2022.04'!D137+'2022.04'!E137</f>
        <v>19716</v>
      </c>
      <c r="CA4" s="291">
        <f>BZ4/B4</f>
        <v>8.8960280110275375E-2</v>
      </c>
      <c r="CB4" s="297">
        <f>BZ4*BW4/B4</f>
        <v>6.1795460217114631</v>
      </c>
      <c r="CC4" s="297">
        <f t="shared" ref="CC4:CC15" si="32">1-BY4/BZ4</f>
        <v>0.99802191113816185</v>
      </c>
      <c r="CD4" s="297">
        <f t="shared" ref="CD4:CD15" si="33">BX4*BX4/BY4</f>
        <v>22.275242741963318</v>
      </c>
      <c r="CE4" s="298">
        <f t="shared" ref="CE4:CE15" si="34">CA4*CA4*CC4*CD4</f>
        <v>0.17593603692084148</v>
      </c>
      <c r="CF4" s="308">
        <f>H4+Q4+Z4+AI4+AR4+BA4+BJ4+BS4+CB4</f>
        <v>64.42349059906303</v>
      </c>
      <c r="CG4" s="309">
        <f>SQRT(K4+T4+AC4+AL4+AU4+BD4+BM4+BV4+CE4)</f>
        <v>1.4055034317405248</v>
      </c>
    </row>
    <row r="5" spans="1:85" x14ac:dyDescent="0.25">
      <c r="A5" s="294" t="str">
        <f>'monitoring results'!A5</f>
        <v>01/05/2022-31/05/2022</v>
      </c>
      <c r="B5" s="295">
        <f t="shared" ref="B5:B15" si="35">F5+O5+X5+AG5+AP5+AY5+BH5+BQ5+BZ5</f>
        <v>220949</v>
      </c>
      <c r="C5" s="296">
        <f>AVERAGE('2022.05'!B5:G7)</f>
        <v>67.733333333333334</v>
      </c>
      <c r="D5" s="296">
        <f>_xlfn.STDEV.S('2022.05'!B5:G7)</f>
        <v>31.930832986912439</v>
      </c>
      <c r="E5" s="291">
        <f>E4</f>
        <v>15</v>
      </c>
      <c r="F5" s="291">
        <f>'2022.05'!D129+'2022.05'!E129</f>
        <v>6240</v>
      </c>
      <c r="G5" s="297">
        <f t="shared" ref="G5:G15" si="36">F5/B5</f>
        <v>2.8241811458752927E-2</v>
      </c>
      <c r="H5" s="297">
        <f t="shared" si="0"/>
        <v>1.9129120294728648</v>
      </c>
      <c r="I5" s="297">
        <f t="shared" ref="I5:I15" si="37">1-(E5/F5)</f>
        <v>0.99759615384615385</v>
      </c>
      <c r="J5" s="297">
        <f t="shared" si="1"/>
        <v>67.971873015873044</v>
      </c>
      <c r="K5" s="298">
        <f t="shared" si="2"/>
        <v>5.4084037122925761E-2</v>
      </c>
      <c r="L5" s="299">
        <f>AVERAGE('2022.05'!B11:G15)</f>
        <v>57.544444444444444</v>
      </c>
      <c r="M5" s="299">
        <f>_xlfn.STDEV.S('2022.05'!B11:G15)</f>
        <v>29.142413445662132</v>
      </c>
      <c r="N5" s="300">
        <f>N4</f>
        <v>18</v>
      </c>
      <c r="O5" s="300">
        <f>'2022.05'!D130+'2022.05'!E130</f>
        <v>7675</v>
      </c>
      <c r="P5" s="301">
        <f t="shared" si="3"/>
        <v>3.4736522908001395E-2</v>
      </c>
      <c r="Q5" s="302">
        <f t="shared" si="4"/>
        <v>1.9988939126726581</v>
      </c>
      <c r="R5" s="302">
        <f t="shared" si="5"/>
        <v>0.99765472312703585</v>
      </c>
      <c r="S5" s="302">
        <f t="shared" si="6"/>
        <v>47.182236746550501</v>
      </c>
      <c r="T5" s="302">
        <f t="shared" si="7"/>
        <v>5.6797795020807985E-2</v>
      </c>
      <c r="U5" s="303">
        <f>AVERAGE('2022.05'!B19:G33)</f>
        <v>64.381333333333345</v>
      </c>
      <c r="V5" s="303">
        <f>_xlfn.STDEV.S('2022.05'!B19:G33)</f>
        <v>31.087147310873139</v>
      </c>
      <c r="W5" s="291">
        <f>W4</f>
        <v>75</v>
      </c>
      <c r="X5" s="291">
        <f>'2022.05'!D131+'2022.05'!E131</f>
        <v>37577</v>
      </c>
      <c r="Y5" s="297">
        <f t="shared" si="8"/>
        <v>0.16955064139297107</v>
      </c>
      <c r="Z5" s="297">
        <f t="shared" si="9"/>
        <v>10.949392677344848</v>
      </c>
      <c r="AA5" s="297">
        <f t="shared" si="10"/>
        <v>0.99800409825159009</v>
      </c>
      <c r="AB5" s="297">
        <f t="shared" si="11"/>
        <v>12.885476372372361</v>
      </c>
      <c r="AC5" s="298">
        <f t="shared" si="12"/>
        <v>0.3696848708243185</v>
      </c>
      <c r="AD5" s="304">
        <f>AVERAGE('2022.05'!B37:G55)</f>
        <v>60.987179487179475</v>
      </c>
      <c r="AE5" s="304">
        <f>_xlfn.STDEV.S('2022.05'!B37:G55)</f>
        <v>29.136879647240136</v>
      </c>
      <c r="AF5" s="293">
        <f>AF4</f>
        <v>78</v>
      </c>
      <c r="AG5" s="293">
        <f>'2022.05'!D132+'2022.05'!E132</f>
        <v>37896</v>
      </c>
      <c r="AH5" s="293">
        <f t="shared" si="13"/>
        <v>0.17151469343604181</v>
      </c>
      <c r="AI5" s="302">
        <f t="shared" si="14"/>
        <v>10.460197393272445</v>
      </c>
      <c r="AJ5" s="302">
        <f t="shared" si="15"/>
        <v>0.99794173527549079</v>
      </c>
      <c r="AK5" s="302">
        <f t="shared" si="16"/>
        <v>10.884073789458416</v>
      </c>
      <c r="AL5" s="305">
        <f t="shared" si="17"/>
        <v>0.31952094063906811</v>
      </c>
      <c r="AM5" s="303">
        <f>AVERAGE('2022.05'!B59:G65)</f>
        <v>64.990476190476187</v>
      </c>
      <c r="AN5" s="306">
        <f>_xlfn.STDEV.S('2022.05'!B59:G65)</f>
        <v>30.518229734196193</v>
      </c>
      <c r="AO5" s="291">
        <f>AO4</f>
        <v>42</v>
      </c>
      <c r="AP5" s="291">
        <f>'2022.05'!D133+'2022.05'!E133</f>
        <v>20373</v>
      </c>
      <c r="AQ5" s="291">
        <f t="shared" si="18"/>
        <v>9.2206798854034183E-2</v>
      </c>
      <c r="AR5" s="297">
        <f>AP5*AM5/$B$4</f>
        <v>5.9742313500998128</v>
      </c>
      <c r="AS5" s="297">
        <f t="shared" si="20"/>
        <v>0.99793844794581066</v>
      </c>
      <c r="AT5" s="297">
        <f>AN4*AN4/AO5</f>
        <v>23.591407693158619</v>
      </c>
      <c r="AU5" s="298">
        <f t="shared" si="21"/>
        <v>0.20016286141048409</v>
      </c>
      <c r="AV5" s="305">
        <f>AVERAGE('2022.05'!B69:G85)</f>
        <v>65.341666666666683</v>
      </c>
      <c r="AW5" s="302">
        <f>_xlfn.STDEV.S('2022.05'!B69:G85)</f>
        <v>30.953968087320789</v>
      </c>
      <c r="AX5" s="293">
        <f>AX4</f>
        <v>96</v>
      </c>
      <c r="AY5" s="293">
        <f>'2022.05'!D134+'2022.05'!E134</f>
        <v>48822</v>
      </c>
      <c r="AZ5" s="293">
        <f t="shared" si="22"/>
        <v>0.22096501907680052</v>
      </c>
      <c r="BA5" s="302">
        <f t="shared" ref="BA5:BA15" si="38">AY5*AV5/B5</f>
        <v>14.438222621509944</v>
      </c>
      <c r="BB5" s="302">
        <f t="shared" si="23"/>
        <v>0.9980336733439843</v>
      </c>
      <c r="BC5" s="302">
        <f t="shared" si="24"/>
        <v>9.9807097953216015</v>
      </c>
      <c r="BD5" s="305">
        <f t="shared" si="25"/>
        <v>0.48635532429533762</v>
      </c>
      <c r="BE5" s="296">
        <f>AVERAGE('2022.05'!B89:G106)</f>
        <v>62.406849315068492</v>
      </c>
      <c r="BF5" s="307">
        <f>_xlfn.STDEV.S('2022.05'!B89:G106)</f>
        <v>29.389238056581586</v>
      </c>
      <c r="BG5" s="291">
        <f>BG4</f>
        <v>73</v>
      </c>
      <c r="BH5" s="291">
        <f>'2022.05'!D135+'2022.05'!E135</f>
        <v>37592</v>
      </c>
      <c r="BI5" s="291">
        <f t="shared" ref="BI5:BI15" si="39">BH5/B5</f>
        <v>0.1701388103136923</v>
      </c>
      <c r="BJ5" s="297">
        <f t="shared" ref="BJ5:BJ15" si="40">BH5*BE5/B5</f>
        <v>10.617827097891617</v>
      </c>
      <c r="BK5" s="297">
        <f t="shared" si="26"/>
        <v>0.99805809746754626</v>
      </c>
      <c r="BL5" s="297">
        <f t="shared" si="27"/>
        <v>11.831881007485253</v>
      </c>
      <c r="BM5" s="298">
        <f t="shared" si="28"/>
        <v>0.34183489909667408</v>
      </c>
      <c r="BN5" s="299">
        <f>AVERAGE('2022.05'!B110:G112)</f>
        <v>68.566666666666663</v>
      </c>
      <c r="BO5" s="301">
        <f>_xlfn.STDEV.S('2022.05'!B110:G112)</f>
        <v>25.863506188855233</v>
      </c>
      <c r="BP5" s="293">
        <f>BP4</f>
        <v>15</v>
      </c>
      <c r="BQ5" s="293">
        <f>'2022.05'!D136+'2022.05'!E136</f>
        <v>5701</v>
      </c>
      <c r="BR5" s="293">
        <f t="shared" ref="BR5:BR15" si="41">BQ5/B5</f>
        <v>2.5802334475376672E-2</v>
      </c>
      <c r="BS5" s="302">
        <f t="shared" ref="BS5:BS15" si="42">BQ5*BN5/B5</f>
        <v>1.7691800671949935</v>
      </c>
      <c r="BT5" s="302">
        <f t="shared" si="29"/>
        <v>0.99736888265216628</v>
      </c>
      <c r="BU5" s="302">
        <f t="shared" si="30"/>
        <v>44.594730158730194</v>
      </c>
      <c r="BV5" s="305">
        <f t="shared" si="31"/>
        <v>2.9611291942223773E-2</v>
      </c>
      <c r="BW5" s="296">
        <f>AVERAGE('2022.05'!B116:G124)</f>
        <v>69.428205128205136</v>
      </c>
      <c r="BX5" s="307">
        <f>_xlfn.STDEV.S('2022.05'!B116:G124)</f>
        <v>30.590865068530253</v>
      </c>
      <c r="BY5" s="291">
        <f>BY4</f>
        <v>39</v>
      </c>
      <c r="BZ5" s="291">
        <f>'2022.05'!D137+'2022.05'!E137</f>
        <v>19073</v>
      </c>
      <c r="CA5" s="291">
        <f t="shared" ref="CA5:CA15" si="43">BZ5/B5</f>
        <v>8.6323088133460665E-2</v>
      </c>
      <c r="CB5" s="297">
        <f t="shared" ref="CB5:CB15" si="44">BZ5*BW5/B5</f>
        <v>5.9932570702300376</v>
      </c>
      <c r="CC5" s="297">
        <f t="shared" si="32"/>
        <v>0.99795522466313635</v>
      </c>
      <c r="CD5" s="297">
        <f t="shared" si="33"/>
        <v>23.994898093359602</v>
      </c>
      <c r="CE5" s="298">
        <f t="shared" si="34"/>
        <v>0.17843658500541182</v>
      </c>
      <c r="CF5" s="308">
        <f t="shared" ref="CF5:CF10" si="45">H5+Q5+Z5+AI5+AR5+BA5+BJ5+BS5+CB5</f>
        <v>64.114114219689228</v>
      </c>
      <c r="CG5" s="309">
        <f t="shared" ref="CG5:CG15" si="46">SQRT(K5+T5+AC5+AL5+AU5+BD5+BM5+BV5+CE5)</f>
        <v>1.4270559222950066</v>
      </c>
    </row>
    <row r="6" spans="1:85" x14ac:dyDescent="0.25">
      <c r="A6" s="294" t="str">
        <f>'monitoring results'!A6</f>
        <v>01/06/2022-30/06/2022</v>
      </c>
      <c r="B6" s="295">
        <f t="shared" si="35"/>
        <v>221179</v>
      </c>
      <c r="C6" s="296">
        <f>AVERAGE('2022.06'!B5:G7)</f>
        <v>71.13333333333334</v>
      </c>
      <c r="D6" s="296">
        <f>_xlfn.STDEV.S('2022.06'!B5:G7)</f>
        <v>27.52834037513928</v>
      </c>
      <c r="E6" s="291">
        <f t="shared" ref="E6:E15" si="47">E5</f>
        <v>15</v>
      </c>
      <c r="F6" s="291">
        <f>'2022.06'!D129+'2022.06'!E129</f>
        <v>6321</v>
      </c>
      <c r="G6" s="297">
        <f t="shared" si="36"/>
        <v>2.8578662531252966E-2</v>
      </c>
      <c r="H6" s="297">
        <f t="shared" si="0"/>
        <v>2.0328955280564611</v>
      </c>
      <c r="I6" s="297">
        <f t="shared" si="37"/>
        <v>0.99762695775984811</v>
      </c>
      <c r="J6" s="297">
        <f t="shared" si="1"/>
        <v>50.52063492063489</v>
      </c>
      <c r="K6" s="298">
        <f t="shared" si="2"/>
        <v>4.1164303950667822E-2</v>
      </c>
      <c r="L6" s="299">
        <f>AVERAGE('2022.06'!B11:G15)</f>
        <v>57.916666666666664</v>
      </c>
      <c r="M6" s="299">
        <f>_xlfn.STDEV.S('2022.06'!B11:G15)</f>
        <v>33.888645504322632</v>
      </c>
      <c r="N6" s="300">
        <f t="shared" ref="N6:N15" si="48">N5</f>
        <v>18</v>
      </c>
      <c r="O6" s="300">
        <f>'2022.06'!D130+'2022.06'!E130</f>
        <v>7723</v>
      </c>
      <c r="P6" s="301">
        <f t="shared" si="3"/>
        <v>3.4917419827379635E-2</v>
      </c>
      <c r="Q6" s="302">
        <f t="shared" si="4"/>
        <v>2.0223005650024035</v>
      </c>
      <c r="R6" s="302">
        <f t="shared" si="5"/>
        <v>0.99766929949501493</v>
      </c>
      <c r="S6" s="302">
        <f t="shared" si="6"/>
        <v>63.802238562091475</v>
      </c>
      <c r="T6" s="302">
        <f t="shared" si="7"/>
        <v>7.7608057642012451E-2</v>
      </c>
      <c r="U6" s="303">
        <f>AVERAGE('2022.06'!B19:G33)</f>
        <v>63.77600000000001</v>
      </c>
      <c r="V6" s="303">
        <f>_xlfn.STDEV.S('2022.06'!B19:G33)</f>
        <v>28.325706212421807</v>
      </c>
      <c r="W6" s="291">
        <f t="shared" ref="W6:W15" si="49">W5</f>
        <v>75</v>
      </c>
      <c r="X6" s="291">
        <f>'2022.06'!D131+'2022.06'!E131</f>
        <v>37463</v>
      </c>
      <c r="Y6" s="297">
        <f t="shared" si="8"/>
        <v>0.16903626363213869</v>
      </c>
      <c r="Z6" s="297">
        <f t="shared" si="9"/>
        <v>10.802292658887147</v>
      </c>
      <c r="AA6" s="297">
        <f t="shared" si="10"/>
        <v>0.99799802471772148</v>
      </c>
      <c r="AB6" s="297">
        <f t="shared" si="11"/>
        <v>10.697941765765751</v>
      </c>
      <c r="AC6" s="298">
        <f t="shared" si="12"/>
        <v>0.30506310076052184</v>
      </c>
      <c r="AD6" s="304">
        <f>AVERAGE('2022.06'!B37:G55)</f>
        <v>61.671794871794866</v>
      </c>
      <c r="AE6" s="304">
        <f>_xlfn.STDEV.S('2022.06'!B37:G55)</f>
        <v>29.900179808501992</v>
      </c>
      <c r="AF6" s="293">
        <f t="shared" ref="AF6:AF15" si="50">AF5</f>
        <v>78</v>
      </c>
      <c r="AG6" s="293">
        <f>'2022.06'!D132+'2022.06'!E132</f>
        <v>38131</v>
      </c>
      <c r="AH6" s="293">
        <f t="shared" si="13"/>
        <v>0.17239882629001849</v>
      </c>
      <c r="AI6" s="302">
        <f t="shared" si="14"/>
        <v>10.632145051096215</v>
      </c>
      <c r="AJ6" s="302">
        <f t="shared" si="15"/>
        <v>0.99795442028795467</v>
      </c>
      <c r="AK6" s="302">
        <f t="shared" si="16"/>
        <v>11.461804520266028</v>
      </c>
      <c r="AL6" s="305">
        <f t="shared" si="17"/>
        <v>0.3399635166662433</v>
      </c>
      <c r="AM6" s="303">
        <f>AVERAGE('2022.06'!B59:G65)</f>
        <v>66.095238095238102</v>
      </c>
      <c r="AN6" s="306">
        <f>_xlfn.STDEV.S('2022.06'!B59:G65)</f>
        <v>30.162114440186425</v>
      </c>
      <c r="AO6" s="291">
        <f t="shared" ref="AO6:AO15" si="51">AO5</f>
        <v>42</v>
      </c>
      <c r="AP6" s="291">
        <f>'2022.06'!D133+'2022.06'!E133</f>
        <v>20273</v>
      </c>
      <c r="AQ6" s="291">
        <f t="shared" si="18"/>
        <v>9.1658792199982825E-2</v>
      </c>
      <c r="AR6" s="297">
        <f t="shared" ref="AR6:AR15" si="52">AP6*AM5/$B$4</f>
        <v>5.9449070907855255</v>
      </c>
      <c r="AS6" s="297">
        <f t="shared" si="20"/>
        <v>0.9979282789917624</v>
      </c>
      <c r="AT6" s="297">
        <f>AN5*AN5/AO6</f>
        <v>22.175293954980397</v>
      </c>
      <c r="AU6" s="298">
        <f t="shared" si="21"/>
        <v>0.18591608934147763</v>
      </c>
      <c r="AV6" s="305">
        <f>AVERAGE('2022.06'!B69:G85)</f>
        <v>65.919791666666654</v>
      </c>
      <c r="AW6" s="302">
        <f>_xlfn.STDEV.S('2022.06'!B69:G85)</f>
        <v>30.116659561014366</v>
      </c>
      <c r="AX6" s="293">
        <f t="shared" ref="AX6:AX15" si="53">AX5</f>
        <v>96</v>
      </c>
      <c r="AY6" s="293">
        <f>'2022.06'!D134+'2022.06'!E134</f>
        <v>48447</v>
      </c>
      <c r="AZ6" s="293">
        <f t="shared" si="22"/>
        <v>0.21903978225780929</v>
      </c>
      <c r="BA6" s="302">
        <f t="shared" si="38"/>
        <v>14.439056813146816</v>
      </c>
      <c r="BB6" s="302">
        <f t="shared" si="23"/>
        <v>0.99801845315499416</v>
      </c>
      <c r="BC6" s="302">
        <f t="shared" si="24"/>
        <v>9.4480539907712302</v>
      </c>
      <c r="BD6" s="305">
        <f t="shared" si="25"/>
        <v>0.45240452058257835</v>
      </c>
      <c r="BE6" s="296">
        <f>AVERAGE('2022.06'!B89:G106)</f>
        <v>63.198630136986317</v>
      </c>
      <c r="BF6" s="307">
        <f>_xlfn.STDEV.S('2022.06'!B89:G106)</f>
        <v>29.443677368601552</v>
      </c>
      <c r="BG6" s="291">
        <f t="shared" ref="BG6:BG15" si="54">BG5</f>
        <v>73</v>
      </c>
      <c r="BH6" s="291">
        <f>'2022.06'!D135+'2022.06'!E135</f>
        <v>37686</v>
      </c>
      <c r="BI6" s="291">
        <f t="shared" si="39"/>
        <v>0.17038688121385845</v>
      </c>
      <c r="BJ6" s="297">
        <f t="shared" si="40"/>
        <v>10.768217486029261</v>
      </c>
      <c r="BK6" s="297">
        <f t="shared" si="26"/>
        <v>0.99806294114525285</v>
      </c>
      <c r="BL6" s="297">
        <f t="shared" si="27"/>
        <v>11.875755301182181</v>
      </c>
      <c r="BM6" s="298">
        <f t="shared" si="28"/>
        <v>0.34410539193192463</v>
      </c>
      <c r="BN6" s="299">
        <f>AVERAGE('2022.06'!B110:G112)</f>
        <v>64.913333333333341</v>
      </c>
      <c r="BO6" s="301">
        <f>_xlfn.STDEV.S('2022.06'!B110:G112)</f>
        <v>30.53356155040516</v>
      </c>
      <c r="BP6" s="293">
        <f t="shared" ref="BP6:BP15" si="55">BP5</f>
        <v>15</v>
      </c>
      <c r="BQ6" s="293">
        <f>'2022.06'!D136+'2022.06'!E136</f>
        <v>5665</v>
      </c>
      <c r="BR6" s="293">
        <f t="shared" si="41"/>
        <v>2.561273900325076E-2</v>
      </c>
      <c r="BS6" s="302">
        <f t="shared" si="42"/>
        <v>1.6626082644976845</v>
      </c>
      <c r="BT6" s="302">
        <f t="shared" si="29"/>
        <v>0.99735216240070612</v>
      </c>
      <c r="BU6" s="302">
        <f t="shared" si="30"/>
        <v>62.153225396825363</v>
      </c>
      <c r="BV6" s="305">
        <f t="shared" si="31"/>
        <v>4.0665325472535548E-2</v>
      </c>
      <c r="BW6" s="296">
        <f>AVERAGE('2022.06'!B116:G124)</f>
        <v>70.164102564102549</v>
      </c>
      <c r="BX6" s="307">
        <f>_xlfn.STDEV.S('2022.06'!B116:G124)</f>
        <v>29.177663475404298</v>
      </c>
      <c r="BY6" s="291">
        <f t="shared" ref="BY6:BY15" si="56">BY5</f>
        <v>39</v>
      </c>
      <c r="BZ6" s="291">
        <f>'2022.06'!D137+'2022.06'!E137</f>
        <v>19470</v>
      </c>
      <c r="CA6" s="291">
        <f t="shared" si="43"/>
        <v>8.8028248613114271E-2</v>
      </c>
      <c r="CB6" s="297">
        <f t="shared" si="44"/>
        <v>6.1764230642288664</v>
      </c>
      <c r="CC6" s="297">
        <f t="shared" si="32"/>
        <v>0.99799691833590143</v>
      </c>
      <c r="CD6" s="297">
        <f t="shared" si="33"/>
        <v>21.82912938163954</v>
      </c>
      <c r="CE6" s="298">
        <f t="shared" si="34"/>
        <v>0.16881449653105329</v>
      </c>
      <c r="CF6" s="308">
        <f t="shared" si="45"/>
        <v>64.480846521730371</v>
      </c>
      <c r="CG6" s="309">
        <f t="shared" si="46"/>
        <v>1.3984651596943753</v>
      </c>
    </row>
    <row r="7" spans="1:85" x14ac:dyDescent="0.25">
      <c r="A7" s="294" t="str">
        <f>'monitoring results'!A7</f>
        <v>01/07/2022-31/07/2022</v>
      </c>
      <c r="B7" s="295">
        <f t="shared" si="35"/>
        <v>220799</v>
      </c>
      <c r="C7" s="296">
        <f>AVERAGE('2022.07'!B5:G7)</f>
        <v>63.31333333333334</v>
      </c>
      <c r="D7" s="296">
        <f>_xlfn.STDEV.S('2022.07'!B5:G7)</f>
        <v>26.940751571515118</v>
      </c>
      <c r="E7" s="291">
        <f t="shared" si="47"/>
        <v>15</v>
      </c>
      <c r="F7" s="291">
        <f>'2022.07'!D129+'2022.07'!E129</f>
        <v>6226</v>
      </c>
      <c r="G7" s="297">
        <f t="shared" si="36"/>
        <v>2.8197591474599069E-2</v>
      </c>
      <c r="H7" s="297">
        <f t="shared" si="0"/>
        <v>1.7852835082284493</v>
      </c>
      <c r="I7" s="297">
        <f t="shared" si="37"/>
        <v>0.99759074847414075</v>
      </c>
      <c r="J7" s="297">
        <f t="shared" si="1"/>
        <v>48.386939682539619</v>
      </c>
      <c r="K7" s="298">
        <f t="shared" si="2"/>
        <v>3.8379966963425528E-2</v>
      </c>
      <c r="L7" s="299">
        <f>AVERAGE('2022.07'!B11:G15)</f>
        <v>59.127777777777773</v>
      </c>
      <c r="M7" s="299">
        <f>_xlfn.STDEV.S('2022.07'!B11:G15)</f>
        <v>28.646112672434803</v>
      </c>
      <c r="N7" s="300">
        <f t="shared" si="48"/>
        <v>18</v>
      </c>
      <c r="O7" s="300">
        <f>'2022.07'!D130+'2022.07'!E130</f>
        <v>7686</v>
      </c>
      <c r="P7" s="301">
        <f t="shared" si="3"/>
        <v>3.4809940262410612E-2</v>
      </c>
      <c r="Q7" s="302">
        <f t="shared" si="4"/>
        <v>2.0582344122935337</v>
      </c>
      <c r="R7" s="302">
        <f t="shared" si="5"/>
        <v>0.99765807962529274</v>
      </c>
      <c r="S7" s="302">
        <f t="shared" si="6"/>
        <v>45.588876180101657</v>
      </c>
      <c r="T7" s="302">
        <f t="shared" si="7"/>
        <v>5.5112126236683767E-2</v>
      </c>
      <c r="U7" s="303">
        <f>AVERAGE('2022.07'!B19:G33)</f>
        <v>63.654666666666657</v>
      </c>
      <c r="V7" s="303">
        <f>_xlfn.STDEV.S('2022.07'!B19:G33)</f>
        <v>29.86274590175514</v>
      </c>
      <c r="W7" s="291">
        <f t="shared" si="49"/>
        <v>75</v>
      </c>
      <c r="X7" s="291">
        <f>'2022.07'!D131+'2022.07'!E131</f>
        <v>37223</v>
      </c>
      <c r="Y7" s="297">
        <f t="shared" si="8"/>
        <v>0.16795336308301786</v>
      </c>
      <c r="Z7" s="297">
        <f t="shared" si="9"/>
        <v>10.731106831703645</v>
      </c>
      <c r="AA7" s="297">
        <f t="shared" si="10"/>
        <v>0.99798511672890422</v>
      </c>
      <c r="AB7" s="297">
        <f t="shared" si="11"/>
        <v>11.890447903903913</v>
      </c>
      <c r="AC7" s="298">
        <f t="shared" si="12"/>
        <v>0.33473389273223314</v>
      </c>
      <c r="AD7" s="304">
        <f>AVERAGE('2022.07'!B37:G55)</f>
        <v>61.325641025641048</v>
      </c>
      <c r="AE7" s="304">
        <f>_xlfn.STDEV.S('2022.07'!B37:G55)</f>
        <v>29.770980535603478</v>
      </c>
      <c r="AF7" s="293">
        <f t="shared" si="50"/>
        <v>78</v>
      </c>
      <c r="AG7" s="293">
        <f>'2022.07'!D132+'2022.07'!E132</f>
        <v>37895</v>
      </c>
      <c r="AH7" s="293">
        <f t="shared" si="13"/>
        <v>0.17162668309186183</v>
      </c>
      <c r="AI7" s="302">
        <f t="shared" si="14"/>
        <v>10.525116357712976</v>
      </c>
      <c r="AJ7" s="302">
        <f t="shared" si="15"/>
        <v>0.99794168096054892</v>
      </c>
      <c r="AK7" s="302">
        <f t="shared" si="16"/>
        <v>11.362965154503605</v>
      </c>
      <c r="AL7" s="305">
        <f t="shared" si="17"/>
        <v>0.33401537296610911</v>
      </c>
      <c r="AM7" s="303">
        <f>AVERAGE('2022.07'!B59:G65)</f>
        <v>65.502380952380946</v>
      </c>
      <c r="AN7" s="306">
        <f>_xlfn.STDEV.S('2022.07'!B59:G65)</f>
        <v>30.83012059100993</v>
      </c>
      <c r="AO7" s="291">
        <f t="shared" si="51"/>
        <v>42</v>
      </c>
      <c r="AP7" s="291">
        <f>'2022.07'!D133+'2022.07'!E133</f>
        <v>20038</v>
      </c>
      <c r="AQ7" s="291">
        <f t="shared" si="18"/>
        <v>9.075222260970385E-2</v>
      </c>
      <c r="AR7" s="297">
        <f t="shared" si="52"/>
        <v>5.9758801091580951</v>
      </c>
      <c r="AS7" s="297">
        <f t="shared" si="20"/>
        <v>0.99790398243337664</v>
      </c>
      <c r="AT7" s="297">
        <f t="shared" ref="AT7:AT15" si="57">AN7*AN7/AO7</f>
        <v>22.630865134671772</v>
      </c>
      <c r="AU7" s="298">
        <f t="shared" si="21"/>
        <v>0.18599636323441754</v>
      </c>
      <c r="AV7" s="305">
        <f>AVERAGE('2022.07'!B69:G85)</f>
        <v>66.083333333333329</v>
      </c>
      <c r="AW7" s="302">
        <f>_xlfn.STDEV.S('2022.07'!B69:G85)</f>
        <v>30.375296980715586</v>
      </c>
      <c r="AX7" s="293">
        <f t="shared" si="53"/>
        <v>96</v>
      </c>
      <c r="AY7" s="293">
        <f>'2022.07'!D134+'2022.07'!E134</f>
        <v>48677</v>
      </c>
      <c r="AZ7" s="293">
        <f t="shared" si="22"/>
        <v>0.22045842598924814</v>
      </c>
      <c r="BA7" s="302">
        <f t="shared" si="38"/>
        <v>14.56862765078948</v>
      </c>
      <c r="BB7" s="302">
        <f t="shared" si="23"/>
        <v>0.99802781601166879</v>
      </c>
      <c r="BC7" s="302">
        <f t="shared" si="24"/>
        <v>9.6110277777778066</v>
      </c>
      <c r="BD7" s="305">
        <f t="shared" si="25"/>
        <v>0.4661931445064893</v>
      </c>
      <c r="BE7" s="296">
        <f>AVERAGE('2022.07'!B89:G106)</f>
        <v>62.102739726027394</v>
      </c>
      <c r="BF7" s="307">
        <f>_xlfn.STDEV.S('2022.07'!B89:G106)</f>
        <v>30.14841055605282</v>
      </c>
      <c r="BG7" s="291">
        <f t="shared" si="54"/>
        <v>73</v>
      </c>
      <c r="BH7" s="291">
        <f>'2022.07'!D135+'2022.07'!E135</f>
        <v>37957</v>
      </c>
      <c r="BI7" s="291">
        <f t="shared" si="39"/>
        <v>0.17190748146504287</v>
      </c>
      <c r="BJ7" s="297">
        <f t="shared" si="40"/>
        <v>10.675925578380436</v>
      </c>
      <c r="BK7" s="297">
        <f t="shared" si="26"/>
        <v>0.99807677108306769</v>
      </c>
      <c r="BL7" s="297">
        <f t="shared" si="27"/>
        <v>12.451050124059138</v>
      </c>
      <c r="BM7" s="298">
        <f t="shared" si="28"/>
        <v>0.36724803859845223</v>
      </c>
      <c r="BN7" s="299">
        <f>AVERAGE('2022.07'!B110:G112)</f>
        <v>63.246666666666663</v>
      </c>
      <c r="BO7" s="301">
        <f>_xlfn.STDEV.S('2022.07'!B110:G112)</f>
        <v>33.33226379236504</v>
      </c>
      <c r="BP7" s="293">
        <f t="shared" si="55"/>
        <v>15</v>
      </c>
      <c r="BQ7" s="293">
        <f>'2022.07'!D136+'2022.07'!E136</f>
        <v>5563</v>
      </c>
      <c r="BR7" s="293">
        <f t="shared" si="41"/>
        <v>2.5194860483969583E-2</v>
      </c>
      <c r="BS7" s="302">
        <f t="shared" si="42"/>
        <v>1.5934909427427961</v>
      </c>
      <c r="BT7" s="302">
        <f t="shared" si="29"/>
        <v>0.9973036131583678</v>
      </c>
      <c r="BU7" s="302">
        <f t="shared" si="30"/>
        <v>74.069320634920629</v>
      </c>
      <c r="BV7" s="305">
        <f t="shared" si="31"/>
        <v>4.6891018868036871E-2</v>
      </c>
      <c r="BW7" s="296">
        <f>AVERAGE('2022.07'!B116:G124)</f>
        <v>70.34615384615384</v>
      </c>
      <c r="BX7" s="307">
        <f>_xlfn.STDEV.S('2022.07'!B116:G124)</f>
        <v>27.935817851431171</v>
      </c>
      <c r="BY7" s="291">
        <f t="shared" si="56"/>
        <v>39</v>
      </c>
      <c r="BZ7" s="291">
        <f>'2022.07'!D137+'2022.07'!E137</f>
        <v>19534</v>
      </c>
      <c r="CA7" s="291">
        <f t="shared" si="43"/>
        <v>8.8469603576103159E-2</v>
      </c>
      <c r="CB7" s="297">
        <f t="shared" si="44"/>
        <v>6.2234963438727942</v>
      </c>
      <c r="CC7" s="297">
        <f t="shared" si="32"/>
        <v>0.9980034811098597</v>
      </c>
      <c r="CD7" s="297">
        <f t="shared" si="33"/>
        <v>20.010510744316424</v>
      </c>
      <c r="CE7" s="298">
        <f t="shared" si="34"/>
        <v>0.1563069872231464</v>
      </c>
      <c r="CF7" s="308">
        <f t="shared" si="45"/>
        <v>64.137161734882213</v>
      </c>
      <c r="CG7" s="309">
        <f t="shared" si="46"/>
        <v>1.4088565971485507</v>
      </c>
    </row>
    <row r="8" spans="1:85" x14ac:dyDescent="0.25">
      <c r="A8" s="294" t="str">
        <f>'monitoring results'!A8</f>
        <v>01/08/2022-31/08/2022</v>
      </c>
      <c r="B8" s="295">
        <f t="shared" si="35"/>
        <v>221502</v>
      </c>
      <c r="C8" s="296">
        <f>AVERAGE('2022.08'!B5:G7)</f>
        <v>64.34</v>
      </c>
      <c r="D8" s="296">
        <f>_xlfn.STDEV.S('2022.08'!B5:G7)</f>
        <v>28.287018728940474</v>
      </c>
      <c r="E8" s="291">
        <f t="shared" si="47"/>
        <v>15</v>
      </c>
      <c r="F8" s="291">
        <f>'2022.08'!D129+'2022.08'!E129</f>
        <v>6391</v>
      </c>
      <c r="G8" s="297">
        <f t="shared" si="36"/>
        <v>2.8853012613881589E-2</v>
      </c>
      <c r="H8" s="297">
        <f t="shared" si="0"/>
        <v>1.8564028315771415</v>
      </c>
      <c r="I8" s="297">
        <f t="shared" si="37"/>
        <v>0.99765294946017835</v>
      </c>
      <c r="J8" s="297">
        <f t="shared" si="1"/>
        <v>53.343695238095279</v>
      </c>
      <c r="K8" s="298">
        <f t="shared" si="2"/>
        <v>4.4304202050579305E-2</v>
      </c>
      <c r="L8" s="299">
        <f>AVERAGE('2022.08'!B11:G15)</f>
        <v>62.483333333333334</v>
      </c>
      <c r="M8" s="299">
        <f>_xlfn.STDEV.S('2022.08'!B11:G15)</f>
        <v>29.705975829788862</v>
      </c>
      <c r="N8" s="300">
        <f t="shared" si="48"/>
        <v>18</v>
      </c>
      <c r="O8" s="300">
        <f>'2022.08'!D130+'2022.08'!E130</f>
        <v>7693</v>
      </c>
      <c r="P8" s="301">
        <f t="shared" si="3"/>
        <v>3.4731063376402922E-2</v>
      </c>
      <c r="Q8" s="302">
        <f t="shared" si="4"/>
        <v>2.1701126099689092</v>
      </c>
      <c r="R8" s="302">
        <f t="shared" si="5"/>
        <v>0.9976602105810477</v>
      </c>
      <c r="S8" s="302">
        <f t="shared" si="6"/>
        <v>49.024722222222223</v>
      </c>
      <c r="T8" s="302">
        <f t="shared" si="7"/>
        <v>5.8997546917718413E-2</v>
      </c>
      <c r="U8" s="303">
        <f>AVERAGE('2022.08'!B19:G33)</f>
        <v>64.617333333333335</v>
      </c>
      <c r="V8" s="303">
        <f>_xlfn.STDEV.S('2022.08'!B19:G33)</f>
        <v>29.234986321618532</v>
      </c>
      <c r="W8" s="291">
        <f t="shared" si="49"/>
        <v>75</v>
      </c>
      <c r="X8" s="291">
        <f>'2022.08'!D131+'2022.08'!E131</f>
        <v>37544</v>
      </c>
      <c r="Y8" s="297">
        <f t="shared" si="8"/>
        <v>0.16940174256746696</v>
      </c>
      <c r="Z8" s="297">
        <f t="shared" si="9"/>
        <v>10.952466174872763</v>
      </c>
      <c r="AA8" s="297">
        <f t="shared" si="10"/>
        <v>0.99800234391647136</v>
      </c>
      <c r="AB8" s="297">
        <f t="shared" si="11"/>
        <v>11.395792336336301</v>
      </c>
      <c r="AC8" s="298">
        <f t="shared" si="12"/>
        <v>0.32637120481593956</v>
      </c>
      <c r="AD8" s="304">
        <f>AVERAGE('2022.08'!B37:G55)</f>
        <v>63.135897435897427</v>
      </c>
      <c r="AE8" s="304">
        <f>_xlfn.STDEV.S('2022.08'!B37:G55)</f>
        <v>29.577307791567808</v>
      </c>
      <c r="AF8" s="293">
        <f t="shared" si="50"/>
        <v>78</v>
      </c>
      <c r="AG8" s="293">
        <f>'2022.08'!D132+'2022.08'!E132</f>
        <v>38049</v>
      </c>
      <c r="AH8" s="293">
        <f t="shared" si="13"/>
        <v>0.17177723000243791</v>
      </c>
      <c r="AI8" s="302">
        <f t="shared" si="14"/>
        <v>10.845309575256483</v>
      </c>
      <c r="AJ8" s="302">
        <f t="shared" si="15"/>
        <v>0.99795001182685483</v>
      </c>
      <c r="AK8" s="302">
        <f t="shared" si="16"/>
        <v>11.215604310219716</v>
      </c>
      <c r="AL8" s="305">
        <f t="shared" si="17"/>
        <v>0.33026508017217349</v>
      </c>
      <c r="AM8" s="303">
        <f>AVERAGE('2022.08'!B59:G65)</f>
        <v>63.995238095238086</v>
      </c>
      <c r="AN8" s="306">
        <f>_xlfn.STDEV.S('2022.08'!B59:G65)</f>
        <v>27.544075122105141</v>
      </c>
      <c r="AO8" s="291">
        <f t="shared" si="51"/>
        <v>42</v>
      </c>
      <c r="AP8" s="291">
        <f>'2022.08'!D133+'2022.08'!E133</f>
        <v>20239</v>
      </c>
      <c r="AQ8" s="291">
        <f t="shared" si="18"/>
        <v>9.1371635470560084E-2</v>
      </c>
      <c r="AR8" s="297">
        <f t="shared" si="52"/>
        <v>5.9816840371220028</v>
      </c>
      <c r="AS8" s="297">
        <f t="shared" si="20"/>
        <v>0.9979247986560601</v>
      </c>
      <c r="AT8" s="297">
        <f t="shared" si="57"/>
        <v>18.063716055527888</v>
      </c>
      <c r="AU8" s="298">
        <f t="shared" si="21"/>
        <v>0.1504969539565594</v>
      </c>
      <c r="AV8" s="305">
        <f>AVERAGE('2022.08'!B69:G85)</f>
        <v>65.350000000000009</v>
      </c>
      <c r="AW8" s="302">
        <f>_xlfn.STDEV.S('2022.08'!B69:G85)</f>
        <v>30.036903617839279</v>
      </c>
      <c r="AX8" s="293">
        <f t="shared" si="53"/>
        <v>96</v>
      </c>
      <c r="AY8" s="293">
        <f>'2022.08'!D134+'2022.08'!E134</f>
        <v>48783</v>
      </c>
      <c r="AZ8" s="293">
        <f t="shared" si="22"/>
        <v>0.22023728905382345</v>
      </c>
      <c r="BA8" s="302">
        <f t="shared" si="38"/>
        <v>14.392506839667362</v>
      </c>
      <c r="BB8" s="302">
        <f t="shared" si="23"/>
        <v>0.99803210134678066</v>
      </c>
      <c r="BC8" s="302">
        <f t="shared" si="24"/>
        <v>9.3980789473683988</v>
      </c>
      <c r="BD8" s="305">
        <f t="shared" si="25"/>
        <v>0.45495171298199832</v>
      </c>
      <c r="BE8" s="296">
        <f>AVERAGE('2022.08'!B89:G106)</f>
        <v>63.335616438356141</v>
      </c>
      <c r="BF8" s="307">
        <f>_xlfn.STDEV.S('2022.08'!B89:G106)</f>
        <v>29.386284451268097</v>
      </c>
      <c r="BG8" s="291">
        <f t="shared" si="54"/>
        <v>73</v>
      </c>
      <c r="BH8" s="291">
        <f>'2022.08'!D135+'2022.08'!E135</f>
        <v>37604</v>
      </c>
      <c r="BI8" s="291">
        <f t="shared" si="39"/>
        <v>0.16976821879712148</v>
      </c>
      <c r="BJ8" s="297">
        <f t="shared" si="40"/>
        <v>10.752374789157408</v>
      </c>
      <c r="BK8" s="297">
        <f t="shared" si="26"/>
        <v>0.99805871715774919</v>
      </c>
      <c r="BL8" s="297">
        <f t="shared" si="27"/>
        <v>11.829502929463576</v>
      </c>
      <c r="BM8" s="298">
        <f t="shared" si="28"/>
        <v>0.34027917600079405</v>
      </c>
      <c r="BN8" s="299">
        <f>AVERAGE('2022.08'!B110:G112)</f>
        <v>65.953333333333333</v>
      </c>
      <c r="BO8" s="301">
        <f>_xlfn.STDEV.S('2022.08'!B110:G112)</f>
        <v>32.508809062570514</v>
      </c>
      <c r="BP8" s="293">
        <f t="shared" si="55"/>
        <v>15</v>
      </c>
      <c r="BQ8" s="293">
        <f>'2022.08'!D136+'2022.08'!E136</f>
        <v>5555</v>
      </c>
      <c r="BR8" s="293">
        <f t="shared" si="41"/>
        <v>2.5078780327039935E-2</v>
      </c>
      <c r="BS8" s="302">
        <f t="shared" si="42"/>
        <v>1.6540291585027072</v>
      </c>
      <c r="BT8" s="302">
        <f t="shared" si="29"/>
        <v>0.99729972997299732</v>
      </c>
      <c r="BU8" s="302">
        <f t="shared" si="30"/>
        <v>70.454844444444447</v>
      </c>
      <c r="BV8" s="305">
        <f t="shared" si="31"/>
        <v>4.4192582821197444E-2</v>
      </c>
      <c r="BW8" s="296">
        <f>AVERAGE('2022.08'!B116:G124)</f>
        <v>71.05641025641026</v>
      </c>
      <c r="BX8" s="307">
        <f>_xlfn.STDEV.S('2022.08'!B116:G124)</f>
        <v>29.034541995352559</v>
      </c>
      <c r="BY8" s="291">
        <f t="shared" si="56"/>
        <v>39</v>
      </c>
      <c r="BZ8" s="291">
        <f>'2022.08'!D137+'2022.08'!E137</f>
        <v>19644</v>
      </c>
      <c r="CA8" s="291">
        <f t="shared" si="43"/>
        <v>8.8685429476934752E-2</v>
      </c>
      <c r="CB8" s="297">
        <f t="shared" si="44"/>
        <v>6.3016682606790146</v>
      </c>
      <c r="CC8" s="297">
        <f t="shared" si="32"/>
        <v>0.99801466096518021</v>
      </c>
      <c r="CD8" s="297">
        <f t="shared" si="33"/>
        <v>21.615503304612599</v>
      </c>
      <c r="CE8" s="298">
        <f t="shared" si="34"/>
        <v>0.16967068785830916</v>
      </c>
      <c r="CF8" s="308">
        <f t="shared" si="45"/>
        <v>64.906554276803789</v>
      </c>
      <c r="CG8" s="309">
        <f t="shared" si="46"/>
        <v>1.3854707314033268</v>
      </c>
    </row>
    <row r="9" spans="1:85" x14ac:dyDescent="0.25">
      <c r="A9" s="294" t="str">
        <f>'monitoring results'!A9</f>
        <v>01/09/2022-30/09/2022</v>
      </c>
      <c r="B9" s="295">
        <f t="shared" si="35"/>
        <v>220771</v>
      </c>
      <c r="C9" s="296">
        <f>AVERAGE('2022.09'!B5:G7)</f>
        <v>68.546666666666667</v>
      </c>
      <c r="D9" s="296">
        <f>_xlfn.STDEV.S('2022.09'!B5:G7)</f>
        <v>30.216335852994348</v>
      </c>
      <c r="E9" s="291">
        <f t="shared" si="47"/>
        <v>15</v>
      </c>
      <c r="F9" s="291">
        <f>'2022.09'!D129+'2022.09'!E129</f>
        <v>6311</v>
      </c>
      <c r="G9" s="297">
        <f t="shared" si="36"/>
        <v>2.8586182061955602E-2</v>
      </c>
      <c r="H9" s="297">
        <f t="shared" si="0"/>
        <v>1.9594874930735164</v>
      </c>
      <c r="I9" s="297">
        <f t="shared" si="37"/>
        <v>0.99762319759150686</v>
      </c>
      <c r="J9" s="297">
        <f t="shared" si="1"/>
        <v>60.868463492063448</v>
      </c>
      <c r="K9" s="298">
        <f t="shared" si="2"/>
        <v>4.9621648591262286E-2</v>
      </c>
      <c r="L9" s="299">
        <f>AVERAGE('2022.09'!B11:G15)</f>
        <v>58.54999999999999</v>
      </c>
      <c r="M9" s="299">
        <f>_xlfn.STDEV.S('2022.09'!B11:G15)</f>
        <v>33.535323782192279</v>
      </c>
      <c r="N9" s="300">
        <f t="shared" si="48"/>
        <v>18</v>
      </c>
      <c r="O9" s="300">
        <f>'2022.09'!D130+'2022.09'!E130</f>
        <v>7656</v>
      </c>
      <c r="P9" s="301">
        <f t="shared" si="3"/>
        <v>3.4678467733533842E-2</v>
      </c>
      <c r="Q9" s="302">
        <f t="shared" si="4"/>
        <v>2.0304242857984063</v>
      </c>
      <c r="R9" s="302">
        <f t="shared" si="5"/>
        <v>0.99764890282131657</v>
      </c>
      <c r="S9" s="302">
        <f t="shared" si="6"/>
        <v>62.478774509803948</v>
      </c>
      <c r="T9" s="302">
        <f t="shared" si="7"/>
        <v>7.4960078320554846E-2</v>
      </c>
      <c r="U9" s="303">
        <f>AVERAGE('2022.09'!B19:G33)</f>
        <v>64.362666666666669</v>
      </c>
      <c r="V9" s="303">
        <f>_xlfn.STDEV.S('2022.09'!B19:G33)</f>
        <v>28.592206334297849</v>
      </c>
      <c r="W9" s="291">
        <f t="shared" si="49"/>
        <v>75</v>
      </c>
      <c r="X9" s="291">
        <f>'2022.09'!D131+'2022.09'!E131</f>
        <v>37563</v>
      </c>
      <c r="Y9" s="297">
        <f t="shared" si="8"/>
        <v>0.16948747219427235</v>
      </c>
      <c r="Z9" s="297">
        <f t="shared" si="9"/>
        <v>10.950962073823103</v>
      </c>
      <c r="AA9" s="297">
        <f t="shared" si="10"/>
        <v>0.99800335436466736</v>
      </c>
      <c r="AB9" s="297">
        <f t="shared" si="11"/>
        <v>10.90019017417416</v>
      </c>
      <c r="AC9" s="298">
        <f t="shared" si="12"/>
        <v>0.31249371067835685</v>
      </c>
      <c r="AD9" s="304">
        <f>AVERAGE('2022.09'!B37:G55)</f>
        <v>62.334615384615368</v>
      </c>
      <c r="AE9" s="304">
        <f>_xlfn.STDEV.S('2022.09'!B37:G55)</f>
        <v>30.913930903010797</v>
      </c>
      <c r="AF9" s="293">
        <f t="shared" si="50"/>
        <v>78</v>
      </c>
      <c r="AG9" s="293">
        <f>'2022.09'!D132+'2022.09'!E132</f>
        <v>38028</v>
      </c>
      <c r="AH9" s="293">
        <f t="shared" si="13"/>
        <v>0.17225088440057798</v>
      </c>
      <c r="AI9" s="302">
        <f t="shared" si="14"/>
        <v>10.73719262876987</v>
      </c>
      <c r="AJ9" s="302">
        <f t="shared" si="15"/>
        <v>0.997948879772799</v>
      </c>
      <c r="AK9" s="302">
        <f t="shared" si="16"/>
        <v>12.252193895847769</v>
      </c>
      <c r="AL9" s="305">
        <f t="shared" si="17"/>
        <v>0.3627814538401829</v>
      </c>
      <c r="AM9" s="303">
        <f>AVERAGE('2022.09'!B59:G65)</f>
        <v>65.342857142857142</v>
      </c>
      <c r="AN9" s="306">
        <f>_xlfn.STDEV.S('2022.09'!B59:G65)</f>
        <v>28.946714231642275</v>
      </c>
      <c r="AO9" s="291">
        <f t="shared" si="51"/>
        <v>42</v>
      </c>
      <c r="AP9" s="291">
        <f>'2022.09'!D133+'2022.09'!E133</f>
        <v>20233</v>
      </c>
      <c r="AQ9" s="291">
        <f t="shared" si="18"/>
        <v>9.1647000738321605E-2</v>
      </c>
      <c r="AR9" s="297">
        <f t="shared" si="52"/>
        <v>5.8423190873898587</v>
      </c>
      <c r="AS9" s="297">
        <f t="shared" si="20"/>
        <v>0.99792418326496313</v>
      </c>
      <c r="AT9" s="297">
        <f t="shared" si="57"/>
        <v>19.950292019246699</v>
      </c>
      <c r="AU9" s="298">
        <f t="shared" si="21"/>
        <v>0.16721811276838641</v>
      </c>
      <c r="AV9" s="305">
        <f>AVERAGE('2022.09'!B69:G85)</f>
        <v>66.153124999999989</v>
      </c>
      <c r="AW9" s="302">
        <f>_xlfn.STDEV.S('2022.09'!B69:G85)</f>
        <v>27.745747718296773</v>
      </c>
      <c r="AX9" s="293">
        <f t="shared" si="53"/>
        <v>96</v>
      </c>
      <c r="AY9" s="293">
        <f>'2022.09'!D134+'2022.09'!E134</f>
        <v>48258</v>
      </c>
      <c r="AZ9" s="293">
        <f t="shared" si="22"/>
        <v>0.21858849214797232</v>
      </c>
      <c r="BA9" s="302">
        <f t="shared" si="38"/>
        <v>14.460311844626331</v>
      </c>
      <c r="BB9" s="302">
        <f t="shared" si="23"/>
        <v>0.99801069252766383</v>
      </c>
      <c r="BC9" s="302">
        <f t="shared" si="24"/>
        <v>8.0190262129934435</v>
      </c>
      <c r="BD9" s="305">
        <f t="shared" si="25"/>
        <v>0.38239430519551115</v>
      </c>
      <c r="BE9" s="296">
        <f>AVERAGE('2022.09'!B89:G106)</f>
        <v>62.657534246575352</v>
      </c>
      <c r="BF9" s="307">
        <f>_xlfn.STDEV.S('2022.09'!B89:G106)</f>
        <v>28.903882466087367</v>
      </c>
      <c r="BG9" s="291">
        <f t="shared" si="54"/>
        <v>73</v>
      </c>
      <c r="BH9" s="291">
        <f>'2022.09'!D135+'2022.09'!E135</f>
        <v>37804</v>
      </c>
      <c r="BI9" s="291">
        <f t="shared" si="39"/>
        <v>0.17123625838538575</v>
      </c>
      <c r="BJ9" s="297">
        <f t="shared" si="40"/>
        <v>10.729241724037735</v>
      </c>
      <c r="BK9" s="297">
        <f t="shared" si="26"/>
        <v>0.99806898740873984</v>
      </c>
      <c r="BL9" s="297">
        <f t="shared" si="27"/>
        <v>11.444307145388942</v>
      </c>
      <c r="BM9" s="298">
        <f t="shared" si="28"/>
        <v>0.33492034159641726</v>
      </c>
      <c r="BN9" s="299">
        <f>AVERAGE('2022.09'!B110:G112)</f>
        <v>69.146666666666661</v>
      </c>
      <c r="BO9" s="301">
        <f>_xlfn.STDEV.S('2022.09'!B110:G112)</f>
        <v>29.39941366438325</v>
      </c>
      <c r="BP9" s="293">
        <f t="shared" si="55"/>
        <v>15</v>
      </c>
      <c r="BQ9" s="293">
        <f>'2022.09'!D136+'2022.09'!E136</f>
        <v>5658</v>
      </c>
      <c r="BR9" s="293">
        <f t="shared" si="41"/>
        <v>2.5628366044453302E-2</v>
      </c>
      <c r="BS9" s="302">
        <f t="shared" si="42"/>
        <v>1.7721160840871308</v>
      </c>
      <c r="BT9" s="302">
        <f t="shared" si="29"/>
        <v>0.99734888653234355</v>
      </c>
      <c r="BU9" s="302">
        <f t="shared" si="30"/>
        <v>57.621701587301636</v>
      </c>
      <c r="BV9" s="305">
        <f t="shared" si="31"/>
        <v>3.7746355231188786E-2</v>
      </c>
      <c r="BW9" s="296">
        <f>AVERAGE('2022.09'!B116:G124)</f>
        <v>69.620512820512815</v>
      </c>
      <c r="BX9" s="307">
        <f>_xlfn.STDEV.S('2022.09'!B116:G124)</f>
        <v>30.510327668953963</v>
      </c>
      <c r="BY9" s="291">
        <f t="shared" si="56"/>
        <v>39</v>
      </c>
      <c r="BZ9" s="291">
        <f>'2022.09'!D137+'2022.09'!E137</f>
        <v>19260</v>
      </c>
      <c r="CA9" s="291">
        <f t="shared" si="43"/>
        <v>8.7239718984830433E-2</v>
      </c>
      <c r="CB9" s="297">
        <f t="shared" si="44"/>
        <v>6.0736739740413226</v>
      </c>
      <c r="CC9" s="297">
        <f t="shared" si="32"/>
        <v>0.99797507788161999</v>
      </c>
      <c r="CD9" s="297">
        <f t="shared" si="33"/>
        <v>23.868720370947123</v>
      </c>
      <c r="CE9" s="298">
        <f t="shared" si="34"/>
        <v>0.18129146082247588</v>
      </c>
      <c r="CF9" s="308">
        <f t="shared" si="45"/>
        <v>64.555729195647274</v>
      </c>
      <c r="CG9" s="309">
        <f t="shared" si="46"/>
        <v>1.3796475879891705</v>
      </c>
    </row>
    <row r="10" spans="1:85" x14ac:dyDescent="0.25">
      <c r="A10" s="294" t="str">
        <f>'monitoring results'!A10</f>
        <v>01/10/2022-31/10/2022</v>
      </c>
      <c r="B10" s="295">
        <f t="shared" si="35"/>
        <v>220794</v>
      </c>
      <c r="C10" s="296">
        <f>AVERAGE('2022.10'!B5:G7)</f>
        <v>66.926666666666677</v>
      </c>
      <c r="D10" s="296">
        <f>_xlfn.STDEV.S('2022.10'!B5:G7)</f>
        <v>30.27258228323506</v>
      </c>
      <c r="E10" s="291">
        <f t="shared" si="47"/>
        <v>15</v>
      </c>
      <c r="F10" s="291">
        <f>'2022.10'!D129+'2022.10'!E129</f>
        <v>6278</v>
      </c>
      <c r="G10" s="297">
        <f t="shared" si="36"/>
        <v>2.843374367057076E-2</v>
      </c>
      <c r="H10" s="297">
        <f t="shared" si="0"/>
        <v>1.9029756847257326</v>
      </c>
      <c r="I10" s="297">
        <f t="shared" si="37"/>
        <v>0.99761070404587449</v>
      </c>
      <c r="J10" s="297">
        <f t="shared" si="1"/>
        <v>61.095282539682479</v>
      </c>
      <c r="K10" s="298">
        <f t="shared" si="2"/>
        <v>4.9276161032147471E-2</v>
      </c>
      <c r="L10" s="299">
        <f>AVERAGE('2022.10'!B11:G15)</f>
        <v>58.466666666666661</v>
      </c>
      <c r="M10" s="299">
        <f>_xlfn.STDEV.S('2022.10'!B11:G15)</f>
        <v>29.540659915365723</v>
      </c>
      <c r="N10" s="300">
        <f t="shared" si="48"/>
        <v>18</v>
      </c>
      <c r="O10" s="300">
        <f>'2022.10'!D130+'2022.10'!E130</f>
        <v>7674</v>
      </c>
      <c r="P10" s="301">
        <f t="shared" si="3"/>
        <v>3.4756379249436128E-2</v>
      </c>
      <c r="Q10" s="302">
        <f t="shared" si="4"/>
        <v>2.0320896401170319</v>
      </c>
      <c r="R10" s="302">
        <f t="shared" si="5"/>
        <v>0.99765441751368256</v>
      </c>
      <c r="S10" s="302">
        <f t="shared" si="6"/>
        <v>48.480588235294178</v>
      </c>
      <c r="T10" s="302">
        <f t="shared" si="7"/>
        <v>5.8427467897538728E-2</v>
      </c>
      <c r="U10" s="303">
        <f>AVERAGE('2022.10'!B19:G33)</f>
        <v>64.507999999999996</v>
      </c>
      <c r="V10" s="303">
        <f>_xlfn.STDEV.S('2022.10'!B19:G33)</f>
        <v>28.928503478637015</v>
      </c>
      <c r="W10" s="291">
        <f t="shared" si="49"/>
        <v>75</v>
      </c>
      <c r="X10" s="291">
        <f>'2022.10'!D131+'2022.10'!E131</f>
        <v>37480</v>
      </c>
      <c r="Y10" s="297">
        <f t="shared" si="8"/>
        <v>0.1691129690877014</v>
      </c>
      <c r="Z10" s="297">
        <f t="shared" si="9"/>
        <v>10.950296837776389</v>
      </c>
      <c r="AA10" s="297">
        <f t="shared" si="10"/>
        <v>0.99799893276414087</v>
      </c>
      <c r="AB10" s="297">
        <f t="shared" si="11"/>
        <v>11.158110846846851</v>
      </c>
      <c r="AC10" s="298">
        <f t="shared" si="12"/>
        <v>0.3184744360244916</v>
      </c>
      <c r="AD10" s="304">
        <f>AVERAGE('2022.10'!B37:G55)</f>
        <v>62.278205128205123</v>
      </c>
      <c r="AE10" s="304">
        <f>_xlfn.STDEV.S('2022.10'!B37:G55)</f>
        <v>31.427288363450227</v>
      </c>
      <c r="AF10" s="293">
        <f t="shared" si="50"/>
        <v>78</v>
      </c>
      <c r="AG10" s="293">
        <f>'2022.10'!D132+'2022.10'!E132</f>
        <v>38265</v>
      </c>
      <c r="AH10" s="293">
        <f t="shared" si="13"/>
        <v>0.17330633984619148</v>
      </c>
      <c r="AI10" s="302">
        <f t="shared" si="14"/>
        <v>10.793207782959541</v>
      </c>
      <c r="AJ10" s="302">
        <f t="shared" si="15"/>
        <v>0.99796158369266952</v>
      </c>
      <c r="AK10" s="302">
        <f t="shared" si="16"/>
        <v>12.662492998454539</v>
      </c>
      <c r="AL10" s="305">
        <f t="shared" si="17"/>
        <v>0.37954383567810451</v>
      </c>
      <c r="AM10" s="303">
        <f>AVERAGE('2022.10'!B59:G65)</f>
        <v>66.845238095238102</v>
      </c>
      <c r="AN10" s="306">
        <f>_xlfn.STDEV.S('2022.10'!B59:G65)</f>
        <v>28.412717887361744</v>
      </c>
      <c r="AO10" s="291">
        <f t="shared" si="51"/>
        <v>42</v>
      </c>
      <c r="AP10" s="291">
        <f>'2022.10'!D133+'2022.10'!E133</f>
        <v>20086</v>
      </c>
      <c r="AQ10" s="291">
        <f t="shared" si="18"/>
        <v>9.0971674954935369E-2</v>
      </c>
      <c r="AR10" s="297">
        <f t="shared" si="52"/>
        <v>5.922006924117678</v>
      </c>
      <c r="AS10" s="297">
        <f t="shared" si="20"/>
        <v>0.99790899133724986</v>
      </c>
      <c r="AT10" s="297">
        <f t="shared" si="57"/>
        <v>19.22101280349538</v>
      </c>
      <c r="AU10" s="298">
        <f t="shared" si="21"/>
        <v>0.15873751805467307</v>
      </c>
      <c r="AV10" s="305">
        <f>AVERAGE('2022.10'!B69:G85)</f>
        <v>66.190624999999983</v>
      </c>
      <c r="AW10" s="302">
        <f>_xlfn.STDEV.S('2022.10'!B69:G85)</f>
        <v>29.342123763860194</v>
      </c>
      <c r="AX10" s="293">
        <f t="shared" si="53"/>
        <v>96</v>
      </c>
      <c r="AY10" s="293">
        <f>'2022.10'!D134+'2022.10'!E134</f>
        <v>48166</v>
      </c>
      <c r="AZ10" s="293">
        <f t="shared" si="22"/>
        <v>0.21814904390517859</v>
      </c>
      <c r="BA10" s="302">
        <f t="shared" si="38"/>
        <v>14.439421559236209</v>
      </c>
      <c r="BB10" s="302">
        <f t="shared" si="23"/>
        <v>0.99800689282896649</v>
      </c>
      <c r="BC10" s="302">
        <f t="shared" si="24"/>
        <v>8.9683356976425959</v>
      </c>
      <c r="BD10" s="305">
        <f t="shared" si="25"/>
        <v>0.42594352902433136</v>
      </c>
      <c r="BE10" s="296">
        <f>AVERAGE('2022.10'!B89:G106)</f>
        <v>63.70136986301371</v>
      </c>
      <c r="BF10" s="307">
        <f>_xlfn.STDEV.S('2022.10'!B89:G106)</f>
        <v>29.349699473904732</v>
      </c>
      <c r="BG10" s="291">
        <f t="shared" si="54"/>
        <v>73</v>
      </c>
      <c r="BH10" s="291">
        <f>'2022.10'!D135+'2022.10'!E135</f>
        <v>37745</v>
      </c>
      <c r="BI10" s="291">
        <f t="shared" si="39"/>
        <v>0.17095120338414993</v>
      </c>
      <c r="BJ10" s="297">
        <f t="shared" si="40"/>
        <v>10.889825835301016</v>
      </c>
      <c r="BK10" s="297">
        <f t="shared" si="26"/>
        <v>0.99806596900251687</v>
      </c>
      <c r="BL10" s="297">
        <f t="shared" si="27"/>
        <v>11.800066564500325</v>
      </c>
      <c r="BM10" s="298">
        <f t="shared" si="28"/>
        <v>0.34418190141111155</v>
      </c>
      <c r="BN10" s="299">
        <f>AVERAGE('2022.10'!B110:G112)</f>
        <v>68.793333333333337</v>
      </c>
      <c r="BO10" s="301">
        <f>_xlfn.STDEV.S('2022.10'!B110:G112)</f>
        <v>32.357058551346071</v>
      </c>
      <c r="BP10" s="293">
        <f t="shared" si="55"/>
        <v>15</v>
      </c>
      <c r="BQ10" s="293">
        <f>'2022.10'!D136+'2022.10'!E136</f>
        <v>5641</v>
      </c>
      <c r="BR10" s="293">
        <f t="shared" si="41"/>
        <v>2.5548701504569872E-2</v>
      </c>
      <c r="BS10" s="302">
        <f t="shared" si="42"/>
        <v>1.75758033883771</v>
      </c>
      <c r="BT10" s="302">
        <f t="shared" si="29"/>
        <v>0.99734089700407724</v>
      </c>
      <c r="BU10" s="302">
        <f t="shared" si="30"/>
        <v>69.798615873015862</v>
      </c>
      <c r="BV10" s="305">
        <f t="shared" si="31"/>
        <v>4.5438930756016155E-2</v>
      </c>
      <c r="BW10" s="296">
        <f>AVERAGE('2022.10'!B116:G124)</f>
        <v>67.866666666666674</v>
      </c>
      <c r="BX10" s="307">
        <f>_xlfn.STDEV.S('2022.10'!B116:G124)</f>
        <v>28.437885528522198</v>
      </c>
      <c r="BY10" s="291">
        <f t="shared" si="56"/>
        <v>39</v>
      </c>
      <c r="BZ10" s="291">
        <f>'2022.10'!D137+'2022.10'!E137</f>
        <v>19459</v>
      </c>
      <c r="CA10" s="291">
        <f t="shared" si="43"/>
        <v>8.8131923874742973E-2</v>
      </c>
      <c r="CB10" s="297">
        <f t="shared" si="44"/>
        <v>5.9812199002992239</v>
      </c>
      <c r="CC10" s="297">
        <f t="shared" si="32"/>
        <v>0.99799578601161421</v>
      </c>
      <c r="CD10" s="297">
        <f t="shared" si="33"/>
        <v>20.736239316239288</v>
      </c>
      <c r="CE10" s="298">
        <f t="shared" si="34"/>
        <v>0.16074045939528275</v>
      </c>
      <c r="CF10" s="308">
        <f t="shared" si="45"/>
        <v>64.668624503370538</v>
      </c>
      <c r="CG10" s="309">
        <f t="shared" si="46"/>
        <v>1.393113146615772</v>
      </c>
    </row>
    <row r="11" spans="1:85" x14ac:dyDescent="0.25">
      <c r="A11" s="294" t="str">
        <f>'monitoring results'!A11</f>
        <v>01/11/2022-30/11/2022</v>
      </c>
      <c r="B11" s="295">
        <f t="shared" si="35"/>
        <v>219964</v>
      </c>
      <c r="C11" s="296">
        <f>AVERAGE('2022.11'!B5:G7)</f>
        <v>71.106666666666655</v>
      </c>
      <c r="D11" s="296">
        <f>_xlfn.STDEV.S('2022.11'!B5:G7)</f>
        <v>30.285320976781261</v>
      </c>
      <c r="E11" s="291">
        <f t="shared" si="47"/>
        <v>15</v>
      </c>
      <c r="F11" s="291">
        <f>'2022.11'!D129+'2022.11'!E129</f>
        <v>6367</v>
      </c>
      <c r="G11" s="297">
        <f t="shared" si="36"/>
        <v>2.8945645651106546E-2</v>
      </c>
      <c r="H11" s="297">
        <f t="shared" si="0"/>
        <v>2.0582283767646823</v>
      </c>
      <c r="I11" s="297">
        <f t="shared" si="37"/>
        <v>0.9976441024030156</v>
      </c>
      <c r="J11" s="297">
        <f t="shared" si="1"/>
        <v>61.146711111111138</v>
      </c>
      <c r="K11" s="298">
        <f t="shared" si="2"/>
        <v>5.1111099628918376E-2</v>
      </c>
      <c r="L11" s="299">
        <f>AVERAGE('2022.11'!B11:G15)</f>
        <v>60.749999999999986</v>
      </c>
      <c r="M11" s="299">
        <f>_xlfn.STDEV.S('2022.11'!B11:G15)</f>
        <v>28.434118900487487</v>
      </c>
      <c r="N11" s="300">
        <f t="shared" si="48"/>
        <v>18</v>
      </c>
      <c r="O11" s="300">
        <f>'2022.11'!D130+'2022.11'!E130</f>
        <v>7694</v>
      </c>
      <c r="P11" s="301">
        <f t="shared" si="3"/>
        <v>3.4978451019257693E-2</v>
      </c>
      <c r="Q11" s="302">
        <f t="shared" si="4"/>
        <v>2.1249408994199044</v>
      </c>
      <c r="R11" s="302">
        <f t="shared" si="5"/>
        <v>0.99766051468676886</v>
      </c>
      <c r="S11" s="302">
        <f t="shared" si="6"/>
        <v>44.916617647058871</v>
      </c>
      <c r="T11" s="302">
        <f t="shared" si="7"/>
        <v>5.4826557256659456E-2</v>
      </c>
      <c r="U11" s="303">
        <f>AVERAGE('2022.11'!B19:G33)</f>
        <v>64.642666666666685</v>
      </c>
      <c r="V11" s="303">
        <f>_xlfn.STDEV.S('2022.11'!B19:G33)</f>
        <v>28.168686723234128</v>
      </c>
      <c r="W11" s="291">
        <f t="shared" si="49"/>
        <v>75</v>
      </c>
      <c r="X11" s="291">
        <f>'2022.11'!D131+'2022.11'!E131</f>
        <v>37299</v>
      </c>
      <c r="Y11" s="297">
        <f t="shared" si="8"/>
        <v>0.16829628159023946</v>
      </c>
      <c r="Z11" s="297">
        <f t="shared" si="9"/>
        <v>10.961370151479334</v>
      </c>
      <c r="AA11" s="297">
        <f t="shared" si="10"/>
        <v>0.99798922223115905</v>
      </c>
      <c r="AB11" s="297">
        <f t="shared" si="11"/>
        <v>10.579665489489422</v>
      </c>
      <c r="AC11" s="298">
        <f t="shared" si="12"/>
        <v>0.29905208083899248</v>
      </c>
      <c r="AD11" s="304">
        <f>AVERAGE('2022.11'!B37:G55)</f>
        <v>63.337179487179476</v>
      </c>
      <c r="AE11" s="304">
        <f>_xlfn.STDEV.S('2022.11'!B37:G55)</f>
        <v>29.101038089996376</v>
      </c>
      <c r="AF11" s="293">
        <f t="shared" si="50"/>
        <v>78</v>
      </c>
      <c r="AG11" s="293">
        <f>'2022.11'!D132+'2022.11'!E132</f>
        <v>37874</v>
      </c>
      <c r="AH11" s="293">
        <f t="shared" si="13"/>
        <v>0.17218272080885963</v>
      </c>
      <c r="AI11" s="302">
        <f t="shared" si="14"/>
        <v>10.905567892461654</v>
      </c>
      <c r="AJ11" s="302">
        <f t="shared" si="15"/>
        <v>0.99794053968421603</v>
      </c>
      <c r="AK11" s="302">
        <f t="shared" si="16"/>
        <v>10.857313050197691</v>
      </c>
      <c r="AL11" s="305">
        <f t="shared" si="17"/>
        <v>0.3212226480506446</v>
      </c>
      <c r="AM11" s="303">
        <f>AVERAGE('2022.11'!B59:G65)</f>
        <v>65.047619047619051</v>
      </c>
      <c r="AN11" s="306">
        <f>_xlfn.STDEV.S('2022.11'!B59:G65)</f>
        <v>30.449640456808311</v>
      </c>
      <c r="AO11" s="291">
        <f t="shared" si="51"/>
        <v>42</v>
      </c>
      <c r="AP11" s="291">
        <f>'2022.11'!D133+'2022.11'!E133</f>
        <v>19986</v>
      </c>
      <c r="AQ11" s="291">
        <f t="shared" si="18"/>
        <v>9.0860322598243351E-2</v>
      </c>
      <c r="AR11" s="297">
        <f t="shared" si="52"/>
        <v>6.0280061931598077</v>
      </c>
      <c r="AS11" s="297">
        <f t="shared" si="20"/>
        <v>0.9978985289702792</v>
      </c>
      <c r="AT11" s="297">
        <f t="shared" si="57"/>
        <v>22.07572866544994</v>
      </c>
      <c r="AU11" s="298">
        <f t="shared" si="21"/>
        <v>0.18186535671430726</v>
      </c>
      <c r="AV11" s="305">
        <f>AVERAGE('2022.11'!B69:G85)</f>
        <v>65.271875000000037</v>
      </c>
      <c r="AW11" s="302">
        <f>_xlfn.STDEV.S('2022.11'!B69:G85)</f>
        <v>29.50017199994452</v>
      </c>
      <c r="AX11" s="293">
        <f t="shared" si="53"/>
        <v>96</v>
      </c>
      <c r="AY11" s="293">
        <f>'2022.11'!D134+'2022.11'!E134</f>
        <v>48460</v>
      </c>
      <c r="AZ11" s="293">
        <f t="shared" si="22"/>
        <v>0.22030877780000363</v>
      </c>
      <c r="BA11" s="302">
        <f t="shared" si="38"/>
        <v>14.379967005964621</v>
      </c>
      <c r="BB11" s="302">
        <f t="shared" si="23"/>
        <v>0.99801898472967399</v>
      </c>
      <c r="BC11" s="302">
        <f t="shared" si="24"/>
        <v>9.0652098752740695</v>
      </c>
      <c r="BD11" s="305">
        <f t="shared" si="25"/>
        <v>0.439117017702987</v>
      </c>
      <c r="BE11" s="296">
        <f>AVERAGE('2022.11'!B89:G106)</f>
        <v>61.291780821917797</v>
      </c>
      <c r="BF11" s="307">
        <f>_xlfn.STDEV.S('2022.11'!B89:G106)</f>
        <v>30.572653691314958</v>
      </c>
      <c r="BG11" s="291">
        <f t="shared" si="54"/>
        <v>73</v>
      </c>
      <c r="BH11" s="291">
        <f>'2022.11'!D135+'2022.11'!E135</f>
        <v>37675</v>
      </c>
      <c r="BI11" s="291">
        <f t="shared" si="39"/>
        <v>0.1712780273135604</v>
      </c>
      <c r="BJ11" s="297">
        <f t="shared" si="40"/>
        <v>10.497935309713196</v>
      </c>
      <c r="BK11" s="297">
        <f t="shared" si="26"/>
        <v>0.99806237558062372</v>
      </c>
      <c r="BL11" s="297">
        <f t="shared" si="27"/>
        <v>12.803933612727043</v>
      </c>
      <c r="BM11" s="298">
        <f t="shared" si="28"/>
        <v>0.37489047175060064</v>
      </c>
      <c r="BN11" s="299">
        <f>AVERAGE('2022.11'!B110:G112)</f>
        <v>70.48</v>
      </c>
      <c r="BO11" s="301">
        <f>_xlfn.STDEV.S('2022.11'!B110:G112)</f>
        <v>33.258902138052775</v>
      </c>
      <c r="BP11" s="293">
        <f t="shared" si="55"/>
        <v>15</v>
      </c>
      <c r="BQ11" s="293">
        <f>'2022.11'!D136+'2022.11'!E136</f>
        <v>5661</v>
      </c>
      <c r="BR11" s="293">
        <f t="shared" si="41"/>
        <v>2.5736029532105253E-2</v>
      </c>
      <c r="BS11" s="302">
        <f t="shared" si="42"/>
        <v>1.8138753614227785</v>
      </c>
      <c r="BT11" s="302">
        <f t="shared" si="29"/>
        <v>0.99735029146793852</v>
      </c>
      <c r="BU11" s="302">
        <f t="shared" si="30"/>
        <v>73.743638095238097</v>
      </c>
      <c r="BV11" s="305">
        <f t="shared" si="31"/>
        <v>4.8714177121774047E-2</v>
      </c>
      <c r="BW11" s="296">
        <f>AVERAGE('2022.11'!B116:G124)</f>
        <v>69.174358974358981</v>
      </c>
      <c r="BX11" s="307">
        <f>_xlfn.STDEV.S('2022.11'!B116:G124)</f>
        <v>29.924674891156759</v>
      </c>
      <c r="BY11" s="291">
        <f t="shared" si="56"/>
        <v>39</v>
      </c>
      <c r="BZ11" s="291">
        <f>'2022.11'!D137+'2022.11'!E137</f>
        <v>18948</v>
      </c>
      <c r="CA11" s="291">
        <f t="shared" si="43"/>
        <v>8.6141368587587058E-2</v>
      </c>
      <c r="CB11" s="297">
        <f t="shared" si="44"/>
        <v>5.9587739532203186</v>
      </c>
      <c r="CC11" s="297">
        <f t="shared" si="32"/>
        <v>0.99794173527549079</v>
      </c>
      <c r="CD11" s="297">
        <f t="shared" si="33"/>
        <v>22.961183777985326</v>
      </c>
      <c r="CE11" s="298">
        <f t="shared" si="34"/>
        <v>0.17002899790948053</v>
      </c>
      <c r="CF11" s="308">
        <f t="shared" ref="CF11:CF15" si="58">H11+Q11+Z11+AI11+AR11+BA11+BJ11+BS11+CB11</f>
        <v>64.728665143606307</v>
      </c>
      <c r="CG11" s="309">
        <f t="shared" si="46"/>
        <v>1.3931361767517074</v>
      </c>
    </row>
    <row r="12" spans="1:85" x14ac:dyDescent="0.25">
      <c r="A12" s="294" t="str">
        <f>'monitoring results'!A12</f>
        <v>01/12/2022-31/12/2022</v>
      </c>
      <c r="B12" s="295">
        <f t="shared" si="35"/>
        <v>220435</v>
      </c>
      <c r="C12" s="296">
        <f>AVERAGE('2022.12'!B5:G7)</f>
        <v>68.106666666666655</v>
      </c>
      <c r="D12" s="296">
        <f>_xlfn.STDEV.S('2022.12'!B5:G7)</f>
        <v>30.613173323789574</v>
      </c>
      <c r="E12" s="291">
        <f t="shared" si="47"/>
        <v>15</v>
      </c>
      <c r="F12" s="291">
        <f>'2022.12'!D129+'2022.12'!E129</f>
        <v>6269</v>
      </c>
      <c r="G12" s="297">
        <f t="shared" si="36"/>
        <v>2.8439222446526188E-2</v>
      </c>
      <c r="H12" s="297">
        <f t="shared" si="0"/>
        <v>1.9369006434247431</v>
      </c>
      <c r="I12" s="297">
        <f t="shared" si="37"/>
        <v>0.99760727388738235</v>
      </c>
      <c r="J12" s="297">
        <f t="shared" si="1"/>
        <v>62.477758730158776</v>
      </c>
      <c r="K12" s="298">
        <f t="shared" si="2"/>
        <v>5.0410439658221548E-2</v>
      </c>
      <c r="L12" s="299">
        <f>AVERAGE('2022.12'!B11:G15)</f>
        <v>60.31666666666667</v>
      </c>
      <c r="M12" s="299">
        <f>_xlfn.STDEV.S('2022.12'!B11:G15)</f>
        <v>27.282083110047306</v>
      </c>
      <c r="N12" s="300">
        <f t="shared" si="48"/>
        <v>18</v>
      </c>
      <c r="O12" s="300">
        <f>'2022.12'!D130+'2022.12'!E130</f>
        <v>7701</v>
      </c>
      <c r="P12" s="301">
        <f t="shared" si="3"/>
        <v>3.493546850545512E-2</v>
      </c>
      <c r="Q12" s="302">
        <f t="shared" si="4"/>
        <v>2.1071910086873684</v>
      </c>
      <c r="R12" s="302">
        <f t="shared" si="5"/>
        <v>0.99766264121542658</v>
      </c>
      <c r="S12" s="302">
        <f t="shared" si="6"/>
        <v>41.350669934640479</v>
      </c>
      <c r="T12" s="302">
        <f t="shared" si="7"/>
        <v>5.0349991715618693E-2</v>
      </c>
      <c r="U12" s="303">
        <f>AVERAGE('2022.12'!B19:G33)</f>
        <v>63.893333333333324</v>
      </c>
      <c r="V12" s="303">
        <f>_xlfn.STDEV.S('2022.12'!B19:G33)</f>
        <v>29.638535604729082</v>
      </c>
      <c r="W12" s="291">
        <f t="shared" si="49"/>
        <v>75</v>
      </c>
      <c r="X12" s="291">
        <f>'2022.12'!D131+'2022.12'!E131</f>
        <v>37260</v>
      </c>
      <c r="Y12" s="297">
        <f t="shared" si="8"/>
        <v>0.16812031025100732</v>
      </c>
      <c r="Z12" s="297">
        <f t="shared" si="9"/>
        <v>10.79985301789643</v>
      </c>
      <c r="AA12" s="297">
        <f t="shared" si="10"/>
        <v>0.99798711755233493</v>
      </c>
      <c r="AB12" s="297">
        <f t="shared" si="11"/>
        <v>11.71257057057058</v>
      </c>
      <c r="AC12" s="298">
        <f t="shared" si="12"/>
        <v>0.33038286994193911</v>
      </c>
      <c r="AD12" s="304">
        <f>AVERAGE('2022.12'!B37:G55)</f>
        <v>64.13333333333334</v>
      </c>
      <c r="AE12" s="304">
        <f>_xlfn.STDEV.S('2022.12'!B37:G55)</f>
        <v>29.527894215411582</v>
      </c>
      <c r="AF12" s="293">
        <f t="shared" si="50"/>
        <v>78</v>
      </c>
      <c r="AG12" s="293">
        <f>'2022.12'!D132+'2022.12'!E132</f>
        <v>37884</v>
      </c>
      <c r="AH12" s="293">
        <f t="shared" si="13"/>
        <v>0.17186018554222332</v>
      </c>
      <c r="AI12" s="302">
        <f t="shared" si="14"/>
        <v>11.021966566107924</v>
      </c>
      <c r="AJ12" s="302">
        <f t="shared" si="15"/>
        <v>0.99794108330693698</v>
      </c>
      <c r="AK12" s="302">
        <f t="shared" si="16"/>
        <v>11.178160728160728</v>
      </c>
      <c r="AL12" s="305">
        <f t="shared" si="17"/>
        <v>0.3294775323622971</v>
      </c>
      <c r="AM12" s="303">
        <f>AVERAGE('2022.12'!B59:G65)</f>
        <v>66.911904761904779</v>
      </c>
      <c r="AN12" s="306">
        <f>_xlfn.STDEV.S('2022.12'!B59:G65)</f>
        <v>29.292896020349332</v>
      </c>
      <c r="AO12" s="291">
        <f t="shared" si="51"/>
        <v>42</v>
      </c>
      <c r="AP12" s="291">
        <f>'2022.12'!D133+'2022.12'!E133</f>
        <v>20082</v>
      </c>
      <c r="AQ12" s="291">
        <f t="shared" si="18"/>
        <v>9.1101685304057892E-2</v>
      </c>
      <c r="AR12" s="297">
        <f t="shared" si="52"/>
        <v>5.8940755671208187</v>
      </c>
      <c r="AS12" s="297">
        <f t="shared" si="20"/>
        <v>0.9979085748431431</v>
      </c>
      <c r="AT12" s="297">
        <f t="shared" si="57"/>
        <v>20.430327553785659</v>
      </c>
      <c r="AU12" s="298">
        <f t="shared" si="21"/>
        <v>0.16920722625778409</v>
      </c>
      <c r="AV12" s="305">
        <f>AVERAGE('2022.12'!B69:G85)</f>
        <v>66.00729166666666</v>
      </c>
      <c r="AW12" s="302">
        <f>_xlfn.STDEV.S('2022.12'!B69:G85)</f>
        <v>29.32392321275784</v>
      </c>
      <c r="AX12" s="293">
        <f t="shared" si="53"/>
        <v>96</v>
      </c>
      <c r="AY12" s="293">
        <f>'2022.12'!D134+'2022.12'!E134</f>
        <v>48713</v>
      </c>
      <c r="AZ12" s="293">
        <f t="shared" si="22"/>
        <v>0.22098577812053441</v>
      </c>
      <c r="BA12" s="302">
        <f t="shared" si="38"/>
        <v>14.586672710587399</v>
      </c>
      <c r="BB12" s="302">
        <f t="shared" si="23"/>
        <v>0.99802927349988713</v>
      </c>
      <c r="BC12" s="302">
        <f t="shared" si="24"/>
        <v>8.9572132561220634</v>
      </c>
      <c r="BD12" s="305">
        <f t="shared" si="25"/>
        <v>0.43656090778103007</v>
      </c>
      <c r="BE12" s="296">
        <f>AVERAGE('2022.12'!B89:G106)</f>
        <v>62.665753424657538</v>
      </c>
      <c r="BF12" s="307">
        <f>_xlfn.STDEV.S('2022.12'!B89:G106)</f>
        <v>30.346989687694251</v>
      </c>
      <c r="BG12" s="291">
        <f t="shared" si="54"/>
        <v>73</v>
      </c>
      <c r="BH12" s="291">
        <f>'2022.12'!D135+'2022.12'!E135</f>
        <v>37616</v>
      </c>
      <c r="BI12" s="291">
        <f t="shared" si="39"/>
        <v>0.17064440764851316</v>
      </c>
      <c r="BJ12" s="297">
        <f t="shared" si="40"/>
        <v>10.693560372998471</v>
      </c>
      <c r="BK12" s="297">
        <f t="shared" si="26"/>
        <v>0.99805933645257339</v>
      </c>
      <c r="BL12" s="297">
        <f t="shared" si="27"/>
        <v>12.615613467192071</v>
      </c>
      <c r="BM12" s="298">
        <f t="shared" si="28"/>
        <v>0.36664760804017427</v>
      </c>
      <c r="BN12" s="299">
        <f>AVERAGE('2022.12'!B110:G112)</f>
        <v>66.000000000000014</v>
      </c>
      <c r="BO12" s="301">
        <f>_xlfn.STDEV.S('2022.12'!B110:G112)</f>
        <v>33.597406362481514</v>
      </c>
      <c r="BP12" s="293">
        <f t="shared" si="55"/>
        <v>15</v>
      </c>
      <c r="BQ12" s="293">
        <f>'2022.12'!D136+'2022.12'!E136</f>
        <v>5644</v>
      </c>
      <c r="BR12" s="293">
        <f t="shared" si="41"/>
        <v>2.5603919522761812E-2</v>
      </c>
      <c r="BS12" s="302">
        <f t="shared" si="42"/>
        <v>1.6898586885022799</v>
      </c>
      <c r="BT12" s="302">
        <f t="shared" si="29"/>
        <v>0.99734231041814314</v>
      </c>
      <c r="BU12" s="302">
        <f t="shared" si="30"/>
        <v>75.252380952380889</v>
      </c>
      <c r="BV12" s="305">
        <f t="shared" si="31"/>
        <v>4.9201392672459834E-2</v>
      </c>
      <c r="BW12" s="296">
        <f>AVERAGE('2022.12'!B116:G124)</f>
        <v>70.810256410256386</v>
      </c>
      <c r="BX12" s="307">
        <f>_xlfn.STDEV.S('2022.12'!B116:G124)</f>
        <v>30.568291060404075</v>
      </c>
      <c r="BY12" s="291">
        <f t="shared" si="56"/>
        <v>39</v>
      </c>
      <c r="BZ12" s="291">
        <f>'2022.12'!D137+'2022.12'!E137</f>
        <v>19266</v>
      </c>
      <c r="CA12" s="291">
        <f t="shared" si="43"/>
        <v>8.7399913806791116E-2</v>
      </c>
      <c r="CB12" s="297">
        <f t="shared" si="44"/>
        <v>6.1888103068931857</v>
      </c>
      <c r="CC12" s="297">
        <f t="shared" si="32"/>
        <v>0.99797570850202433</v>
      </c>
      <c r="CD12" s="297">
        <f t="shared" si="33"/>
        <v>23.95949790650204</v>
      </c>
      <c r="CE12" s="298">
        <f t="shared" si="34"/>
        <v>0.18265000641250445</v>
      </c>
      <c r="CF12" s="308">
        <f t="shared" si="58"/>
        <v>64.91888888221861</v>
      </c>
      <c r="CG12" s="309">
        <f t="shared" si="46"/>
        <v>1.4017446182675464</v>
      </c>
    </row>
    <row r="13" spans="1:85" x14ac:dyDescent="0.25">
      <c r="A13" s="294" t="str">
        <f>'monitoring results'!A13</f>
        <v>01/01/2023-31/01/2023</v>
      </c>
      <c r="B13" s="295">
        <f t="shared" si="35"/>
        <v>220269</v>
      </c>
      <c r="C13" s="296">
        <f>AVERAGE('2023.01'!B5:G7)</f>
        <v>66.686666666666667</v>
      </c>
      <c r="D13" s="296">
        <f>_xlfn.STDEV.S('2023.01'!B5:G7)</f>
        <v>30.027508023398127</v>
      </c>
      <c r="E13" s="291">
        <f t="shared" si="47"/>
        <v>15</v>
      </c>
      <c r="F13" s="291">
        <f>'2023.01'!D129+'2023.01'!E129</f>
        <v>6352</v>
      </c>
      <c r="G13" s="297">
        <f t="shared" si="36"/>
        <v>2.8837466915453379E-2</v>
      </c>
      <c r="H13" s="297">
        <f t="shared" si="0"/>
        <v>1.9230745437018675</v>
      </c>
      <c r="I13" s="297">
        <f t="shared" si="37"/>
        <v>0.99763853904282118</v>
      </c>
      <c r="J13" s="297">
        <f t="shared" si="1"/>
        <v>60.110082539682594</v>
      </c>
      <c r="K13" s="298">
        <f t="shared" si="2"/>
        <v>4.9869470906972628E-2</v>
      </c>
      <c r="L13" s="299">
        <f>AVERAGE('2023.01'!B11:G15)</f>
        <v>57.983333333333348</v>
      </c>
      <c r="M13" s="299">
        <f>_xlfn.STDEV.S('2023.01'!B11:G15)</f>
        <v>32.421983282951665</v>
      </c>
      <c r="N13" s="300">
        <f t="shared" si="48"/>
        <v>18</v>
      </c>
      <c r="O13" s="300">
        <f>'2023.01'!D130+'2023.01'!E130</f>
        <v>7658</v>
      </c>
      <c r="P13" s="301">
        <f t="shared" si="3"/>
        <v>3.4766580862490862E-2</v>
      </c>
      <c r="Q13" s="302">
        <f t="shared" si="4"/>
        <v>2.0158822470100954</v>
      </c>
      <c r="R13" s="302">
        <f t="shared" si="5"/>
        <v>0.99764951684512926</v>
      </c>
      <c r="S13" s="302">
        <f t="shared" si="6"/>
        <v>58.39916666666651</v>
      </c>
      <c r="T13" s="302">
        <f t="shared" si="7"/>
        <v>7.0422041393347165E-2</v>
      </c>
      <c r="U13" s="303">
        <f>AVERAGE('2023.01'!B19:G33)</f>
        <v>64.178666666666672</v>
      </c>
      <c r="V13" s="303">
        <f>_xlfn.STDEV.S('2023.01'!B19:G33)</f>
        <v>28.317372632233937</v>
      </c>
      <c r="W13" s="291">
        <f t="shared" si="49"/>
        <v>75</v>
      </c>
      <c r="X13" s="291">
        <f>'2023.01'!D131+'2023.01'!E131</f>
        <v>37715</v>
      </c>
      <c r="Y13" s="297">
        <f t="shared" si="8"/>
        <v>0.17017330920871554</v>
      </c>
      <c r="Z13" s="297">
        <f t="shared" si="9"/>
        <v>10.988829174025094</v>
      </c>
      <c r="AA13" s="297">
        <f t="shared" si="10"/>
        <v>0.99801140129921784</v>
      </c>
      <c r="AB13" s="297">
        <f t="shared" si="11"/>
        <v>10.691647903903887</v>
      </c>
      <c r="AC13" s="298">
        <f t="shared" si="12"/>
        <v>0.3090032444646813</v>
      </c>
      <c r="AD13" s="304">
        <f>AVERAGE('2023.01'!B37:G55)</f>
        <v>62.770512820512828</v>
      </c>
      <c r="AE13" s="304">
        <f>_xlfn.STDEV.S('2023.01'!B37:G55)</f>
        <v>29.520910964080755</v>
      </c>
      <c r="AF13" s="293">
        <f t="shared" si="50"/>
        <v>78</v>
      </c>
      <c r="AG13" s="293">
        <f>'2023.01'!D132+'2023.01'!E132</f>
        <v>37761</v>
      </c>
      <c r="AH13" s="293">
        <f t="shared" si="13"/>
        <v>0.17143129537066043</v>
      </c>
      <c r="AI13" s="302">
        <f t="shared" si="14"/>
        <v>10.76083032390116</v>
      </c>
      <c r="AJ13" s="302">
        <f t="shared" si="15"/>
        <v>0.99793437673790419</v>
      </c>
      <c r="AK13" s="302">
        <f t="shared" si="16"/>
        <v>11.172874155758761</v>
      </c>
      <c r="AL13" s="305">
        <f t="shared" si="17"/>
        <v>0.32767786411411104</v>
      </c>
      <c r="AM13" s="303">
        <f>AVERAGE('2023.01'!B59:G65)</f>
        <v>67.161904761904751</v>
      </c>
      <c r="AN13" s="306">
        <f>_xlfn.STDEV.S('2023.01'!B59:G65)</f>
        <v>30.178525335167443</v>
      </c>
      <c r="AO13" s="291">
        <f t="shared" si="51"/>
        <v>42</v>
      </c>
      <c r="AP13" s="291">
        <f>'2023.01'!D133+'2023.01'!E133</f>
        <v>20013</v>
      </c>
      <c r="AQ13" s="291">
        <f t="shared" si="18"/>
        <v>9.0857088378301074E-2</v>
      </c>
      <c r="AR13" s="297">
        <f t="shared" si="52"/>
        <v>6.0421697266127339</v>
      </c>
      <c r="AS13" s="297">
        <f t="shared" si="20"/>
        <v>0.99790136411332631</v>
      </c>
      <c r="AT13" s="297">
        <f t="shared" si="57"/>
        <v>21.684366462031981</v>
      </c>
      <c r="AU13" s="298">
        <f t="shared" si="21"/>
        <v>0.17862900738535228</v>
      </c>
      <c r="AV13" s="305">
        <f>AVERAGE('2023.01'!B69:G85)</f>
        <v>65.654166666666683</v>
      </c>
      <c r="AW13" s="302">
        <f>_xlfn.STDEV.S('2023.01'!B69:G85)</f>
        <v>30.124597107300765</v>
      </c>
      <c r="AX13" s="293">
        <f t="shared" si="53"/>
        <v>96</v>
      </c>
      <c r="AY13" s="293">
        <f>'2023.01'!D134+'2023.01'!E134</f>
        <v>48082</v>
      </c>
      <c r="AZ13" s="293">
        <f t="shared" si="22"/>
        <v>0.2182876392047905</v>
      </c>
      <c r="BA13" s="302">
        <f t="shared" si="38"/>
        <v>14.331493045624521</v>
      </c>
      <c r="BB13" s="302">
        <f t="shared" si="23"/>
        <v>0.99800341083981536</v>
      </c>
      <c r="BC13" s="302">
        <f t="shared" si="24"/>
        <v>9.4530349049707674</v>
      </c>
      <c r="BD13" s="305">
        <f t="shared" si="25"/>
        <v>0.44953299629750992</v>
      </c>
      <c r="BE13" s="296">
        <f>AVERAGE('2023.01'!B89:G106)</f>
        <v>61.042465753424651</v>
      </c>
      <c r="BF13" s="307">
        <f>_xlfn.STDEV.S('2023.01'!B89:G106)</f>
        <v>29.856592040620811</v>
      </c>
      <c r="BG13" s="291">
        <f t="shared" si="54"/>
        <v>73</v>
      </c>
      <c r="BH13" s="291">
        <f>'2023.01'!D135+'2023.01'!E135</f>
        <v>37698</v>
      </c>
      <c r="BI13" s="291">
        <f t="shared" si="39"/>
        <v>0.17114528145131636</v>
      </c>
      <c r="BJ13" s="297">
        <f t="shared" si="40"/>
        <v>10.447129981852202</v>
      </c>
      <c r="BK13" s="297">
        <f t="shared" si="26"/>
        <v>0.9980635577484217</v>
      </c>
      <c r="BL13" s="297">
        <f t="shared" si="27"/>
        <v>12.211179291507698</v>
      </c>
      <c r="BM13" s="298">
        <f t="shared" si="28"/>
        <v>0.35698146398606295</v>
      </c>
      <c r="BN13" s="299">
        <f>AVERAGE('2023.01'!B110:G112)</f>
        <v>68.539999999999992</v>
      </c>
      <c r="BO13" s="301">
        <f>_xlfn.STDEV.S('2023.01'!B110:G112)</f>
        <v>29.163989537000717</v>
      </c>
      <c r="BP13" s="293">
        <f t="shared" si="55"/>
        <v>15</v>
      </c>
      <c r="BQ13" s="293">
        <f>'2023.01'!D136+'2023.01'!E136</f>
        <v>5545</v>
      </c>
      <c r="BR13" s="293">
        <f t="shared" si="41"/>
        <v>2.5173764805760231E-2</v>
      </c>
      <c r="BS13" s="302">
        <f t="shared" si="42"/>
        <v>1.7254098397868058</v>
      </c>
      <c r="BT13" s="302">
        <f t="shared" si="29"/>
        <v>0.99729486023444547</v>
      </c>
      <c r="BU13" s="302">
        <f t="shared" si="30"/>
        <v>56.70255238095249</v>
      </c>
      <c r="BV13" s="305">
        <f t="shared" si="31"/>
        <v>3.5836247714884618E-2</v>
      </c>
      <c r="BW13" s="296">
        <f>AVERAGE('2023.01'!B116:G124)</f>
        <v>68.297435897435903</v>
      </c>
      <c r="BX13" s="307">
        <f>_xlfn.STDEV.S('2023.01'!B116:G124)</f>
        <v>32.67016574941831</v>
      </c>
      <c r="BY13" s="291">
        <f t="shared" si="56"/>
        <v>39</v>
      </c>
      <c r="BZ13" s="291">
        <f>'2023.01'!D137+'2023.01'!E137</f>
        <v>19445</v>
      </c>
      <c r="CA13" s="291">
        <f t="shared" si="43"/>
        <v>8.8278423200722753E-2</v>
      </c>
      <c r="CB13" s="297">
        <f t="shared" si="44"/>
        <v>6.0291899496780808</v>
      </c>
      <c r="CC13" s="297">
        <f t="shared" si="32"/>
        <v>0.99799434301877088</v>
      </c>
      <c r="CD13" s="297">
        <f t="shared" si="33"/>
        <v>27.367685387037572</v>
      </c>
      <c r="CE13" s="298">
        <f t="shared" si="34"/>
        <v>0.2128507980765601</v>
      </c>
      <c r="CF13" s="308">
        <f t="shared" si="58"/>
        <v>64.264008832192559</v>
      </c>
      <c r="CG13" s="309">
        <f t="shared" si="46"/>
        <v>1.4109582326700822</v>
      </c>
    </row>
    <row r="14" spans="1:85" x14ac:dyDescent="0.25">
      <c r="A14" s="294" t="str">
        <f>'monitoring results'!A14</f>
        <v>01/02/2023-28/02/2023</v>
      </c>
      <c r="B14" s="295">
        <f t="shared" si="35"/>
        <v>220901</v>
      </c>
      <c r="C14" s="296">
        <f>AVERAGE('2023.02'!B5:G7)</f>
        <v>66.58</v>
      </c>
      <c r="D14" s="296">
        <f>_xlfn.STDEV.S('2023.02'!B5:G7)</f>
        <v>26.455331625753075</v>
      </c>
      <c r="E14" s="291">
        <f t="shared" si="47"/>
        <v>15</v>
      </c>
      <c r="F14" s="291">
        <f>'2023.02'!D129+'2023.02'!E129</f>
        <v>6316</v>
      </c>
      <c r="G14" s="297">
        <f t="shared" si="36"/>
        <v>2.8591993698534636E-2</v>
      </c>
      <c r="H14" s="297">
        <f t="shared" si="0"/>
        <v>1.903654940448436</v>
      </c>
      <c r="I14" s="297">
        <f t="shared" si="37"/>
        <v>0.99762507916402787</v>
      </c>
      <c r="J14" s="297">
        <f t="shared" si="1"/>
        <v>46.658971428571391</v>
      </c>
      <c r="K14" s="298">
        <f t="shared" si="2"/>
        <v>3.8053218774617301E-2</v>
      </c>
      <c r="L14" s="299">
        <f>AVERAGE('2023.02'!B11:G15)</f>
        <v>58.188888888888883</v>
      </c>
      <c r="M14" s="299">
        <f>_xlfn.STDEV.S('2023.02'!B11:G15)</f>
        <v>29.42825550762776</v>
      </c>
      <c r="N14" s="300">
        <f t="shared" si="48"/>
        <v>18</v>
      </c>
      <c r="O14" s="300">
        <f>'2023.02'!D130+'2023.02'!E130</f>
        <v>7654</v>
      </c>
      <c r="P14" s="301">
        <f t="shared" si="3"/>
        <v>3.4649005663170376E-2</v>
      </c>
      <c r="Q14" s="302">
        <f t="shared" si="4"/>
        <v>2.0161871406447029</v>
      </c>
      <c r="R14" s="302">
        <f t="shared" si="5"/>
        <v>0.99764828847661358</v>
      </c>
      <c r="S14" s="302">
        <f t="shared" si="6"/>
        <v>48.112345679012421</v>
      </c>
      <c r="T14" s="302">
        <f t="shared" si="7"/>
        <v>5.762561122769163E-2</v>
      </c>
      <c r="U14" s="303">
        <f>AVERAGE('2023.02'!B19:G33)</f>
        <v>62.673333333333311</v>
      </c>
      <c r="V14" s="303">
        <f>_xlfn.STDEV.S('2023.02'!B19:G33)</f>
        <v>29.178070872143422</v>
      </c>
      <c r="W14" s="291">
        <f t="shared" si="49"/>
        <v>75</v>
      </c>
      <c r="X14" s="291">
        <f>'2023.02'!D131+'2023.02'!E131</f>
        <v>37552</v>
      </c>
      <c r="Y14" s="297">
        <f t="shared" si="8"/>
        <v>0.16943783925243766</v>
      </c>
      <c r="Z14" s="297">
        <f t="shared" si="9"/>
        <v>10.654134717965659</v>
      </c>
      <c r="AA14" s="297">
        <f t="shared" si="10"/>
        <v>0.99800276949296973</v>
      </c>
      <c r="AB14" s="297">
        <f t="shared" si="11"/>
        <v>11.351464264264326</v>
      </c>
      <c r="AC14" s="298">
        <f t="shared" si="12"/>
        <v>0.32524036644465804</v>
      </c>
      <c r="AD14" s="304">
        <f>AVERAGE('2023.02'!B37:G55)</f>
        <v>62.975641025641032</v>
      </c>
      <c r="AE14" s="304">
        <f>_xlfn.STDEV.S('2023.02'!B37:G55)</f>
        <v>29.527865711558832</v>
      </c>
      <c r="AF14" s="293">
        <f t="shared" si="50"/>
        <v>78</v>
      </c>
      <c r="AG14" s="293">
        <f>'2023.02'!D132+'2023.02'!E132</f>
        <v>38070</v>
      </c>
      <c r="AH14" s="293">
        <f t="shared" si="13"/>
        <v>0.17233964536149679</v>
      </c>
      <c r="AI14" s="302">
        <f t="shared" si="14"/>
        <v>10.853199640771903</v>
      </c>
      <c r="AJ14" s="302">
        <f t="shared" si="15"/>
        <v>0.99795114263199369</v>
      </c>
      <c r="AK14" s="302">
        <f t="shared" si="16"/>
        <v>11.178139147177587</v>
      </c>
      <c r="AL14" s="305">
        <f t="shared" si="17"/>
        <v>0.33132116600603206</v>
      </c>
      <c r="AM14" s="303">
        <f>AVERAGE('2023.02'!B59:G65)</f>
        <v>64.688095238095229</v>
      </c>
      <c r="AN14" s="306">
        <f>_xlfn.STDEV.S('2023.02'!B59:G65)</f>
        <v>30.882051005918839</v>
      </c>
      <c r="AO14" s="291">
        <f t="shared" si="51"/>
        <v>42</v>
      </c>
      <c r="AP14" s="291">
        <f>'2023.02'!D133+'2023.02'!E133</f>
        <v>20136</v>
      </c>
      <c r="AQ14" s="291">
        <f t="shared" si="18"/>
        <v>9.1153955844473319E-2</v>
      </c>
      <c r="AR14" s="297">
        <f t="shared" si="52"/>
        <v>6.1020187715653504</v>
      </c>
      <c r="AS14" s="297">
        <f t="shared" si="20"/>
        <v>0.99791418355184747</v>
      </c>
      <c r="AT14" s="297">
        <f t="shared" si="57"/>
        <v>22.707168436480305</v>
      </c>
      <c r="AU14" s="298">
        <f t="shared" si="21"/>
        <v>0.18828131295813968</v>
      </c>
      <c r="AV14" s="305">
        <f>AVERAGE('2023.02'!B69:G85)</f>
        <v>63.10833333333332</v>
      </c>
      <c r="AW14" s="302">
        <f>_xlfn.STDEV.S('2023.02'!B69:G85)</f>
        <v>29.246155542824596</v>
      </c>
      <c r="AX14" s="293">
        <f t="shared" si="53"/>
        <v>96</v>
      </c>
      <c r="AY14" s="293">
        <f>'2023.02'!D134+'2023.02'!E134</f>
        <v>48448</v>
      </c>
      <c r="AZ14" s="293">
        <f t="shared" si="22"/>
        <v>0.21931996686298388</v>
      </c>
      <c r="BA14" s="302">
        <f t="shared" si="38"/>
        <v>13.840917575444804</v>
      </c>
      <c r="BB14" s="302">
        <f t="shared" si="23"/>
        <v>0.99801849405548215</v>
      </c>
      <c r="BC14" s="302">
        <f t="shared" si="24"/>
        <v>8.9097668128655183</v>
      </c>
      <c r="BD14" s="305">
        <f t="shared" si="25"/>
        <v>0.42772168609330974</v>
      </c>
      <c r="BE14" s="296">
        <f>AVERAGE('2023.02'!B89:G106)</f>
        <v>62.147945205479431</v>
      </c>
      <c r="BF14" s="307">
        <f>_xlfn.STDEV.S('2023.02'!B89:G106)</f>
        <v>29.510897749762854</v>
      </c>
      <c r="BG14" s="291">
        <f t="shared" si="54"/>
        <v>73</v>
      </c>
      <c r="BH14" s="291">
        <f>'2023.02'!D135+'2023.02'!E135</f>
        <v>37792</v>
      </c>
      <c r="BI14" s="291">
        <f t="shared" si="39"/>
        <v>0.17108116305494317</v>
      </c>
      <c r="BJ14" s="297">
        <f t="shared" si="40"/>
        <v>10.6323427472283</v>
      </c>
      <c r="BK14" s="297">
        <f t="shared" si="26"/>
        <v>0.99806837425910244</v>
      </c>
      <c r="BL14" s="297">
        <f t="shared" si="27"/>
        <v>11.930042273930937</v>
      </c>
      <c r="BM14" s="298">
        <f t="shared" si="28"/>
        <v>0.34850311559521907</v>
      </c>
      <c r="BN14" s="299">
        <f>AVERAGE('2023.02'!B110:G112)</f>
        <v>73.506666666666661</v>
      </c>
      <c r="BO14" s="301">
        <f>_xlfn.STDEV.S('2023.02'!B110:G112)</f>
        <v>28.522033254177046</v>
      </c>
      <c r="BP14" s="293">
        <f t="shared" si="55"/>
        <v>15</v>
      </c>
      <c r="BQ14" s="293">
        <f>'2023.02'!D136+'2023.02'!E136</f>
        <v>5595</v>
      </c>
      <c r="BR14" s="293">
        <f t="shared" si="41"/>
        <v>2.5328088148084436E-2</v>
      </c>
      <c r="BS14" s="302">
        <f t="shared" si="42"/>
        <v>1.8617833328051931</v>
      </c>
      <c r="BT14" s="302">
        <f t="shared" si="29"/>
        <v>0.99731903485254692</v>
      </c>
      <c r="BU14" s="302">
        <f t="shared" si="30"/>
        <v>54.233758730158755</v>
      </c>
      <c r="BV14" s="305">
        <f t="shared" si="31"/>
        <v>3.4698334607784834E-2</v>
      </c>
      <c r="BW14" s="296">
        <f>AVERAGE('2023.02'!B116:G124)</f>
        <v>68.002564102564094</v>
      </c>
      <c r="BX14" s="307">
        <f>_xlfn.STDEV.S('2023.02'!B116:G124)</f>
        <v>30.290744523347019</v>
      </c>
      <c r="BY14" s="291">
        <f t="shared" si="56"/>
        <v>39</v>
      </c>
      <c r="BZ14" s="291">
        <f>'2023.02'!D137+'2023.02'!E137</f>
        <v>19338</v>
      </c>
      <c r="CA14" s="291">
        <f t="shared" si="43"/>
        <v>8.7541477856596397E-2</v>
      </c>
      <c r="CB14" s="297">
        <f t="shared" si="44"/>
        <v>5.9530449595763919</v>
      </c>
      <c r="CC14" s="297">
        <f t="shared" si="32"/>
        <v>0.99798324542351846</v>
      </c>
      <c r="CD14" s="297">
        <f t="shared" si="33"/>
        <v>23.52638984047891</v>
      </c>
      <c r="CE14" s="298">
        <f t="shared" si="34"/>
        <v>0.1799311217047336</v>
      </c>
      <c r="CF14" s="308">
        <f t="shared" si="58"/>
        <v>63.817283826450748</v>
      </c>
      <c r="CG14" s="309">
        <f t="shared" si="46"/>
        <v>1.3897395199864564</v>
      </c>
    </row>
    <row r="15" spans="1:85" x14ac:dyDescent="0.25">
      <c r="A15" s="294" t="str">
        <f>'monitoring results'!A15</f>
        <v>01/03/2023-31/03/2023</v>
      </c>
      <c r="B15" s="295">
        <f t="shared" si="35"/>
        <v>222113</v>
      </c>
      <c r="C15" s="296">
        <f>AVERAGE('2023.03'!B5:G7)</f>
        <v>68.526666666666671</v>
      </c>
      <c r="D15" s="296">
        <f>_xlfn.STDEV.S('2023.03'!B5:G7)</f>
        <v>29.678839664136522</v>
      </c>
      <c r="E15" s="291">
        <f t="shared" si="47"/>
        <v>15</v>
      </c>
      <c r="F15" s="291">
        <f>'2023.03'!D129+'2023.03'!E129</f>
        <v>6370</v>
      </c>
      <c r="G15" s="297">
        <f t="shared" si="36"/>
        <v>2.8679095775573694E-2</v>
      </c>
      <c r="H15" s="297">
        <f t="shared" si="0"/>
        <v>1.9652828365141468</v>
      </c>
      <c r="I15" s="297">
        <f t="shared" si="37"/>
        <v>0.99764521193092626</v>
      </c>
      <c r="J15" s="297">
        <f t="shared" si="1"/>
        <v>58.722234920634882</v>
      </c>
      <c r="K15" s="298">
        <f t="shared" si="2"/>
        <v>4.8184749697093812E-2</v>
      </c>
      <c r="L15" s="299">
        <f>AVERAGE('2023.03'!B11:G15)</f>
        <v>60.688888888888897</v>
      </c>
      <c r="M15" s="299">
        <f>_xlfn.STDEV.S('2023.03'!B11:G15)</f>
        <v>31.006107346947893</v>
      </c>
      <c r="N15" s="300">
        <f t="shared" si="48"/>
        <v>18</v>
      </c>
      <c r="O15" s="300">
        <f>'2023.03'!D130+'2023.03'!E130</f>
        <v>7709</v>
      </c>
      <c r="P15" s="301">
        <f t="shared" si="3"/>
        <v>3.4707558765133061E-2</v>
      </c>
      <c r="Q15" s="302">
        <f t="shared" si="4"/>
        <v>2.1063631775017422</v>
      </c>
      <c r="R15" s="302">
        <f t="shared" si="5"/>
        <v>0.99766506680503309</v>
      </c>
      <c r="S15" s="302">
        <f t="shared" si="6"/>
        <v>53.409927378358674</v>
      </c>
      <c r="T15" s="302">
        <f t="shared" si="7"/>
        <v>6.418815437786661E-2</v>
      </c>
      <c r="U15" s="303">
        <f>AVERAGE('2023.03'!B19:G33)</f>
        <v>64.325333333333305</v>
      </c>
      <c r="V15" s="303">
        <f>_xlfn.STDEV.S('2023.03'!B19:G33)</f>
        <v>28.89849941551412</v>
      </c>
      <c r="W15" s="291">
        <f t="shared" si="49"/>
        <v>75</v>
      </c>
      <c r="X15" s="291">
        <f>'2023.03'!D131+'2023.03'!E131</f>
        <v>37530</v>
      </c>
      <c r="Y15" s="297">
        <f t="shared" si="8"/>
        <v>0.16933857336876826</v>
      </c>
      <c r="Z15" s="297">
        <f t="shared" si="9"/>
        <v>10.868925997127583</v>
      </c>
      <c r="AA15" s="297">
        <f t="shared" si="10"/>
        <v>0.99800159872102323</v>
      </c>
      <c r="AB15" s="297">
        <f t="shared" si="11"/>
        <v>11.134976912912933</v>
      </c>
      <c r="AC15" s="298">
        <f t="shared" si="12"/>
        <v>0.31866352152506278</v>
      </c>
      <c r="AD15" s="304">
        <f>AVERAGE('2023.03'!B37:G55)</f>
        <v>61.523076923076935</v>
      </c>
      <c r="AE15" s="304">
        <f>_xlfn.STDEV.S('2023.03'!B37:G55)</f>
        <v>30.074016584528152</v>
      </c>
      <c r="AF15" s="293">
        <f t="shared" si="50"/>
        <v>78</v>
      </c>
      <c r="AG15" s="293">
        <f>'2023.03'!D132+'2023.03'!E132</f>
        <v>37915</v>
      </c>
      <c r="AH15" s="293">
        <f t="shared" si="13"/>
        <v>0.17070139973797122</v>
      </c>
      <c r="AI15" s="302">
        <f t="shared" si="14"/>
        <v>10.502075346956108</v>
      </c>
      <c r="AJ15" s="302">
        <f t="shared" si="15"/>
        <v>0.99794276671502047</v>
      </c>
      <c r="AK15" s="302">
        <f t="shared" si="16"/>
        <v>11.595467609313774</v>
      </c>
      <c r="AL15" s="305">
        <f t="shared" si="17"/>
        <v>0.3371848602382374</v>
      </c>
      <c r="AM15" s="303">
        <f>AVERAGE('2023.03'!B59:G65)</f>
        <v>65.390476190476164</v>
      </c>
      <c r="AN15" s="306">
        <f>_xlfn.STDEV.S('2023.03'!B59:G65)</f>
        <v>29.892586645405569</v>
      </c>
      <c r="AO15" s="291">
        <f t="shared" si="51"/>
        <v>42</v>
      </c>
      <c r="AP15" s="291">
        <f>'2023.03'!D133+'2023.03'!E133</f>
        <v>20442</v>
      </c>
      <c r="AQ15" s="291">
        <f t="shared" si="18"/>
        <v>9.2034234826417177E-2</v>
      </c>
      <c r="AR15" s="297">
        <f t="shared" si="52"/>
        <v>5.9665746630922341</v>
      </c>
      <c r="AS15" s="297">
        <f t="shared" si="20"/>
        <v>0.9979454065159965</v>
      </c>
      <c r="AT15" s="297">
        <f t="shared" si="57"/>
        <v>21.275398484597126</v>
      </c>
      <c r="AU15" s="298">
        <f t="shared" si="21"/>
        <v>0.17983875960075743</v>
      </c>
      <c r="AV15" s="305">
        <f>AVERAGE('2023.03'!B69:G85)</f>
        <v>66.034374999999983</v>
      </c>
      <c r="AW15" s="302">
        <f>_xlfn.STDEV.S('2023.03'!B69:G85)</f>
        <v>29.569435956121307</v>
      </c>
      <c r="AX15" s="293">
        <f t="shared" si="53"/>
        <v>96</v>
      </c>
      <c r="AY15" s="293">
        <f>'2023.03'!D134+'2023.03'!E134</f>
        <v>49085</v>
      </c>
      <c r="AZ15" s="293">
        <f t="shared" si="22"/>
        <v>0.22099111713407141</v>
      </c>
      <c r="BA15" s="302">
        <f t="shared" si="38"/>
        <v>14.593010300500191</v>
      </c>
      <c r="BB15" s="302">
        <f t="shared" si="23"/>
        <v>0.99804420902516044</v>
      </c>
      <c r="BC15" s="302">
        <f t="shared" si="24"/>
        <v>9.1078285704495787</v>
      </c>
      <c r="BD15" s="305">
        <f t="shared" si="25"/>
        <v>0.44392976129582262</v>
      </c>
      <c r="BE15" s="296">
        <f>AVERAGE('2023.03'!B89:G106)</f>
        <v>62.217808219178067</v>
      </c>
      <c r="BF15" s="307">
        <f>_xlfn.STDEV.S('2023.03'!B89:G106)</f>
        <v>28.63269470798183</v>
      </c>
      <c r="BG15" s="291">
        <f t="shared" si="54"/>
        <v>73</v>
      </c>
      <c r="BH15" s="291">
        <f>'2023.03'!D135+'2023.03'!E135</f>
        <v>37933</v>
      </c>
      <c r="BI15" s="291">
        <f t="shared" si="39"/>
        <v>0.17078243956904818</v>
      </c>
      <c r="BJ15" s="297">
        <f t="shared" si="40"/>
        <v>10.625709072310409</v>
      </c>
      <c r="BK15" s="297">
        <f t="shared" si="26"/>
        <v>0.99807555426673344</v>
      </c>
      <c r="BL15" s="297">
        <f t="shared" si="27"/>
        <v>11.230564469047819</v>
      </c>
      <c r="BM15" s="298">
        <f t="shared" si="28"/>
        <v>0.32692748226015056</v>
      </c>
      <c r="BN15" s="299">
        <f>AVERAGE('2023.03'!B110:G112)</f>
        <v>67.320000000000007</v>
      </c>
      <c r="BO15" s="301">
        <f>_xlfn.STDEV.S('2023.03'!B110:G112)</f>
        <v>30.377087229874906</v>
      </c>
      <c r="BP15" s="293">
        <f t="shared" si="55"/>
        <v>15</v>
      </c>
      <c r="BQ15" s="293">
        <f>'2023.03'!D136+'2023.03'!E136</f>
        <v>5673</v>
      </c>
      <c r="BR15" s="293">
        <f t="shared" si="41"/>
        <v>2.5541053427759745E-2</v>
      </c>
      <c r="BS15" s="302">
        <f t="shared" si="42"/>
        <v>1.7194237167567861</v>
      </c>
      <c r="BT15" s="302">
        <f t="shared" si="29"/>
        <v>0.99735589635113697</v>
      </c>
      <c r="BU15" s="302">
        <f t="shared" si="30"/>
        <v>61.517828571428609</v>
      </c>
      <c r="BV15" s="305">
        <f t="shared" si="31"/>
        <v>4.0024762925989214E-2</v>
      </c>
      <c r="BW15" s="296">
        <f>AVERAGE('2023.03'!B116:G124)</f>
        <v>70.243589743589766</v>
      </c>
      <c r="BX15" s="307">
        <f>_xlfn.STDEV.S('2023.03'!B116:G124)</f>
        <v>30.505562865188963</v>
      </c>
      <c r="BY15" s="291">
        <f t="shared" si="56"/>
        <v>39</v>
      </c>
      <c r="BZ15" s="291">
        <f>'2023.03'!D137+'2023.03'!E137</f>
        <v>19456</v>
      </c>
      <c r="CA15" s="291">
        <f t="shared" si="43"/>
        <v>8.7595052968534037E-2</v>
      </c>
      <c r="CB15" s="297">
        <f t="shared" si="44"/>
        <v>6.1529909642897191</v>
      </c>
      <c r="CC15" s="297">
        <f t="shared" si="32"/>
        <v>0.99799547697368418</v>
      </c>
      <c r="CD15" s="297">
        <f t="shared" si="33"/>
        <v>23.861265787743484</v>
      </c>
      <c r="CE15" s="298">
        <f t="shared" si="34"/>
        <v>0.18271794851007706</v>
      </c>
      <c r="CF15" s="308">
        <f t="shared" si="58"/>
        <v>64.500356075048913</v>
      </c>
      <c r="CG15" s="309">
        <f t="shared" si="46"/>
        <v>1.3934346057246667</v>
      </c>
    </row>
    <row r="16" spans="1:85" x14ac:dyDescent="0.25">
      <c r="P16" s="287"/>
    </row>
    <row r="17" spans="1:20" x14ac:dyDescent="0.25">
      <c r="D17" s="310"/>
      <c r="H17" s="310"/>
    </row>
    <row r="18" spans="1:20" x14ac:dyDescent="0.25">
      <c r="A18" s="502" t="s">
        <v>82</v>
      </c>
      <c r="B18" s="502"/>
      <c r="C18" s="502"/>
      <c r="D18" s="502"/>
      <c r="E18" s="502"/>
      <c r="F18" s="502"/>
      <c r="G18" s="311"/>
      <c r="H18" s="311"/>
      <c r="I18" s="311"/>
      <c r="J18" s="311"/>
      <c r="K18" s="312"/>
      <c r="L18" s="313"/>
      <c r="M18" s="311"/>
      <c r="N18" s="287"/>
      <c r="O18" s="287"/>
      <c r="P18" s="287"/>
      <c r="Q18" s="287"/>
      <c r="R18" s="287"/>
      <c r="S18" s="287"/>
      <c r="T18" s="287"/>
    </row>
    <row r="19" spans="1:20" ht="39" customHeight="1" x14ac:dyDescent="0.25">
      <c r="A19" s="513"/>
      <c r="B19" s="513"/>
      <c r="C19" s="513"/>
      <c r="D19" s="513"/>
      <c r="E19" s="513"/>
      <c r="F19" s="513"/>
      <c r="G19" s="314"/>
      <c r="H19" s="315"/>
      <c r="I19" s="315"/>
    </row>
    <row r="20" spans="1:20" ht="15.5" x14ac:dyDescent="0.25">
      <c r="A20" s="316" t="s">
        <v>295</v>
      </c>
      <c r="B20" s="515" t="s">
        <v>83</v>
      </c>
      <c r="C20" s="515"/>
      <c r="D20" s="515"/>
      <c r="E20" s="515"/>
      <c r="F20" s="515"/>
      <c r="G20" s="317"/>
      <c r="H20" s="318"/>
      <c r="I20" s="318"/>
    </row>
    <row r="21" spans="1:20" ht="15.5" x14ac:dyDescent="0.25">
      <c r="A21" s="316" t="s">
        <v>296</v>
      </c>
      <c r="B21" s="515" t="s">
        <v>297</v>
      </c>
      <c r="C21" s="515"/>
      <c r="D21" s="515"/>
      <c r="E21" s="515"/>
      <c r="F21" s="515"/>
      <c r="G21" s="317"/>
      <c r="H21" s="318"/>
      <c r="I21" s="318"/>
    </row>
    <row r="22" spans="1:20" x14ac:dyDescent="0.25">
      <c r="A22" s="316" t="s">
        <v>84</v>
      </c>
      <c r="B22" s="515" t="s">
        <v>80</v>
      </c>
      <c r="C22" s="515"/>
      <c r="D22" s="515"/>
      <c r="E22" s="515"/>
      <c r="F22" s="515"/>
      <c r="G22" s="317"/>
      <c r="H22" s="318"/>
      <c r="I22" s="318"/>
    </row>
    <row r="23" spans="1:20" ht="15.5" x14ac:dyDescent="0.25">
      <c r="A23" s="316" t="s">
        <v>298</v>
      </c>
      <c r="B23" s="515" t="s">
        <v>299</v>
      </c>
      <c r="C23" s="515"/>
      <c r="D23" s="515"/>
      <c r="E23" s="515"/>
      <c r="F23" s="515"/>
      <c r="G23" s="317"/>
      <c r="H23" s="318"/>
      <c r="I23" s="318"/>
    </row>
    <row r="26" spans="1:20" x14ac:dyDescent="0.25">
      <c r="A26" s="502" t="s">
        <v>85</v>
      </c>
      <c r="B26" s="502"/>
      <c r="C26" s="502"/>
      <c r="D26" s="502"/>
      <c r="E26" s="502"/>
      <c r="F26" s="502"/>
      <c r="G26" s="311"/>
      <c r="H26" s="311"/>
      <c r="I26" s="311"/>
      <c r="R26" s="287"/>
      <c r="S26" s="287"/>
      <c r="T26" s="287"/>
    </row>
    <row r="27" spans="1:20" ht="57" customHeight="1" x14ac:dyDescent="0.25">
      <c r="A27" s="513"/>
      <c r="B27" s="513"/>
      <c r="C27" s="513"/>
      <c r="D27" s="513"/>
      <c r="E27" s="513"/>
      <c r="F27" s="513"/>
      <c r="G27" s="314"/>
      <c r="H27" s="315"/>
      <c r="I27" s="315"/>
      <c r="J27" s="315"/>
      <c r="M27" s="315"/>
      <c r="O27" s="319"/>
      <c r="P27" s="319"/>
      <c r="Q27" s="319"/>
      <c r="R27" s="319"/>
      <c r="S27" s="319"/>
      <c r="T27" s="319"/>
    </row>
    <row r="28" spans="1:20" ht="15.5" x14ac:dyDescent="0.25">
      <c r="A28" s="316" t="s">
        <v>300</v>
      </c>
      <c r="B28" s="514" t="s">
        <v>86</v>
      </c>
      <c r="C28" s="514"/>
      <c r="D28" s="514"/>
      <c r="E28" s="514"/>
      <c r="F28" s="514"/>
      <c r="G28" s="317"/>
      <c r="H28" s="318"/>
      <c r="I28" s="318"/>
      <c r="J28" s="318"/>
      <c r="M28" s="318"/>
      <c r="O28" s="320"/>
      <c r="P28" s="320"/>
      <c r="Q28" s="320"/>
      <c r="R28" s="320"/>
      <c r="S28" s="320"/>
      <c r="T28" s="320"/>
    </row>
    <row r="29" spans="1:20" ht="15.5" x14ac:dyDescent="0.25">
      <c r="A29" s="316" t="s">
        <v>296</v>
      </c>
      <c r="B29" s="515" t="s">
        <v>297</v>
      </c>
      <c r="C29" s="515"/>
      <c r="D29" s="515"/>
      <c r="E29" s="515"/>
      <c r="F29" s="515"/>
      <c r="G29" s="321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</row>
    <row r="30" spans="1:20" x14ac:dyDescent="0.25">
      <c r="A30" s="316" t="s">
        <v>84</v>
      </c>
      <c r="B30" s="515" t="s">
        <v>80</v>
      </c>
      <c r="C30" s="515"/>
      <c r="D30" s="515"/>
      <c r="E30" s="515"/>
      <c r="F30" s="515"/>
      <c r="G30" s="317"/>
      <c r="H30" s="318"/>
      <c r="I30" s="318"/>
      <c r="J30" s="318"/>
      <c r="K30" s="318"/>
      <c r="L30" s="318"/>
      <c r="M30" s="318"/>
      <c r="N30" s="320"/>
      <c r="O30" s="320"/>
      <c r="P30" s="320"/>
      <c r="Q30" s="320"/>
      <c r="R30" s="320"/>
      <c r="S30" s="320"/>
      <c r="T30" s="320"/>
    </row>
    <row r="31" spans="1:20" ht="19.5" customHeight="1" x14ac:dyDescent="0.25">
      <c r="A31" s="316" t="s">
        <v>301</v>
      </c>
      <c r="B31" s="514" t="s">
        <v>302</v>
      </c>
      <c r="C31" s="514"/>
      <c r="D31" s="514"/>
      <c r="E31" s="514"/>
      <c r="F31" s="514"/>
      <c r="G31" s="322"/>
      <c r="N31" s="323"/>
      <c r="O31" s="323"/>
      <c r="P31" s="323"/>
      <c r="Q31" s="323"/>
      <c r="R31" s="323"/>
      <c r="S31" s="323"/>
      <c r="T31" s="323"/>
    </row>
    <row r="32" spans="1:20" ht="15.5" x14ac:dyDescent="0.25">
      <c r="A32" s="316" t="s">
        <v>303</v>
      </c>
      <c r="B32" s="515" t="s">
        <v>304</v>
      </c>
      <c r="C32" s="515"/>
      <c r="D32" s="515"/>
      <c r="E32" s="515"/>
      <c r="F32" s="515"/>
      <c r="G32" s="317"/>
      <c r="H32" s="318"/>
      <c r="I32" s="318"/>
      <c r="J32" s="318"/>
      <c r="K32" s="318"/>
      <c r="L32" s="318"/>
      <c r="M32" s="318"/>
      <c r="N32" s="320"/>
      <c r="O32" s="320"/>
      <c r="P32" s="320"/>
      <c r="Q32" s="320"/>
      <c r="R32" s="320"/>
      <c r="S32" s="320"/>
      <c r="T32" s="320"/>
    </row>
    <row r="34" spans="1:83" x14ac:dyDescent="0.25">
      <c r="A34" s="502" t="s">
        <v>87</v>
      </c>
      <c r="B34" s="502"/>
      <c r="C34" s="502"/>
      <c r="D34" s="502"/>
      <c r="E34" s="502"/>
      <c r="F34" s="502"/>
      <c r="G34" s="311"/>
      <c r="H34" s="311"/>
      <c r="I34" s="311"/>
      <c r="J34" s="311"/>
      <c r="K34" s="311"/>
      <c r="L34" s="311"/>
      <c r="M34" s="311"/>
      <c r="N34" s="287"/>
      <c r="O34" s="287"/>
      <c r="P34" s="287"/>
      <c r="Q34" s="287"/>
      <c r="R34" s="287"/>
      <c r="S34" s="287"/>
      <c r="T34" s="287"/>
    </row>
    <row r="35" spans="1:83" ht="114" customHeight="1" x14ac:dyDescent="0.25">
      <c r="A35" s="324">
        <f>TINV(0.05,451)</f>
        <v>1.9652379138637808</v>
      </c>
      <c r="B35" s="511" t="s">
        <v>307</v>
      </c>
      <c r="C35" s="511"/>
      <c r="D35" s="511"/>
      <c r="E35" s="511"/>
      <c r="F35" s="511"/>
      <c r="G35" s="325"/>
      <c r="H35" s="325"/>
      <c r="I35" s="325"/>
      <c r="J35" s="325"/>
      <c r="K35" s="325"/>
      <c r="L35" s="325"/>
      <c r="M35" s="325"/>
      <c r="N35" s="326"/>
      <c r="O35" s="326"/>
      <c r="P35" s="326"/>
      <c r="Q35" s="326"/>
      <c r="R35" s="326"/>
      <c r="S35" s="326"/>
      <c r="T35" s="326"/>
    </row>
    <row r="36" spans="1:83" ht="17.25" customHeight="1" x14ac:dyDescent="0.25"/>
    <row r="37" spans="1:83" ht="17.25" customHeight="1" x14ac:dyDescent="0.25">
      <c r="A37" s="502" t="s">
        <v>88</v>
      </c>
      <c r="B37" s="502"/>
      <c r="C37" s="502"/>
      <c r="D37" s="502"/>
      <c r="E37" s="502"/>
      <c r="F37" s="502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</row>
    <row r="38" spans="1:83" ht="37.5" customHeight="1" x14ac:dyDescent="0.25">
      <c r="A38" s="324" t="s">
        <v>89</v>
      </c>
      <c r="B38" s="512" t="s">
        <v>305</v>
      </c>
      <c r="C38" s="512"/>
      <c r="D38" s="512"/>
      <c r="E38" s="512"/>
      <c r="F38" s="512"/>
      <c r="G38" s="327"/>
      <c r="H38" s="327"/>
      <c r="I38" s="327"/>
      <c r="J38" s="327"/>
      <c r="K38" s="327"/>
      <c r="L38" s="327"/>
      <c r="M38" s="327"/>
      <c r="N38" s="328"/>
      <c r="O38" s="328"/>
      <c r="P38" s="328"/>
      <c r="Q38" s="328"/>
      <c r="R38" s="328"/>
      <c r="S38" s="328"/>
      <c r="T38" s="328"/>
    </row>
    <row r="40" spans="1:83" x14ac:dyDescent="0.25">
      <c r="A40" s="502" t="s">
        <v>90</v>
      </c>
      <c r="B40" s="502"/>
      <c r="C40" s="502"/>
      <c r="D40" s="502"/>
      <c r="E40" s="502"/>
      <c r="F40" s="502"/>
      <c r="G40" s="311"/>
      <c r="H40" s="311"/>
      <c r="I40" s="311"/>
      <c r="J40" s="311"/>
      <c r="K40" s="311"/>
      <c r="L40" s="311"/>
      <c r="M40" s="311"/>
      <c r="N40" s="287"/>
      <c r="O40" s="287"/>
      <c r="P40" s="287"/>
      <c r="Q40" s="287"/>
      <c r="R40" s="287"/>
      <c r="S40" s="287"/>
      <c r="T40" s="287"/>
    </row>
    <row r="41" spans="1:83" ht="29" x14ac:dyDescent="0.25">
      <c r="A41" s="329" t="s">
        <v>144</v>
      </c>
      <c r="B41" s="316" t="s">
        <v>91</v>
      </c>
      <c r="C41" s="316" t="s">
        <v>285</v>
      </c>
      <c r="D41" s="330" t="s">
        <v>286</v>
      </c>
      <c r="E41" s="289" t="s">
        <v>306</v>
      </c>
      <c r="F41" s="330" t="s">
        <v>92</v>
      </c>
      <c r="G41" s="331"/>
      <c r="H41" s="332"/>
      <c r="I41" s="332"/>
      <c r="J41" s="332"/>
      <c r="K41" s="332"/>
      <c r="L41" s="319"/>
      <c r="M41" s="332"/>
      <c r="N41" s="332"/>
      <c r="O41" s="332"/>
      <c r="P41" s="332"/>
      <c r="Q41" s="332"/>
      <c r="R41" s="332"/>
      <c r="S41" s="332"/>
      <c r="T41" s="332"/>
      <c r="U41" s="333"/>
      <c r="V41" s="334"/>
      <c r="W41" s="334"/>
      <c r="X41" s="334"/>
      <c r="Y41" s="334"/>
      <c r="Z41" s="334"/>
      <c r="AA41" s="334"/>
      <c r="AB41" s="334"/>
      <c r="AC41" s="334"/>
      <c r="AD41" s="333"/>
      <c r="AE41" s="334"/>
      <c r="AF41" s="334"/>
      <c r="AG41" s="334"/>
      <c r="AH41" s="334"/>
      <c r="AI41" s="334"/>
      <c r="AJ41" s="334"/>
      <c r="AK41" s="334"/>
      <c r="AL41" s="334"/>
      <c r="AM41" s="333"/>
      <c r="AN41" s="334"/>
      <c r="AO41" s="334"/>
      <c r="AP41" s="334"/>
      <c r="AQ41" s="334"/>
      <c r="AR41" s="334"/>
      <c r="AS41" s="334"/>
      <c r="AT41" s="334"/>
      <c r="AU41" s="334"/>
      <c r="AV41" s="333"/>
      <c r="AW41" s="334"/>
      <c r="AX41" s="334"/>
      <c r="AY41" s="334"/>
      <c r="AZ41" s="334"/>
      <c r="BA41" s="334"/>
      <c r="BB41" s="334"/>
      <c r="BC41" s="334"/>
      <c r="BD41" s="334"/>
      <c r="BE41" s="333"/>
      <c r="BF41" s="334"/>
      <c r="BG41" s="334"/>
      <c r="BH41" s="334"/>
      <c r="BI41" s="334"/>
      <c r="BJ41" s="334"/>
      <c r="BK41" s="334"/>
      <c r="BL41" s="334"/>
      <c r="BM41" s="334"/>
      <c r="BN41" s="333"/>
      <c r="BO41" s="334"/>
      <c r="BP41" s="334"/>
      <c r="BQ41" s="334"/>
      <c r="BR41" s="334"/>
      <c r="BS41" s="334"/>
      <c r="BT41" s="334"/>
      <c r="BU41" s="334"/>
      <c r="BV41" s="334"/>
      <c r="BW41" s="333"/>
      <c r="BX41" s="334"/>
      <c r="BY41" s="334"/>
      <c r="BZ41" s="334"/>
      <c r="CA41" s="334"/>
      <c r="CB41" s="334"/>
      <c r="CC41" s="334"/>
      <c r="CD41" s="334"/>
      <c r="CE41" s="334"/>
    </row>
    <row r="42" spans="1:83" x14ac:dyDescent="0.25">
      <c r="A42" s="335" t="str">
        <f t="shared" ref="A42:A53" si="59">A4</f>
        <v>01/04/2022-30/04/2022</v>
      </c>
      <c r="B42" s="336">
        <f t="shared" ref="B42:B53" si="60">$A$35</f>
        <v>1.9652379138637808</v>
      </c>
      <c r="C42" s="337">
        <f t="shared" ref="C42:C53" si="61">CF4</f>
        <v>64.42349059906303</v>
      </c>
      <c r="D42" s="338">
        <f t="shared" ref="D42:D53" si="62">CG4</f>
        <v>1.4055034317405248</v>
      </c>
      <c r="E42" s="339">
        <f t="shared" ref="E42:E53" si="63">B42*D42</f>
        <v>2.762148632122134</v>
      </c>
      <c r="F42" s="340">
        <f t="shared" ref="F42:F53" si="64">E42/C42</f>
        <v>4.2874867636593206E-2</v>
      </c>
      <c r="G42" s="332"/>
      <c r="H42" s="332"/>
      <c r="I42" s="332"/>
      <c r="J42" s="332"/>
      <c r="K42" s="332"/>
      <c r="L42" s="319"/>
      <c r="M42" s="332"/>
      <c r="N42" s="332"/>
      <c r="O42" s="332"/>
      <c r="P42" s="332"/>
      <c r="Q42" s="332"/>
      <c r="R42" s="332"/>
      <c r="S42" s="332"/>
      <c r="T42" s="332"/>
      <c r="U42" s="333"/>
      <c r="V42" s="334"/>
      <c r="W42" s="334"/>
      <c r="X42" s="334"/>
      <c r="Y42" s="334"/>
      <c r="Z42" s="334"/>
      <c r="AA42" s="334"/>
      <c r="AB42" s="334"/>
      <c r="AC42" s="334"/>
      <c r="AD42" s="333"/>
      <c r="AE42" s="334"/>
      <c r="AF42" s="334"/>
      <c r="AG42" s="334"/>
      <c r="AH42" s="334"/>
      <c r="AI42" s="334"/>
      <c r="AJ42" s="334"/>
      <c r="AK42" s="334"/>
      <c r="AL42" s="334"/>
      <c r="AM42" s="333"/>
      <c r="AN42" s="334"/>
      <c r="AO42" s="334"/>
      <c r="AP42" s="334"/>
      <c r="AQ42" s="334"/>
      <c r="AR42" s="334"/>
      <c r="AS42" s="334"/>
      <c r="AT42" s="334"/>
      <c r="AU42" s="334"/>
      <c r="AV42" s="333"/>
      <c r="AW42" s="334"/>
      <c r="AX42" s="334"/>
      <c r="AY42" s="334"/>
      <c r="AZ42" s="334"/>
      <c r="BA42" s="334"/>
      <c r="BB42" s="334"/>
      <c r="BC42" s="334"/>
      <c r="BD42" s="334"/>
      <c r="BE42" s="333"/>
      <c r="BF42" s="334"/>
      <c r="BG42" s="334"/>
      <c r="BH42" s="334"/>
      <c r="BI42" s="334"/>
      <c r="BJ42" s="334"/>
      <c r="BK42" s="334"/>
      <c r="BL42" s="334"/>
      <c r="BM42" s="334"/>
      <c r="BN42" s="333"/>
      <c r="BO42" s="334"/>
      <c r="BP42" s="334"/>
      <c r="BQ42" s="334"/>
      <c r="BR42" s="334"/>
      <c r="BS42" s="334"/>
      <c r="BT42" s="334"/>
      <c r="BU42" s="334"/>
      <c r="BV42" s="334"/>
      <c r="BW42" s="333"/>
      <c r="BX42" s="334"/>
      <c r="BY42" s="334"/>
      <c r="BZ42" s="334"/>
      <c r="CA42" s="334"/>
      <c r="CB42" s="334"/>
      <c r="CC42" s="334"/>
      <c r="CD42" s="334"/>
      <c r="CE42" s="334"/>
    </row>
    <row r="43" spans="1:83" x14ac:dyDescent="0.25">
      <c r="A43" s="335" t="str">
        <f t="shared" si="59"/>
        <v>01/05/2022-31/05/2022</v>
      </c>
      <c r="B43" s="336">
        <f t="shared" si="60"/>
        <v>1.9652379138637808</v>
      </c>
      <c r="C43" s="337">
        <f t="shared" si="61"/>
        <v>64.114114219689228</v>
      </c>
      <c r="D43" s="338">
        <f t="shared" si="62"/>
        <v>1.4270559222950066</v>
      </c>
      <c r="E43" s="339">
        <f t="shared" si="63"/>
        <v>2.8045044036979925</v>
      </c>
      <c r="F43" s="340">
        <f t="shared" si="64"/>
        <v>4.3742387114454412E-2</v>
      </c>
      <c r="G43" s="332"/>
      <c r="H43" s="332"/>
      <c r="I43" s="332"/>
      <c r="J43" s="332"/>
      <c r="K43" s="332"/>
      <c r="L43" s="319"/>
      <c r="M43" s="332"/>
      <c r="N43" s="332"/>
      <c r="O43" s="332"/>
      <c r="P43" s="332"/>
      <c r="Q43" s="332"/>
      <c r="R43" s="332"/>
      <c r="S43" s="332"/>
      <c r="T43" s="332"/>
      <c r="U43" s="333"/>
      <c r="V43" s="334"/>
      <c r="W43" s="334"/>
      <c r="X43" s="334"/>
      <c r="Y43" s="334"/>
      <c r="Z43" s="334"/>
      <c r="AA43" s="334"/>
      <c r="AB43" s="334"/>
      <c r="AC43" s="334"/>
      <c r="AD43" s="333"/>
      <c r="AE43" s="334"/>
      <c r="AF43" s="334"/>
      <c r="AG43" s="334"/>
      <c r="AH43" s="334"/>
      <c r="AI43" s="334"/>
      <c r="AJ43" s="334"/>
      <c r="AK43" s="334"/>
      <c r="AL43" s="334"/>
      <c r="AM43" s="333"/>
      <c r="AN43" s="334"/>
      <c r="AO43" s="334"/>
      <c r="AP43" s="334"/>
      <c r="AQ43" s="334"/>
      <c r="AR43" s="334"/>
      <c r="AS43" s="334"/>
      <c r="AT43" s="334"/>
      <c r="AU43" s="334"/>
      <c r="AV43" s="333"/>
      <c r="AW43" s="334"/>
      <c r="AX43" s="334"/>
      <c r="AY43" s="334"/>
      <c r="AZ43" s="334"/>
      <c r="BA43" s="334"/>
      <c r="BB43" s="334"/>
      <c r="BC43" s="334"/>
      <c r="BD43" s="334"/>
      <c r="BE43" s="333"/>
      <c r="BF43" s="334"/>
      <c r="BG43" s="334"/>
      <c r="BH43" s="334"/>
      <c r="BI43" s="334"/>
      <c r="BJ43" s="334"/>
      <c r="BK43" s="334"/>
      <c r="BL43" s="334"/>
      <c r="BM43" s="334"/>
      <c r="BN43" s="333"/>
      <c r="BO43" s="334"/>
      <c r="BP43" s="334"/>
      <c r="BQ43" s="334"/>
      <c r="BR43" s="334"/>
      <c r="BS43" s="334"/>
      <c r="BT43" s="334"/>
      <c r="BU43" s="334"/>
      <c r="BV43" s="334"/>
      <c r="BW43" s="333"/>
      <c r="BX43" s="334"/>
      <c r="BY43" s="334"/>
      <c r="BZ43" s="334"/>
      <c r="CA43" s="334"/>
      <c r="CB43" s="334"/>
      <c r="CC43" s="334"/>
      <c r="CD43" s="334"/>
      <c r="CE43" s="334"/>
    </row>
    <row r="44" spans="1:83" x14ac:dyDescent="0.25">
      <c r="A44" s="335" t="str">
        <f t="shared" si="59"/>
        <v>01/06/2022-30/06/2022</v>
      </c>
      <c r="B44" s="336">
        <f t="shared" si="60"/>
        <v>1.9652379138637808</v>
      </c>
      <c r="C44" s="337">
        <f t="shared" si="61"/>
        <v>64.480846521730371</v>
      </c>
      <c r="D44" s="338">
        <f t="shared" si="62"/>
        <v>1.3984651596943753</v>
      </c>
      <c r="E44" s="339">
        <f t="shared" si="63"/>
        <v>2.7483167530489534</v>
      </c>
      <c r="F44" s="340">
        <f t="shared" si="64"/>
        <v>4.2622218864988952E-2</v>
      </c>
      <c r="G44" s="332"/>
      <c r="H44" s="332"/>
      <c r="I44" s="332"/>
      <c r="J44" s="332"/>
      <c r="K44" s="332"/>
      <c r="L44" s="319"/>
      <c r="M44" s="332"/>
      <c r="N44" s="332"/>
      <c r="O44" s="332"/>
      <c r="P44" s="332"/>
      <c r="Q44" s="332"/>
      <c r="R44" s="332"/>
      <c r="S44" s="332"/>
      <c r="T44" s="332"/>
      <c r="U44" s="333"/>
      <c r="V44" s="334"/>
      <c r="W44" s="334"/>
      <c r="X44" s="334"/>
      <c r="Y44" s="334"/>
      <c r="Z44" s="334"/>
      <c r="AA44" s="334"/>
      <c r="AB44" s="334"/>
      <c r="AC44" s="334"/>
      <c r="AD44" s="333"/>
      <c r="AE44" s="334"/>
      <c r="AF44" s="334"/>
      <c r="AG44" s="334"/>
      <c r="AH44" s="334"/>
      <c r="AI44" s="334"/>
      <c r="AJ44" s="334"/>
      <c r="AK44" s="334"/>
      <c r="AL44" s="334"/>
      <c r="AM44" s="333"/>
      <c r="AN44" s="334"/>
      <c r="AO44" s="334"/>
      <c r="AP44" s="334"/>
      <c r="AQ44" s="334"/>
      <c r="AR44" s="334"/>
      <c r="AS44" s="334"/>
      <c r="AT44" s="334"/>
      <c r="AU44" s="334"/>
      <c r="AV44" s="333"/>
      <c r="AW44" s="334"/>
      <c r="AX44" s="334"/>
      <c r="AY44" s="334"/>
      <c r="AZ44" s="334"/>
      <c r="BA44" s="334"/>
      <c r="BB44" s="334"/>
      <c r="BC44" s="334"/>
      <c r="BD44" s="334"/>
      <c r="BE44" s="333"/>
      <c r="BF44" s="334"/>
      <c r="BG44" s="334"/>
      <c r="BH44" s="334"/>
      <c r="BI44" s="334"/>
      <c r="BJ44" s="334"/>
      <c r="BK44" s="334"/>
      <c r="BL44" s="334"/>
      <c r="BM44" s="334"/>
      <c r="BN44" s="333"/>
      <c r="BO44" s="334"/>
      <c r="BP44" s="334"/>
      <c r="BQ44" s="334"/>
      <c r="BR44" s="334"/>
      <c r="BS44" s="334"/>
      <c r="BT44" s="334"/>
      <c r="BU44" s="334"/>
      <c r="BV44" s="334"/>
      <c r="BW44" s="333"/>
      <c r="BX44" s="334"/>
      <c r="BY44" s="334"/>
      <c r="BZ44" s="334"/>
      <c r="CA44" s="334"/>
      <c r="CB44" s="334"/>
      <c r="CC44" s="334"/>
      <c r="CD44" s="334"/>
      <c r="CE44" s="334"/>
    </row>
    <row r="45" spans="1:83" x14ac:dyDescent="0.25">
      <c r="A45" s="335" t="str">
        <f t="shared" si="59"/>
        <v>01/07/2022-31/07/2022</v>
      </c>
      <c r="B45" s="336">
        <f t="shared" si="60"/>
        <v>1.9652379138637808</v>
      </c>
      <c r="C45" s="337">
        <f t="shared" si="61"/>
        <v>64.137161734882213</v>
      </c>
      <c r="D45" s="338">
        <f t="shared" si="62"/>
        <v>1.4088565971485507</v>
      </c>
      <c r="E45" s="339">
        <f t="shared" si="63"/>
        <v>2.7687383999134427</v>
      </c>
      <c r="F45" s="340">
        <f t="shared" si="64"/>
        <v>4.3169019723047888E-2</v>
      </c>
      <c r="G45" s="332"/>
      <c r="H45" s="332"/>
      <c r="I45" s="332"/>
      <c r="J45" s="332"/>
      <c r="K45" s="332"/>
      <c r="L45" s="319"/>
      <c r="M45" s="332"/>
      <c r="N45" s="332"/>
      <c r="O45" s="332"/>
      <c r="P45" s="332"/>
      <c r="Q45" s="332"/>
      <c r="R45" s="332"/>
      <c r="S45" s="332"/>
      <c r="T45" s="332"/>
      <c r="U45" s="333"/>
      <c r="V45" s="334"/>
      <c r="W45" s="334"/>
      <c r="X45" s="334"/>
      <c r="Y45" s="334"/>
      <c r="Z45" s="334"/>
      <c r="AA45" s="334"/>
      <c r="AB45" s="334"/>
      <c r="AC45" s="334"/>
      <c r="AD45" s="333"/>
      <c r="AE45" s="334"/>
      <c r="AF45" s="334"/>
      <c r="AG45" s="334"/>
      <c r="AH45" s="334"/>
      <c r="AI45" s="334"/>
      <c r="AJ45" s="334"/>
      <c r="AK45" s="334"/>
      <c r="AL45" s="334"/>
      <c r="AM45" s="333"/>
      <c r="AN45" s="334"/>
      <c r="AO45" s="334"/>
      <c r="AP45" s="334"/>
      <c r="AQ45" s="334"/>
      <c r="AR45" s="334"/>
      <c r="AS45" s="334"/>
      <c r="AT45" s="334"/>
      <c r="AU45" s="334"/>
      <c r="AV45" s="333"/>
      <c r="AW45" s="334"/>
      <c r="AX45" s="334"/>
      <c r="AY45" s="334"/>
      <c r="AZ45" s="334"/>
      <c r="BA45" s="334"/>
      <c r="BB45" s="334"/>
      <c r="BC45" s="334"/>
      <c r="BD45" s="334"/>
      <c r="BE45" s="333"/>
      <c r="BF45" s="334"/>
      <c r="BG45" s="334"/>
      <c r="BH45" s="334"/>
      <c r="BI45" s="334"/>
      <c r="BJ45" s="334"/>
      <c r="BK45" s="334"/>
      <c r="BL45" s="334"/>
      <c r="BM45" s="334"/>
      <c r="BN45" s="333"/>
      <c r="BO45" s="334"/>
      <c r="BP45" s="334"/>
      <c r="BQ45" s="334"/>
      <c r="BR45" s="334"/>
      <c r="BS45" s="334"/>
      <c r="BT45" s="334"/>
      <c r="BU45" s="334"/>
      <c r="BV45" s="334"/>
      <c r="BW45" s="333"/>
      <c r="BX45" s="334"/>
      <c r="BY45" s="334"/>
      <c r="BZ45" s="334"/>
      <c r="CA45" s="334"/>
      <c r="CB45" s="334"/>
      <c r="CC45" s="334"/>
      <c r="CD45" s="334"/>
      <c r="CE45" s="334"/>
    </row>
    <row r="46" spans="1:83" x14ac:dyDescent="0.25">
      <c r="A46" s="335" t="str">
        <f t="shared" si="59"/>
        <v>01/08/2022-31/08/2022</v>
      </c>
      <c r="B46" s="336">
        <f t="shared" si="60"/>
        <v>1.9652379138637808</v>
      </c>
      <c r="C46" s="337">
        <f t="shared" si="61"/>
        <v>64.906554276803789</v>
      </c>
      <c r="D46" s="338">
        <f t="shared" si="62"/>
        <v>1.3854707314033268</v>
      </c>
      <c r="E46" s="339">
        <f t="shared" si="63"/>
        <v>2.7227796099024006</v>
      </c>
      <c r="F46" s="340">
        <f t="shared" si="64"/>
        <v>4.1949224392511988E-2</v>
      </c>
      <c r="G46" s="332"/>
      <c r="H46" s="332"/>
      <c r="I46" s="332"/>
      <c r="J46" s="332"/>
      <c r="K46" s="332"/>
      <c r="L46" s="319"/>
      <c r="M46" s="332"/>
      <c r="N46" s="332"/>
      <c r="O46" s="332"/>
      <c r="P46" s="332"/>
      <c r="Q46" s="332"/>
      <c r="R46" s="332"/>
      <c r="S46" s="332"/>
      <c r="T46" s="332"/>
      <c r="U46" s="333"/>
      <c r="V46" s="334"/>
      <c r="W46" s="334"/>
      <c r="X46" s="334"/>
      <c r="Y46" s="334"/>
      <c r="Z46" s="334"/>
      <c r="AA46" s="334"/>
      <c r="AB46" s="334"/>
      <c r="AC46" s="334"/>
      <c r="AD46" s="333"/>
      <c r="AE46" s="334"/>
      <c r="AF46" s="334"/>
      <c r="AG46" s="334"/>
      <c r="AH46" s="334"/>
      <c r="AI46" s="334"/>
      <c r="AJ46" s="334"/>
      <c r="AK46" s="334"/>
      <c r="AL46" s="334"/>
      <c r="AM46" s="333"/>
      <c r="AN46" s="334"/>
      <c r="AO46" s="334"/>
      <c r="AP46" s="334"/>
      <c r="AQ46" s="334"/>
      <c r="AR46" s="334"/>
      <c r="AS46" s="334"/>
      <c r="AT46" s="334"/>
      <c r="AU46" s="334"/>
      <c r="AV46" s="333"/>
      <c r="AW46" s="334"/>
      <c r="AX46" s="334"/>
      <c r="AY46" s="334"/>
      <c r="AZ46" s="334"/>
      <c r="BA46" s="334"/>
      <c r="BB46" s="334"/>
      <c r="BC46" s="334"/>
      <c r="BD46" s="334"/>
      <c r="BE46" s="333"/>
      <c r="BF46" s="334"/>
      <c r="BG46" s="334"/>
      <c r="BH46" s="334"/>
      <c r="BI46" s="334"/>
      <c r="BJ46" s="334"/>
      <c r="BK46" s="334"/>
      <c r="BL46" s="334"/>
      <c r="BM46" s="334"/>
      <c r="BN46" s="333"/>
      <c r="BO46" s="334"/>
      <c r="BP46" s="334"/>
      <c r="BQ46" s="334"/>
      <c r="BR46" s="334"/>
      <c r="BS46" s="334"/>
      <c r="BT46" s="334"/>
      <c r="BU46" s="334"/>
      <c r="BV46" s="334"/>
      <c r="BW46" s="333"/>
      <c r="BX46" s="334"/>
      <c r="BY46" s="334"/>
      <c r="BZ46" s="334"/>
      <c r="CA46" s="334"/>
      <c r="CB46" s="334"/>
      <c r="CC46" s="334"/>
      <c r="CD46" s="334"/>
      <c r="CE46" s="334"/>
    </row>
    <row r="47" spans="1:83" x14ac:dyDescent="0.25">
      <c r="A47" s="335" t="str">
        <f t="shared" si="59"/>
        <v>01/09/2022-30/09/2022</v>
      </c>
      <c r="B47" s="336">
        <f t="shared" si="60"/>
        <v>1.9652379138637808</v>
      </c>
      <c r="C47" s="337">
        <f t="shared" si="61"/>
        <v>64.555729195647274</v>
      </c>
      <c r="D47" s="338">
        <f t="shared" si="62"/>
        <v>1.3796475879891705</v>
      </c>
      <c r="E47" s="339">
        <f t="shared" si="63"/>
        <v>2.7113357476870346</v>
      </c>
      <c r="F47" s="340">
        <f t="shared" si="64"/>
        <v>4.199992442916823E-2</v>
      </c>
      <c r="G47" s="332"/>
      <c r="H47" s="332"/>
      <c r="I47" s="332"/>
      <c r="J47" s="332"/>
      <c r="K47" s="332"/>
      <c r="L47" s="319"/>
      <c r="M47" s="332"/>
      <c r="N47" s="332"/>
      <c r="O47" s="332"/>
      <c r="P47" s="332"/>
      <c r="Q47" s="332"/>
      <c r="R47" s="332"/>
      <c r="S47" s="332"/>
      <c r="T47" s="332"/>
      <c r="U47" s="333"/>
      <c r="V47" s="334"/>
      <c r="W47" s="334"/>
      <c r="X47" s="334"/>
      <c r="Y47" s="334"/>
      <c r="Z47" s="334"/>
      <c r="AA47" s="334"/>
      <c r="AB47" s="334"/>
      <c r="AC47" s="334"/>
      <c r="AD47" s="333"/>
      <c r="AE47" s="334"/>
      <c r="AF47" s="334"/>
      <c r="AG47" s="334"/>
      <c r="AH47" s="334"/>
      <c r="AI47" s="334"/>
      <c r="AJ47" s="334"/>
      <c r="AK47" s="334"/>
      <c r="AL47" s="334"/>
      <c r="AM47" s="333"/>
      <c r="AN47" s="334"/>
      <c r="AO47" s="334"/>
      <c r="AP47" s="334"/>
      <c r="AQ47" s="334"/>
      <c r="AR47" s="334"/>
      <c r="AS47" s="334"/>
      <c r="AT47" s="334"/>
      <c r="AU47" s="334"/>
      <c r="AV47" s="333"/>
      <c r="AW47" s="334"/>
      <c r="AX47" s="334"/>
      <c r="AY47" s="334"/>
      <c r="AZ47" s="334"/>
      <c r="BA47" s="334"/>
      <c r="BB47" s="334"/>
      <c r="BC47" s="334"/>
      <c r="BD47" s="334"/>
      <c r="BE47" s="333"/>
      <c r="BF47" s="334"/>
      <c r="BG47" s="334"/>
      <c r="BH47" s="334"/>
      <c r="BI47" s="334"/>
      <c r="BJ47" s="334"/>
      <c r="BK47" s="334"/>
      <c r="BL47" s="334"/>
      <c r="BM47" s="334"/>
      <c r="BN47" s="333"/>
      <c r="BO47" s="334"/>
      <c r="BP47" s="334"/>
      <c r="BQ47" s="334"/>
      <c r="BR47" s="334"/>
      <c r="BS47" s="334"/>
      <c r="BT47" s="334"/>
      <c r="BU47" s="334"/>
      <c r="BV47" s="334"/>
      <c r="BW47" s="333"/>
      <c r="BX47" s="334"/>
      <c r="BY47" s="334"/>
      <c r="BZ47" s="334"/>
      <c r="CA47" s="334"/>
      <c r="CB47" s="334"/>
      <c r="CC47" s="334"/>
      <c r="CD47" s="334"/>
      <c r="CE47" s="334"/>
    </row>
    <row r="48" spans="1:83" x14ac:dyDescent="0.25">
      <c r="A48" s="335" t="str">
        <f t="shared" si="59"/>
        <v>01/10/2022-31/10/2022</v>
      </c>
      <c r="B48" s="336">
        <f t="shared" si="60"/>
        <v>1.9652379138637808</v>
      </c>
      <c r="C48" s="337">
        <f t="shared" si="61"/>
        <v>64.668624503370538</v>
      </c>
      <c r="D48" s="338">
        <f t="shared" si="62"/>
        <v>1.393113146615772</v>
      </c>
      <c r="E48" s="339">
        <f t="shared" si="63"/>
        <v>2.7377987740313872</v>
      </c>
      <c r="F48" s="340">
        <f t="shared" si="64"/>
        <v>4.2335812692114595E-2</v>
      </c>
      <c r="G48" s="332"/>
      <c r="H48" s="332"/>
      <c r="I48" s="332"/>
      <c r="J48" s="332"/>
      <c r="K48" s="332"/>
      <c r="L48" s="319"/>
      <c r="M48" s="332"/>
      <c r="N48" s="332"/>
      <c r="O48" s="332"/>
      <c r="P48" s="332"/>
      <c r="Q48" s="332"/>
      <c r="R48" s="332"/>
      <c r="S48" s="332"/>
      <c r="T48" s="332"/>
      <c r="U48" s="333"/>
      <c r="V48" s="334"/>
      <c r="W48" s="334"/>
      <c r="X48" s="334"/>
      <c r="Y48" s="334"/>
      <c r="Z48" s="334"/>
      <c r="AA48" s="334"/>
      <c r="AB48" s="334"/>
      <c r="AC48" s="334"/>
      <c r="AD48" s="333"/>
      <c r="AE48" s="334"/>
      <c r="AF48" s="334"/>
      <c r="AG48" s="334"/>
      <c r="AH48" s="334"/>
      <c r="AI48" s="334"/>
      <c r="AJ48" s="334"/>
      <c r="AK48" s="334"/>
      <c r="AL48" s="334"/>
      <c r="AM48" s="333"/>
      <c r="AN48" s="334"/>
      <c r="AO48" s="334"/>
      <c r="AP48" s="334"/>
      <c r="AQ48" s="334"/>
      <c r="AR48" s="334"/>
      <c r="AS48" s="334"/>
      <c r="AT48" s="334"/>
      <c r="AU48" s="334"/>
      <c r="AV48" s="333"/>
      <c r="AW48" s="334"/>
      <c r="AX48" s="334"/>
      <c r="AY48" s="334"/>
      <c r="AZ48" s="334"/>
      <c r="BA48" s="334"/>
      <c r="BB48" s="334"/>
      <c r="BC48" s="334"/>
      <c r="BD48" s="334"/>
      <c r="BE48" s="333"/>
      <c r="BF48" s="334"/>
      <c r="BG48" s="334"/>
      <c r="BH48" s="334"/>
      <c r="BI48" s="334"/>
      <c r="BJ48" s="334"/>
      <c r="BK48" s="334"/>
      <c r="BL48" s="334"/>
      <c r="BM48" s="334"/>
      <c r="BN48" s="333"/>
      <c r="BO48" s="334"/>
      <c r="BP48" s="334"/>
      <c r="BQ48" s="334"/>
      <c r="BR48" s="334"/>
      <c r="BS48" s="334"/>
      <c r="BT48" s="334"/>
      <c r="BU48" s="334"/>
      <c r="BV48" s="334"/>
      <c r="BW48" s="333"/>
      <c r="BX48" s="334"/>
      <c r="BY48" s="334"/>
      <c r="BZ48" s="334"/>
      <c r="CA48" s="334"/>
      <c r="CB48" s="334"/>
      <c r="CC48" s="334"/>
      <c r="CD48" s="334"/>
      <c r="CE48" s="334"/>
    </row>
    <row r="49" spans="1:83" x14ac:dyDescent="0.25">
      <c r="A49" s="335" t="str">
        <f t="shared" si="59"/>
        <v>01/11/2022-30/11/2022</v>
      </c>
      <c r="B49" s="336">
        <f t="shared" si="60"/>
        <v>1.9652379138637808</v>
      </c>
      <c r="C49" s="337">
        <f t="shared" si="61"/>
        <v>64.728665143606307</v>
      </c>
      <c r="D49" s="338">
        <f t="shared" si="62"/>
        <v>1.3931361767517074</v>
      </c>
      <c r="E49" s="339">
        <f t="shared" si="63"/>
        <v>2.737844033727689</v>
      </c>
      <c r="F49" s="340">
        <f t="shared" si="64"/>
        <v>4.2297242306071632E-2</v>
      </c>
      <c r="G49" s="332"/>
      <c r="H49" s="332"/>
      <c r="I49" s="332"/>
      <c r="J49" s="332"/>
      <c r="K49" s="332"/>
      <c r="L49" s="319"/>
      <c r="M49" s="332"/>
      <c r="N49" s="332"/>
      <c r="O49" s="332"/>
      <c r="P49" s="332"/>
      <c r="Q49" s="332"/>
      <c r="R49" s="332"/>
      <c r="S49" s="332"/>
      <c r="T49" s="332"/>
      <c r="U49" s="333"/>
      <c r="V49" s="334"/>
      <c r="W49" s="334"/>
      <c r="X49" s="334"/>
      <c r="Y49" s="334"/>
      <c r="Z49" s="334"/>
      <c r="AA49" s="334"/>
      <c r="AB49" s="334"/>
      <c r="AC49" s="334"/>
      <c r="AD49" s="333"/>
      <c r="AE49" s="334"/>
      <c r="AF49" s="334"/>
      <c r="AG49" s="334"/>
      <c r="AH49" s="334"/>
      <c r="AI49" s="334"/>
      <c r="AJ49" s="334"/>
      <c r="AK49" s="334"/>
      <c r="AL49" s="334"/>
      <c r="AM49" s="333"/>
      <c r="AN49" s="334"/>
      <c r="AO49" s="334"/>
      <c r="AP49" s="334"/>
      <c r="AQ49" s="334"/>
      <c r="AR49" s="334"/>
      <c r="AS49" s="334"/>
      <c r="AT49" s="334"/>
      <c r="AU49" s="334"/>
      <c r="AV49" s="333"/>
      <c r="AW49" s="334"/>
      <c r="AX49" s="334"/>
      <c r="AY49" s="334"/>
      <c r="AZ49" s="334"/>
      <c r="BA49" s="334"/>
      <c r="BB49" s="334"/>
      <c r="BC49" s="334"/>
      <c r="BD49" s="334"/>
      <c r="BE49" s="333"/>
      <c r="BF49" s="334"/>
      <c r="BG49" s="334"/>
      <c r="BH49" s="334"/>
      <c r="BI49" s="334"/>
      <c r="BJ49" s="334"/>
      <c r="BK49" s="334"/>
      <c r="BL49" s="334"/>
      <c r="BM49" s="334"/>
      <c r="BN49" s="333"/>
      <c r="BO49" s="334"/>
      <c r="BP49" s="334"/>
      <c r="BQ49" s="334"/>
      <c r="BR49" s="334"/>
      <c r="BS49" s="334"/>
      <c r="BT49" s="334"/>
      <c r="BU49" s="334"/>
      <c r="BV49" s="334"/>
      <c r="BW49" s="333"/>
      <c r="BX49" s="334"/>
      <c r="BY49" s="334"/>
      <c r="BZ49" s="334"/>
      <c r="CA49" s="334"/>
      <c r="CB49" s="334"/>
      <c r="CC49" s="334"/>
      <c r="CD49" s="334"/>
      <c r="CE49" s="334"/>
    </row>
    <row r="50" spans="1:83" x14ac:dyDescent="0.25">
      <c r="A50" s="335" t="str">
        <f t="shared" si="59"/>
        <v>01/12/2022-31/12/2022</v>
      </c>
      <c r="B50" s="336">
        <f t="shared" si="60"/>
        <v>1.9652379138637808</v>
      </c>
      <c r="C50" s="337">
        <f t="shared" si="61"/>
        <v>64.91888888221861</v>
      </c>
      <c r="D50" s="338">
        <f t="shared" si="62"/>
        <v>1.4017446182675464</v>
      </c>
      <c r="E50" s="339">
        <f t="shared" si="63"/>
        <v>2.7547616693738948</v>
      </c>
      <c r="F50" s="340">
        <f t="shared" si="64"/>
        <v>4.2433900468811452E-2</v>
      </c>
      <c r="G50" s="332"/>
      <c r="H50" s="332"/>
      <c r="I50" s="332"/>
      <c r="J50" s="332"/>
      <c r="K50" s="332"/>
      <c r="L50" s="319"/>
      <c r="M50" s="332"/>
      <c r="N50" s="332"/>
      <c r="O50" s="332"/>
      <c r="P50" s="332"/>
      <c r="Q50" s="332"/>
      <c r="R50" s="332"/>
      <c r="S50" s="332"/>
      <c r="T50" s="332"/>
      <c r="U50" s="333"/>
      <c r="V50" s="334"/>
      <c r="W50" s="334"/>
      <c r="X50" s="334"/>
      <c r="Y50" s="334"/>
      <c r="Z50" s="334"/>
      <c r="AA50" s="334"/>
      <c r="AB50" s="334"/>
      <c r="AC50" s="334"/>
      <c r="AD50" s="333"/>
      <c r="AE50" s="334"/>
      <c r="AF50" s="334"/>
      <c r="AG50" s="334"/>
      <c r="AH50" s="334"/>
      <c r="AI50" s="334"/>
      <c r="AJ50" s="334"/>
      <c r="AK50" s="334"/>
      <c r="AL50" s="334"/>
      <c r="AM50" s="333"/>
      <c r="AN50" s="334"/>
      <c r="AO50" s="334"/>
      <c r="AP50" s="334"/>
      <c r="AQ50" s="334"/>
      <c r="AR50" s="334"/>
      <c r="AS50" s="334"/>
      <c r="AT50" s="334"/>
      <c r="AU50" s="334"/>
      <c r="AV50" s="333"/>
      <c r="AW50" s="334"/>
      <c r="AX50" s="334"/>
      <c r="AY50" s="334"/>
      <c r="AZ50" s="334"/>
      <c r="BA50" s="334"/>
      <c r="BB50" s="334"/>
      <c r="BC50" s="334"/>
      <c r="BD50" s="334"/>
      <c r="BE50" s="333"/>
      <c r="BF50" s="334"/>
      <c r="BG50" s="334"/>
      <c r="BH50" s="334"/>
      <c r="BI50" s="334"/>
      <c r="BJ50" s="334"/>
      <c r="BK50" s="334"/>
      <c r="BL50" s="334"/>
      <c r="BM50" s="334"/>
      <c r="BN50" s="333"/>
      <c r="BO50" s="334"/>
      <c r="BP50" s="334"/>
      <c r="BQ50" s="334"/>
      <c r="BR50" s="334"/>
      <c r="BS50" s="334"/>
      <c r="BT50" s="334"/>
      <c r="BU50" s="334"/>
      <c r="BV50" s="334"/>
      <c r="BW50" s="333"/>
      <c r="BX50" s="334"/>
      <c r="BY50" s="334"/>
      <c r="BZ50" s="334"/>
      <c r="CA50" s="334"/>
      <c r="CB50" s="334"/>
      <c r="CC50" s="334"/>
      <c r="CD50" s="334"/>
      <c r="CE50" s="334"/>
    </row>
    <row r="51" spans="1:83" x14ac:dyDescent="0.25">
      <c r="A51" s="335" t="str">
        <f t="shared" si="59"/>
        <v>01/01/2023-31/01/2023</v>
      </c>
      <c r="B51" s="336">
        <f t="shared" si="60"/>
        <v>1.9652379138637808</v>
      </c>
      <c r="C51" s="337">
        <f t="shared" si="61"/>
        <v>64.264008832192559</v>
      </c>
      <c r="D51" s="338">
        <f t="shared" si="62"/>
        <v>1.4109582326700822</v>
      </c>
      <c r="E51" s="339">
        <f t="shared" si="63"/>
        <v>2.7728686137214793</v>
      </c>
      <c r="F51" s="340">
        <f t="shared" si="64"/>
        <v>4.3148080303580937E-2</v>
      </c>
    </row>
    <row r="52" spans="1:83" x14ac:dyDescent="0.25">
      <c r="A52" s="335" t="str">
        <f t="shared" si="59"/>
        <v>01/02/2023-28/02/2023</v>
      </c>
      <c r="B52" s="336">
        <f t="shared" si="60"/>
        <v>1.9652379138637808</v>
      </c>
      <c r="C52" s="337">
        <f t="shared" si="61"/>
        <v>63.817283826450748</v>
      </c>
      <c r="D52" s="338">
        <f t="shared" si="62"/>
        <v>1.3897395199864564</v>
      </c>
      <c r="E52" s="339">
        <f t="shared" si="63"/>
        <v>2.7311687950722354</v>
      </c>
      <c r="F52" s="340">
        <f t="shared" si="64"/>
        <v>4.2796694426851037E-2</v>
      </c>
    </row>
    <row r="53" spans="1:83" x14ac:dyDescent="0.25">
      <c r="A53" s="335" t="str">
        <f t="shared" si="59"/>
        <v>01/03/2023-31/03/2023</v>
      </c>
      <c r="B53" s="336">
        <f t="shared" si="60"/>
        <v>1.9652379138637808</v>
      </c>
      <c r="C53" s="337">
        <f t="shared" si="61"/>
        <v>64.500356075048913</v>
      </c>
      <c r="D53" s="338">
        <f t="shared" si="62"/>
        <v>1.3934346057246667</v>
      </c>
      <c r="E53" s="339">
        <f t="shared" si="63"/>
        <v>2.7384305176599439</v>
      </c>
      <c r="F53" s="340">
        <f t="shared" si="64"/>
        <v>4.2456052715021654E-2</v>
      </c>
    </row>
  </sheetData>
  <mergeCells count="31">
    <mergeCell ref="B23:F23"/>
    <mergeCell ref="A18:F18"/>
    <mergeCell ref="A19:F19"/>
    <mergeCell ref="B20:F20"/>
    <mergeCell ref="B21:F21"/>
    <mergeCell ref="B22:F22"/>
    <mergeCell ref="B35:F35"/>
    <mergeCell ref="A37:F37"/>
    <mergeCell ref="B38:F38"/>
    <mergeCell ref="A40:F40"/>
    <mergeCell ref="A26:F26"/>
    <mergeCell ref="A27:F27"/>
    <mergeCell ref="B28:F28"/>
    <mergeCell ref="B29:F29"/>
    <mergeCell ref="B30:F30"/>
    <mergeCell ref="B31:F31"/>
    <mergeCell ref="B32:F32"/>
    <mergeCell ref="A34:F34"/>
    <mergeCell ref="CF2:CF3"/>
    <mergeCell ref="CG2:CG3"/>
    <mergeCell ref="A1:F1"/>
    <mergeCell ref="C2:K2"/>
    <mergeCell ref="L2:T2"/>
    <mergeCell ref="A2:A3"/>
    <mergeCell ref="U2:AC2"/>
    <mergeCell ref="AD2:AL2"/>
    <mergeCell ref="AM2:AU2"/>
    <mergeCell ref="BE2:BM2"/>
    <mergeCell ref="BN2:BV2"/>
    <mergeCell ref="BW2:CE2"/>
    <mergeCell ref="AV2:BD2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F62A-F5EA-464B-8D74-06493A1BB145}">
  <dimension ref="A1:G142"/>
  <sheetViews>
    <sheetView topLeftCell="A115" workbookViewId="0">
      <selection activeCell="D129" sqref="D129"/>
    </sheetView>
  </sheetViews>
  <sheetFormatPr defaultRowHeight="14" x14ac:dyDescent="0.25"/>
  <cols>
    <col min="1" max="1" width="27.453125" style="136" bestFit="1" customWidth="1"/>
    <col min="2" max="2" width="16.26953125" style="136" bestFit="1" customWidth="1"/>
    <col min="3" max="3" width="22.90625" style="136" bestFit="1" customWidth="1"/>
    <col min="4" max="4" width="22.6328125" style="136" bestFit="1" customWidth="1"/>
    <col min="5" max="5" width="21.453125" style="136" bestFit="1" customWidth="1"/>
    <col min="6" max="6" width="23.453125" style="136" bestFit="1" customWidth="1"/>
    <col min="7" max="7" width="23.08984375" style="136" bestFit="1" customWidth="1"/>
    <col min="8" max="16384" width="8.7265625" style="136"/>
  </cols>
  <sheetData>
    <row r="1" spans="1:7" ht="14.5" x14ac:dyDescent="0.3">
      <c r="A1" s="524" t="s">
        <v>343</v>
      </c>
      <c r="B1" s="525"/>
      <c r="C1" s="525"/>
      <c r="D1" s="525"/>
      <c r="E1" s="525"/>
      <c r="F1" s="525"/>
      <c r="G1" s="526"/>
    </row>
    <row r="2" spans="1:7" ht="15" customHeight="1" x14ac:dyDescent="0.25">
      <c r="A2" s="527" t="s">
        <v>344</v>
      </c>
      <c r="B2" s="528"/>
      <c r="C2" s="528"/>
      <c r="D2" s="528"/>
      <c r="E2" s="528"/>
      <c r="F2" s="528"/>
      <c r="G2" s="529"/>
    </row>
    <row r="3" spans="1:7" ht="15" customHeight="1" x14ac:dyDescent="0.3">
      <c r="A3" s="137"/>
      <c r="B3" s="516" t="s">
        <v>345</v>
      </c>
      <c r="C3" s="521"/>
      <c r="D3" s="517"/>
      <c r="E3" s="516" t="s">
        <v>346</v>
      </c>
      <c r="F3" s="521"/>
      <c r="G3" s="517"/>
    </row>
    <row r="4" spans="1:7" ht="15" customHeight="1" x14ac:dyDescent="0.25">
      <c r="A4" s="138" t="s">
        <v>347</v>
      </c>
      <c r="B4" s="139" t="s">
        <v>348</v>
      </c>
      <c r="C4" s="139" t="s">
        <v>349</v>
      </c>
      <c r="D4" s="139" t="s">
        <v>350</v>
      </c>
      <c r="E4" s="139" t="s">
        <v>351</v>
      </c>
      <c r="F4" s="139" t="s">
        <v>352</v>
      </c>
      <c r="G4" s="139" t="s">
        <v>353</v>
      </c>
    </row>
    <row r="5" spans="1:7" ht="15" customHeight="1" x14ac:dyDescent="0.25">
      <c r="A5" s="138">
        <v>1</v>
      </c>
      <c r="B5" s="140">
        <v>27.9</v>
      </c>
      <c r="C5" s="140">
        <v>48.7</v>
      </c>
      <c r="D5" s="140">
        <v>96.3</v>
      </c>
      <c r="E5" s="140">
        <v>34.5</v>
      </c>
      <c r="F5" s="140">
        <v>71</v>
      </c>
      <c r="G5" s="140">
        <v>104.3</v>
      </c>
    </row>
    <row r="6" spans="1:7" ht="15" customHeight="1" x14ac:dyDescent="0.25">
      <c r="A6" s="138">
        <v>2</v>
      </c>
      <c r="B6" s="140">
        <v>19.2</v>
      </c>
      <c r="C6" s="140">
        <v>57.6</v>
      </c>
      <c r="D6" s="140">
        <v>92</v>
      </c>
      <c r="E6" s="140">
        <v>51.6</v>
      </c>
      <c r="F6" s="140">
        <v>80.900000000000006</v>
      </c>
      <c r="G6" s="140">
        <v>95.3</v>
      </c>
    </row>
    <row r="7" spans="1:7" ht="15" customHeight="1" thickBot="1" x14ac:dyDescent="0.3">
      <c r="A7" s="141">
        <v>3</v>
      </c>
      <c r="B7" s="142"/>
      <c r="C7" s="142"/>
      <c r="D7" s="142"/>
      <c r="E7" s="142">
        <v>54.8</v>
      </c>
      <c r="F7" s="142">
        <v>81.7</v>
      </c>
      <c r="G7" s="142">
        <v>91.9</v>
      </c>
    </row>
    <row r="8" spans="1:7" ht="14.5" thickTop="1" x14ac:dyDescent="0.25">
      <c r="A8" s="518" t="s">
        <v>354</v>
      </c>
      <c r="B8" s="519"/>
      <c r="C8" s="519"/>
      <c r="D8" s="519"/>
      <c r="E8" s="519"/>
      <c r="F8" s="519"/>
      <c r="G8" s="520"/>
    </row>
    <row r="9" spans="1:7" ht="14.5" x14ac:dyDescent="0.3">
      <c r="A9" s="137"/>
      <c r="B9" s="516" t="s">
        <v>345</v>
      </c>
      <c r="C9" s="521"/>
      <c r="D9" s="517"/>
      <c r="E9" s="516" t="s">
        <v>346</v>
      </c>
      <c r="F9" s="521"/>
      <c r="G9" s="517"/>
    </row>
    <row r="10" spans="1:7" x14ac:dyDescent="0.25">
      <c r="A10" s="138" t="s">
        <v>347</v>
      </c>
      <c r="B10" s="139" t="s">
        <v>348</v>
      </c>
      <c r="C10" s="139" t="s">
        <v>349</v>
      </c>
      <c r="D10" s="139" t="s">
        <v>350</v>
      </c>
      <c r="E10" s="139" t="s">
        <v>351</v>
      </c>
      <c r="F10" s="139" t="s">
        <v>352</v>
      </c>
      <c r="G10" s="139" t="s">
        <v>353</v>
      </c>
    </row>
    <row r="11" spans="1:7" x14ac:dyDescent="0.25">
      <c r="A11" s="138">
        <v>1</v>
      </c>
      <c r="B11" s="140">
        <v>19.3</v>
      </c>
      <c r="C11" s="140">
        <v>72.3</v>
      </c>
      <c r="D11" s="140">
        <v>85.5</v>
      </c>
      <c r="E11" s="140">
        <v>55.7</v>
      </c>
      <c r="F11" s="140">
        <v>61.5</v>
      </c>
      <c r="G11" s="140">
        <v>108.3</v>
      </c>
    </row>
    <row r="12" spans="1:7" x14ac:dyDescent="0.25">
      <c r="A12" s="138">
        <v>2</v>
      </c>
      <c r="B12" s="140">
        <v>17.8</v>
      </c>
      <c r="C12" s="140">
        <v>62.7</v>
      </c>
      <c r="D12" s="140">
        <v>101.5</v>
      </c>
      <c r="E12" s="140"/>
      <c r="F12" s="140"/>
      <c r="G12" s="140"/>
    </row>
    <row r="13" spans="1:7" x14ac:dyDescent="0.25">
      <c r="A13" s="138">
        <v>3</v>
      </c>
      <c r="B13" s="140">
        <v>24.7</v>
      </c>
      <c r="C13" s="140">
        <v>38.5</v>
      </c>
      <c r="D13" s="140">
        <v>83.7</v>
      </c>
      <c r="E13" s="139"/>
      <c r="F13" s="139"/>
      <c r="G13" s="139"/>
    </row>
    <row r="14" spans="1:7" x14ac:dyDescent="0.25">
      <c r="A14" s="138">
        <v>4</v>
      </c>
      <c r="B14" s="140">
        <v>31.2</v>
      </c>
      <c r="C14" s="140">
        <v>54</v>
      </c>
      <c r="D14" s="140">
        <v>103.5</v>
      </c>
      <c r="E14" s="139"/>
      <c r="F14" s="139"/>
      <c r="G14" s="139"/>
    </row>
    <row r="15" spans="1:7" ht="14.5" thickBot="1" x14ac:dyDescent="0.3">
      <c r="A15" s="141">
        <v>5</v>
      </c>
      <c r="B15" s="142">
        <v>16.899999999999999</v>
      </c>
      <c r="C15" s="142">
        <v>56.7</v>
      </c>
      <c r="D15" s="142">
        <v>103.7</v>
      </c>
      <c r="E15" s="142"/>
      <c r="F15" s="142"/>
      <c r="G15" s="142"/>
    </row>
    <row r="16" spans="1:7" ht="14.5" thickTop="1" x14ac:dyDescent="0.25">
      <c r="A16" s="518" t="s">
        <v>355</v>
      </c>
      <c r="B16" s="519"/>
      <c r="C16" s="519"/>
      <c r="D16" s="519"/>
      <c r="E16" s="519"/>
      <c r="F16" s="519"/>
      <c r="G16" s="520"/>
    </row>
    <row r="17" spans="1:7" ht="14.5" x14ac:dyDescent="0.3">
      <c r="A17" s="137"/>
      <c r="B17" s="516" t="s">
        <v>345</v>
      </c>
      <c r="C17" s="521"/>
      <c r="D17" s="517"/>
      <c r="E17" s="516" t="s">
        <v>346</v>
      </c>
      <c r="F17" s="521"/>
      <c r="G17" s="517"/>
    </row>
    <row r="18" spans="1:7" x14ac:dyDescent="0.25">
      <c r="A18" s="138" t="s">
        <v>347</v>
      </c>
      <c r="B18" s="139" t="s">
        <v>348</v>
      </c>
      <c r="C18" s="139" t="s">
        <v>349</v>
      </c>
      <c r="D18" s="139" t="s">
        <v>350</v>
      </c>
      <c r="E18" s="139" t="s">
        <v>351</v>
      </c>
      <c r="F18" s="139" t="s">
        <v>352</v>
      </c>
      <c r="G18" s="139" t="s">
        <v>353</v>
      </c>
    </row>
    <row r="19" spans="1:7" x14ac:dyDescent="0.25">
      <c r="A19" s="138">
        <v>1</v>
      </c>
      <c r="B19" s="140">
        <v>32.700000000000003</v>
      </c>
      <c r="C19" s="140">
        <v>45.9</v>
      </c>
      <c r="D19" s="140">
        <v>89.5</v>
      </c>
      <c r="E19" s="140">
        <v>48.3</v>
      </c>
      <c r="F19" s="140">
        <v>78.7</v>
      </c>
      <c r="G19" s="140">
        <v>95</v>
      </c>
    </row>
    <row r="20" spans="1:7" x14ac:dyDescent="0.25">
      <c r="A20" s="138">
        <v>2</v>
      </c>
      <c r="B20" s="140">
        <v>32.200000000000003</v>
      </c>
      <c r="C20" s="140">
        <v>51.8</v>
      </c>
      <c r="D20" s="140">
        <v>83.7</v>
      </c>
      <c r="E20" s="140">
        <v>41.7</v>
      </c>
      <c r="F20" s="140">
        <v>75.400000000000006</v>
      </c>
      <c r="G20" s="140">
        <v>95.8</v>
      </c>
    </row>
    <row r="21" spans="1:7" x14ac:dyDescent="0.25">
      <c r="A21" s="138">
        <v>3</v>
      </c>
      <c r="B21" s="140">
        <v>19.899999999999999</v>
      </c>
      <c r="C21" s="140">
        <v>37.200000000000003</v>
      </c>
      <c r="D21" s="140">
        <v>81.5</v>
      </c>
      <c r="E21" s="140">
        <v>49.8</v>
      </c>
      <c r="F21" s="140">
        <v>63.7</v>
      </c>
      <c r="G21" s="140">
        <v>117.9</v>
      </c>
    </row>
    <row r="22" spans="1:7" x14ac:dyDescent="0.25">
      <c r="A22" s="138">
        <v>4</v>
      </c>
      <c r="B22" s="140">
        <v>16.8</v>
      </c>
      <c r="C22" s="140">
        <v>42.9</v>
      </c>
      <c r="D22" s="140">
        <v>84.5</v>
      </c>
      <c r="E22" s="140">
        <v>58</v>
      </c>
      <c r="F22" s="140">
        <v>87.7</v>
      </c>
      <c r="G22" s="140">
        <v>101.3</v>
      </c>
    </row>
    <row r="23" spans="1:7" x14ac:dyDescent="0.25">
      <c r="A23" s="138">
        <v>5</v>
      </c>
      <c r="B23" s="140">
        <v>15.6</v>
      </c>
      <c r="C23" s="140">
        <v>50.3</v>
      </c>
      <c r="D23" s="140">
        <v>78</v>
      </c>
      <c r="E23" s="140">
        <v>45.9</v>
      </c>
      <c r="F23" s="140">
        <v>78.400000000000006</v>
      </c>
      <c r="G23" s="140">
        <v>108.7</v>
      </c>
    </row>
    <row r="24" spans="1:7" x14ac:dyDescent="0.25">
      <c r="A24" s="138">
        <v>6</v>
      </c>
      <c r="B24" s="140">
        <v>33.6</v>
      </c>
      <c r="C24" s="140">
        <v>60.4</v>
      </c>
      <c r="D24" s="140">
        <v>91.1</v>
      </c>
      <c r="E24" s="140">
        <v>53.3</v>
      </c>
      <c r="F24" s="140">
        <v>89.5</v>
      </c>
      <c r="G24" s="140">
        <v>94.9</v>
      </c>
    </row>
    <row r="25" spans="1:7" x14ac:dyDescent="0.25">
      <c r="A25" s="138">
        <v>7</v>
      </c>
      <c r="B25" s="140">
        <v>28.8</v>
      </c>
      <c r="C25" s="140">
        <v>43.3</v>
      </c>
      <c r="D25" s="140">
        <v>84.4</v>
      </c>
      <c r="E25" s="140">
        <v>50.1</v>
      </c>
      <c r="F25" s="140">
        <v>84.7</v>
      </c>
      <c r="G25" s="140">
        <v>94.5</v>
      </c>
    </row>
    <row r="26" spans="1:7" x14ac:dyDescent="0.25">
      <c r="A26" s="138">
        <v>8</v>
      </c>
      <c r="B26" s="140">
        <v>30.6</v>
      </c>
      <c r="C26" s="140">
        <v>67.7</v>
      </c>
      <c r="D26" s="140">
        <v>79.3</v>
      </c>
      <c r="E26" s="140">
        <v>25.9</v>
      </c>
      <c r="F26" s="140">
        <v>70.2</v>
      </c>
      <c r="G26" s="140">
        <v>101.9</v>
      </c>
    </row>
    <row r="27" spans="1:7" x14ac:dyDescent="0.25">
      <c r="A27" s="138">
        <v>9</v>
      </c>
      <c r="B27" s="140">
        <v>22.5</v>
      </c>
      <c r="C27" s="140">
        <v>64.099999999999994</v>
      </c>
      <c r="D27" s="140">
        <v>92.4</v>
      </c>
      <c r="E27" s="140">
        <v>47</v>
      </c>
      <c r="F27" s="140">
        <v>68.599999999999994</v>
      </c>
      <c r="G27" s="140">
        <v>115.3</v>
      </c>
    </row>
    <row r="28" spans="1:7" x14ac:dyDescent="0.25">
      <c r="A28" s="138">
        <v>10</v>
      </c>
      <c r="B28" s="140">
        <v>21.2</v>
      </c>
      <c r="C28" s="140">
        <v>60.2</v>
      </c>
      <c r="D28" s="140">
        <v>94.9</v>
      </c>
      <c r="E28" s="140">
        <v>25.7</v>
      </c>
      <c r="F28" s="140">
        <v>84.8</v>
      </c>
      <c r="G28" s="140">
        <v>111</v>
      </c>
    </row>
    <row r="29" spans="1:7" x14ac:dyDescent="0.25">
      <c r="A29" s="138">
        <v>11</v>
      </c>
      <c r="B29" s="140">
        <v>26</v>
      </c>
      <c r="C29" s="140">
        <v>61.8</v>
      </c>
      <c r="D29" s="140">
        <v>102.2</v>
      </c>
      <c r="E29" s="140"/>
      <c r="F29" s="140"/>
      <c r="G29" s="140"/>
    </row>
    <row r="30" spans="1:7" x14ac:dyDescent="0.25">
      <c r="A30" s="138">
        <v>12</v>
      </c>
      <c r="B30" s="140">
        <v>22.3</v>
      </c>
      <c r="C30" s="140">
        <v>59.6</v>
      </c>
      <c r="D30" s="140">
        <v>88.1</v>
      </c>
      <c r="E30" s="140"/>
      <c r="F30" s="140"/>
      <c r="G30" s="140"/>
    </row>
    <row r="31" spans="1:7" x14ac:dyDescent="0.25">
      <c r="A31" s="138">
        <v>13</v>
      </c>
      <c r="B31" s="140">
        <v>35</v>
      </c>
      <c r="C31" s="140">
        <v>53.6</v>
      </c>
      <c r="D31" s="140">
        <v>94.3</v>
      </c>
      <c r="E31" s="140"/>
      <c r="F31" s="140"/>
      <c r="G31" s="140"/>
    </row>
    <row r="32" spans="1:7" x14ac:dyDescent="0.25">
      <c r="A32" s="138">
        <v>14</v>
      </c>
      <c r="B32" s="140">
        <v>32.200000000000003</v>
      </c>
      <c r="C32" s="140">
        <v>64</v>
      </c>
      <c r="D32" s="140">
        <v>98.3</v>
      </c>
      <c r="E32" s="140"/>
      <c r="F32" s="140"/>
      <c r="G32" s="140"/>
    </row>
    <row r="33" spans="1:7" ht="14.5" thickBot="1" x14ac:dyDescent="0.3">
      <c r="A33" s="143">
        <v>15</v>
      </c>
      <c r="B33" s="142">
        <v>26.5</v>
      </c>
      <c r="C33" s="142">
        <v>64.2</v>
      </c>
      <c r="D33" s="142">
        <v>93.2</v>
      </c>
      <c r="E33" s="142"/>
      <c r="F33" s="142"/>
      <c r="G33" s="142"/>
    </row>
    <row r="34" spans="1:7" ht="14.5" thickTop="1" x14ac:dyDescent="0.25">
      <c r="A34" s="518" t="s">
        <v>356</v>
      </c>
      <c r="B34" s="519"/>
      <c r="C34" s="519"/>
      <c r="D34" s="519"/>
      <c r="E34" s="519"/>
      <c r="F34" s="519"/>
      <c r="G34" s="520"/>
    </row>
    <row r="35" spans="1:7" ht="14.5" x14ac:dyDescent="0.3">
      <c r="A35" s="137"/>
      <c r="B35" s="516" t="s">
        <v>345</v>
      </c>
      <c r="C35" s="521"/>
      <c r="D35" s="517"/>
      <c r="E35" s="516" t="s">
        <v>346</v>
      </c>
      <c r="F35" s="521"/>
      <c r="G35" s="517"/>
    </row>
    <row r="36" spans="1:7" x14ac:dyDescent="0.25">
      <c r="A36" s="138" t="s">
        <v>347</v>
      </c>
      <c r="B36" s="139" t="s">
        <v>348</v>
      </c>
      <c r="C36" s="139" t="s">
        <v>349</v>
      </c>
      <c r="D36" s="139" t="s">
        <v>350</v>
      </c>
      <c r="E36" s="139" t="s">
        <v>351</v>
      </c>
      <c r="F36" s="139" t="s">
        <v>352</v>
      </c>
      <c r="G36" s="139" t="s">
        <v>353</v>
      </c>
    </row>
    <row r="37" spans="1:7" x14ac:dyDescent="0.25">
      <c r="A37" s="138">
        <v>1</v>
      </c>
      <c r="B37" s="140">
        <v>18.600000000000001</v>
      </c>
      <c r="C37" s="140">
        <v>58.4</v>
      </c>
      <c r="D37" s="140">
        <v>94.6</v>
      </c>
      <c r="E37" s="140">
        <v>47.9</v>
      </c>
      <c r="F37" s="140">
        <v>61.1</v>
      </c>
      <c r="G37" s="140">
        <v>109.7</v>
      </c>
    </row>
    <row r="38" spans="1:7" x14ac:dyDescent="0.25">
      <c r="A38" s="138">
        <v>2</v>
      </c>
      <c r="B38" s="140">
        <v>31.1</v>
      </c>
      <c r="C38" s="140">
        <v>36.5</v>
      </c>
      <c r="D38" s="140">
        <v>109.3</v>
      </c>
      <c r="E38" s="140">
        <v>51</v>
      </c>
      <c r="F38" s="140">
        <v>89.5</v>
      </c>
      <c r="G38" s="140">
        <v>114.3</v>
      </c>
    </row>
    <row r="39" spans="1:7" x14ac:dyDescent="0.25">
      <c r="A39" s="138">
        <v>3</v>
      </c>
      <c r="B39" s="140">
        <v>28.4</v>
      </c>
      <c r="C39" s="140">
        <v>57.2</v>
      </c>
      <c r="D39" s="140">
        <v>86.2</v>
      </c>
      <c r="E39" s="140">
        <v>43.9</v>
      </c>
      <c r="F39" s="140">
        <v>69.900000000000006</v>
      </c>
      <c r="G39" s="140">
        <v>107.9</v>
      </c>
    </row>
    <row r="40" spans="1:7" x14ac:dyDescent="0.25">
      <c r="A40" s="138">
        <v>4</v>
      </c>
      <c r="B40" s="140">
        <v>22.3</v>
      </c>
      <c r="C40" s="140">
        <v>71.2</v>
      </c>
      <c r="D40" s="140">
        <v>81.8</v>
      </c>
      <c r="E40" s="140">
        <v>41.7</v>
      </c>
      <c r="F40" s="140">
        <v>70.5</v>
      </c>
      <c r="G40" s="140">
        <v>106.7</v>
      </c>
    </row>
    <row r="41" spans="1:7" x14ac:dyDescent="0.25">
      <c r="A41" s="138">
        <v>5</v>
      </c>
      <c r="B41" s="140">
        <v>26.8</v>
      </c>
      <c r="C41" s="140">
        <v>57.6</v>
      </c>
      <c r="D41" s="140">
        <v>102.8</v>
      </c>
      <c r="E41" s="140">
        <v>45.4</v>
      </c>
      <c r="F41" s="140">
        <v>62.2</v>
      </c>
      <c r="G41" s="140">
        <v>101.1</v>
      </c>
    </row>
    <row r="42" spans="1:7" x14ac:dyDescent="0.25">
      <c r="A42" s="138">
        <v>6</v>
      </c>
      <c r="B42" s="140">
        <v>17.600000000000001</v>
      </c>
      <c r="C42" s="140">
        <v>38.1</v>
      </c>
      <c r="D42" s="140">
        <v>97.5</v>
      </c>
      <c r="E42" s="140">
        <v>49.7</v>
      </c>
      <c r="F42" s="140">
        <v>83.5</v>
      </c>
      <c r="G42" s="140">
        <v>117.6</v>
      </c>
    </row>
    <row r="43" spans="1:7" x14ac:dyDescent="0.25">
      <c r="A43" s="138">
        <v>7</v>
      </c>
      <c r="B43" s="140">
        <v>15.6</v>
      </c>
      <c r="C43" s="140">
        <v>42.3</v>
      </c>
      <c r="D43" s="140">
        <v>81.099999999999994</v>
      </c>
      <c r="E43" s="140">
        <v>54.6</v>
      </c>
      <c r="F43" s="140">
        <v>65</v>
      </c>
      <c r="G43" s="140">
        <v>117.8</v>
      </c>
    </row>
    <row r="44" spans="1:7" x14ac:dyDescent="0.25">
      <c r="A44" s="138">
        <v>8</v>
      </c>
      <c r="B44" s="140">
        <v>27.4</v>
      </c>
      <c r="C44" s="140">
        <v>74.3</v>
      </c>
      <c r="D44" s="140">
        <v>82.7</v>
      </c>
      <c r="E44" s="139"/>
      <c r="F44" s="139"/>
      <c r="G44" s="139"/>
    </row>
    <row r="45" spans="1:7" x14ac:dyDescent="0.25">
      <c r="A45" s="138">
        <v>9</v>
      </c>
      <c r="B45" s="140">
        <v>21.5</v>
      </c>
      <c r="C45" s="140">
        <v>36.799999999999997</v>
      </c>
      <c r="D45" s="140">
        <v>88.6</v>
      </c>
      <c r="E45" s="139"/>
      <c r="F45" s="139"/>
      <c r="G45" s="139"/>
    </row>
    <row r="46" spans="1:7" x14ac:dyDescent="0.25">
      <c r="A46" s="138">
        <v>10</v>
      </c>
      <c r="B46" s="140">
        <v>15.4</v>
      </c>
      <c r="C46" s="140">
        <v>59.1</v>
      </c>
      <c r="D46" s="140">
        <v>90.8</v>
      </c>
      <c r="E46" s="139"/>
      <c r="F46" s="139"/>
      <c r="G46" s="139"/>
    </row>
    <row r="47" spans="1:7" x14ac:dyDescent="0.25">
      <c r="A47" s="138">
        <v>11</v>
      </c>
      <c r="B47" s="140">
        <v>24.6</v>
      </c>
      <c r="C47" s="140">
        <v>43.6</v>
      </c>
      <c r="D47" s="140">
        <v>79.099999999999994</v>
      </c>
      <c r="E47" s="139"/>
      <c r="F47" s="139"/>
      <c r="G47" s="139"/>
    </row>
    <row r="48" spans="1:7" x14ac:dyDescent="0.25">
      <c r="A48" s="138">
        <v>12</v>
      </c>
      <c r="B48" s="140">
        <v>16.899999999999999</v>
      </c>
      <c r="C48" s="140">
        <v>40.9</v>
      </c>
      <c r="D48" s="140">
        <v>102.5</v>
      </c>
      <c r="E48" s="139"/>
      <c r="F48" s="139"/>
      <c r="G48" s="139"/>
    </row>
    <row r="49" spans="1:7" x14ac:dyDescent="0.25">
      <c r="A49" s="138">
        <v>13</v>
      </c>
      <c r="B49" s="140">
        <v>28.2</v>
      </c>
      <c r="C49" s="140">
        <v>65</v>
      </c>
      <c r="D49" s="140">
        <v>100.1</v>
      </c>
      <c r="E49" s="139"/>
      <c r="F49" s="139"/>
      <c r="G49" s="139"/>
    </row>
    <row r="50" spans="1:7" x14ac:dyDescent="0.25">
      <c r="A50" s="138">
        <v>14</v>
      </c>
      <c r="B50" s="140">
        <v>20.7</v>
      </c>
      <c r="C50" s="140">
        <v>70.3</v>
      </c>
      <c r="D50" s="140">
        <v>84.4</v>
      </c>
      <c r="E50" s="139"/>
      <c r="F50" s="139"/>
      <c r="G50" s="139"/>
    </row>
    <row r="51" spans="1:7" x14ac:dyDescent="0.25">
      <c r="A51" s="138">
        <v>15</v>
      </c>
      <c r="B51" s="140">
        <v>33.5</v>
      </c>
      <c r="C51" s="140">
        <v>69.5</v>
      </c>
      <c r="D51" s="140">
        <v>102.2</v>
      </c>
      <c r="E51" s="139"/>
      <c r="F51" s="139"/>
      <c r="G51" s="139"/>
    </row>
    <row r="52" spans="1:7" x14ac:dyDescent="0.25">
      <c r="A52" s="138">
        <v>16</v>
      </c>
      <c r="B52" s="140">
        <v>24.5</v>
      </c>
      <c r="C52" s="140">
        <v>54.9</v>
      </c>
      <c r="D52" s="140">
        <v>97.4</v>
      </c>
      <c r="E52" s="139"/>
      <c r="F52" s="139"/>
      <c r="G52" s="139"/>
    </row>
    <row r="53" spans="1:7" x14ac:dyDescent="0.25">
      <c r="A53" s="138">
        <v>17</v>
      </c>
      <c r="B53" s="140">
        <v>17.5</v>
      </c>
      <c r="C53" s="140">
        <v>55.1</v>
      </c>
      <c r="D53" s="140">
        <v>84.2</v>
      </c>
      <c r="E53" s="139"/>
      <c r="F53" s="139"/>
      <c r="G53" s="139"/>
    </row>
    <row r="54" spans="1:7" x14ac:dyDescent="0.25">
      <c r="A54" s="138">
        <v>18</v>
      </c>
      <c r="B54" s="140">
        <v>18.5</v>
      </c>
      <c r="C54" s="140">
        <v>41.7</v>
      </c>
      <c r="D54" s="140">
        <v>89.2</v>
      </c>
      <c r="E54" s="139"/>
      <c r="F54" s="139"/>
      <c r="G54" s="139"/>
    </row>
    <row r="55" spans="1:7" ht="14.5" thickBot="1" x14ac:dyDescent="0.3">
      <c r="A55" s="141">
        <v>19</v>
      </c>
      <c r="B55" s="142">
        <v>20.7</v>
      </c>
      <c r="C55" s="142">
        <v>60.9</v>
      </c>
      <c r="D55" s="142">
        <v>100.6</v>
      </c>
      <c r="E55" s="142"/>
      <c r="F55" s="142"/>
      <c r="G55" s="142"/>
    </row>
    <row r="56" spans="1:7" ht="14.5" thickTop="1" x14ac:dyDescent="0.25">
      <c r="A56" s="518" t="s">
        <v>357</v>
      </c>
      <c r="B56" s="519"/>
      <c r="C56" s="519"/>
      <c r="D56" s="519"/>
      <c r="E56" s="519"/>
      <c r="F56" s="519"/>
      <c r="G56" s="520"/>
    </row>
    <row r="57" spans="1:7" ht="14.5" x14ac:dyDescent="0.3">
      <c r="A57" s="137"/>
      <c r="B57" s="516" t="s">
        <v>345</v>
      </c>
      <c r="C57" s="521"/>
      <c r="D57" s="517"/>
      <c r="E57" s="516" t="s">
        <v>346</v>
      </c>
      <c r="F57" s="521"/>
      <c r="G57" s="517"/>
    </row>
    <row r="58" spans="1:7" x14ac:dyDescent="0.25">
      <c r="A58" s="138" t="s">
        <v>347</v>
      </c>
      <c r="B58" s="139" t="s">
        <v>348</v>
      </c>
      <c r="C58" s="139" t="s">
        <v>349</v>
      </c>
      <c r="D58" s="139" t="s">
        <v>350</v>
      </c>
      <c r="E58" s="139" t="s">
        <v>351</v>
      </c>
      <c r="F58" s="139" t="s">
        <v>352</v>
      </c>
      <c r="G58" s="139" t="s">
        <v>353</v>
      </c>
    </row>
    <row r="59" spans="1:7" x14ac:dyDescent="0.25">
      <c r="A59" s="138">
        <v>1</v>
      </c>
      <c r="B59" s="140">
        <v>16</v>
      </c>
      <c r="C59" s="140">
        <v>68.400000000000006</v>
      </c>
      <c r="D59" s="140">
        <v>106.8</v>
      </c>
      <c r="E59" s="140">
        <v>51</v>
      </c>
      <c r="F59" s="140">
        <v>81.599999999999994</v>
      </c>
      <c r="G59" s="140">
        <v>109.6</v>
      </c>
    </row>
    <row r="60" spans="1:7" x14ac:dyDescent="0.25">
      <c r="A60" s="138">
        <v>2</v>
      </c>
      <c r="B60" s="140">
        <v>19</v>
      </c>
      <c r="C60" s="140">
        <v>57.7</v>
      </c>
      <c r="D60" s="140">
        <v>76.8</v>
      </c>
      <c r="E60" s="140">
        <v>46.5</v>
      </c>
      <c r="F60" s="140">
        <v>87.4</v>
      </c>
      <c r="G60" s="140">
        <v>111.8</v>
      </c>
    </row>
    <row r="61" spans="1:7" x14ac:dyDescent="0.25">
      <c r="A61" s="138">
        <v>3</v>
      </c>
      <c r="B61" s="140">
        <v>25.7</v>
      </c>
      <c r="C61" s="140">
        <v>49</v>
      </c>
      <c r="D61" s="140">
        <v>108.8</v>
      </c>
      <c r="E61" s="140">
        <v>43.1</v>
      </c>
      <c r="F61" s="140">
        <v>60.7</v>
      </c>
      <c r="G61" s="140">
        <v>114.5</v>
      </c>
    </row>
    <row r="62" spans="1:7" x14ac:dyDescent="0.25">
      <c r="A62" s="138">
        <v>4</v>
      </c>
      <c r="B62" s="140">
        <v>17.100000000000001</v>
      </c>
      <c r="C62" s="140">
        <v>69.599999999999994</v>
      </c>
      <c r="D62" s="140">
        <v>77.099999999999994</v>
      </c>
      <c r="E62" s="140">
        <v>44.6</v>
      </c>
      <c r="F62" s="140">
        <v>89.8</v>
      </c>
      <c r="G62" s="140">
        <v>118.3</v>
      </c>
    </row>
    <row r="63" spans="1:7" x14ac:dyDescent="0.25">
      <c r="A63" s="138">
        <v>5</v>
      </c>
      <c r="B63" s="140">
        <v>27.4</v>
      </c>
      <c r="C63" s="140">
        <v>66.7</v>
      </c>
      <c r="D63" s="140">
        <v>84.9</v>
      </c>
      <c r="E63" s="140">
        <v>29.1</v>
      </c>
      <c r="F63" s="140">
        <v>74.2</v>
      </c>
      <c r="G63" s="140">
        <v>109.2</v>
      </c>
    </row>
    <row r="64" spans="1:7" x14ac:dyDescent="0.25">
      <c r="A64" s="144">
        <v>6</v>
      </c>
      <c r="B64" s="140">
        <v>23.6</v>
      </c>
      <c r="C64" s="140">
        <v>50.3</v>
      </c>
      <c r="D64" s="140">
        <v>102.1</v>
      </c>
      <c r="E64" s="140">
        <v>37.6</v>
      </c>
      <c r="F64" s="140">
        <v>81.3</v>
      </c>
      <c r="G64" s="140">
        <v>96.7</v>
      </c>
    </row>
    <row r="65" spans="1:7" ht="14.5" thickBot="1" x14ac:dyDescent="0.3">
      <c r="A65" s="141">
        <v>7</v>
      </c>
      <c r="B65" s="142">
        <v>18.2</v>
      </c>
      <c r="C65" s="142">
        <v>36.4</v>
      </c>
      <c r="D65" s="142">
        <v>100.2</v>
      </c>
      <c r="E65" s="142">
        <v>49.8</v>
      </c>
      <c r="F65" s="142">
        <v>71.400000000000006</v>
      </c>
      <c r="G65" s="142">
        <v>93.3</v>
      </c>
    </row>
    <row r="66" spans="1:7" ht="14.5" thickTop="1" x14ac:dyDescent="0.25">
      <c r="A66" s="518" t="s">
        <v>358</v>
      </c>
      <c r="B66" s="519"/>
      <c r="C66" s="519"/>
      <c r="D66" s="519"/>
      <c r="E66" s="519"/>
      <c r="F66" s="519"/>
      <c r="G66" s="520"/>
    </row>
    <row r="67" spans="1:7" ht="14.5" x14ac:dyDescent="0.3">
      <c r="A67" s="137"/>
      <c r="B67" s="516" t="s">
        <v>345</v>
      </c>
      <c r="C67" s="521"/>
      <c r="D67" s="517"/>
      <c r="E67" s="516" t="s">
        <v>346</v>
      </c>
      <c r="F67" s="521"/>
      <c r="G67" s="517"/>
    </row>
    <row r="68" spans="1:7" x14ac:dyDescent="0.25">
      <c r="A68" s="138" t="s">
        <v>347</v>
      </c>
      <c r="B68" s="139" t="s">
        <v>348</v>
      </c>
      <c r="C68" s="139" t="s">
        <v>349</v>
      </c>
      <c r="D68" s="139" t="s">
        <v>350</v>
      </c>
      <c r="E68" s="139" t="s">
        <v>351</v>
      </c>
      <c r="F68" s="139" t="s">
        <v>352</v>
      </c>
      <c r="G68" s="139" t="s">
        <v>353</v>
      </c>
    </row>
    <row r="69" spans="1:7" x14ac:dyDescent="0.25">
      <c r="A69" s="138">
        <v>1</v>
      </c>
      <c r="B69" s="140">
        <v>19.600000000000001</v>
      </c>
      <c r="C69" s="140">
        <v>50</v>
      </c>
      <c r="D69" s="140">
        <v>88.5</v>
      </c>
      <c r="E69" s="140">
        <v>35.9</v>
      </c>
      <c r="F69" s="140">
        <v>71.2</v>
      </c>
      <c r="G69" s="140">
        <v>92.7</v>
      </c>
    </row>
    <row r="70" spans="1:7" x14ac:dyDescent="0.25">
      <c r="A70" s="138">
        <v>2</v>
      </c>
      <c r="B70" s="140">
        <v>15.4</v>
      </c>
      <c r="C70" s="140">
        <v>70.900000000000006</v>
      </c>
      <c r="D70" s="140">
        <v>90.5</v>
      </c>
      <c r="E70" s="140">
        <v>29.8</v>
      </c>
      <c r="F70" s="140">
        <v>74.900000000000006</v>
      </c>
      <c r="G70" s="140">
        <v>90.8</v>
      </c>
    </row>
    <row r="71" spans="1:7" x14ac:dyDescent="0.25">
      <c r="A71" s="138">
        <v>3</v>
      </c>
      <c r="B71" s="140">
        <v>28.2</v>
      </c>
      <c r="C71" s="140">
        <v>53.9</v>
      </c>
      <c r="D71" s="140">
        <v>95.5</v>
      </c>
      <c r="E71" s="140">
        <v>40.9</v>
      </c>
      <c r="F71" s="140">
        <v>77.900000000000006</v>
      </c>
      <c r="G71" s="140">
        <v>113.7</v>
      </c>
    </row>
    <row r="72" spans="1:7" x14ac:dyDescent="0.25">
      <c r="A72" s="138">
        <v>4</v>
      </c>
      <c r="B72" s="140">
        <v>31.9</v>
      </c>
      <c r="C72" s="140">
        <v>42.7</v>
      </c>
      <c r="D72" s="140">
        <v>102.3</v>
      </c>
      <c r="E72" s="140">
        <v>38.799999999999997</v>
      </c>
      <c r="F72" s="140">
        <v>81.5</v>
      </c>
      <c r="G72" s="140">
        <v>113.8</v>
      </c>
    </row>
    <row r="73" spans="1:7" x14ac:dyDescent="0.25">
      <c r="A73" s="138">
        <v>5</v>
      </c>
      <c r="B73" s="140">
        <v>17.8</v>
      </c>
      <c r="C73" s="140">
        <v>52.9</v>
      </c>
      <c r="D73" s="140">
        <v>97.8</v>
      </c>
      <c r="E73" s="140">
        <v>48.4</v>
      </c>
      <c r="F73" s="140">
        <v>69.2</v>
      </c>
      <c r="G73" s="140">
        <v>91.1</v>
      </c>
    </row>
    <row r="74" spans="1:7" x14ac:dyDescent="0.25">
      <c r="A74" s="138">
        <v>6</v>
      </c>
      <c r="B74" s="140">
        <v>25.9</v>
      </c>
      <c r="C74" s="140">
        <v>47.4</v>
      </c>
      <c r="D74" s="140">
        <v>86.8</v>
      </c>
      <c r="E74" s="140">
        <v>51.1</v>
      </c>
      <c r="F74" s="140">
        <v>60.5</v>
      </c>
      <c r="G74" s="140">
        <v>110.6</v>
      </c>
    </row>
    <row r="75" spans="1:7" x14ac:dyDescent="0.25">
      <c r="A75" s="138">
        <v>7</v>
      </c>
      <c r="B75" s="140">
        <v>23.5</v>
      </c>
      <c r="C75" s="140">
        <v>61.6</v>
      </c>
      <c r="D75" s="140">
        <v>75.099999999999994</v>
      </c>
      <c r="E75" s="140">
        <v>33.6</v>
      </c>
      <c r="F75" s="140">
        <v>73.5</v>
      </c>
      <c r="G75" s="140">
        <v>100</v>
      </c>
    </row>
    <row r="76" spans="1:7" x14ac:dyDescent="0.25">
      <c r="A76" s="138">
        <v>8</v>
      </c>
      <c r="B76" s="140">
        <v>19.3</v>
      </c>
      <c r="C76" s="140">
        <v>73.7</v>
      </c>
      <c r="D76" s="140">
        <v>90.9</v>
      </c>
      <c r="E76" s="140">
        <v>37</v>
      </c>
      <c r="F76" s="140">
        <v>73.7</v>
      </c>
      <c r="G76" s="140">
        <v>111.1</v>
      </c>
    </row>
    <row r="77" spans="1:7" x14ac:dyDescent="0.25">
      <c r="A77" s="138">
        <v>9</v>
      </c>
      <c r="B77" s="140">
        <v>29.7</v>
      </c>
      <c r="C77" s="140">
        <v>60.8</v>
      </c>
      <c r="D77" s="140">
        <v>109.1</v>
      </c>
      <c r="E77" s="140">
        <v>59.3</v>
      </c>
      <c r="F77" s="140">
        <v>84.3</v>
      </c>
      <c r="G77" s="140">
        <v>111.2</v>
      </c>
    </row>
    <row r="78" spans="1:7" x14ac:dyDescent="0.25">
      <c r="A78" s="138">
        <v>10</v>
      </c>
      <c r="B78" s="140">
        <v>34.4</v>
      </c>
      <c r="C78" s="140">
        <v>43.9</v>
      </c>
      <c r="D78" s="140">
        <v>82</v>
      </c>
      <c r="E78" s="140">
        <v>50.1</v>
      </c>
      <c r="F78" s="140">
        <v>71.5</v>
      </c>
      <c r="G78" s="140">
        <v>103.4</v>
      </c>
    </row>
    <row r="79" spans="1:7" x14ac:dyDescent="0.25">
      <c r="A79" s="138">
        <v>11</v>
      </c>
      <c r="B79" s="140">
        <v>27</v>
      </c>
      <c r="C79" s="140">
        <v>36.200000000000003</v>
      </c>
      <c r="D79" s="140">
        <v>93.5</v>
      </c>
      <c r="E79" s="140">
        <v>30.7</v>
      </c>
      <c r="F79" s="140">
        <v>60.3</v>
      </c>
      <c r="G79" s="140">
        <v>108.9</v>
      </c>
    </row>
    <row r="80" spans="1:7" x14ac:dyDescent="0.25">
      <c r="A80" s="138">
        <v>12</v>
      </c>
      <c r="B80" s="140">
        <v>33.5</v>
      </c>
      <c r="C80" s="140">
        <v>46.1</v>
      </c>
      <c r="D80" s="140">
        <v>78.2</v>
      </c>
      <c r="E80" s="140">
        <v>29.7</v>
      </c>
      <c r="F80" s="140">
        <v>75.400000000000006</v>
      </c>
      <c r="G80" s="140">
        <v>107.1</v>
      </c>
    </row>
    <row r="81" spans="1:7" x14ac:dyDescent="0.25">
      <c r="A81" s="138">
        <v>13</v>
      </c>
      <c r="B81" s="140">
        <v>29.1</v>
      </c>
      <c r="C81" s="140">
        <v>63.5</v>
      </c>
      <c r="D81" s="140">
        <v>92</v>
      </c>
      <c r="E81" s="140">
        <v>33.200000000000003</v>
      </c>
      <c r="F81" s="140">
        <v>83.5</v>
      </c>
      <c r="G81" s="140">
        <v>102.9</v>
      </c>
    </row>
    <row r="82" spans="1:7" x14ac:dyDescent="0.25">
      <c r="A82" s="138">
        <v>14</v>
      </c>
      <c r="B82" s="140">
        <v>21.7</v>
      </c>
      <c r="C82" s="140">
        <v>49.4</v>
      </c>
      <c r="D82" s="140">
        <v>108.1</v>
      </c>
      <c r="E82" s="140">
        <v>54.7</v>
      </c>
      <c r="F82" s="140">
        <v>70.7</v>
      </c>
      <c r="G82" s="140">
        <v>116.1</v>
      </c>
    </row>
    <row r="83" spans="1:7" x14ac:dyDescent="0.25">
      <c r="A83" s="138">
        <v>15</v>
      </c>
      <c r="B83" s="140">
        <v>23.7</v>
      </c>
      <c r="C83" s="140">
        <v>66.099999999999994</v>
      </c>
      <c r="D83" s="140">
        <v>88.7</v>
      </c>
      <c r="E83" s="140">
        <v>59</v>
      </c>
      <c r="F83" s="140">
        <v>71.599999999999994</v>
      </c>
      <c r="G83" s="140">
        <v>99.7</v>
      </c>
    </row>
    <row r="84" spans="1:7" x14ac:dyDescent="0.25">
      <c r="A84" s="138">
        <v>16</v>
      </c>
      <c r="B84" s="140">
        <v>33.700000000000003</v>
      </c>
      <c r="C84" s="140">
        <v>71.8</v>
      </c>
      <c r="D84" s="140">
        <v>107.4</v>
      </c>
      <c r="E84" s="140"/>
      <c r="F84" s="140"/>
      <c r="G84" s="140"/>
    </row>
    <row r="85" spans="1:7" ht="14.5" thickBot="1" x14ac:dyDescent="0.3">
      <c r="A85" s="143">
        <v>17</v>
      </c>
      <c r="B85" s="142">
        <v>23.8</v>
      </c>
      <c r="C85" s="142">
        <v>57.1</v>
      </c>
      <c r="D85" s="142">
        <v>99.2</v>
      </c>
      <c r="E85" s="145"/>
      <c r="F85" s="145"/>
      <c r="G85" s="145"/>
    </row>
    <row r="86" spans="1:7" ht="14.5" thickTop="1" x14ac:dyDescent="0.25">
      <c r="A86" s="518" t="s">
        <v>359</v>
      </c>
      <c r="B86" s="519"/>
      <c r="C86" s="519"/>
      <c r="D86" s="519"/>
      <c r="E86" s="519"/>
      <c r="F86" s="519"/>
      <c r="G86" s="520"/>
    </row>
    <row r="87" spans="1:7" ht="14.5" x14ac:dyDescent="0.3">
      <c r="A87" s="137"/>
      <c r="B87" s="516" t="s">
        <v>345</v>
      </c>
      <c r="C87" s="521"/>
      <c r="D87" s="517"/>
      <c r="E87" s="516" t="s">
        <v>346</v>
      </c>
      <c r="F87" s="521"/>
      <c r="G87" s="517"/>
    </row>
    <row r="88" spans="1:7" x14ac:dyDescent="0.25">
      <c r="A88" s="138" t="s">
        <v>347</v>
      </c>
      <c r="B88" s="139" t="s">
        <v>348</v>
      </c>
      <c r="C88" s="139" t="s">
        <v>349</v>
      </c>
      <c r="D88" s="139" t="s">
        <v>350</v>
      </c>
      <c r="E88" s="139" t="s">
        <v>351</v>
      </c>
      <c r="F88" s="139" t="s">
        <v>352</v>
      </c>
      <c r="G88" s="139" t="s">
        <v>353</v>
      </c>
    </row>
    <row r="89" spans="1:7" x14ac:dyDescent="0.25">
      <c r="A89" s="138">
        <v>1</v>
      </c>
      <c r="B89" s="140">
        <v>23</v>
      </c>
      <c r="C89" s="140">
        <v>53.7</v>
      </c>
      <c r="D89" s="140">
        <v>103.1</v>
      </c>
      <c r="E89" s="140">
        <v>38</v>
      </c>
      <c r="F89" s="140">
        <v>66.3</v>
      </c>
      <c r="G89" s="140">
        <v>112.5</v>
      </c>
    </row>
    <row r="90" spans="1:7" x14ac:dyDescent="0.25">
      <c r="A90" s="138">
        <v>2</v>
      </c>
      <c r="B90" s="140">
        <v>17.600000000000001</v>
      </c>
      <c r="C90" s="140">
        <v>69.599999999999994</v>
      </c>
      <c r="D90" s="140">
        <v>82.5</v>
      </c>
      <c r="E90" s="140">
        <v>49.5</v>
      </c>
      <c r="F90" s="140">
        <v>69.5</v>
      </c>
      <c r="G90" s="140">
        <v>113.6</v>
      </c>
    </row>
    <row r="91" spans="1:7" x14ac:dyDescent="0.25">
      <c r="A91" s="138">
        <v>3</v>
      </c>
      <c r="B91" s="140">
        <v>23.3</v>
      </c>
      <c r="C91" s="140">
        <v>50.5</v>
      </c>
      <c r="D91" s="140">
        <v>93.6</v>
      </c>
      <c r="E91" s="140">
        <v>28.8</v>
      </c>
      <c r="F91" s="140">
        <v>70.2</v>
      </c>
      <c r="G91" s="140">
        <v>116.4</v>
      </c>
    </row>
    <row r="92" spans="1:7" x14ac:dyDescent="0.25">
      <c r="A92" s="138">
        <v>4</v>
      </c>
      <c r="B92" s="140">
        <v>18.3</v>
      </c>
      <c r="C92" s="140">
        <v>38.4</v>
      </c>
      <c r="D92" s="140">
        <v>108.9</v>
      </c>
      <c r="E92" s="140">
        <v>33.6</v>
      </c>
      <c r="F92" s="140">
        <v>73</v>
      </c>
      <c r="G92" s="140">
        <v>100.4</v>
      </c>
    </row>
    <row r="93" spans="1:7" x14ac:dyDescent="0.25">
      <c r="A93" s="138">
        <v>5</v>
      </c>
      <c r="B93" s="140">
        <v>29.8</v>
      </c>
      <c r="C93" s="140">
        <v>39.5</v>
      </c>
      <c r="D93" s="140">
        <v>80</v>
      </c>
      <c r="E93" s="140">
        <v>32.9</v>
      </c>
      <c r="F93" s="140">
        <v>83.8</v>
      </c>
      <c r="G93" s="140">
        <v>107.3</v>
      </c>
    </row>
    <row r="94" spans="1:7" x14ac:dyDescent="0.25">
      <c r="A94" s="138">
        <v>6</v>
      </c>
      <c r="B94" s="140">
        <v>21.6</v>
      </c>
      <c r="C94" s="140">
        <v>43.2</v>
      </c>
      <c r="D94" s="140">
        <v>95.8</v>
      </c>
      <c r="E94" s="140">
        <v>57</v>
      </c>
      <c r="F94" s="140">
        <v>65.400000000000006</v>
      </c>
      <c r="G94" s="140">
        <v>97</v>
      </c>
    </row>
    <row r="95" spans="1:7" x14ac:dyDescent="0.25">
      <c r="A95" s="138">
        <v>7</v>
      </c>
      <c r="B95" s="140">
        <v>22.3</v>
      </c>
      <c r="C95" s="140">
        <v>54.5</v>
      </c>
      <c r="D95" s="140">
        <v>93.3</v>
      </c>
      <c r="E95" s="140">
        <v>46.4</v>
      </c>
      <c r="F95" s="140">
        <v>76.900000000000006</v>
      </c>
      <c r="G95" s="140">
        <v>101.1</v>
      </c>
    </row>
    <row r="96" spans="1:7" x14ac:dyDescent="0.25">
      <c r="A96" s="138">
        <v>8</v>
      </c>
      <c r="B96" s="140">
        <v>24.2</v>
      </c>
      <c r="C96" s="140">
        <v>70.5</v>
      </c>
      <c r="D96" s="140">
        <v>107.7</v>
      </c>
      <c r="E96" s="139"/>
      <c r="F96" s="139"/>
      <c r="G96" s="139"/>
    </row>
    <row r="97" spans="1:7" x14ac:dyDescent="0.25">
      <c r="A97" s="138">
        <v>9</v>
      </c>
      <c r="B97" s="140">
        <v>22.9</v>
      </c>
      <c r="C97" s="140">
        <v>48.6</v>
      </c>
      <c r="D97" s="140">
        <v>105.7</v>
      </c>
      <c r="E97" s="139"/>
      <c r="F97" s="139"/>
      <c r="G97" s="139"/>
    </row>
    <row r="98" spans="1:7" x14ac:dyDescent="0.25">
      <c r="A98" s="138">
        <v>10</v>
      </c>
      <c r="B98" s="140">
        <v>29.4</v>
      </c>
      <c r="C98" s="140">
        <v>73.099999999999994</v>
      </c>
      <c r="D98" s="140">
        <v>78.7</v>
      </c>
      <c r="E98" s="139"/>
      <c r="F98" s="139"/>
      <c r="G98" s="139"/>
    </row>
    <row r="99" spans="1:7" x14ac:dyDescent="0.25">
      <c r="A99" s="138">
        <v>11</v>
      </c>
      <c r="B99" s="140">
        <v>25.1</v>
      </c>
      <c r="C99" s="140">
        <v>73.400000000000006</v>
      </c>
      <c r="D99" s="140">
        <v>76.7</v>
      </c>
      <c r="E99" s="139"/>
      <c r="F99" s="139"/>
      <c r="G99" s="139"/>
    </row>
    <row r="100" spans="1:7" x14ac:dyDescent="0.25">
      <c r="A100" s="138">
        <v>12</v>
      </c>
      <c r="B100" s="140">
        <v>26.5</v>
      </c>
      <c r="C100" s="140">
        <v>42.8</v>
      </c>
      <c r="D100" s="140">
        <v>96.9</v>
      </c>
      <c r="E100" s="139"/>
      <c r="F100" s="139"/>
      <c r="G100" s="139"/>
    </row>
    <row r="101" spans="1:7" x14ac:dyDescent="0.25">
      <c r="A101" s="138">
        <v>13</v>
      </c>
      <c r="B101" s="140">
        <v>16.600000000000001</v>
      </c>
      <c r="C101" s="140">
        <v>52.5</v>
      </c>
      <c r="D101" s="140">
        <v>83.4</v>
      </c>
      <c r="E101" s="139"/>
      <c r="F101" s="139"/>
      <c r="G101" s="139"/>
    </row>
    <row r="102" spans="1:7" x14ac:dyDescent="0.25">
      <c r="A102" s="138">
        <v>14</v>
      </c>
      <c r="B102" s="140">
        <v>23.7</v>
      </c>
      <c r="C102" s="140">
        <v>42.8</v>
      </c>
      <c r="D102" s="140">
        <v>92.3</v>
      </c>
      <c r="E102" s="139"/>
      <c r="F102" s="139"/>
      <c r="G102" s="139"/>
    </row>
    <row r="103" spans="1:7" x14ac:dyDescent="0.25">
      <c r="A103" s="138">
        <v>15</v>
      </c>
      <c r="B103" s="140">
        <v>25.3</v>
      </c>
      <c r="C103" s="140">
        <v>54.4</v>
      </c>
      <c r="D103" s="140">
        <v>99</v>
      </c>
      <c r="E103" s="139"/>
      <c r="F103" s="139"/>
      <c r="G103" s="139"/>
    </row>
    <row r="104" spans="1:7" x14ac:dyDescent="0.25">
      <c r="A104" s="138">
        <v>16</v>
      </c>
      <c r="B104" s="140">
        <v>33.4</v>
      </c>
      <c r="C104" s="140">
        <v>35.4</v>
      </c>
      <c r="D104" s="140">
        <v>100.9</v>
      </c>
      <c r="E104" s="139"/>
      <c r="F104" s="139"/>
      <c r="G104" s="139"/>
    </row>
    <row r="105" spans="1:7" x14ac:dyDescent="0.25">
      <c r="A105" s="138">
        <v>17</v>
      </c>
      <c r="B105" s="140">
        <v>32</v>
      </c>
      <c r="C105" s="140">
        <v>38.700000000000003</v>
      </c>
      <c r="D105" s="140">
        <v>77.400000000000006</v>
      </c>
      <c r="E105" s="139"/>
      <c r="F105" s="139"/>
      <c r="G105" s="139"/>
    </row>
    <row r="106" spans="1:7" ht="14.5" thickBot="1" x14ac:dyDescent="0.3">
      <c r="A106" s="143">
        <v>18</v>
      </c>
      <c r="B106" s="145"/>
      <c r="C106" s="145"/>
      <c r="D106" s="142">
        <v>95.9</v>
      </c>
      <c r="E106" s="145"/>
      <c r="F106" s="145"/>
      <c r="G106" s="145"/>
    </row>
    <row r="107" spans="1:7" ht="14.5" thickTop="1" x14ac:dyDescent="0.25">
      <c r="A107" s="518" t="s">
        <v>360</v>
      </c>
      <c r="B107" s="519"/>
      <c r="C107" s="519"/>
      <c r="D107" s="519"/>
      <c r="E107" s="519"/>
      <c r="F107" s="519"/>
      <c r="G107" s="520"/>
    </row>
    <row r="108" spans="1:7" ht="14.5" x14ac:dyDescent="0.3">
      <c r="A108" s="137"/>
      <c r="B108" s="516" t="s">
        <v>345</v>
      </c>
      <c r="C108" s="521"/>
      <c r="D108" s="517"/>
      <c r="E108" s="516" t="s">
        <v>346</v>
      </c>
      <c r="F108" s="521"/>
      <c r="G108" s="517"/>
    </row>
    <row r="109" spans="1:7" x14ac:dyDescent="0.25">
      <c r="A109" s="138" t="s">
        <v>347</v>
      </c>
      <c r="B109" s="139" t="s">
        <v>348</v>
      </c>
      <c r="C109" s="139" t="s">
        <v>349</v>
      </c>
      <c r="D109" s="139" t="s">
        <v>350</v>
      </c>
      <c r="E109" s="139" t="s">
        <v>351</v>
      </c>
      <c r="F109" s="139" t="s">
        <v>352</v>
      </c>
      <c r="G109" s="139" t="s">
        <v>353</v>
      </c>
    </row>
    <row r="110" spans="1:7" x14ac:dyDescent="0.25">
      <c r="A110" s="138">
        <v>1</v>
      </c>
      <c r="B110" s="140">
        <v>32.299999999999997</v>
      </c>
      <c r="C110" s="140">
        <v>49.2</v>
      </c>
      <c r="D110" s="140">
        <v>89.6</v>
      </c>
      <c r="E110" s="140">
        <v>55.7</v>
      </c>
      <c r="F110" s="140">
        <v>79.2</v>
      </c>
      <c r="G110" s="140">
        <v>103.7</v>
      </c>
    </row>
    <row r="111" spans="1:7" x14ac:dyDescent="0.25">
      <c r="A111" s="138">
        <v>2</v>
      </c>
      <c r="B111" s="140">
        <v>26.8</v>
      </c>
      <c r="C111" s="140">
        <v>42.4</v>
      </c>
      <c r="D111" s="140">
        <v>103</v>
      </c>
      <c r="E111" s="140">
        <v>41.9</v>
      </c>
      <c r="F111" s="140">
        <v>71.3</v>
      </c>
      <c r="G111" s="140">
        <v>115.9</v>
      </c>
    </row>
    <row r="112" spans="1:7" ht="14.5" thickBot="1" x14ac:dyDescent="0.3">
      <c r="A112" s="143">
        <v>3</v>
      </c>
      <c r="B112" s="145"/>
      <c r="C112" s="145"/>
      <c r="D112" s="145"/>
      <c r="E112" s="145">
        <v>26.8</v>
      </c>
      <c r="F112" s="145">
        <v>66.099999999999994</v>
      </c>
      <c r="G112" s="145">
        <v>103.1</v>
      </c>
    </row>
    <row r="113" spans="1:7" ht="14.5" thickTop="1" x14ac:dyDescent="0.25">
      <c r="A113" s="518" t="s">
        <v>361</v>
      </c>
      <c r="B113" s="519"/>
      <c r="C113" s="519"/>
      <c r="D113" s="519"/>
      <c r="E113" s="519"/>
      <c r="F113" s="519"/>
      <c r="G113" s="520"/>
    </row>
    <row r="114" spans="1:7" ht="14.5" x14ac:dyDescent="0.3">
      <c r="A114" s="137"/>
      <c r="B114" s="516" t="s">
        <v>345</v>
      </c>
      <c r="C114" s="521"/>
      <c r="D114" s="517"/>
      <c r="E114" s="516" t="s">
        <v>346</v>
      </c>
      <c r="F114" s="521"/>
      <c r="G114" s="517"/>
    </row>
    <row r="115" spans="1:7" x14ac:dyDescent="0.25">
      <c r="A115" s="138" t="s">
        <v>347</v>
      </c>
      <c r="B115" s="139" t="s">
        <v>348</v>
      </c>
      <c r="C115" s="139" t="s">
        <v>349</v>
      </c>
      <c r="D115" s="139" t="s">
        <v>350</v>
      </c>
      <c r="E115" s="139" t="s">
        <v>351</v>
      </c>
      <c r="F115" s="139" t="s">
        <v>352</v>
      </c>
      <c r="G115" s="139" t="s">
        <v>353</v>
      </c>
    </row>
    <row r="116" spans="1:7" x14ac:dyDescent="0.25">
      <c r="A116" s="138">
        <v>1</v>
      </c>
      <c r="B116" s="140">
        <v>33.700000000000003</v>
      </c>
      <c r="C116" s="140">
        <v>58.5</v>
      </c>
      <c r="D116" s="140">
        <v>101.5</v>
      </c>
      <c r="E116" s="140">
        <v>44.3</v>
      </c>
      <c r="F116" s="140">
        <v>77.2</v>
      </c>
      <c r="G116" s="140">
        <v>117.8</v>
      </c>
    </row>
    <row r="117" spans="1:7" x14ac:dyDescent="0.25">
      <c r="A117" s="138">
        <v>2</v>
      </c>
      <c r="B117" s="140">
        <v>30.5</v>
      </c>
      <c r="C117" s="140">
        <v>49.5</v>
      </c>
      <c r="D117" s="140">
        <v>98.6</v>
      </c>
      <c r="E117" s="140">
        <v>37.200000000000003</v>
      </c>
      <c r="F117" s="140">
        <v>67.099999999999994</v>
      </c>
      <c r="G117" s="140">
        <v>95.5</v>
      </c>
    </row>
    <row r="118" spans="1:7" x14ac:dyDescent="0.25">
      <c r="A118" s="138">
        <v>3</v>
      </c>
      <c r="B118" s="140">
        <v>29.4</v>
      </c>
      <c r="C118" s="140">
        <v>42.4</v>
      </c>
      <c r="D118" s="140">
        <v>104.2</v>
      </c>
      <c r="E118" s="140">
        <v>31.7</v>
      </c>
      <c r="F118" s="140">
        <v>82</v>
      </c>
      <c r="G118" s="140">
        <v>94.6</v>
      </c>
    </row>
    <row r="119" spans="1:7" x14ac:dyDescent="0.25">
      <c r="A119" s="138">
        <v>4</v>
      </c>
      <c r="B119" s="140">
        <v>28.4</v>
      </c>
      <c r="C119" s="140">
        <v>45.9</v>
      </c>
      <c r="D119" s="140">
        <v>97.7</v>
      </c>
      <c r="E119" s="140">
        <v>48.2</v>
      </c>
      <c r="F119" s="140">
        <v>71.099999999999994</v>
      </c>
      <c r="G119" s="140">
        <v>116.7</v>
      </c>
    </row>
    <row r="120" spans="1:7" x14ac:dyDescent="0.25">
      <c r="A120" s="138">
        <v>5</v>
      </c>
      <c r="B120" s="139"/>
      <c r="C120" s="139"/>
      <c r="D120" s="139"/>
      <c r="E120" s="140">
        <v>54.6</v>
      </c>
      <c r="F120" s="140">
        <v>78.2</v>
      </c>
      <c r="G120" s="140">
        <v>102</v>
      </c>
    </row>
    <row r="121" spans="1:7" x14ac:dyDescent="0.25">
      <c r="A121" s="138">
        <v>6</v>
      </c>
      <c r="B121" s="139"/>
      <c r="C121" s="139"/>
      <c r="D121" s="139"/>
      <c r="E121" s="140">
        <v>37.6</v>
      </c>
      <c r="F121" s="140">
        <v>70.8</v>
      </c>
      <c r="G121" s="140">
        <v>109.3</v>
      </c>
    </row>
    <row r="122" spans="1:7" x14ac:dyDescent="0.25">
      <c r="A122" s="138">
        <v>7</v>
      </c>
      <c r="B122" s="139"/>
      <c r="C122" s="139"/>
      <c r="D122" s="139"/>
      <c r="E122" s="140">
        <v>45.5</v>
      </c>
      <c r="F122" s="140">
        <v>77.2</v>
      </c>
      <c r="G122" s="140">
        <v>117.9</v>
      </c>
    </row>
    <row r="123" spans="1:7" x14ac:dyDescent="0.25">
      <c r="A123" s="138">
        <v>8</v>
      </c>
      <c r="B123" s="139"/>
      <c r="C123" s="139"/>
      <c r="D123" s="139"/>
      <c r="E123" s="140">
        <v>29.3</v>
      </c>
      <c r="F123" s="140">
        <v>89.5</v>
      </c>
      <c r="G123" s="140">
        <v>91.8</v>
      </c>
    </row>
    <row r="124" spans="1:7" ht="14.5" thickBot="1" x14ac:dyDescent="0.3">
      <c r="A124" s="143">
        <v>9</v>
      </c>
      <c r="B124" s="145"/>
      <c r="C124" s="145"/>
      <c r="D124" s="145"/>
      <c r="E124" s="145">
        <v>36.4</v>
      </c>
      <c r="F124" s="145">
        <v>64.099999999999994</v>
      </c>
      <c r="G124" s="145">
        <v>101.2</v>
      </c>
    </row>
    <row r="125" spans="1:7" ht="14.5" thickTop="1" x14ac:dyDescent="0.25"/>
    <row r="127" spans="1:7" x14ac:dyDescent="0.25">
      <c r="A127" s="522" t="s">
        <v>136</v>
      </c>
      <c r="B127" s="516" t="s">
        <v>137</v>
      </c>
      <c r="C127" s="517"/>
      <c r="D127" s="516" t="s">
        <v>138</v>
      </c>
      <c r="E127" s="517"/>
      <c r="F127" s="516" t="s">
        <v>139</v>
      </c>
      <c r="G127" s="517"/>
    </row>
    <row r="128" spans="1:7" x14ac:dyDescent="0.25">
      <c r="A128" s="523"/>
      <c r="B128" s="138" t="s">
        <v>140</v>
      </c>
      <c r="C128" s="138" t="s">
        <v>141</v>
      </c>
      <c r="D128" s="138" t="s">
        <v>140</v>
      </c>
      <c r="E128" s="138" t="s">
        <v>141</v>
      </c>
      <c r="F128" s="138" t="s">
        <v>140</v>
      </c>
      <c r="G128" s="138" t="s">
        <v>141</v>
      </c>
    </row>
    <row r="129" spans="1:7" x14ac:dyDescent="0.25">
      <c r="A129" s="139" t="str">
        <f>A2</f>
        <v>Huicheng Hengli</v>
      </c>
      <c r="B129" s="146">
        <f>AVERAGE(B5:D7)</f>
        <v>56.949999999999989</v>
      </c>
      <c r="C129" s="147">
        <f>AVERAGE(E5:G7)</f>
        <v>74.000000000000014</v>
      </c>
      <c r="D129" s="138">
        <v>2058</v>
      </c>
      <c r="E129" s="138">
        <v>4185</v>
      </c>
      <c r="F129" s="138">
        <f>D129*B129</f>
        <v>117203.09999999998</v>
      </c>
      <c r="G129" s="138">
        <f>E129*C129</f>
        <v>309690.00000000006</v>
      </c>
    </row>
    <row r="130" spans="1:7" x14ac:dyDescent="0.25">
      <c r="A130" s="139" t="str">
        <f>A8</f>
        <v>Dongyuan Huangtian swine Farm</v>
      </c>
      <c r="B130" s="146">
        <f>AVERAGE((B11:D15))</f>
        <v>58.13333333333334</v>
      </c>
      <c r="C130" s="146">
        <f>AVERAGE(E11:G11)</f>
        <v>75.166666666666671</v>
      </c>
      <c r="D130" s="138">
        <v>6272</v>
      </c>
      <c r="E130" s="138">
        <v>1452</v>
      </c>
      <c r="F130" s="138">
        <f t="shared" ref="F130:G137" si="0">D130*B130</f>
        <v>364612.26666666672</v>
      </c>
      <c r="G130" s="138">
        <f t="shared" si="0"/>
        <v>109142</v>
      </c>
    </row>
    <row r="131" spans="1:7" x14ac:dyDescent="0.25">
      <c r="A131" s="139" t="str">
        <f>A16</f>
        <v>Enping Shahu swine  Farm</v>
      </c>
      <c r="B131" s="146">
        <f>AVERAGE(B19:D33)</f>
        <v>56.851111111111102</v>
      </c>
      <c r="C131" s="146">
        <f>AVERAGE(E19:G28)</f>
        <v>75.456666666666678</v>
      </c>
      <c r="D131" s="138">
        <v>22171</v>
      </c>
      <c r="E131" s="138">
        <v>15538</v>
      </c>
      <c r="F131" s="138">
        <f t="shared" si="0"/>
        <v>1260445.9844444443</v>
      </c>
      <c r="G131" s="138">
        <f t="shared" si="0"/>
        <v>1172445.6866666668</v>
      </c>
    </row>
    <row r="132" spans="1:7" x14ac:dyDescent="0.25">
      <c r="A132" s="139" t="str">
        <f>A34</f>
        <v>Langtian Yuehui swine Farm</v>
      </c>
      <c r="B132" s="146">
        <f>AVERAGE(B37:D55)</f>
        <v>56.461403508771909</v>
      </c>
      <c r="C132" s="146">
        <f>AVERAGE(E37:G43)</f>
        <v>76.714285714285708</v>
      </c>
      <c r="D132" s="138">
        <v>28130</v>
      </c>
      <c r="E132" s="138">
        <v>9743</v>
      </c>
      <c r="F132" s="138">
        <f t="shared" si="0"/>
        <v>1588259.2807017537</v>
      </c>
      <c r="G132" s="138">
        <f t="shared" si="0"/>
        <v>747427.28571428568</v>
      </c>
    </row>
    <row r="133" spans="1:7" x14ac:dyDescent="0.25">
      <c r="A133" s="139" t="str">
        <f>A56</f>
        <v>Qujiang Fengwan swine Farm</v>
      </c>
      <c r="B133" s="146">
        <f>AVERAGE(B59:D65)</f>
        <v>57.228571428571435</v>
      </c>
      <c r="C133" s="146">
        <f>AVERAGE(E59:G65)</f>
        <v>76.261904761904759</v>
      </c>
      <c r="D133" s="138">
        <v>9008</v>
      </c>
      <c r="E133" s="138">
        <v>10971</v>
      </c>
      <c r="F133" s="138">
        <f t="shared" si="0"/>
        <v>515514.9714285715</v>
      </c>
      <c r="G133" s="138">
        <f t="shared" si="0"/>
        <v>836669.35714285716</v>
      </c>
    </row>
    <row r="134" spans="1:7" x14ac:dyDescent="0.25">
      <c r="A134" s="139" t="str">
        <f>A66</f>
        <v>Pingyuan Zhongshi swine Farm</v>
      </c>
      <c r="B134" s="146">
        <f>AVERAGE(B69:D85)</f>
        <v>58.270588235294106</v>
      </c>
      <c r="C134" s="146">
        <f>AVERAGE(E69:G83)</f>
        <v>73.444444444444414</v>
      </c>
      <c r="D134" s="138">
        <v>25713</v>
      </c>
      <c r="E134" s="138">
        <v>23196</v>
      </c>
      <c r="F134" s="138">
        <f t="shared" si="0"/>
        <v>1498311.6352941173</v>
      </c>
      <c r="G134" s="138">
        <f t="shared" si="0"/>
        <v>1703617.3333333326</v>
      </c>
    </row>
    <row r="135" spans="1:7" x14ac:dyDescent="0.25">
      <c r="A135" s="139" t="str">
        <f>A86</f>
        <v>Yangchun Tanshui swine Farm</v>
      </c>
      <c r="B135" s="146">
        <f>AVERAGE(B89:D106)</f>
        <v>57.084615384615397</v>
      </c>
      <c r="C135" s="146">
        <f>AVERAGE(E89:G95)</f>
        <v>73.314285714285717</v>
      </c>
      <c r="D135" s="138">
        <v>26456</v>
      </c>
      <c r="E135" s="138">
        <v>11466</v>
      </c>
      <c r="F135" s="138">
        <f t="shared" si="0"/>
        <v>1510230.5846153849</v>
      </c>
      <c r="G135" s="138">
        <f t="shared" si="0"/>
        <v>840621.6</v>
      </c>
    </row>
    <row r="136" spans="1:7" x14ac:dyDescent="0.25">
      <c r="A136" s="139" t="str">
        <f>A107</f>
        <v>Xinfeng Shatian swine Farm</v>
      </c>
      <c r="B136" s="146">
        <f>AVERAGE(B110:D112)</f>
        <v>57.216666666666669</v>
      </c>
      <c r="C136" s="146">
        <f>AVERAGE(E110:G112)</f>
        <v>73.744444444444454</v>
      </c>
      <c r="D136" s="138">
        <v>1907</v>
      </c>
      <c r="E136" s="138">
        <v>3645</v>
      </c>
      <c r="F136" s="138">
        <f t="shared" si="0"/>
        <v>109112.18333333333</v>
      </c>
      <c r="G136" s="138">
        <f t="shared" si="0"/>
        <v>268798.50000000006</v>
      </c>
    </row>
    <row r="137" spans="1:7" x14ac:dyDescent="0.25">
      <c r="A137" s="139" t="str">
        <f>A113</f>
        <v>Kaiping Cangcheng swine Farm</v>
      </c>
      <c r="B137" s="146">
        <f>AVERAGE(B116:D119)</f>
        <v>60.024999999999999</v>
      </c>
      <c r="C137" s="146">
        <f>AVERAGE(E116:G124)</f>
        <v>73.659259259259272</v>
      </c>
      <c r="D137" s="138">
        <v>5732</v>
      </c>
      <c r="E137" s="138">
        <v>13984</v>
      </c>
      <c r="F137" s="138">
        <f t="shared" si="0"/>
        <v>344063.3</v>
      </c>
      <c r="G137" s="138">
        <f t="shared" si="0"/>
        <v>1030051.0814814817</v>
      </c>
    </row>
    <row r="138" spans="1:7" x14ac:dyDescent="0.25">
      <c r="A138" s="139" t="s">
        <v>142</v>
      </c>
      <c r="B138" s="146"/>
      <c r="C138" s="146"/>
      <c r="D138" s="138">
        <f>SUM(D129:D137)</f>
        <v>127447</v>
      </c>
      <c r="E138" s="138">
        <f>SUM(E129:E137)</f>
        <v>94180</v>
      </c>
      <c r="F138" s="138">
        <f t="shared" ref="F138:G138" si="1">SUM(F129:F137)</f>
        <v>7307753.3064842718</v>
      </c>
      <c r="G138" s="138">
        <f t="shared" si="1"/>
        <v>7018462.8443386238</v>
      </c>
    </row>
    <row r="140" spans="1:7" x14ac:dyDescent="0.25">
      <c r="C140" s="516" t="s">
        <v>143</v>
      </c>
      <c r="D140" s="517"/>
    </row>
    <row r="141" spans="1:7" x14ac:dyDescent="0.25">
      <c r="C141" s="138" t="s">
        <v>140</v>
      </c>
      <c r="D141" s="138" t="s">
        <v>141</v>
      </c>
    </row>
    <row r="142" spans="1:7" x14ac:dyDescent="0.25">
      <c r="C142" s="362">
        <f>ROUNDDOWN(F138/D138,1)</f>
        <v>57.3</v>
      </c>
      <c r="D142" s="148">
        <f>ROUNDDOWN(G138/E138,1)</f>
        <v>74.5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Cover page</vt:lpstr>
      <vt:lpstr>SDG Outcomes</vt:lpstr>
      <vt:lpstr>Baseline emission</vt:lpstr>
      <vt:lpstr>Project emission</vt:lpstr>
      <vt:lpstr>Leakage emission</vt:lpstr>
      <vt:lpstr>Emission Reduction</vt:lpstr>
      <vt:lpstr>monitoring results</vt:lpstr>
      <vt:lpstr>Reliability Check</vt:lpstr>
      <vt:lpstr>2022.04</vt:lpstr>
      <vt:lpstr>2022.05</vt:lpstr>
      <vt:lpstr>2022.06</vt:lpstr>
      <vt:lpstr>2022.07</vt:lpstr>
      <vt:lpstr>2022.08</vt:lpstr>
      <vt:lpstr>2022.09</vt:lpstr>
      <vt:lpstr>2022.10</vt:lpstr>
      <vt:lpstr>2022.11</vt:lpstr>
      <vt:lpstr>2022.12</vt:lpstr>
      <vt:lpstr>2023.01</vt:lpstr>
      <vt:lpstr>2023.02</vt:lpstr>
      <vt:lpstr>2023.03</vt:lpstr>
    </vt:vector>
  </TitlesOfParts>
  <Manager>ywert.visser@carbonvietnam.com</Manager>
  <Company>INTRACO Co., Ltd Carbon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user01</cp:lastModifiedBy>
  <cp:lastPrinted>2011-01-07T02:59:39Z</cp:lastPrinted>
  <dcterms:created xsi:type="dcterms:W3CDTF">2006-12-11T01:48:55Z</dcterms:created>
  <dcterms:modified xsi:type="dcterms:W3CDTF">2023-08-14T09:45:30Z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Ywert Visser</vt:lpwstr>
  </property>
</Properties>
</file>