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mc:AlternateContent xmlns:mc="http://schemas.openxmlformats.org/markup-compatibility/2006">
    <mc:Choice Requires="x15">
      <x15ac:absPath xmlns:x15ac="http://schemas.microsoft.com/office/spreadsheetml/2010/11/ac" url="D:\FangcloudV2\personal_space\15.GS项目\Animal Manure Management-AM0010\双胞胎畜牧集团有限公司\GS 11335+Shuangbaotai Guangdong\3. VVB Document\5. Process File\"/>
    </mc:Choice>
  </mc:AlternateContent>
  <xr:revisionPtr revIDLastSave="0" documentId="13_ncr:1_{6DC59F14-10C5-4278-B725-6E7141EF5885}" xr6:coauthVersionLast="47" xr6:coauthVersionMax="47" xr10:uidLastSave="{00000000-0000-0000-0000-000000000000}"/>
  <bookViews>
    <workbookView xWindow="-28920" yWindow="-120" windowWidth="29040" windowHeight="16440" tabRatio="623" xr2:uid="{00000000-000D-0000-FFFF-FFFF00000000}"/>
  </bookViews>
  <sheets>
    <sheet name="Cover Page" sheetId="7" r:id="rId1"/>
    <sheet name="Result of SDGs" sheetId="8" r:id="rId2"/>
    <sheet name="Baseline Emission" sheetId="1" r:id="rId3"/>
    <sheet name="PROJECT EMISSION" sheetId="2" r:id="rId4"/>
    <sheet name="LEAKAGE" sheetId="3" r:id="rId5"/>
    <sheet name="EMISSION REDUCTIONS" sheetId="4" r:id="rId6"/>
  </sheets>
  <definedNames>
    <definedName name="_Toc147547213" localSheetId="3">'PROJECT EMISSION'!#REF!</definedName>
    <definedName name="_xlnm.Print_Area" localSheetId="5">'EMISSION REDUCTIONS'!$B$3:$F$12</definedName>
    <definedName name="Z_2C071143_29D6_4036_A926_BF7E54293313_.wvu.Rows" localSheetId="4" hidden="1">LEAKAGE!$23:$23,LEAKAGE!#REF!,LEAKAGE!#REF!,LEAKAGE!#REF!,LEAKAGE!#REF!,LEAKAGE!#REF!,LEAKAGE!#REF!</definedName>
    <definedName name="Z_2C071143_29D6_4036_A926_BF7E54293313_.wvu.Rows" localSheetId="3" hidden="1">'PROJECT EMISSION'!#REF!,'PROJECT EMISSION'!#REF!</definedName>
  </definedNames>
  <calcPr calcId="191029"/>
  <customWorkbookViews>
    <customWorkbookView name="HIEU - Personal View" guid="{2C071143-29D6-4036-A926-BF7E54293313}" personalView="1" maximized="1" windowWidth="1020" windowHeight="573" activeSheetId="1" showComments="commNone"/>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 i="2" l="1"/>
  <c r="E5" i="8"/>
  <c r="E10" i="8"/>
  <c r="B27" i="2"/>
  <c r="B38" i="2"/>
  <c r="D6" i="8"/>
  <c r="D16" i="8" s="1"/>
  <c r="D26" i="8" s="1"/>
  <c r="D7" i="8"/>
  <c r="D17" i="8" s="1"/>
  <c r="D27" i="8" s="1"/>
  <c r="D8" i="8"/>
  <c r="D18" i="8" s="1"/>
  <c r="D28" i="8" s="1"/>
  <c r="D9" i="8"/>
  <c r="D19" i="8"/>
  <c r="D29" i="8" s="1"/>
  <c r="D10" i="8"/>
  <c r="D5" i="8"/>
  <c r="D22" i="8"/>
  <c r="D21" i="8"/>
  <c r="E16" i="8"/>
  <c r="E17" i="8" s="1"/>
  <c r="E18" i="8" s="1"/>
  <c r="E19" i="8" s="1"/>
  <c r="D15" i="8"/>
  <c r="D25" i="8" s="1"/>
  <c r="D20" i="8"/>
  <c r="D30" i="8" s="1"/>
  <c r="E7" i="8"/>
  <c r="B40" i="2"/>
  <c r="C91" i="2"/>
  <c r="B91" i="2"/>
  <c r="C57" i="3"/>
  <c r="B57" i="3"/>
  <c r="C22" i="3"/>
  <c r="B22" i="3"/>
  <c r="C98" i="2"/>
  <c r="B98" i="2"/>
  <c r="C73" i="2"/>
  <c r="C78" i="2" s="1"/>
  <c r="B73" i="2"/>
  <c r="B78" i="2" s="1"/>
  <c r="B40" i="1"/>
  <c r="B13" i="1"/>
  <c r="C40" i="1"/>
  <c r="C107" i="3"/>
  <c r="B107" i="3"/>
  <c r="C106" i="3"/>
  <c r="B106" i="3"/>
  <c r="E105" i="3"/>
  <c r="C91" i="3"/>
  <c r="B91" i="3"/>
  <c r="C90" i="3"/>
  <c r="D90" i="3"/>
  <c r="D106" i="3" s="1"/>
  <c r="E90" i="3"/>
  <c r="B90" i="3"/>
  <c r="D89" i="3"/>
  <c r="D105" i="3" s="1"/>
  <c r="E102" i="3"/>
  <c r="B66" i="3"/>
  <c r="C66" i="3"/>
  <c r="D66" i="3"/>
  <c r="E66" i="3"/>
  <c r="D24" i="3"/>
  <c r="C23" i="3"/>
  <c r="E22" i="3"/>
  <c r="D22" i="3"/>
  <c r="D98" i="2"/>
  <c r="E98" i="2"/>
  <c r="E97" i="2"/>
  <c r="E71" i="2"/>
  <c r="E72" i="2"/>
  <c r="C74" i="2"/>
  <c r="D78" i="2"/>
  <c r="D91" i="2" s="1"/>
  <c r="D77" i="2"/>
  <c r="D90" i="2" s="1"/>
  <c r="D97" i="2" s="1"/>
  <c r="D54" i="1"/>
  <c r="C52" i="2"/>
  <c r="B52" i="2"/>
  <c r="C54" i="2"/>
  <c r="B54" i="2"/>
  <c r="D55" i="2"/>
  <c r="E54" i="2"/>
  <c r="E73" i="2"/>
  <c r="E78" i="2" s="1"/>
  <c r="D54" i="2"/>
  <c r="B53" i="2"/>
  <c r="C53" i="2"/>
  <c r="D53" i="2"/>
  <c r="E53" i="2"/>
  <c r="C49" i="2"/>
  <c r="D49" i="2"/>
  <c r="E49" i="2"/>
  <c r="B49" i="2"/>
  <c r="C48" i="2"/>
  <c r="E48" i="2"/>
  <c r="B48" i="2"/>
  <c r="C47" i="2"/>
  <c r="B47" i="2"/>
  <c r="D25" i="2"/>
  <c r="E93" i="2"/>
  <c r="B17" i="2"/>
  <c r="E41" i="1"/>
  <c r="E43" i="1"/>
  <c r="C39" i="1"/>
  <c r="C42" i="1" s="1"/>
  <c r="D103" i="3"/>
  <c r="D95" i="2"/>
  <c r="F98" i="2"/>
  <c r="C13" i="1"/>
  <c r="C22" i="1" s="1"/>
  <c r="A16" i="1"/>
  <c r="B17" i="1"/>
  <c r="B19" i="1" s="1"/>
  <c r="C17" i="1"/>
  <c r="C19" i="1" s="1"/>
  <c r="E18" i="1"/>
  <c r="E20" i="1"/>
  <c r="B36" i="1"/>
  <c r="B51" i="1" s="1"/>
  <c r="C36" i="1"/>
  <c r="C51" i="1"/>
  <c r="B38" i="1"/>
  <c r="B39" i="1"/>
  <c r="E40" i="1"/>
  <c r="B43" i="1"/>
  <c r="C43" i="1"/>
  <c r="D43" i="1"/>
  <c r="D55" i="1" s="1"/>
  <c r="B44" i="1"/>
  <c r="B56" i="1"/>
  <c r="C44" i="1"/>
  <c r="C56" i="1"/>
  <c r="D44" i="1"/>
  <c r="D56" i="1"/>
  <c r="B55" i="1"/>
  <c r="C55" i="1"/>
  <c r="B58" i="1"/>
  <c r="C58" i="1"/>
  <c r="B87" i="2"/>
  <c r="B85" i="3"/>
  <c r="B101" i="3"/>
  <c r="C87" i="2"/>
  <c r="C85" i="3"/>
  <c r="C101" i="3" s="1"/>
  <c r="C88" i="2"/>
  <c r="C95" i="2"/>
  <c r="C59" i="3"/>
  <c r="C102" i="3"/>
  <c r="C93" i="3"/>
  <c r="B102" i="3"/>
  <c r="C108" i="3"/>
  <c r="B21" i="3"/>
  <c r="C21" i="3"/>
  <c r="B144" i="3"/>
  <c r="B145" i="3"/>
  <c r="C144" i="3"/>
  <c r="D37" i="2"/>
  <c r="B28" i="2"/>
  <c r="B41" i="2" s="1"/>
  <c r="B42" i="1"/>
  <c r="B45" i="1" s="1"/>
  <c r="B23" i="3"/>
  <c r="E8" i="8"/>
  <c r="E9" i="8"/>
  <c r="E11" i="8" l="1"/>
  <c r="E12" i="8" s="1"/>
  <c r="C54" i="1"/>
  <c r="C24" i="3"/>
  <c r="C45" i="1"/>
  <c r="B46" i="1" s="1"/>
  <c r="C89" i="3"/>
  <c r="C55" i="2"/>
  <c r="E21" i="8"/>
  <c r="E22" i="8" s="1"/>
  <c r="E20" i="8"/>
  <c r="B55" i="2"/>
  <c r="B57" i="2" s="1"/>
  <c r="B58" i="2" s="1"/>
  <c r="B22" i="1"/>
  <c r="B23" i="1" s="1"/>
  <c r="B89" i="3"/>
  <c r="C57" i="2"/>
  <c r="B24" i="3"/>
  <c r="B54" i="1"/>
  <c r="C105" i="3" l="1"/>
  <c r="C111" i="3" s="1"/>
  <c r="C94" i="3"/>
  <c r="B94" i="3"/>
  <c r="B95" i="3" s="1"/>
  <c r="B115" i="3" s="1"/>
  <c r="B105" i="3"/>
  <c r="B111" i="3" s="1"/>
  <c r="B112" i="3" s="1"/>
  <c r="B116" i="3" s="1"/>
  <c r="C59" i="1"/>
  <c r="C72" i="2"/>
  <c r="C58" i="3"/>
  <c r="C36" i="3"/>
  <c r="C34" i="3"/>
  <c r="C32" i="3"/>
  <c r="E68" i="1"/>
  <c r="B72" i="2"/>
  <c r="B59" i="1"/>
  <c r="B60" i="1" s="1"/>
  <c r="E62" i="1" s="1"/>
  <c r="B36" i="3"/>
  <c r="B37" i="3" s="1"/>
  <c r="B34" i="3"/>
  <c r="B35" i="3" s="1"/>
  <c r="B58" i="3"/>
  <c r="B32" i="3"/>
  <c r="C75" i="2" l="1"/>
  <c r="C90" i="2"/>
  <c r="C77" i="2"/>
  <c r="C80" i="2" s="1"/>
  <c r="C7" i="4"/>
  <c r="C8" i="4"/>
  <c r="C10" i="4"/>
  <c r="C6" i="4"/>
  <c r="C11" i="4"/>
  <c r="C9" i="4"/>
  <c r="C67" i="3"/>
  <c r="C69" i="3"/>
  <c r="C71" i="3"/>
  <c r="B90" i="2"/>
  <c r="B77" i="2"/>
  <c r="B80" i="2" s="1"/>
  <c r="B75" i="2"/>
  <c r="B33" i="3"/>
  <c r="B38" i="3" s="1"/>
  <c r="B117" i="3" s="1"/>
  <c r="B71" i="3"/>
  <c r="B67" i="3"/>
  <c r="B68" i="3" s="1"/>
  <c r="B69" i="3"/>
  <c r="B70" i="3" s="1"/>
  <c r="C12" i="4" l="1"/>
  <c r="C13" i="4" s="1"/>
  <c r="B81" i="2"/>
  <c r="B97" i="2"/>
  <c r="B101" i="2" s="1"/>
  <c r="B94" i="2"/>
  <c r="C94" i="2"/>
  <c r="C97" i="2"/>
  <c r="C101" i="2" s="1"/>
  <c r="B72" i="3"/>
  <c r="B73" i="3" s="1"/>
  <c r="B118" i="3" s="1"/>
  <c r="B121" i="3" s="1"/>
  <c r="E8" i="4" l="1"/>
  <c r="E6" i="4"/>
  <c r="E11" i="4"/>
  <c r="E9" i="4"/>
  <c r="E10" i="4"/>
  <c r="E7" i="4"/>
  <c r="B102" i="2"/>
  <c r="C104" i="2" s="1"/>
  <c r="B121" i="2" s="1"/>
  <c r="D6" i="4" l="1"/>
  <c r="D7" i="4"/>
  <c r="F7" i="4" s="1"/>
  <c r="E26" i="8" s="1"/>
  <c r="D11" i="4"/>
  <c r="F11" i="4" s="1"/>
  <c r="E30" i="8" s="1"/>
  <c r="D8" i="4"/>
  <c r="F8" i="4" s="1"/>
  <c r="E27" i="8" s="1"/>
  <c r="D9" i="4"/>
  <c r="F9" i="4" s="1"/>
  <c r="E28" i="8" s="1"/>
  <c r="D10" i="4"/>
  <c r="F10" i="4" s="1"/>
  <c r="E29" i="8" s="1"/>
  <c r="E12" i="4"/>
  <c r="E13" i="4" s="1"/>
  <c r="D12" i="4" l="1"/>
  <c r="D13" i="4" s="1"/>
  <c r="F6" i="4"/>
  <c r="F12" i="4" l="1"/>
  <c r="F13" i="4" s="1"/>
  <c r="E25" i="8"/>
  <c r="E31" i="8" s="1"/>
  <c r="E32" i="8" s="1"/>
</calcChain>
</file>

<file path=xl/sharedStrings.xml><?xml version="1.0" encoding="utf-8"?>
<sst xmlns="http://schemas.openxmlformats.org/spreadsheetml/2006/main" count="533" uniqueCount="302">
  <si>
    <t xml:space="preserve">BASELINE EMISSIONS </t>
  </si>
  <si>
    <t>Parameter</t>
  </si>
  <si>
    <t xml:space="preserve">                              Value </t>
  </si>
  <si>
    <t>Unit</t>
  </si>
  <si>
    <t>Source</t>
  </si>
  <si>
    <t>Market Swine</t>
  </si>
  <si>
    <t>Breeding Swine</t>
  </si>
  <si>
    <t>-</t>
  </si>
  <si>
    <t>%</t>
  </si>
  <si>
    <t>Conservative Factor</t>
  </si>
  <si>
    <t>A conservativeness factor should be applied by multiplying MCF values (estimated as per  above bullet) with a value of 0.94, to account for the 20% uncertainty in the MCF values as reported by IPCC 2006</t>
  </si>
  <si>
    <t xml:space="preserve">Calculated  </t>
  </si>
  <si>
    <t>2006 IPCC guideline, volume 4, chapter 10, tbl. 10A-7</t>
  </si>
  <si>
    <t>Max methane producing potential of VS generated, by animal type LT</t>
  </si>
  <si>
    <t>No of heads</t>
  </si>
  <si>
    <t>Livestock of a defined population</t>
  </si>
  <si>
    <t>kg</t>
  </si>
  <si>
    <t>Mass of the animals</t>
  </si>
  <si>
    <t xml:space="preserve">Average market swine mass </t>
  </si>
  <si>
    <t>Volatile solid for type LT entering AWMS</t>
  </si>
  <si>
    <t>Fraction of manure handled in system j</t>
  </si>
  <si>
    <t>days</t>
  </si>
  <si>
    <t>Days per year farm is operational</t>
  </si>
  <si>
    <t>Direct N2O Emissions</t>
  </si>
  <si>
    <t xml:space="preserve">                               Value</t>
  </si>
  <si>
    <t>kg N/1000kg animal mass/day</t>
  </si>
  <si>
    <t>2006 IPCC default value, vol. 4, ch. 10, tbl. 10.19</t>
  </si>
  <si>
    <t>Calulated</t>
  </si>
  <si>
    <t>kg N/animal/year</t>
  </si>
  <si>
    <t>Calculated</t>
  </si>
  <si>
    <t>2006 IPCC default value, vol. 4, ch. 10, tbl. 11.3</t>
  </si>
  <si>
    <t>Fgasm</t>
  </si>
  <si>
    <t xml:space="preserve">2006 IPCC default value, vol. 4, ch. 10, tbl.10.22 </t>
  </si>
  <si>
    <t>% of managed manure nitrogen that volatizes as NH3 and NOx in the manure system</t>
  </si>
  <si>
    <t>BASELINE EMISSIONS       BEy =</t>
  </si>
  <si>
    <t xml:space="preserve">PROJECT EMISSION </t>
  </si>
  <si>
    <t xml:space="preserve">A) Phase I: Anaerobic digester </t>
  </si>
  <si>
    <t xml:space="preserve">Value </t>
  </si>
  <si>
    <t>MWh/yr</t>
  </si>
  <si>
    <t>Project emissions from fossil fuel consumption associated with the anaerobic digester will not be taken into account</t>
  </si>
  <si>
    <t xml:space="preserve">                                      Value </t>
  </si>
  <si>
    <t>t CH4</t>
  </si>
  <si>
    <t xml:space="preserve">calculated </t>
  </si>
  <si>
    <t>iii) N2O emissions from manure management</t>
  </si>
  <si>
    <t>Clarification</t>
  </si>
  <si>
    <t>2006 IPCC Guidelines, volume 4, chapter 10</t>
  </si>
  <si>
    <t>MS%j</t>
  </si>
  <si>
    <t>B) PHASE II: Aerobic treatment</t>
  </si>
  <si>
    <t>2006 IPCC Guidelines, volume 4, chapter 11, table 11.3</t>
  </si>
  <si>
    <t xml:space="preserve">Default value for EF4, </t>
  </si>
  <si>
    <t>2006 IPCC default value, vol. 4, ch. 10, tbl.10.22 (According to Chapter 8.2 in US-EPA (2001), "a covered lagoon will not lose NH3-N to the atmosphere")</t>
  </si>
  <si>
    <t>% of total methane generating potential of the waste processed</t>
  </si>
  <si>
    <t>Leakage will be taken into account as part of the monitoring plan defined in the PDD (section B7.1)</t>
  </si>
  <si>
    <t>v) Project emissions from flaring of the residual gas stream (PEflare,y)</t>
  </si>
  <si>
    <t>Emissions from biogas flared will be taken into account as part of the monitoring plan defined in the PDD (section B7.1)</t>
  </si>
  <si>
    <t>vi) Project emissions from heat use and electricity use (PEelec/heat):</t>
  </si>
  <si>
    <t>Emissions of onsite electricity use are excluded from this calculation, as defined in section B3 of the PDD.</t>
  </si>
  <si>
    <t>The project activity will be self-sufficient with regards to the electricity required.</t>
  </si>
  <si>
    <t xml:space="preserve">Project emissions from electricity consumption associated with the anaerobic digester are excluded from this calculation since the electricity generated by the project will be self-sufficient </t>
  </si>
  <si>
    <t>PROJECT EMISSIONS (tCO2e)</t>
  </si>
  <si>
    <t>LEAKEAGE</t>
  </si>
  <si>
    <t>numbers</t>
  </si>
  <si>
    <t>calculated</t>
  </si>
  <si>
    <t>Fraction of NEX in manure waste that is reduced in the baseline AWMS.</t>
  </si>
  <si>
    <t>EF1</t>
  </si>
  <si>
    <t>kg N2O-N/kg N</t>
  </si>
  <si>
    <t>table 11.1, chapter 11, volume 4, 2006 IPCC</t>
  </si>
  <si>
    <t xml:space="preserve">emission factor for direct emission of N2O from soil </t>
  </si>
  <si>
    <t>EF5</t>
  </si>
  <si>
    <t>table 11.3, chapter 11, volume 4, 2006 IPCC</t>
  </si>
  <si>
    <t>EF4</t>
  </si>
  <si>
    <t>emission factor for N2O emission from atmospheric deposition of N on soil aond water surfaces</t>
  </si>
  <si>
    <t>Fleach</t>
  </si>
  <si>
    <t>kg NH3-N,Nox-N/kg N</t>
  </si>
  <si>
    <t xml:space="preserve">2006 IPCC default value, vol. 4, ch. 11, tbl.11.3 </t>
  </si>
  <si>
    <t xml:space="preserve">fraction of animal manure N that volatizes as NH3 and Nox </t>
  </si>
  <si>
    <t>at the project site</t>
  </si>
  <si>
    <t>Estimated from Table provided in Annex 1 (anaerobic digester as "covered first cell of 2 cell lagoon") of ACM0010 and further explanation of the table from Development Document for  the Proposed Revisions to the National Pollutant Discharge Elimination System Regulation and the Effluent Guidelines for Concentrated Animal Feeding Operations, Table 8-10 and Chapter 8.2 (US-EPA, 2001)</t>
  </si>
  <si>
    <t>2006 IPCC default value, vol. 4, ch. 11, tbl.11.3 (According to Chapter 8.2 in US-EPA (2001), "a covered lagoon will not lose NH3-N to the atmosphere")</t>
  </si>
  <si>
    <t>ii)Methane emissions from disposal of treated manure</t>
  </si>
  <si>
    <t>MCFd</t>
  </si>
  <si>
    <t>kg/animal/day</t>
  </si>
  <si>
    <t>m3 CH4/kg-VS</t>
  </si>
  <si>
    <t xml:space="preserve">2006 IPCC guideline, volume 4, chapter 10 </t>
  </si>
  <si>
    <t>tCO2e</t>
  </si>
  <si>
    <t>LEAKAGE LEy =</t>
  </si>
  <si>
    <t>Rvs,n</t>
  </si>
  <si>
    <t>Annex 1, ACM0010</t>
  </si>
  <si>
    <t xml:space="preserve">Total CH4 emissions </t>
  </si>
  <si>
    <t>from Land Application(tCO2e)</t>
  </si>
  <si>
    <t>Year</t>
  </si>
  <si>
    <t>Estimation of</t>
  </si>
  <si>
    <t>baseline emissions</t>
  </si>
  <si>
    <t>Project activity emissions</t>
  </si>
  <si>
    <t>overall emission reductions</t>
  </si>
  <si>
    <t>Appendix 1 coverded first cell of two cell lagoon</t>
    <phoneticPr fontId="5" type="noConversion"/>
  </si>
  <si>
    <t>Appendix 1 underfloor pit storage</t>
    <phoneticPr fontId="5" type="noConversion"/>
  </si>
  <si>
    <t>calculated</t>
    <phoneticPr fontId="5" type="noConversion"/>
  </si>
  <si>
    <t>-</t>
    <phoneticPr fontId="5" type="noConversion"/>
  </si>
  <si>
    <t>kg N2O-N/kg N</t>
    <phoneticPr fontId="5" type="noConversion"/>
  </si>
  <si>
    <t>kg N2O/kg N</t>
    <phoneticPr fontId="5" type="noConversion"/>
  </si>
  <si>
    <t>kg N</t>
    <phoneticPr fontId="5" type="noConversion"/>
  </si>
  <si>
    <t>ACM0010 Version 08.0, page 31</t>
    <phoneticPr fontId="5" type="noConversion"/>
  </si>
  <si>
    <t>Instruction</t>
    <phoneticPr fontId="5" type="noConversion"/>
  </si>
  <si>
    <t xml:space="preserve">2006 IPCC guideline, volume 4, chapter 10, tbl. 10.17 </t>
    <phoneticPr fontId="5" type="noConversion"/>
  </si>
  <si>
    <t>t/m3</t>
  </si>
  <si>
    <t>kg/hd/day</t>
    <phoneticPr fontId="5" type="noConversion"/>
  </si>
  <si>
    <t>kg/hd/y</t>
    <phoneticPr fontId="5" type="noConversion"/>
  </si>
  <si>
    <t>Annual volatile solid for livestock LT entering all AWMS [on a dry matter weight basis (kg/hd/year)</t>
    <phoneticPr fontId="5" type="noConversion"/>
  </si>
  <si>
    <t>ACM0010 Version 08.0, page 30</t>
    <phoneticPr fontId="5" type="noConversion"/>
  </si>
  <si>
    <t>2006 IPCC default value, vol. 4, ch. 10, tbl. 10.21</t>
    <phoneticPr fontId="5" type="noConversion"/>
  </si>
  <si>
    <t xml:space="preserve">according to page 28 of applied methodology, the default EF3 from table 10.21, chapter 10, volume 4, in the IPCC 2006 Guidelines can be used </t>
    <phoneticPr fontId="5" type="noConversion"/>
  </si>
  <si>
    <t>According to Equation 10.30 of chapter 10, volume 4, in the IPCC 2006 Guidelines</t>
    <phoneticPr fontId="5" type="noConversion"/>
  </si>
  <si>
    <t xml:space="preserve">according to page 28 of applied methodology, the default EF4 from table 11.3, chapter 11, volume 4, in the IPCC 2006 Guidelines can be used </t>
    <phoneticPr fontId="5" type="noConversion"/>
  </si>
  <si>
    <t>ACM0010 Version 08.0, page 14</t>
    <phoneticPr fontId="5" type="noConversion"/>
  </si>
  <si>
    <t>Default value of Tool 06-project emission from flaring(Version 03.0)</t>
    <phoneticPr fontId="5" type="noConversion"/>
  </si>
  <si>
    <t>Baseline, project and/or leakage emissions from electricity consumption and monitoring of electricity generation</t>
    <phoneticPr fontId="5" type="noConversion"/>
  </si>
  <si>
    <t>Page 12 of tool 14: Project and leakage emissions from anaerobic digesters(Version 02.0)</t>
    <phoneticPr fontId="5" type="noConversion"/>
  </si>
  <si>
    <t>Calculated</t>
    <phoneticPr fontId="5" type="noConversion"/>
  </si>
  <si>
    <t>Calcuated</t>
    <phoneticPr fontId="5" type="noConversion"/>
  </si>
  <si>
    <t xml:space="preserve">  Value </t>
    <phoneticPr fontId="5" type="noConversion"/>
  </si>
  <si>
    <t xml:space="preserve">Value </t>
    <phoneticPr fontId="5" type="noConversion"/>
  </si>
  <si>
    <t>MS%j</t>
    <phoneticPr fontId="5" type="noConversion"/>
  </si>
  <si>
    <t>2006 IPCC default value, vol. 4, ch. 10, tbl. 10.21,</t>
    <phoneticPr fontId="5" type="noConversion"/>
  </si>
  <si>
    <t>Default value for EF3 for uncovered anaerobic lagoons and anaerobic digesters</t>
    <phoneticPr fontId="5" type="noConversion"/>
  </si>
  <si>
    <t>Default value for EF3 for composting-in Vessel</t>
    <phoneticPr fontId="5" type="noConversion"/>
  </si>
  <si>
    <t>2006 IPCC default value, vol. 4, ch. 10, tbl.10.22 (According to Chapter 8.2 in US-EPA (2001), "a covered lagoon will not lose NH3-N to the atmosphere")</t>
    <phoneticPr fontId="5" type="noConversion"/>
  </si>
  <si>
    <t>Default value ACM0010,page 30</t>
    <phoneticPr fontId="5" type="noConversion"/>
  </si>
  <si>
    <t xml:space="preserve">Calculated  </t>
    <phoneticPr fontId="5" type="noConversion"/>
  </si>
  <si>
    <t>Average(tCO2e)</t>
    <phoneticPr fontId="5" type="noConversion"/>
  </si>
  <si>
    <t>Title of the project activity</t>
  </si>
  <si>
    <t>GS ID of the project activity</t>
    <phoneticPr fontId="6" type="noConversion"/>
  </si>
  <si>
    <t>Version number of this calculation sheet</t>
    <phoneticPr fontId="6" type="noConversion"/>
  </si>
  <si>
    <t>Date</t>
    <phoneticPr fontId="6" type="noConversion"/>
  </si>
  <si>
    <t>Duration of crediting period</t>
    <phoneticPr fontId="6" type="noConversion"/>
  </si>
  <si>
    <r>
      <t>a) CH4 emissions: PE</t>
    </r>
    <r>
      <rPr>
        <i/>
        <sz val="8"/>
        <color indexed="9"/>
        <rFont val="Verdana"/>
        <family val="2"/>
      </rPr>
      <t>Aer,y</t>
    </r>
  </si>
  <si>
    <r>
      <t>i) Methane emissions from AWMS where gas is captured (PE</t>
    </r>
    <r>
      <rPr>
        <vertAlign val="subscript"/>
        <sz val="8"/>
        <rFont val="Verdana"/>
        <family val="2"/>
      </rPr>
      <t>AD</t>
    </r>
    <r>
      <rPr>
        <sz val="8"/>
        <rFont val="Verdana"/>
        <family val="2"/>
      </rPr>
      <t xml:space="preserve">, y): </t>
    </r>
    <phoneticPr fontId="5" type="noConversion"/>
  </si>
  <si>
    <r>
      <t>EC</t>
    </r>
    <r>
      <rPr>
        <vertAlign val="subscript"/>
        <sz val="8"/>
        <rFont val="Verdana"/>
        <family val="2"/>
      </rPr>
      <t>PJ,j,y</t>
    </r>
  </si>
  <si>
    <r>
      <t>EF</t>
    </r>
    <r>
      <rPr>
        <vertAlign val="subscript"/>
        <sz val="8"/>
        <rFont val="Verdana"/>
        <family val="2"/>
      </rPr>
      <t>EF,j,y</t>
    </r>
  </si>
  <si>
    <r>
      <t>tCO</t>
    </r>
    <r>
      <rPr>
        <vertAlign val="subscript"/>
        <sz val="8"/>
        <rFont val="Verdana"/>
        <family val="2"/>
      </rPr>
      <t>2</t>
    </r>
    <r>
      <rPr>
        <sz val="8"/>
        <rFont val="Verdana"/>
        <family val="2"/>
      </rPr>
      <t>/MWh</t>
    </r>
  </si>
  <si>
    <r>
      <t>TDL</t>
    </r>
    <r>
      <rPr>
        <vertAlign val="subscript"/>
        <sz val="8"/>
        <rFont val="Verdana"/>
        <family val="2"/>
      </rPr>
      <t>j,y</t>
    </r>
  </si>
  <si>
    <r>
      <t>PE</t>
    </r>
    <r>
      <rPr>
        <b/>
        <vertAlign val="subscript"/>
        <sz val="8"/>
        <rFont val="Verdana"/>
        <family val="2"/>
      </rPr>
      <t>EC,y</t>
    </r>
  </si>
  <si>
    <r>
      <t>tCO</t>
    </r>
    <r>
      <rPr>
        <vertAlign val="subscript"/>
        <sz val="8"/>
        <rFont val="Verdana"/>
        <family val="2"/>
      </rPr>
      <t>2</t>
    </r>
    <r>
      <rPr>
        <sz val="8"/>
        <rFont val="Verdana"/>
        <family val="2"/>
      </rPr>
      <t>e</t>
    </r>
  </si>
  <si>
    <r>
      <t>PE</t>
    </r>
    <r>
      <rPr>
        <b/>
        <vertAlign val="subscript"/>
        <sz val="8"/>
        <rFont val="Verdana"/>
        <family val="2"/>
      </rPr>
      <t>FC,y</t>
    </r>
  </si>
  <si>
    <r>
      <t>GWP</t>
    </r>
    <r>
      <rPr>
        <i/>
        <vertAlign val="subscript"/>
        <sz val="8"/>
        <color indexed="8"/>
        <rFont val="Verdana"/>
        <family val="2"/>
      </rPr>
      <t>CH4</t>
    </r>
  </si>
  <si>
    <r>
      <t>EF</t>
    </r>
    <r>
      <rPr>
        <i/>
        <vertAlign val="subscript"/>
        <sz val="8"/>
        <color indexed="8"/>
        <rFont val="Verdana"/>
        <family val="2"/>
      </rPr>
      <t>CH4,default</t>
    </r>
  </si>
  <si>
    <r>
      <t>tCH</t>
    </r>
    <r>
      <rPr>
        <vertAlign val="subscript"/>
        <sz val="8"/>
        <rFont val="Verdana"/>
        <family val="2"/>
      </rPr>
      <t xml:space="preserve">4 </t>
    </r>
    <r>
      <rPr>
        <sz val="8"/>
        <rFont val="Verdana"/>
        <family val="2"/>
      </rPr>
      <t>leaked / tCH</t>
    </r>
    <r>
      <rPr>
        <vertAlign val="subscript"/>
        <sz val="8"/>
        <rFont val="Verdana"/>
        <family val="2"/>
      </rPr>
      <t>4</t>
    </r>
    <r>
      <rPr>
        <sz val="8"/>
        <rFont val="Verdana"/>
        <family val="2"/>
      </rPr>
      <t xml:space="preserve"> produced</t>
    </r>
    <phoneticPr fontId="5" type="noConversion"/>
  </si>
  <si>
    <r>
      <t>Q</t>
    </r>
    <r>
      <rPr>
        <vertAlign val="subscript"/>
        <sz val="8"/>
        <rFont val="Verdana"/>
        <family val="2"/>
      </rPr>
      <t>CH4,y</t>
    </r>
    <phoneticPr fontId="5" type="noConversion"/>
  </si>
  <si>
    <r>
      <t>PE</t>
    </r>
    <r>
      <rPr>
        <b/>
        <vertAlign val="subscript"/>
        <sz val="8"/>
        <rFont val="Verdana"/>
        <family val="2"/>
      </rPr>
      <t>CH4,y</t>
    </r>
  </si>
  <si>
    <r>
      <t>PE</t>
    </r>
    <r>
      <rPr>
        <b/>
        <vertAlign val="subscript"/>
        <sz val="8"/>
        <rFont val="Verdana"/>
        <family val="2"/>
      </rPr>
      <t>flare,y</t>
    </r>
    <phoneticPr fontId="5" type="noConversion"/>
  </si>
  <si>
    <r>
      <t>tCO</t>
    </r>
    <r>
      <rPr>
        <vertAlign val="subscript"/>
        <sz val="8"/>
        <rFont val="Verdana"/>
        <family val="2"/>
      </rPr>
      <t>2</t>
    </r>
    <r>
      <rPr>
        <sz val="8"/>
        <rFont val="Verdana"/>
        <family val="2"/>
      </rPr>
      <t>e</t>
    </r>
    <phoneticPr fontId="5" type="noConversion"/>
  </si>
  <si>
    <r>
      <t>PE</t>
    </r>
    <r>
      <rPr>
        <b/>
        <vertAlign val="subscript"/>
        <sz val="8"/>
        <rFont val="Verdana"/>
        <family val="2"/>
      </rPr>
      <t>AD,y</t>
    </r>
    <phoneticPr fontId="5" type="noConversion"/>
  </si>
  <si>
    <r>
      <t>GWP</t>
    </r>
    <r>
      <rPr>
        <vertAlign val="subscript"/>
        <sz val="8"/>
        <color indexed="8"/>
        <rFont val="Verdana"/>
        <family val="2"/>
      </rPr>
      <t>CH4</t>
    </r>
    <phoneticPr fontId="5" type="noConversion"/>
  </si>
  <si>
    <r>
      <t>D</t>
    </r>
    <r>
      <rPr>
        <vertAlign val="subscript"/>
        <sz val="8"/>
        <rFont val="Verdana"/>
        <family val="2"/>
      </rPr>
      <t>CH4</t>
    </r>
    <phoneticPr fontId="5" type="noConversion"/>
  </si>
  <si>
    <r>
      <t>F</t>
    </r>
    <r>
      <rPr>
        <vertAlign val="subscript"/>
        <sz val="8"/>
        <rFont val="Verdana"/>
        <family val="2"/>
      </rPr>
      <t>Aer</t>
    </r>
    <phoneticPr fontId="5" type="noConversion"/>
  </si>
  <si>
    <r>
      <t>1-R</t>
    </r>
    <r>
      <rPr>
        <vertAlign val="subscript"/>
        <sz val="8"/>
        <rFont val="Verdana"/>
        <family val="2"/>
      </rPr>
      <t>VS,n</t>
    </r>
    <phoneticPr fontId="5" type="noConversion"/>
  </si>
  <si>
    <r>
      <t>B</t>
    </r>
    <r>
      <rPr>
        <vertAlign val="subscript"/>
        <sz val="8"/>
        <rFont val="Verdana"/>
        <family val="2"/>
      </rPr>
      <t>o,LT</t>
    </r>
    <phoneticPr fontId="5" type="noConversion"/>
  </si>
  <si>
    <r>
      <t>N</t>
    </r>
    <r>
      <rPr>
        <vertAlign val="subscript"/>
        <sz val="8"/>
        <rFont val="Verdana"/>
        <family val="2"/>
      </rPr>
      <t>LT</t>
    </r>
    <phoneticPr fontId="5" type="noConversion"/>
  </si>
  <si>
    <r>
      <t>VS</t>
    </r>
    <r>
      <rPr>
        <vertAlign val="subscript"/>
        <sz val="8"/>
        <rFont val="Verdana"/>
        <family val="2"/>
      </rPr>
      <t>LT,y</t>
    </r>
    <phoneticPr fontId="5" type="noConversion"/>
  </si>
  <si>
    <r>
      <t>PE</t>
    </r>
    <r>
      <rPr>
        <b/>
        <vertAlign val="subscript"/>
        <sz val="8"/>
        <rFont val="Verdana"/>
        <family val="2"/>
      </rPr>
      <t>Aer,y</t>
    </r>
    <r>
      <rPr>
        <b/>
        <sz val="8"/>
        <rFont val="Verdana"/>
        <family val="2"/>
      </rPr>
      <t>(tCO2e)</t>
    </r>
    <phoneticPr fontId="5" type="noConversion"/>
  </si>
  <si>
    <r>
      <t>PE</t>
    </r>
    <r>
      <rPr>
        <b/>
        <vertAlign val="subscript"/>
        <sz val="8"/>
        <color indexed="9"/>
        <rFont val="Verdana"/>
        <family val="2"/>
      </rPr>
      <t>N2O,Y</t>
    </r>
    <r>
      <rPr>
        <b/>
        <sz val="8"/>
        <color indexed="9"/>
        <rFont val="Verdana"/>
        <family val="2"/>
      </rPr>
      <t>=310*(44/28)*1/1000*EF</t>
    </r>
    <r>
      <rPr>
        <b/>
        <vertAlign val="subscript"/>
        <sz val="8"/>
        <color indexed="9"/>
        <rFont val="Verdana"/>
        <family val="2"/>
      </rPr>
      <t>N2O</t>
    </r>
    <r>
      <rPr>
        <b/>
        <sz val="8"/>
        <color indexed="9"/>
        <rFont val="Verdana"/>
        <family val="2"/>
      </rPr>
      <t>*NEX*N</t>
    </r>
  </si>
  <si>
    <r>
      <t>E</t>
    </r>
    <r>
      <rPr>
        <b/>
        <vertAlign val="subscript"/>
        <sz val="8"/>
        <rFont val="Verdana"/>
        <family val="2"/>
      </rPr>
      <t>N2O,D,y</t>
    </r>
    <phoneticPr fontId="5" type="noConversion"/>
  </si>
  <si>
    <r>
      <t>Global Warming Potential tCO</t>
    </r>
    <r>
      <rPr>
        <vertAlign val="subscript"/>
        <sz val="8"/>
        <rFont val="Verdana"/>
        <family val="2"/>
      </rPr>
      <t>2</t>
    </r>
    <r>
      <rPr>
        <sz val="8"/>
        <rFont val="Verdana"/>
        <family val="2"/>
      </rPr>
      <t>/tN</t>
    </r>
    <r>
      <rPr>
        <vertAlign val="subscript"/>
        <sz val="8"/>
        <rFont val="Verdana"/>
        <family val="2"/>
      </rPr>
      <t>2</t>
    </r>
    <r>
      <rPr>
        <sz val="8"/>
        <rFont val="Verdana"/>
        <family val="2"/>
      </rPr>
      <t>O</t>
    </r>
  </si>
  <si>
    <r>
      <t>NEX</t>
    </r>
    <r>
      <rPr>
        <vertAlign val="subscript"/>
        <sz val="8"/>
        <rFont val="Verdana"/>
        <family val="2"/>
      </rPr>
      <t>LT,y</t>
    </r>
    <phoneticPr fontId="5" type="noConversion"/>
  </si>
  <si>
    <t>iv) Physical Leakage from distribution network of the captured methane in (PEPL)</t>
  </si>
  <si>
    <r>
      <t>tCO</t>
    </r>
    <r>
      <rPr>
        <vertAlign val="subscript"/>
        <sz val="9"/>
        <rFont val="Verdana"/>
        <family val="2"/>
      </rPr>
      <t>2</t>
    </r>
    <r>
      <rPr>
        <sz val="9"/>
        <rFont val="Verdana"/>
        <family val="2"/>
      </rPr>
      <t>e</t>
    </r>
  </si>
  <si>
    <r>
      <t>a. LE</t>
    </r>
    <r>
      <rPr>
        <i/>
        <sz val="9"/>
        <color indexed="9"/>
        <rFont val="Verdana"/>
        <family val="2"/>
      </rPr>
      <t xml:space="preserve">B,CH4 </t>
    </r>
    <r>
      <rPr>
        <b/>
        <sz val="9"/>
        <color indexed="9"/>
        <rFont val="Verdana"/>
        <family val="2"/>
      </rPr>
      <t>CH4- land application</t>
    </r>
  </si>
  <si>
    <r>
      <t>VS</t>
    </r>
    <r>
      <rPr>
        <i/>
        <sz val="9"/>
        <color indexed="9"/>
        <rFont val="Verdana"/>
        <family val="2"/>
      </rPr>
      <t>LT,M</t>
    </r>
  </si>
  <si>
    <r>
      <t>N</t>
    </r>
    <r>
      <rPr>
        <i/>
        <vertAlign val="subscript"/>
        <sz val="9"/>
        <color indexed="9"/>
        <rFont val="Verdana"/>
        <family val="2"/>
      </rPr>
      <t>population(head, animal population)</t>
    </r>
  </si>
  <si>
    <r>
      <t>B</t>
    </r>
    <r>
      <rPr>
        <i/>
        <sz val="9"/>
        <color indexed="9"/>
        <rFont val="Verdana"/>
        <family val="2"/>
      </rPr>
      <t>0,LT</t>
    </r>
  </si>
  <si>
    <r>
      <t>(tCO</t>
    </r>
    <r>
      <rPr>
        <b/>
        <vertAlign val="subscript"/>
        <sz val="9"/>
        <color indexed="8"/>
        <rFont val="Verdana"/>
        <family val="2"/>
      </rPr>
      <t>2</t>
    </r>
    <r>
      <rPr>
        <b/>
        <sz val="9"/>
        <color indexed="8"/>
        <rFont val="Verdana"/>
        <family val="2"/>
      </rPr>
      <t>e)</t>
    </r>
  </si>
  <si>
    <r>
      <t>Total(tCO</t>
    </r>
    <r>
      <rPr>
        <b/>
        <vertAlign val="subscript"/>
        <sz val="9"/>
        <color indexed="8"/>
        <rFont val="Verdana"/>
        <family val="2"/>
      </rPr>
      <t>2</t>
    </r>
    <r>
      <rPr>
        <b/>
        <sz val="9"/>
        <color indexed="8"/>
        <rFont val="Verdana"/>
        <family val="2"/>
      </rPr>
      <t>e)</t>
    </r>
    <phoneticPr fontId="5" type="noConversion"/>
  </si>
  <si>
    <t>Shuangbaotai Animal Manure Management System GHG Mitigation Project in Guangdong Province</t>
  </si>
  <si>
    <t>20/12/2020 - 19/12/2025 (both days included)</t>
    <phoneticPr fontId="6" type="noConversion"/>
  </si>
  <si>
    <t>Methane Conversion Factor for the baseline AWMSj / T=21.8 degrees celcius</t>
    <phoneticPr fontId="5" type="noConversion"/>
  </si>
  <si>
    <t>MCF with cons. Factor</t>
    <phoneticPr fontId="5" type="noConversion"/>
  </si>
  <si>
    <t>GS 11335</t>
    <phoneticPr fontId="6" type="noConversion"/>
  </si>
  <si>
    <t>IPCC AR5</t>
    <phoneticPr fontId="5" type="noConversion"/>
  </si>
  <si>
    <t>project evaluation report</t>
    <phoneticPr fontId="5" type="noConversion"/>
  </si>
  <si>
    <r>
      <t>NEX</t>
    </r>
    <r>
      <rPr>
        <vertAlign val="subscript"/>
        <sz val="9"/>
        <rFont val="Verdana"/>
        <family val="2"/>
      </rPr>
      <t>LT</t>
    </r>
    <phoneticPr fontId="5" type="noConversion"/>
  </si>
  <si>
    <r>
      <t>EF</t>
    </r>
    <r>
      <rPr>
        <vertAlign val="subscript"/>
        <sz val="8"/>
        <rFont val="Verdana"/>
        <family val="2"/>
      </rPr>
      <t xml:space="preserve">N2O,D,j </t>
    </r>
    <phoneticPr fontId="5" type="noConversion"/>
  </si>
  <si>
    <r>
      <t>MS%</t>
    </r>
    <r>
      <rPr>
        <vertAlign val="subscript"/>
        <sz val="8"/>
        <rFont val="Verdana"/>
        <family val="2"/>
      </rPr>
      <t>j</t>
    </r>
    <phoneticPr fontId="5" type="noConversion"/>
  </si>
  <si>
    <r>
      <t>F</t>
    </r>
    <r>
      <rPr>
        <vertAlign val="subscript"/>
        <sz val="8"/>
        <rFont val="Verdana"/>
        <family val="2"/>
      </rPr>
      <t>gasm</t>
    </r>
    <phoneticPr fontId="5" type="noConversion"/>
  </si>
  <si>
    <r>
      <t>GWP</t>
    </r>
    <r>
      <rPr>
        <vertAlign val="subscript"/>
        <sz val="8"/>
        <rFont val="Verdana"/>
        <family val="2"/>
      </rPr>
      <t>N2O</t>
    </r>
    <phoneticPr fontId="5" type="noConversion"/>
  </si>
  <si>
    <r>
      <t>EF</t>
    </r>
    <r>
      <rPr>
        <vertAlign val="subscript"/>
        <sz val="8"/>
        <rFont val="Verdana"/>
        <family val="2"/>
      </rPr>
      <t xml:space="preserve">N2O,ID,j </t>
    </r>
    <phoneticPr fontId="5" type="noConversion"/>
  </si>
  <si>
    <r>
      <t>tCO</t>
    </r>
    <r>
      <rPr>
        <b/>
        <vertAlign val="subscript"/>
        <sz val="8"/>
        <rFont val="Verdana"/>
        <family val="2"/>
      </rPr>
      <t>2</t>
    </r>
    <r>
      <rPr>
        <b/>
        <sz val="8"/>
        <rFont val="Verdana"/>
        <family val="2"/>
      </rPr>
      <t>e</t>
    </r>
    <phoneticPr fontId="5" type="noConversion"/>
  </si>
  <si>
    <r>
      <t>GWP</t>
    </r>
    <r>
      <rPr>
        <vertAlign val="subscript"/>
        <sz val="8"/>
        <rFont val="Verdana"/>
        <family val="2"/>
      </rPr>
      <t>CH4</t>
    </r>
    <phoneticPr fontId="5" type="noConversion"/>
  </si>
  <si>
    <r>
      <t>F</t>
    </r>
    <r>
      <rPr>
        <vertAlign val="subscript"/>
        <sz val="8"/>
        <rFont val="Verdana"/>
        <family val="2"/>
      </rPr>
      <t>CH4,RG,m</t>
    </r>
    <phoneticPr fontId="5" type="noConversion"/>
  </si>
  <si>
    <r>
      <t>η</t>
    </r>
    <r>
      <rPr>
        <vertAlign val="subscript"/>
        <sz val="8"/>
        <rFont val="Verdana"/>
        <family val="2"/>
      </rPr>
      <t>flare,m</t>
    </r>
    <phoneticPr fontId="5" type="noConversion"/>
  </si>
  <si>
    <r>
      <t>EF</t>
    </r>
    <r>
      <rPr>
        <vertAlign val="subscript"/>
        <sz val="8"/>
        <rFont val="Verdana"/>
        <family val="2"/>
      </rPr>
      <t>N2O,ID</t>
    </r>
    <phoneticPr fontId="5" type="noConversion"/>
  </si>
  <si>
    <r>
      <t>E</t>
    </r>
    <r>
      <rPr>
        <b/>
        <vertAlign val="subscript"/>
        <sz val="8"/>
        <rFont val="Verdana"/>
        <family val="2"/>
      </rPr>
      <t>N2O,ID,j</t>
    </r>
    <phoneticPr fontId="5" type="noConversion"/>
  </si>
  <si>
    <r>
      <t>PE</t>
    </r>
    <r>
      <rPr>
        <b/>
        <vertAlign val="subscript"/>
        <sz val="8"/>
        <rFont val="Verdana"/>
        <family val="2"/>
      </rPr>
      <t>N2O,Y</t>
    </r>
    <r>
      <rPr>
        <b/>
        <sz val="8"/>
        <rFont val="Verdana"/>
        <family val="2"/>
      </rPr>
      <t>=265*(44/28)*1/1000*E</t>
    </r>
    <r>
      <rPr>
        <b/>
        <vertAlign val="subscript"/>
        <sz val="8"/>
        <rFont val="Verdana"/>
        <family val="2"/>
      </rPr>
      <t>N2O,ID,j</t>
    </r>
    <r>
      <rPr>
        <b/>
        <sz val="8"/>
        <rFont val="Verdana"/>
        <family val="2"/>
      </rPr>
      <t xml:space="preserve"> =</t>
    </r>
    <phoneticPr fontId="5" type="noConversion"/>
  </si>
  <si>
    <r>
      <t>i) Estimation of N</t>
    </r>
    <r>
      <rPr>
        <vertAlign val="subscript"/>
        <sz val="9"/>
        <rFont val="Verdana"/>
        <family val="2"/>
      </rPr>
      <t>2</t>
    </r>
    <r>
      <rPr>
        <sz val="9"/>
        <rFont val="Verdana"/>
        <family val="2"/>
      </rPr>
      <t xml:space="preserve">O emissions: </t>
    </r>
    <phoneticPr fontId="5" type="noConversion"/>
  </si>
  <si>
    <r>
      <t>N</t>
    </r>
    <r>
      <rPr>
        <vertAlign val="subscript"/>
        <sz val="9"/>
        <rFont val="Verdana"/>
        <family val="2"/>
      </rPr>
      <t>LT</t>
    </r>
    <phoneticPr fontId="0" type="noConversion"/>
  </si>
  <si>
    <r>
      <t>N</t>
    </r>
    <r>
      <rPr>
        <vertAlign val="subscript"/>
        <sz val="9"/>
        <rFont val="Verdana"/>
        <family val="2"/>
      </rPr>
      <t>rate</t>
    </r>
    <phoneticPr fontId="42" type="noConversion"/>
  </si>
  <si>
    <r>
      <t>NEX</t>
    </r>
    <r>
      <rPr>
        <vertAlign val="subscript"/>
        <sz val="9"/>
        <rFont val="Verdana"/>
        <family val="2"/>
      </rPr>
      <t>LT,y</t>
    </r>
    <phoneticPr fontId="0" type="noConversion"/>
  </si>
  <si>
    <r>
      <t>R</t>
    </r>
    <r>
      <rPr>
        <i/>
        <vertAlign val="subscript"/>
        <sz val="9"/>
        <rFont val="Verdana"/>
        <family val="2"/>
      </rPr>
      <t>N,n</t>
    </r>
    <phoneticPr fontId="0" type="noConversion"/>
  </si>
  <si>
    <r>
      <t>EF</t>
    </r>
    <r>
      <rPr>
        <vertAlign val="subscript"/>
        <sz val="9"/>
        <rFont val="Verdana"/>
        <family val="2"/>
      </rPr>
      <t>1</t>
    </r>
    <phoneticPr fontId="0" type="noConversion"/>
  </si>
  <si>
    <r>
      <t>EF</t>
    </r>
    <r>
      <rPr>
        <vertAlign val="subscript"/>
        <sz val="9"/>
        <rFont val="Verdana"/>
        <family val="2"/>
      </rPr>
      <t>5</t>
    </r>
    <phoneticPr fontId="0" type="noConversion"/>
  </si>
  <si>
    <r>
      <t>EF</t>
    </r>
    <r>
      <rPr>
        <vertAlign val="subscript"/>
        <sz val="9"/>
        <rFont val="Verdana"/>
        <family val="2"/>
      </rPr>
      <t>4</t>
    </r>
    <phoneticPr fontId="0" type="noConversion"/>
  </si>
  <si>
    <r>
      <t>F</t>
    </r>
    <r>
      <rPr>
        <vertAlign val="subscript"/>
        <sz val="9"/>
        <rFont val="Verdana"/>
        <family val="2"/>
      </rPr>
      <t>leach</t>
    </r>
    <phoneticPr fontId="0" type="noConversion"/>
  </si>
  <si>
    <r>
      <t>F</t>
    </r>
    <r>
      <rPr>
        <vertAlign val="subscript"/>
        <sz val="9"/>
        <rFont val="Verdana"/>
        <family val="2"/>
      </rPr>
      <t>gasm</t>
    </r>
    <phoneticPr fontId="0" type="noConversion"/>
  </si>
  <si>
    <r>
      <t>GWP</t>
    </r>
    <r>
      <rPr>
        <vertAlign val="subscript"/>
        <sz val="9"/>
        <rFont val="Verdana"/>
        <family val="2"/>
      </rPr>
      <t>N2O</t>
    </r>
    <phoneticPr fontId="0" type="noConversion"/>
  </si>
  <si>
    <r>
      <t>LE</t>
    </r>
    <r>
      <rPr>
        <vertAlign val="subscript"/>
        <sz val="9"/>
        <rFont val="Verdana"/>
        <family val="2"/>
      </rPr>
      <t>N2O,land,y</t>
    </r>
    <phoneticPr fontId="0" type="noConversion"/>
  </si>
  <si>
    <r>
      <t>LE</t>
    </r>
    <r>
      <rPr>
        <vertAlign val="subscript"/>
        <sz val="9"/>
        <rFont val="Verdana"/>
        <family val="2"/>
      </rPr>
      <t>N2O,runoff,y</t>
    </r>
    <phoneticPr fontId="0" type="noConversion"/>
  </si>
  <si>
    <r>
      <t>LE</t>
    </r>
    <r>
      <rPr>
        <vertAlign val="subscript"/>
        <sz val="9"/>
        <rFont val="Verdana"/>
        <family val="2"/>
      </rPr>
      <t>N2O,vol,y</t>
    </r>
    <phoneticPr fontId="0" type="noConversion"/>
  </si>
  <si>
    <r>
      <t>LE</t>
    </r>
    <r>
      <rPr>
        <b/>
        <vertAlign val="subscript"/>
        <sz val="9"/>
        <rFont val="Verdana"/>
        <family val="2"/>
      </rPr>
      <t>BL,N2O,y</t>
    </r>
    <phoneticPr fontId="0" type="noConversion"/>
  </si>
  <si>
    <r>
      <t>kg N</t>
    </r>
    <r>
      <rPr>
        <vertAlign val="subscript"/>
        <sz val="9"/>
        <rFont val="Verdana"/>
        <family val="2"/>
      </rPr>
      <t>2</t>
    </r>
    <r>
      <rPr>
        <sz val="9"/>
        <rFont val="Verdana"/>
        <family val="2"/>
      </rPr>
      <t>O-N/year</t>
    </r>
    <phoneticPr fontId="0" type="noConversion"/>
  </si>
  <si>
    <r>
      <t>tCO</t>
    </r>
    <r>
      <rPr>
        <vertAlign val="subscript"/>
        <sz val="9"/>
        <rFont val="Verdana"/>
        <family val="2"/>
      </rPr>
      <t>2</t>
    </r>
    <r>
      <rPr>
        <sz val="9"/>
        <rFont val="Verdana"/>
        <family val="2"/>
      </rPr>
      <t>e</t>
    </r>
    <phoneticPr fontId="0" type="noConversion"/>
  </si>
  <si>
    <r>
      <t>tCO</t>
    </r>
    <r>
      <rPr>
        <vertAlign val="subscript"/>
        <sz val="9"/>
        <rFont val="Verdana"/>
        <family val="2"/>
      </rPr>
      <t>2</t>
    </r>
    <r>
      <rPr>
        <sz val="9"/>
        <rFont val="Verdana"/>
        <family val="2"/>
      </rPr>
      <t>/tN</t>
    </r>
    <r>
      <rPr>
        <vertAlign val="subscript"/>
        <sz val="9"/>
        <rFont val="Verdana"/>
        <family val="2"/>
      </rPr>
      <t>2</t>
    </r>
    <r>
      <rPr>
        <sz val="9"/>
        <rFont val="Verdana"/>
        <family val="2"/>
      </rPr>
      <t>O</t>
    </r>
    <phoneticPr fontId="0" type="noConversion"/>
  </si>
  <si>
    <r>
      <t>N</t>
    </r>
    <r>
      <rPr>
        <vertAlign val="subscript"/>
        <sz val="9"/>
        <rFont val="Verdana"/>
        <family val="2"/>
      </rPr>
      <t>LT</t>
    </r>
    <phoneticPr fontId="5" type="noConversion"/>
  </si>
  <si>
    <r>
      <t>LE</t>
    </r>
    <r>
      <rPr>
        <b/>
        <vertAlign val="subscript"/>
        <sz val="9"/>
        <rFont val="Verdana"/>
        <family val="2"/>
      </rPr>
      <t>P</t>
    </r>
    <r>
      <rPr>
        <i/>
        <vertAlign val="subscript"/>
        <sz val="9"/>
        <rFont val="Verdana"/>
        <family val="2"/>
      </rPr>
      <t>,N2O</t>
    </r>
    <phoneticPr fontId="5" type="noConversion"/>
  </si>
  <si>
    <r>
      <t>GWP</t>
    </r>
    <r>
      <rPr>
        <vertAlign val="subscript"/>
        <sz val="9"/>
        <rFont val="Verdana"/>
        <family val="2"/>
      </rPr>
      <t>CH4</t>
    </r>
    <phoneticPr fontId="0" type="noConversion"/>
  </si>
  <si>
    <r>
      <t>D</t>
    </r>
    <r>
      <rPr>
        <vertAlign val="subscript"/>
        <sz val="9"/>
        <rFont val="Verdana"/>
        <family val="2"/>
      </rPr>
      <t>CH4</t>
    </r>
    <phoneticPr fontId="0" type="noConversion"/>
  </si>
  <si>
    <r>
      <t>MCF</t>
    </r>
    <r>
      <rPr>
        <vertAlign val="subscript"/>
        <sz val="9"/>
        <rFont val="Verdana"/>
        <family val="2"/>
      </rPr>
      <t>d</t>
    </r>
    <phoneticPr fontId="0" type="noConversion"/>
  </si>
  <si>
    <r>
      <t>VS</t>
    </r>
    <r>
      <rPr>
        <vertAlign val="subscript"/>
        <sz val="9"/>
        <rFont val="Verdana"/>
        <family val="2"/>
      </rPr>
      <t>LT,y</t>
    </r>
    <phoneticPr fontId="0" type="noConversion"/>
  </si>
  <si>
    <r>
      <t>B</t>
    </r>
    <r>
      <rPr>
        <vertAlign val="subscript"/>
        <sz val="9"/>
        <rFont val="Verdana"/>
        <family val="2"/>
      </rPr>
      <t>o,LT</t>
    </r>
    <phoneticPr fontId="0" type="noConversion"/>
  </si>
  <si>
    <r>
      <t>R</t>
    </r>
    <r>
      <rPr>
        <vertAlign val="subscript"/>
        <sz val="9"/>
        <rFont val="Verdana"/>
        <family val="2"/>
      </rPr>
      <t xml:space="preserve">VS </t>
    </r>
    <phoneticPr fontId="0" type="noConversion"/>
  </si>
  <si>
    <r>
      <t>MS%</t>
    </r>
    <r>
      <rPr>
        <vertAlign val="subscript"/>
        <sz val="9"/>
        <rFont val="Verdana"/>
        <family val="2"/>
      </rPr>
      <t>j</t>
    </r>
    <phoneticPr fontId="0" type="noConversion"/>
  </si>
  <si>
    <r>
      <t>LE</t>
    </r>
    <r>
      <rPr>
        <b/>
        <vertAlign val="subscript"/>
        <sz val="9"/>
        <rFont val="Verdana"/>
        <family val="2"/>
      </rPr>
      <t>BL,CH4,y</t>
    </r>
    <phoneticPr fontId="0" type="noConversion"/>
  </si>
  <si>
    <r>
      <t>B</t>
    </r>
    <r>
      <rPr>
        <vertAlign val="subscript"/>
        <sz val="9"/>
        <rFont val="Verdana"/>
        <family val="2"/>
      </rPr>
      <t>0,LT</t>
    </r>
    <phoneticPr fontId="0" type="noConversion"/>
  </si>
  <si>
    <r>
      <t>R</t>
    </r>
    <r>
      <rPr>
        <vertAlign val="subscript"/>
        <sz val="9"/>
        <rFont val="Verdana"/>
        <family val="2"/>
      </rPr>
      <t>VS</t>
    </r>
    <phoneticPr fontId="0" type="noConversion"/>
  </si>
  <si>
    <r>
      <t>LE</t>
    </r>
    <r>
      <rPr>
        <b/>
        <vertAlign val="subscript"/>
        <sz val="9"/>
        <rFont val="Verdana"/>
        <family val="2"/>
      </rPr>
      <t xml:space="preserve"> PJ</t>
    </r>
    <r>
      <rPr>
        <b/>
        <i/>
        <vertAlign val="subscript"/>
        <sz val="9"/>
        <rFont val="Verdana"/>
        <family val="2"/>
      </rPr>
      <t>,CH4</t>
    </r>
    <r>
      <rPr>
        <b/>
        <vertAlign val="subscript"/>
        <sz val="9"/>
        <rFont val="Verdana"/>
        <family val="2"/>
      </rPr>
      <t xml:space="preserve"> ,y</t>
    </r>
    <phoneticPr fontId="0" type="noConversion"/>
  </si>
  <si>
    <r>
      <t>tCO</t>
    </r>
    <r>
      <rPr>
        <b/>
        <vertAlign val="subscript"/>
        <sz val="9"/>
        <rFont val="Verdana"/>
        <family val="2"/>
      </rPr>
      <t>2</t>
    </r>
    <r>
      <rPr>
        <b/>
        <sz val="9"/>
        <rFont val="Verdana"/>
        <family val="2"/>
      </rPr>
      <t>e</t>
    </r>
    <phoneticPr fontId="5" type="noConversion"/>
  </si>
  <si>
    <r>
      <t>LE</t>
    </r>
    <r>
      <rPr>
        <b/>
        <vertAlign val="subscript"/>
        <sz val="9"/>
        <rFont val="Verdana"/>
        <family val="2"/>
      </rPr>
      <t>B,CH4</t>
    </r>
    <phoneticPr fontId="5" type="noConversion"/>
  </si>
  <si>
    <r>
      <t>LE</t>
    </r>
    <r>
      <rPr>
        <b/>
        <vertAlign val="subscript"/>
        <sz val="9"/>
        <rFont val="Verdana"/>
        <family val="2"/>
      </rPr>
      <t>p,CH4</t>
    </r>
    <phoneticPr fontId="5" type="noConversion"/>
  </si>
  <si>
    <r>
      <t>LE</t>
    </r>
    <r>
      <rPr>
        <b/>
        <vertAlign val="subscript"/>
        <sz val="9"/>
        <rFont val="Verdana"/>
        <family val="2"/>
      </rPr>
      <t>B,N2O</t>
    </r>
    <phoneticPr fontId="5" type="noConversion"/>
  </si>
  <si>
    <r>
      <t>LE</t>
    </r>
    <r>
      <rPr>
        <b/>
        <vertAlign val="subscript"/>
        <sz val="9"/>
        <rFont val="Verdana"/>
        <family val="2"/>
      </rPr>
      <t>p,N2O</t>
    </r>
    <phoneticPr fontId="5" type="noConversion"/>
  </si>
  <si>
    <t>20/12/2020-31/12/2020</t>
    <phoneticPr fontId="5" type="noConversion"/>
  </si>
  <si>
    <t>01/01/2021-31/12/2021</t>
    <phoneticPr fontId="5" type="noConversion"/>
  </si>
  <si>
    <t>01/01/2022-31/12/2022</t>
    <phoneticPr fontId="5" type="noConversion"/>
  </si>
  <si>
    <t>01/01/2023-31/12/2023</t>
    <phoneticPr fontId="5" type="noConversion"/>
  </si>
  <si>
    <t>01/01/2024-31/12/2024</t>
    <phoneticPr fontId="5" type="noConversion"/>
  </si>
  <si>
    <t>01/01/2025-19/12/2025</t>
    <phoneticPr fontId="5" type="noConversion"/>
  </si>
  <si>
    <t>leakage emissions</t>
    <phoneticPr fontId="5" type="noConversion"/>
  </si>
  <si>
    <t>SDG7</t>
  </si>
  <si>
    <t>Time</t>
  </si>
  <si>
    <t>Total</t>
  </si>
  <si>
    <t>Average</t>
  </si>
  <si>
    <t>SDG8</t>
  </si>
  <si>
    <t>Total number of jobs</t>
  </si>
  <si>
    <t>18 full time jobs created,including 9 females and 9 males</t>
    <phoneticPr fontId="43" type="noConversion"/>
  </si>
  <si>
    <t>SDG13</t>
  </si>
  <si>
    <t>Time Interval</t>
  </si>
  <si>
    <r>
      <t>Amount of GHGs emission avoided or sequestered (tCO</t>
    </r>
    <r>
      <rPr>
        <vertAlign val="subscript"/>
        <sz val="9"/>
        <rFont val="Verdana"/>
        <family val="2"/>
      </rPr>
      <t>2</t>
    </r>
    <r>
      <rPr>
        <sz val="9"/>
        <rFont val="Verdana"/>
        <family val="2"/>
      </rPr>
      <t>eq)</t>
    </r>
    <phoneticPr fontId="43" type="noConversion"/>
  </si>
  <si>
    <r>
      <t>tCO</t>
    </r>
    <r>
      <rPr>
        <vertAlign val="subscript"/>
        <sz val="9"/>
        <rFont val="Verdana"/>
        <family val="2"/>
      </rPr>
      <t>2</t>
    </r>
    <r>
      <rPr>
        <sz val="9"/>
        <rFont val="Verdana"/>
        <family val="2"/>
      </rPr>
      <t>e/tCH</t>
    </r>
    <r>
      <rPr>
        <vertAlign val="subscript"/>
        <sz val="9"/>
        <rFont val="Verdana"/>
        <family val="2"/>
      </rPr>
      <t>4</t>
    </r>
    <phoneticPr fontId="5" type="noConversion"/>
  </si>
  <si>
    <r>
      <t>tCO</t>
    </r>
    <r>
      <rPr>
        <vertAlign val="subscript"/>
        <sz val="8"/>
        <color rgb="FF000000"/>
        <rFont val="Verdana"/>
        <family val="2"/>
      </rPr>
      <t>2</t>
    </r>
    <r>
      <rPr>
        <sz val="8"/>
        <color rgb="FF000000"/>
        <rFont val="Verdana"/>
        <family val="2"/>
      </rPr>
      <t>e/tCH</t>
    </r>
    <r>
      <rPr>
        <vertAlign val="subscript"/>
        <sz val="8"/>
        <color rgb="FF000000"/>
        <rFont val="Verdana"/>
        <family val="2"/>
      </rPr>
      <t>4</t>
    </r>
  </si>
  <si>
    <t>Appendix 1 of methodology ACM0010,aerobic treatment : 20%</t>
    <phoneticPr fontId="5" type="noConversion"/>
  </si>
  <si>
    <r>
      <t>tCO</t>
    </r>
    <r>
      <rPr>
        <vertAlign val="subscript"/>
        <sz val="8"/>
        <rFont val="Verdana"/>
        <family val="2"/>
      </rPr>
      <t>2</t>
    </r>
    <r>
      <rPr>
        <sz val="8"/>
        <rFont val="Verdana"/>
        <family val="2"/>
      </rPr>
      <t>/tN</t>
    </r>
    <r>
      <rPr>
        <vertAlign val="subscript"/>
        <sz val="8"/>
        <rFont val="Verdana"/>
        <family val="2"/>
      </rPr>
      <t>2</t>
    </r>
    <r>
      <rPr>
        <sz val="8"/>
        <rFont val="Verdana"/>
        <family val="2"/>
      </rPr>
      <t>O</t>
    </r>
    <phoneticPr fontId="5" type="noConversion"/>
  </si>
  <si>
    <t xml:space="preserve">Appendix 1 (anaerobic digester as "covered first cell of 2 cell lagoon") of ACM0010 </t>
    <phoneticPr fontId="42" type="noConversion"/>
  </si>
  <si>
    <r>
      <t>kg N</t>
    </r>
    <r>
      <rPr>
        <vertAlign val="subscript"/>
        <sz val="9"/>
        <rFont val="Verdana"/>
        <family val="2"/>
      </rPr>
      <t>2</t>
    </r>
    <r>
      <rPr>
        <sz val="9"/>
        <rFont val="Verdana"/>
        <family val="2"/>
      </rPr>
      <t>O-N/kg N</t>
    </r>
    <phoneticPr fontId="5" type="noConversion"/>
  </si>
  <si>
    <r>
      <t>R</t>
    </r>
    <r>
      <rPr>
        <i/>
        <vertAlign val="subscript"/>
        <sz val="9"/>
        <rFont val="Verdana"/>
        <family val="2"/>
      </rPr>
      <t>N</t>
    </r>
    <phoneticPr fontId="5" type="noConversion"/>
  </si>
  <si>
    <t>Appendix 1 (uncovered anaerobic lagoon as "one cell lagoon") of ACM0010</t>
    <phoneticPr fontId="0" type="noConversion"/>
  </si>
  <si>
    <r>
      <t>Annual amount of biogas utilized (m</t>
    </r>
    <r>
      <rPr>
        <vertAlign val="superscript"/>
        <sz val="9"/>
        <rFont val="Verdana"/>
        <family val="2"/>
      </rPr>
      <t>3</t>
    </r>
    <r>
      <rPr>
        <sz val="9"/>
        <rFont val="Verdana"/>
        <family val="2"/>
      </rPr>
      <t>)</t>
    </r>
    <phoneticPr fontId="43" type="noConversion"/>
  </si>
  <si>
    <r>
      <t>E</t>
    </r>
    <r>
      <rPr>
        <vertAlign val="subscript"/>
        <sz val="8"/>
        <rFont val="Verdana"/>
        <family val="2"/>
      </rPr>
      <t>N2O,D,y</t>
    </r>
    <phoneticPr fontId="0" type="noConversion"/>
  </si>
  <si>
    <r>
      <t>E</t>
    </r>
    <r>
      <rPr>
        <vertAlign val="subscript"/>
        <sz val="8"/>
        <rFont val="Verdana"/>
        <family val="2"/>
      </rPr>
      <t>N2O,ID,y</t>
    </r>
    <phoneticPr fontId="0" type="noConversion"/>
  </si>
  <si>
    <r>
      <t>i) CH</t>
    </r>
    <r>
      <rPr>
        <b/>
        <vertAlign val="subscript"/>
        <sz val="8"/>
        <rFont val="Verdana"/>
        <family val="2"/>
      </rPr>
      <t>4</t>
    </r>
    <r>
      <rPr>
        <b/>
        <sz val="8"/>
        <rFont val="Verdana"/>
        <family val="2"/>
      </rPr>
      <t xml:space="preserve"> emissions</t>
    </r>
    <phoneticPr fontId="5" type="noConversion"/>
  </si>
  <si>
    <r>
      <t>BE</t>
    </r>
    <r>
      <rPr>
        <i/>
        <vertAlign val="subscript"/>
        <sz val="8"/>
        <rFont val="Verdana"/>
        <family val="2"/>
      </rPr>
      <t>CH4,y</t>
    </r>
    <r>
      <rPr>
        <b/>
        <sz val="8"/>
        <rFont val="Verdana"/>
        <family val="2"/>
      </rPr>
      <t xml:space="preserve"> = GWP</t>
    </r>
    <r>
      <rPr>
        <i/>
        <vertAlign val="subscript"/>
        <sz val="8"/>
        <rFont val="Verdana"/>
        <family val="2"/>
      </rPr>
      <t>CH4,y</t>
    </r>
    <r>
      <rPr>
        <b/>
        <sz val="8"/>
        <rFont val="Verdana"/>
        <family val="2"/>
      </rPr>
      <t xml:space="preserve"> * D</t>
    </r>
    <r>
      <rPr>
        <i/>
        <vertAlign val="subscript"/>
        <sz val="8"/>
        <rFont val="Verdana"/>
        <family val="2"/>
      </rPr>
      <t>CH4</t>
    </r>
    <r>
      <rPr>
        <b/>
        <sz val="8"/>
        <rFont val="Verdana"/>
        <family val="2"/>
      </rPr>
      <t xml:space="preserve"> * MCF</t>
    </r>
    <r>
      <rPr>
        <i/>
        <vertAlign val="subscript"/>
        <sz val="8"/>
        <rFont val="Verdana"/>
        <family val="2"/>
      </rPr>
      <t>j</t>
    </r>
    <r>
      <rPr>
        <b/>
        <vertAlign val="subscript"/>
        <sz val="8"/>
        <rFont val="Verdana"/>
        <family val="2"/>
      </rPr>
      <t xml:space="preserve"> </t>
    </r>
    <r>
      <rPr>
        <b/>
        <sz val="8"/>
        <rFont val="Verdana"/>
        <family val="2"/>
      </rPr>
      <t>* B</t>
    </r>
    <r>
      <rPr>
        <vertAlign val="subscript"/>
        <sz val="8"/>
        <rFont val="Verdana"/>
        <family val="2"/>
      </rPr>
      <t>o,LT</t>
    </r>
    <r>
      <rPr>
        <b/>
        <sz val="8"/>
        <rFont val="Verdana"/>
        <family val="2"/>
      </rPr>
      <t xml:space="preserve"> * N</t>
    </r>
    <r>
      <rPr>
        <b/>
        <vertAlign val="subscript"/>
        <sz val="8"/>
        <rFont val="Verdana"/>
        <family val="2"/>
      </rPr>
      <t>LT</t>
    </r>
    <r>
      <rPr>
        <b/>
        <sz val="8"/>
        <rFont val="Verdana"/>
        <family val="2"/>
      </rPr>
      <t xml:space="preserve"> * VS</t>
    </r>
    <r>
      <rPr>
        <i/>
        <vertAlign val="subscript"/>
        <sz val="8"/>
        <rFont val="Verdana"/>
        <family val="2"/>
      </rPr>
      <t>LT,y</t>
    </r>
    <r>
      <rPr>
        <b/>
        <sz val="8"/>
        <rFont val="Verdana"/>
        <family val="2"/>
      </rPr>
      <t xml:space="preserve"> * MS%</t>
    </r>
    <r>
      <rPr>
        <i/>
        <vertAlign val="subscript"/>
        <sz val="8"/>
        <rFont val="Verdana"/>
        <family val="2"/>
      </rPr>
      <t>Bl,j</t>
    </r>
    <phoneticPr fontId="5" type="noConversion"/>
  </si>
  <si>
    <r>
      <t>Approved Global Warming Potential of CH</t>
    </r>
    <r>
      <rPr>
        <vertAlign val="subscript"/>
        <sz val="8"/>
        <color indexed="8"/>
        <rFont val="Verdana"/>
        <family val="2"/>
      </rPr>
      <t>4</t>
    </r>
    <phoneticPr fontId="5" type="noConversion"/>
  </si>
  <si>
    <r>
      <t>D</t>
    </r>
    <r>
      <rPr>
        <i/>
        <vertAlign val="subscript"/>
        <sz val="8"/>
        <color indexed="8"/>
        <rFont val="Verdana"/>
        <family val="2"/>
      </rPr>
      <t>CH4</t>
    </r>
  </si>
  <si>
    <r>
      <t>t/m</t>
    </r>
    <r>
      <rPr>
        <vertAlign val="superscript"/>
        <sz val="8"/>
        <color indexed="8"/>
        <rFont val="Verdana"/>
        <family val="2"/>
      </rPr>
      <t>3</t>
    </r>
  </si>
  <si>
    <r>
      <t>Density CH</t>
    </r>
    <r>
      <rPr>
        <vertAlign val="subscript"/>
        <sz val="8"/>
        <color indexed="8"/>
        <rFont val="Verdana"/>
        <family val="2"/>
      </rPr>
      <t>4</t>
    </r>
    <r>
      <rPr>
        <sz val="8"/>
        <color indexed="8"/>
        <rFont val="Verdana"/>
        <family val="2"/>
      </rPr>
      <t xml:space="preserve"> (20 </t>
    </r>
    <r>
      <rPr>
        <sz val="8"/>
        <color indexed="8"/>
        <rFont val="Segoe UI Symbol"/>
        <family val="2"/>
      </rPr>
      <t>℃</t>
    </r>
    <r>
      <rPr>
        <sz val="8"/>
        <color indexed="8"/>
        <rFont val="Verdana"/>
        <family val="2"/>
      </rPr>
      <t>, 1 atm)</t>
    </r>
    <phoneticPr fontId="5" type="noConversion"/>
  </si>
  <si>
    <r>
      <t>MCF</t>
    </r>
    <r>
      <rPr>
        <vertAlign val="subscript"/>
        <sz val="8"/>
        <color indexed="8"/>
        <rFont val="Verdana"/>
        <family val="2"/>
      </rPr>
      <t>j</t>
    </r>
  </si>
  <si>
    <r>
      <t>B</t>
    </r>
    <r>
      <rPr>
        <i/>
        <vertAlign val="subscript"/>
        <sz val="8"/>
        <color indexed="8"/>
        <rFont val="Verdana"/>
        <family val="2"/>
      </rPr>
      <t>o,LT</t>
    </r>
    <phoneticPr fontId="5" type="noConversion"/>
  </si>
  <si>
    <r>
      <t>m</t>
    </r>
    <r>
      <rPr>
        <vertAlign val="superscript"/>
        <sz val="8"/>
        <color indexed="8"/>
        <rFont val="Verdana"/>
        <family val="2"/>
      </rPr>
      <t>3</t>
    </r>
    <r>
      <rPr>
        <sz val="8"/>
        <color indexed="8"/>
        <rFont val="Verdana"/>
        <family val="2"/>
      </rPr>
      <t xml:space="preserve"> CH</t>
    </r>
    <r>
      <rPr>
        <vertAlign val="subscript"/>
        <sz val="8"/>
        <color indexed="8"/>
        <rFont val="Verdana"/>
        <family val="2"/>
      </rPr>
      <t>4</t>
    </r>
    <r>
      <rPr>
        <sz val="8"/>
        <color indexed="8"/>
        <rFont val="Verdana"/>
        <family val="2"/>
      </rPr>
      <t xml:space="preserve"> /kg VS</t>
    </r>
    <phoneticPr fontId="5" type="noConversion"/>
  </si>
  <si>
    <r>
      <t>N</t>
    </r>
    <r>
      <rPr>
        <vertAlign val="subscript"/>
        <sz val="8"/>
        <color indexed="8"/>
        <rFont val="Verdana"/>
        <family val="2"/>
      </rPr>
      <t>LT</t>
    </r>
    <phoneticPr fontId="5" type="noConversion"/>
  </si>
  <si>
    <r>
      <t>W</t>
    </r>
    <r>
      <rPr>
        <i/>
        <vertAlign val="subscript"/>
        <sz val="8"/>
        <color indexed="8"/>
        <rFont val="Verdana"/>
        <family val="2"/>
      </rPr>
      <t>default</t>
    </r>
    <r>
      <rPr>
        <sz val="8"/>
        <color indexed="8"/>
        <rFont val="Verdana"/>
        <family val="2"/>
      </rPr>
      <t>,i.e.TAM</t>
    </r>
    <phoneticPr fontId="5" type="noConversion"/>
  </si>
  <si>
    <r>
      <t>VS</t>
    </r>
    <r>
      <rPr>
        <vertAlign val="subscript"/>
        <sz val="8"/>
        <color rgb="FF000000"/>
        <rFont val="Verdana"/>
        <family val="2"/>
      </rPr>
      <t>default</t>
    </r>
    <phoneticPr fontId="5" type="noConversion"/>
  </si>
  <si>
    <r>
      <t>VS</t>
    </r>
    <r>
      <rPr>
        <vertAlign val="subscript"/>
        <sz val="8"/>
        <color rgb="FF000000"/>
        <rFont val="Verdana"/>
        <family val="2"/>
      </rPr>
      <t>LT,y</t>
    </r>
    <phoneticPr fontId="5" type="noConversion"/>
  </si>
  <si>
    <r>
      <t>MS%</t>
    </r>
    <r>
      <rPr>
        <vertAlign val="subscript"/>
        <sz val="8"/>
        <color rgb="FF000000"/>
        <rFont val="Verdana"/>
        <family val="2"/>
      </rPr>
      <t>Bl,j</t>
    </r>
    <phoneticPr fontId="5" type="noConversion"/>
  </si>
  <si>
    <r>
      <t>N</t>
    </r>
    <r>
      <rPr>
        <vertAlign val="subscript"/>
        <sz val="8"/>
        <color rgb="FF000000"/>
        <rFont val="Verdana"/>
        <family val="2"/>
      </rPr>
      <t>dy</t>
    </r>
    <phoneticPr fontId="5" type="noConversion"/>
  </si>
  <si>
    <r>
      <t>BE</t>
    </r>
    <r>
      <rPr>
        <b/>
        <vertAlign val="subscript"/>
        <sz val="8"/>
        <color rgb="FF000000"/>
        <rFont val="Verdana"/>
        <family val="2"/>
      </rPr>
      <t>CH4</t>
    </r>
    <r>
      <rPr>
        <b/>
        <sz val="8"/>
        <color indexed="8"/>
        <rFont val="Verdana"/>
        <family val="2"/>
      </rPr>
      <t xml:space="preserve"> (tCO</t>
    </r>
    <r>
      <rPr>
        <b/>
        <vertAlign val="subscript"/>
        <sz val="8"/>
        <color rgb="FF000000"/>
        <rFont val="Verdana"/>
        <family val="2"/>
      </rPr>
      <t>2</t>
    </r>
    <r>
      <rPr>
        <b/>
        <sz val="8"/>
        <color indexed="8"/>
        <rFont val="Verdana"/>
        <family val="2"/>
      </rPr>
      <t>e)</t>
    </r>
    <phoneticPr fontId="5" type="noConversion"/>
  </si>
  <si>
    <r>
      <t>BE</t>
    </r>
    <r>
      <rPr>
        <i/>
        <vertAlign val="subscript"/>
        <sz val="8"/>
        <rFont val="Verdana"/>
        <family val="2"/>
      </rPr>
      <t>N2O,y</t>
    </r>
    <r>
      <rPr>
        <i/>
        <sz val="8"/>
        <rFont val="Verdana"/>
        <family val="2"/>
      </rPr>
      <t xml:space="preserve"> </t>
    </r>
    <r>
      <rPr>
        <b/>
        <sz val="8"/>
        <rFont val="Verdana"/>
        <family val="2"/>
      </rPr>
      <t>= GWP</t>
    </r>
    <r>
      <rPr>
        <b/>
        <vertAlign val="subscript"/>
        <sz val="8"/>
        <rFont val="Verdana"/>
        <family val="2"/>
      </rPr>
      <t>N2O</t>
    </r>
    <r>
      <rPr>
        <b/>
        <sz val="8"/>
        <rFont val="Verdana"/>
        <family val="2"/>
      </rPr>
      <t>*CF</t>
    </r>
    <r>
      <rPr>
        <b/>
        <vertAlign val="subscript"/>
        <sz val="8"/>
        <rFont val="Verdana"/>
        <family val="2"/>
      </rPr>
      <t>N2O-N,N</t>
    </r>
    <r>
      <rPr>
        <b/>
        <sz val="8"/>
        <rFont val="Verdana"/>
        <family val="2"/>
      </rPr>
      <t>* 1/1000*(E</t>
    </r>
    <r>
      <rPr>
        <b/>
        <vertAlign val="subscript"/>
        <sz val="8"/>
        <rFont val="Verdana"/>
        <family val="2"/>
      </rPr>
      <t>N2O,D,y</t>
    </r>
    <r>
      <rPr>
        <b/>
        <sz val="8"/>
        <rFont val="Verdana"/>
        <family val="2"/>
      </rPr>
      <t xml:space="preserve"> + E</t>
    </r>
    <r>
      <rPr>
        <b/>
        <vertAlign val="subscript"/>
        <sz val="8"/>
        <rFont val="Verdana"/>
        <family val="2"/>
      </rPr>
      <t>N2O,ID,y</t>
    </r>
    <r>
      <rPr>
        <b/>
        <sz val="8"/>
        <rFont val="Verdana"/>
        <family val="2"/>
      </rPr>
      <t>)</t>
    </r>
    <phoneticPr fontId="5" type="noConversion"/>
  </si>
  <si>
    <r>
      <t>E</t>
    </r>
    <r>
      <rPr>
        <b/>
        <i/>
        <vertAlign val="subscript"/>
        <sz val="8"/>
        <rFont val="Verdana"/>
        <family val="2"/>
      </rPr>
      <t>N2O,D,y</t>
    </r>
    <r>
      <rPr>
        <b/>
        <i/>
        <sz val="8"/>
        <rFont val="Verdana"/>
        <family val="2"/>
      </rPr>
      <t xml:space="preserve"> = EF</t>
    </r>
    <r>
      <rPr>
        <b/>
        <i/>
        <vertAlign val="subscript"/>
        <sz val="8"/>
        <rFont val="Verdana"/>
        <family val="2"/>
      </rPr>
      <t>N2O,D,j</t>
    </r>
    <r>
      <rPr>
        <b/>
        <i/>
        <sz val="8"/>
        <rFont val="Verdana"/>
        <family val="2"/>
      </rPr>
      <t xml:space="preserve"> * NEX</t>
    </r>
    <r>
      <rPr>
        <b/>
        <i/>
        <vertAlign val="subscript"/>
        <sz val="8"/>
        <rFont val="Verdana"/>
        <family val="2"/>
      </rPr>
      <t>LT,y</t>
    </r>
    <r>
      <rPr>
        <b/>
        <i/>
        <sz val="8"/>
        <rFont val="Verdana"/>
        <family val="2"/>
      </rPr>
      <t xml:space="preserve"> * N</t>
    </r>
    <r>
      <rPr>
        <b/>
        <i/>
        <vertAlign val="subscript"/>
        <sz val="8"/>
        <rFont val="Verdana"/>
        <family val="2"/>
      </rPr>
      <t>LT</t>
    </r>
    <r>
      <rPr>
        <b/>
        <i/>
        <sz val="8"/>
        <rFont val="Verdana"/>
        <family val="2"/>
      </rPr>
      <t xml:space="preserve"> * MS%</t>
    </r>
    <r>
      <rPr>
        <b/>
        <i/>
        <vertAlign val="subscript"/>
        <sz val="8"/>
        <rFont val="Verdana"/>
        <family val="2"/>
      </rPr>
      <t>BL,j</t>
    </r>
    <phoneticPr fontId="5" type="noConversion"/>
  </si>
  <si>
    <r>
      <t>NEX</t>
    </r>
    <r>
      <rPr>
        <b/>
        <i/>
        <vertAlign val="subscript"/>
        <sz val="8"/>
        <rFont val="Verdana"/>
        <family val="2"/>
      </rPr>
      <t>IPCC default</t>
    </r>
    <r>
      <rPr>
        <b/>
        <i/>
        <sz val="8"/>
        <rFont val="Verdana"/>
        <family val="2"/>
      </rPr>
      <t>=N</t>
    </r>
    <r>
      <rPr>
        <b/>
        <i/>
        <vertAlign val="subscript"/>
        <sz val="8"/>
        <rFont val="Verdana"/>
        <family val="2"/>
      </rPr>
      <t>rate(T)</t>
    </r>
    <r>
      <rPr>
        <b/>
        <i/>
        <sz val="8"/>
        <rFont val="Verdana"/>
        <family val="2"/>
      </rPr>
      <t>*TAM/1000*365</t>
    </r>
    <phoneticPr fontId="5" type="noConversion"/>
  </si>
  <si>
    <r>
      <t>EF</t>
    </r>
    <r>
      <rPr>
        <i/>
        <vertAlign val="subscript"/>
        <sz val="8"/>
        <rFont val="Verdana"/>
        <family val="2"/>
      </rPr>
      <t>N2O,D,j</t>
    </r>
  </si>
  <si>
    <r>
      <t>kg N</t>
    </r>
    <r>
      <rPr>
        <vertAlign val="subscript"/>
        <sz val="8"/>
        <rFont val="Verdana"/>
        <family val="2"/>
      </rPr>
      <t>2</t>
    </r>
    <r>
      <rPr>
        <sz val="8"/>
        <rFont val="Verdana"/>
        <family val="2"/>
      </rPr>
      <t>O-N/kg N</t>
    </r>
  </si>
  <si>
    <r>
      <t>N</t>
    </r>
    <r>
      <rPr>
        <i/>
        <vertAlign val="subscript"/>
        <sz val="8"/>
        <rFont val="Verdana"/>
        <family val="2"/>
      </rPr>
      <t>rate(t)</t>
    </r>
    <phoneticPr fontId="5" type="noConversion"/>
  </si>
  <si>
    <r>
      <t>NEX</t>
    </r>
    <r>
      <rPr>
        <i/>
        <vertAlign val="subscript"/>
        <sz val="8"/>
        <rFont val="Verdana"/>
        <family val="2"/>
      </rPr>
      <t>IPCCdefault</t>
    </r>
    <phoneticPr fontId="5" type="noConversion"/>
  </si>
  <si>
    <r>
      <t>W</t>
    </r>
    <r>
      <rPr>
        <i/>
        <vertAlign val="subscript"/>
        <sz val="8"/>
        <rFont val="Verdana"/>
        <family val="2"/>
      </rPr>
      <t>site</t>
    </r>
    <phoneticPr fontId="5" type="noConversion"/>
  </si>
  <si>
    <r>
      <t>W</t>
    </r>
    <r>
      <rPr>
        <i/>
        <vertAlign val="subscript"/>
        <sz val="8"/>
        <rFont val="Verdana"/>
        <family val="2"/>
      </rPr>
      <t>default</t>
    </r>
    <r>
      <rPr>
        <i/>
        <sz val="8"/>
        <rFont val="Verdana"/>
        <family val="2"/>
      </rPr>
      <t>,i.e.TAM</t>
    </r>
    <phoneticPr fontId="5" type="noConversion"/>
  </si>
  <si>
    <r>
      <t>NEX</t>
    </r>
    <r>
      <rPr>
        <i/>
        <vertAlign val="subscript"/>
        <sz val="8"/>
        <rFont val="Verdana"/>
        <family val="2"/>
      </rPr>
      <t>LT,y</t>
    </r>
    <phoneticPr fontId="5" type="noConversion"/>
  </si>
  <si>
    <r>
      <t>N</t>
    </r>
    <r>
      <rPr>
        <i/>
        <vertAlign val="subscript"/>
        <sz val="8"/>
        <rFont val="Verdana"/>
        <family val="2"/>
      </rPr>
      <t>LT</t>
    </r>
    <phoneticPr fontId="5" type="noConversion"/>
  </si>
  <si>
    <r>
      <t>MS%</t>
    </r>
    <r>
      <rPr>
        <vertAlign val="subscript"/>
        <sz val="8"/>
        <rFont val="Verdana"/>
        <family val="2"/>
      </rPr>
      <t>Bl,j</t>
    </r>
    <phoneticPr fontId="5" type="noConversion"/>
  </si>
  <si>
    <r>
      <t>Indirect N</t>
    </r>
    <r>
      <rPr>
        <b/>
        <vertAlign val="subscript"/>
        <sz val="8"/>
        <rFont val="Verdana"/>
        <family val="2"/>
      </rPr>
      <t>2</t>
    </r>
    <r>
      <rPr>
        <b/>
        <sz val="8"/>
        <rFont val="Verdana"/>
        <family val="2"/>
      </rPr>
      <t>O Emissions</t>
    </r>
    <phoneticPr fontId="5" type="noConversion"/>
  </si>
  <si>
    <r>
      <t>E</t>
    </r>
    <r>
      <rPr>
        <b/>
        <i/>
        <vertAlign val="subscript"/>
        <sz val="8"/>
        <rFont val="Verdana"/>
        <family val="2"/>
      </rPr>
      <t>N2O,ID,y</t>
    </r>
    <r>
      <rPr>
        <b/>
        <i/>
        <sz val="8"/>
        <rFont val="Verdana"/>
        <family val="2"/>
      </rPr>
      <t xml:space="preserve"> = EF</t>
    </r>
    <r>
      <rPr>
        <b/>
        <i/>
        <vertAlign val="subscript"/>
        <sz val="8"/>
        <rFont val="Verdana"/>
        <family val="2"/>
      </rPr>
      <t>N2O,ID,j</t>
    </r>
    <r>
      <rPr>
        <b/>
        <i/>
        <sz val="8"/>
        <rFont val="Verdana"/>
        <family val="2"/>
      </rPr>
      <t>* F</t>
    </r>
    <r>
      <rPr>
        <b/>
        <i/>
        <vertAlign val="subscript"/>
        <sz val="8"/>
        <rFont val="Verdana"/>
        <family val="2"/>
      </rPr>
      <t xml:space="preserve">gasm </t>
    </r>
    <r>
      <rPr>
        <b/>
        <i/>
        <sz val="8"/>
        <rFont val="Verdana"/>
        <family val="2"/>
      </rPr>
      <t>* NEX</t>
    </r>
    <r>
      <rPr>
        <b/>
        <i/>
        <vertAlign val="subscript"/>
        <sz val="8"/>
        <rFont val="Verdana"/>
        <family val="2"/>
      </rPr>
      <t>LT,y</t>
    </r>
    <r>
      <rPr>
        <b/>
        <i/>
        <sz val="8"/>
        <rFont val="Verdana"/>
        <family val="2"/>
      </rPr>
      <t xml:space="preserve"> * N</t>
    </r>
    <r>
      <rPr>
        <b/>
        <i/>
        <vertAlign val="subscript"/>
        <sz val="8"/>
        <rFont val="Verdana"/>
        <family val="2"/>
      </rPr>
      <t>LT</t>
    </r>
    <r>
      <rPr>
        <b/>
        <i/>
        <sz val="8"/>
        <rFont val="Verdana"/>
        <family val="2"/>
      </rPr>
      <t xml:space="preserve"> * MS%</t>
    </r>
    <r>
      <rPr>
        <b/>
        <i/>
        <vertAlign val="subscript"/>
        <sz val="8"/>
        <rFont val="Verdana"/>
        <family val="2"/>
      </rPr>
      <t>BL,j</t>
    </r>
    <phoneticPr fontId="5" type="noConversion"/>
  </si>
  <si>
    <r>
      <t>EF</t>
    </r>
    <r>
      <rPr>
        <i/>
        <vertAlign val="subscript"/>
        <sz val="8"/>
        <rFont val="Verdana"/>
        <family val="2"/>
      </rPr>
      <t>N2O,ID,j</t>
    </r>
  </si>
  <si>
    <r>
      <t>kg N</t>
    </r>
    <r>
      <rPr>
        <vertAlign val="subscript"/>
        <sz val="8"/>
        <rFont val="Verdana"/>
        <family val="2"/>
      </rPr>
      <t>2</t>
    </r>
    <r>
      <rPr>
        <sz val="8"/>
        <rFont val="Verdana"/>
        <family val="2"/>
      </rPr>
      <t>O/kg N</t>
    </r>
  </si>
  <si>
    <r>
      <t>F</t>
    </r>
    <r>
      <rPr>
        <i/>
        <vertAlign val="subscript"/>
        <sz val="8"/>
        <rFont val="Verdana"/>
        <family val="2"/>
      </rPr>
      <t>gasm</t>
    </r>
    <phoneticPr fontId="5" type="noConversion"/>
  </si>
  <si>
    <r>
      <t>NEX</t>
    </r>
    <r>
      <rPr>
        <vertAlign val="subscript"/>
        <sz val="8"/>
        <rFont val="Verdana"/>
        <family val="2"/>
      </rPr>
      <t>LT</t>
    </r>
    <phoneticPr fontId="5" type="noConversion"/>
  </si>
  <si>
    <r>
      <t>tCO</t>
    </r>
    <r>
      <rPr>
        <vertAlign val="subscript"/>
        <sz val="8"/>
        <rFont val="Verdana"/>
        <family val="2"/>
      </rPr>
      <t>2</t>
    </r>
    <r>
      <rPr>
        <sz val="8"/>
        <rFont val="Verdana"/>
        <family val="2"/>
      </rPr>
      <t>e/tN2O</t>
    </r>
    <phoneticPr fontId="5" type="noConversion"/>
  </si>
  <si>
    <r>
      <t>Approved Global Warming Potential of N</t>
    </r>
    <r>
      <rPr>
        <vertAlign val="subscript"/>
        <sz val="8"/>
        <color indexed="8"/>
        <rFont val="Verdana"/>
        <family val="2"/>
      </rPr>
      <t>2</t>
    </r>
    <r>
      <rPr>
        <sz val="8"/>
        <color indexed="8"/>
        <rFont val="Verdana"/>
        <family val="2"/>
      </rPr>
      <t>O</t>
    </r>
    <phoneticPr fontId="5" type="noConversion"/>
  </si>
  <si>
    <r>
      <t>CF</t>
    </r>
    <r>
      <rPr>
        <vertAlign val="subscript"/>
        <sz val="8"/>
        <rFont val="Verdana"/>
        <family val="2"/>
      </rPr>
      <t>N20,N-N</t>
    </r>
    <phoneticPr fontId="5" type="noConversion"/>
  </si>
  <si>
    <r>
      <t>Conversion Factor N</t>
    </r>
    <r>
      <rPr>
        <vertAlign val="subscript"/>
        <sz val="8"/>
        <rFont val="Verdana"/>
        <family val="2"/>
      </rPr>
      <t>2</t>
    </r>
    <r>
      <rPr>
        <sz val="8"/>
        <rFont val="Verdana"/>
        <family val="2"/>
      </rPr>
      <t>O-N to N</t>
    </r>
    <r>
      <rPr>
        <vertAlign val="subscript"/>
        <sz val="8"/>
        <rFont val="Verdana"/>
        <family val="2"/>
      </rPr>
      <t>2</t>
    </r>
    <r>
      <rPr>
        <sz val="8"/>
        <rFont val="Verdana"/>
        <family val="2"/>
      </rPr>
      <t>O</t>
    </r>
    <phoneticPr fontId="5" type="noConversion"/>
  </si>
  <si>
    <r>
      <t>BE</t>
    </r>
    <r>
      <rPr>
        <i/>
        <vertAlign val="subscript"/>
        <sz val="8"/>
        <rFont val="Verdana"/>
        <family val="2"/>
      </rPr>
      <t>N2O,y</t>
    </r>
    <r>
      <rPr>
        <i/>
        <sz val="8"/>
        <rFont val="Verdana"/>
        <family val="2"/>
      </rPr>
      <t xml:space="preserve"> </t>
    </r>
    <r>
      <rPr>
        <b/>
        <sz val="8"/>
        <rFont val="Verdana"/>
        <family val="2"/>
      </rPr>
      <t>= GWP</t>
    </r>
    <r>
      <rPr>
        <b/>
        <vertAlign val="subscript"/>
        <sz val="8"/>
        <rFont val="Verdana"/>
        <family val="2"/>
      </rPr>
      <t>N2O</t>
    </r>
    <r>
      <rPr>
        <b/>
        <sz val="8"/>
        <rFont val="Verdana"/>
        <family val="2"/>
      </rPr>
      <t>*CF</t>
    </r>
    <r>
      <rPr>
        <b/>
        <vertAlign val="subscript"/>
        <sz val="8"/>
        <rFont val="Verdana"/>
        <family val="2"/>
      </rPr>
      <t>N2O-N,N</t>
    </r>
    <r>
      <rPr>
        <b/>
        <sz val="8"/>
        <rFont val="Verdana"/>
        <family val="2"/>
      </rPr>
      <t>* 1/1000*(E</t>
    </r>
    <r>
      <rPr>
        <b/>
        <vertAlign val="subscript"/>
        <sz val="8"/>
        <rFont val="Verdana"/>
        <family val="2"/>
      </rPr>
      <t>N2O,D,y</t>
    </r>
    <r>
      <rPr>
        <b/>
        <sz val="8"/>
        <rFont val="Verdana"/>
        <family val="2"/>
      </rPr>
      <t xml:space="preserve"> + E</t>
    </r>
    <r>
      <rPr>
        <b/>
        <vertAlign val="subscript"/>
        <sz val="8"/>
        <rFont val="Verdana"/>
        <family val="2"/>
      </rPr>
      <t>N2O,ID,y</t>
    </r>
    <r>
      <rPr>
        <b/>
        <sz val="8"/>
        <rFont val="Verdana"/>
        <family val="2"/>
      </rPr>
      <t>) =</t>
    </r>
    <phoneticPr fontId="5" type="noConversion"/>
  </si>
  <si>
    <r>
      <t>iii) CO</t>
    </r>
    <r>
      <rPr>
        <b/>
        <vertAlign val="subscript"/>
        <sz val="8"/>
        <rFont val="Verdana"/>
        <family val="2"/>
      </rPr>
      <t>2</t>
    </r>
    <r>
      <rPr>
        <b/>
        <sz val="8"/>
        <rFont val="Verdana"/>
        <family val="2"/>
      </rPr>
      <t xml:space="preserve"> emission from electricity and heat </t>
    </r>
    <phoneticPr fontId="5" type="noConversion"/>
  </si>
  <si>
    <r>
      <t>Not applicable as baseline CO</t>
    </r>
    <r>
      <rPr>
        <b/>
        <vertAlign val="subscript"/>
        <sz val="8"/>
        <rFont val="Verdana"/>
        <family val="2"/>
      </rPr>
      <t>2</t>
    </r>
    <r>
      <rPr>
        <b/>
        <sz val="8"/>
        <rFont val="Verdana"/>
        <family val="2"/>
      </rPr>
      <t xml:space="preserve"> emissions from electricity or heat will not be claimed as emission reduction.</t>
    </r>
    <phoneticPr fontId="5" type="noConversion"/>
  </si>
  <si>
    <r>
      <t xml:space="preserve"> BE</t>
    </r>
    <r>
      <rPr>
        <b/>
        <vertAlign val="subscript"/>
        <sz val="8"/>
        <rFont val="Verdana"/>
        <family val="2"/>
      </rPr>
      <t>CH4,y</t>
    </r>
    <r>
      <rPr>
        <b/>
        <sz val="8"/>
        <rFont val="Verdana"/>
        <family val="2"/>
      </rPr>
      <t xml:space="preserve"> + BE</t>
    </r>
    <r>
      <rPr>
        <b/>
        <vertAlign val="subscript"/>
        <sz val="8"/>
        <rFont val="Verdana"/>
        <family val="2"/>
      </rPr>
      <t>N2O,y</t>
    </r>
    <r>
      <rPr>
        <b/>
        <sz val="8"/>
        <rFont val="Verdana"/>
        <family val="2"/>
      </rPr>
      <t xml:space="preserve"> + BE</t>
    </r>
    <r>
      <rPr>
        <b/>
        <vertAlign val="subscript"/>
        <sz val="8"/>
        <rFont val="Verdana"/>
        <family val="2"/>
      </rPr>
      <t>elec/heat,y</t>
    </r>
    <r>
      <rPr>
        <b/>
        <sz val="8"/>
        <rFont val="Verdana"/>
        <family val="2"/>
      </rPr>
      <t xml:space="preserve"> =</t>
    </r>
    <phoneticPr fontId="5" type="noConversion"/>
  </si>
  <si>
    <r>
      <t>ii) N</t>
    </r>
    <r>
      <rPr>
        <b/>
        <vertAlign val="subscript"/>
        <sz val="8"/>
        <rFont val="Verdana"/>
        <family val="2"/>
      </rPr>
      <t>2</t>
    </r>
    <r>
      <rPr>
        <b/>
        <sz val="8"/>
        <rFont val="Verdana"/>
        <family val="2"/>
      </rPr>
      <t>O emissions</t>
    </r>
    <phoneticPr fontId="5" type="noConversion"/>
  </si>
  <si>
    <r>
      <t>kg N</t>
    </r>
    <r>
      <rPr>
        <vertAlign val="subscript"/>
        <sz val="8"/>
        <color indexed="8"/>
        <rFont val="Verdana"/>
        <family val="2"/>
      </rPr>
      <t>2</t>
    </r>
    <r>
      <rPr>
        <sz val="8"/>
        <color indexed="8"/>
        <rFont val="Verdana"/>
        <family val="2"/>
      </rPr>
      <t>O-N/year</t>
    </r>
    <phoneticPr fontId="0" type="noConversion"/>
  </si>
  <si>
    <t>Published by Ministry of Ecology and Envionment of China, which is the DNA of china</t>
    <phoneticPr fontId="5" type="noConversion"/>
  </si>
  <si>
    <t>30/06/2022</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</si>
</sst>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0.00_ ;_ &quot;¥&quot;* \-#,##0.00_ ;_ &quot;¥&quot;* &quot;-&quot;??_ ;_ @_ "/>
    <numFmt numFmtId="176" formatCode="_(* #,##0.00_);_(* \(#,##0.00\);_(* &quot;-&quot;??_);_(@_)"/>
    <numFmt numFmtId="177" formatCode="_-* #,##0.00\ [$€]_-;\-* #,##0.00\ [$€]_-;_-* &quot;-&quot;??\ [$€]_-;_-@_-"/>
    <numFmt numFmtId="178" formatCode="_(* #,##0_);_(* \(#,##0\);_(* &quot;-&quot;??_);_(@_)"/>
    <numFmt numFmtId="179" formatCode="0.0%"/>
    <numFmt numFmtId="180" formatCode="_ * #,##0_ ;_ * \-#,##0_ ;_ * &quot;-&quot;??_ ;_ @_ "/>
    <numFmt numFmtId="181" formatCode="0_ "/>
    <numFmt numFmtId="182" formatCode="0.00_ "/>
    <numFmt numFmtId="183" formatCode="#,##0.000"/>
    <numFmt numFmtId="184" formatCode="0.0_ "/>
    <numFmt numFmtId="185" formatCode="#,##0.0"/>
    <numFmt numFmtId="186" formatCode="0.000"/>
    <numFmt numFmtId="187" formatCode="#,##0_);\(#,##0\)"/>
    <numFmt numFmtId="188" formatCode="#,##0.00_);\(#,##0.00\)"/>
    <numFmt numFmtId="189" formatCode="#,##0.0000_ "/>
    <numFmt numFmtId="190" formatCode="0.000_);[Red]\(0.000\)"/>
  </numFmts>
  <fonts count="61" x14ac:knownFonts="1">
    <font>
      <sz val="10"/>
      <name val="Arial"/>
      <family val="2"/>
    </font>
    <font>
      <sz val="12"/>
      <name val="宋体"/>
      <family val="3"/>
      <charset val="134"/>
    </font>
    <font>
      <u/>
      <sz val="10"/>
      <color indexed="12"/>
      <name val="Arial"/>
      <family val="2"/>
    </font>
    <font>
      <sz val="12"/>
      <color indexed="8"/>
      <name val="宋体"/>
      <family val="3"/>
      <charset val="134"/>
    </font>
    <font>
      <sz val="10"/>
      <name val="Arial"/>
      <family val="2"/>
    </font>
    <font>
      <sz val="9"/>
      <name val="宋体"/>
      <family val="3"/>
      <charset val="134"/>
    </font>
    <font>
      <sz val="9"/>
      <name val="宋体"/>
      <family val="3"/>
      <charset val="134"/>
    </font>
    <font>
      <sz val="9"/>
      <name val="Verdana"/>
      <family val="2"/>
    </font>
    <font>
      <sz val="8"/>
      <name val="Verdana"/>
      <family val="2"/>
    </font>
    <font>
      <sz val="8"/>
      <color indexed="8"/>
      <name val="Verdana"/>
      <family val="2"/>
    </font>
    <font>
      <b/>
      <sz val="8"/>
      <color indexed="8"/>
      <name val="Verdana"/>
      <family val="2"/>
    </font>
    <font>
      <b/>
      <sz val="8"/>
      <name val="Verdana"/>
      <family val="2"/>
    </font>
    <font>
      <b/>
      <sz val="9"/>
      <name val="Verdana"/>
      <family val="2"/>
    </font>
    <font>
      <sz val="9"/>
      <color indexed="46"/>
      <name val="Verdana"/>
      <family val="2"/>
    </font>
    <font>
      <b/>
      <vertAlign val="subscript"/>
      <sz val="9"/>
      <name val="Verdana"/>
      <family val="2"/>
    </font>
    <font>
      <b/>
      <sz val="9"/>
      <color indexed="8"/>
      <name val="Verdana"/>
      <family val="2"/>
    </font>
    <font>
      <sz val="9"/>
      <color indexed="10"/>
      <name val="Verdana"/>
      <family val="2"/>
    </font>
    <font>
      <sz val="9"/>
      <color indexed="8"/>
      <name val="Verdana"/>
      <family val="2"/>
    </font>
    <font>
      <b/>
      <sz val="9"/>
      <color indexed="12"/>
      <name val="Verdana"/>
      <family val="2"/>
    </font>
    <font>
      <b/>
      <i/>
      <vertAlign val="subscript"/>
      <sz val="9"/>
      <name val="Verdana"/>
      <family val="2"/>
    </font>
    <font>
      <i/>
      <vertAlign val="subscript"/>
      <sz val="9"/>
      <name val="Verdana"/>
      <family val="2"/>
    </font>
    <font>
      <vertAlign val="subscript"/>
      <sz val="9"/>
      <name val="Verdana"/>
      <family val="2"/>
    </font>
    <font>
      <i/>
      <sz val="8"/>
      <color indexed="9"/>
      <name val="Verdana"/>
      <family val="2"/>
    </font>
    <font>
      <sz val="8"/>
      <color indexed="46"/>
      <name val="Verdana"/>
      <family val="2"/>
    </font>
    <font>
      <b/>
      <sz val="8"/>
      <color indexed="9"/>
      <name val="Verdana"/>
      <family val="2"/>
    </font>
    <font>
      <vertAlign val="subscript"/>
      <sz val="8"/>
      <name val="Verdana"/>
      <family val="2"/>
    </font>
    <font>
      <b/>
      <vertAlign val="subscript"/>
      <sz val="8"/>
      <name val="Verdana"/>
      <family val="2"/>
    </font>
    <font>
      <b/>
      <sz val="8"/>
      <color indexed="12"/>
      <name val="Verdana"/>
      <family val="2"/>
    </font>
    <font>
      <i/>
      <vertAlign val="subscript"/>
      <sz val="8"/>
      <color indexed="8"/>
      <name val="Verdana"/>
      <family val="2"/>
    </font>
    <font>
      <vertAlign val="subscript"/>
      <sz val="8"/>
      <color indexed="8"/>
      <name val="Verdana"/>
      <family val="2"/>
    </font>
    <font>
      <b/>
      <vertAlign val="subscript"/>
      <sz val="8"/>
      <color indexed="9"/>
      <name val="Verdana"/>
      <family val="2"/>
    </font>
    <font>
      <sz val="8"/>
      <color indexed="9"/>
      <name val="Verdana"/>
      <family val="2"/>
    </font>
    <font>
      <sz val="8"/>
      <color indexed="10"/>
      <name val="Verdana"/>
      <family val="2"/>
    </font>
    <font>
      <b/>
      <sz val="9"/>
      <color indexed="46"/>
      <name val="Verdana"/>
      <family val="2"/>
    </font>
    <font>
      <b/>
      <sz val="9"/>
      <color indexed="9"/>
      <name val="Verdana"/>
      <family val="2"/>
    </font>
    <font>
      <i/>
      <sz val="9"/>
      <color indexed="9"/>
      <name val="Verdana"/>
      <family val="2"/>
    </font>
    <font>
      <sz val="9"/>
      <color indexed="9"/>
      <name val="Verdana"/>
      <family val="2"/>
    </font>
    <font>
      <i/>
      <vertAlign val="subscript"/>
      <sz val="9"/>
      <color indexed="9"/>
      <name val="Verdana"/>
      <family val="2"/>
    </font>
    <font>
      <b/>
      <vertAlign val="subscript"/>
      <sz val="9"/>
      <color indexed="8"/>
      <name val="Verdana"/>
      <family val="2"/>
    </font>
    <font>
      <b/>
      <sz val="8"/>
      <name val="宋体"/>
      <family val="3"/>
      <charset val="134"/>
    </font>
    <font>
      <sz val="8"/>
      <name val="宋体"/>
      <family val="3"/>
      <charset val="134"/>
    </font>
    <font>
      <sz val="8"/>
      <name val="宋体"/>
      <family val="3"/>
      <charset val="134"/>
    </font>
    <font>
      <sz val="9"/>
      <name val="宋体"/>
      <family val="3"/>
      <charset val="134"/>
    </font>
    <font>
      <sz val="9"/>
      <name val="宋体"/>
      <family val="3"/>
      <charset val="134"/>
    </font>
    <font>
      <vertAlign val="superscript"/>
      <sz val="9"/>
      <name val="Verdana"/>
      <family val="2"/>
    </font>
    <font>
      <sz val="11"/>
      <color theme="1"/>
      <name val="宋体"/>
      <family val="3"/>
      <charset val="134"/>
      <scheme val="minor"/>
    </font>
    <font>
      <b/>
      <sz val="8"/>
      <color rgb="FFFF0000"/>
      <name val="Verdana"/>
      <family val="2"/>
    </font>
    <font>
      <sz val="9"/>
      <color rgb="FF000000"/>
      <name val="Verdana"/>
      <family val="2"/>
    </font>
    <font>
      <b/>
      <sz val="9"/>
      <color rgb="FFFF0000"/>
      <name val="Verdana"/>
      <family val="2"/>
    </font>
    <font>
      <sz val="8"/>
      <color rgb="FF000000"/>
      <name val="Verdana"/>
      <family val="2"/>
    </font>
    <font>
      <vertAlign val="subscript"/>
      <sz val="8"/>
      <color rgb="FF000000"/>
      <name val="Verdana"/>
      <family val="2"/>
    </font>
    <font>
      <i/>
      <vertAlign val="subscript"/>
      <sz val="8"/>
      <name val="Verdana"/>
      <family val="2"/>
    </font>
    <font>
      <vertAlign val="superscript"/>
      <sz val="8"/>
      <color indexed="8"/>
      <name val="Verdana"/>
      <family val="2"/>
    </font>
    <font>
      <sz val="8"/>
      <color indexed="8"/>
      <name val="Segoe UI Symbol"/>
      <family val="2"/>
    </font>
    <font>
      <u/>
      <sz val="8"/>
      <color indexed="10"/>
      <name val="Verdana"/>
      <family val="2"/>
    </font>
    <font>
      <b/>
      <vertAlign val="subscript"/>
      <sz val="8"/>
      <color rgb="FF000000"/>
      <name val="Verdana"/>
      <family val="2"/>
    </font>
    <font>
      <i/>
      <sz val="8"/>
      <name val="Verdana"/>
      <family val="2"/>
    </font>
    <font>
      <b/>
      <i/>
      <sz val="8"/>
      <name val="Verdana"/>
      <family val="2"/>
    </font>
    <font>
      <b/>
      <i/>
      <vertAlign val="subscript"/>
      <sz val="8"/>
      <name val="Verdana"/>
      <family val="2"/>
    </font>
    <font>
      <b/>
      <sz val="8"/>
      <color indexed="10"/>
      <name val="Verdana"/>
      <family val="2"/>
    </font>
    <font>
      <sz val="8"/>
      <color theme="1"/>
      <name val="Verdana"/>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53"/>
        <bgColor indexed="64"/>
      </patternFill>
    </fill>
    <fill>
      <patternFill patternType="solid">
        <fgColor theme="8" tint="0.39997558519241921"/>
        <bgColor indexed="64"/>
      </patternFill>
    </fill>
    <fill>
      <patternFill patternType="solid">
        <fgColor rgb="FFE0E0E0"/>
        <bgColor indexed="64"/>
      </patternFill>
    </fill>
    <fill>
      <patternFill patternType="solid">
        <fgColor theme="0"/>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2">
    <xf numFmtId="0" fontId="0" fillId="0" borderId="0"/>
    <xf numFmtId="177" fontId="4" fillId="0" borderId="0" applyFont="0" applyFill="0" applyBorder="0" applyAlignment="0" applyProtection="0"/>
    <xf numFmtId="0" fontId="45" fillId="0" borderId="0"/>
    <xf numFmtId="0" fontId="4" fillId="0" borderId="0"/>
    <xf numFmtId="0" fontId="1" fillId="0" borderId="0">
      <alignment vertical="center"/>
    </xf>
    <xf numFmtId="0" fontId="1" fillId="0" borderId="0">
      <alignment vertical="center"/>
    </xf>
    <xf numFmtId="9" fontId="4" fillId="0" borderId="0" applyFont="0" applyFill="0" applyBorder="0" applyAlignment="0" applyProtection="0"/>
    <xf numFmtId="9" fontId="4" fillId="0" borderId="0" applyFont="0" applyFill="0" applyBorder="0" applyAlignment="0" applyProtection="0"/>
    <xf numFmtId="0" fontId="3" fillId="0" borderId="0"/>
    <xf numFmtId="0" fontId="1" fillId="0" borderId="0">
      <alignment vertical="center"/>
    </xf>
    <xf numFmtId="0" fontId="2" fillId="0" borderId="0" applyNumberFormat="0" applyFill="0" applyBorder="0" applyAlignment="0" applyProtection="0">
      <alignment vertical="top"/>
      <protection locked="0"/>
    </xf>
    <xf numFmtId="176" fontId="4" fillId="0" borderId="0" applyFont="0" applyFill="0" applyBorder="0" applyAlignment="0" applyProtection="0"/>
  </cellStyleXfs>
  <cellXfs count="405">
    <xf numFmtId="0" fontId="0" fillId="0" borderId="0" xfId="0"/>
    <xf numFmtId="0" fontId="7" fillId="6" borderId="1" xfId="0" applyFont="1" applyFill="1" applyBorder="1" applyAlignment="1">
      <alignment horizontal="justify" vertical="center" wrapText="1"/>
    </xf>
    <xf numFmtId="0" fontId="7" fillId="0" borderId="1" xfId="0" applyFont="1" applyBorder="1" applyAlignment="1">
      <alignment horizontal="left" vertical="center" wrapText="1"/>
    </xf>
    <xf numFmtId="0" fontId="7" fillId="0" borderId="0" xfId="0" applyFont="1"/>
    <xf numFmtId="0" fontId="7" fillId="0" borderId="1" xfId="0" applyFont="1" applyBorder="1" applyAlignment="1">
      <alignment horizontal="left" vertical="center"/>
    </xf>
    <xf numFmtId="0" fontId="12" fillId="0" borderId="0" xfId="0" applyFont="1" applyFill="1" applyBorder="1"/>
    <xf numFmtId="0" fontId="7" fillId="0" borderId="0" xfId="0" applyFont="1" applyFill="1" applyBorder="1"/>
    <xf numFmtId="0" fontId="12" fillId="0" borderId="0" xfId="0" applyFont="1" applyFill="1"/>
    <xf numFmtId="0" fontId="7" fillId="0" borderId="0" xfId="0" applyFont="1" applyFill="1"/>
    <xf numFmtId="0" fontId="11" fillId="0" borderId="0" xfId="0" applyFont="1" applyAlignment="1">
      <alignment vertical="center"/>
    </xf>
    <xf numFmtId="0" fontId="8" fillId="0" borderId="0" xfId="0" applyFont="1" applyAlignment="1">
      <alignment vertical="center"/>
    </xf>
    <xf numFmtId="0" fontId="23" fillId="0" borderId="0" xfId="0" applyFont="1" applyAlignment="1">
      <alignment horizontal="left" vertical="center"/>
    </xf>
    <xf numFmtId="0" fontId="24" fillId="0" borderId="0" xfId="0" applyFont="1" applyFill="1" applyAlignment="1">
      <alignment vertical="center"/>
    </xf>
    <xf numFmtId="0" fontId="8" fillId="3" borderId="0" xfId="0" applyFont="1" applyFill="1" applyAlignment="1">
      <alignment vertical="center"/>
    </xf>
    <xf numFmtId="0" fontId="11" fillId="0" borderId="0" xfId="4" applyFont="1" applyFill="1" applyAlignment="1">
      <alignment vertical="center"/>
    </xf>
    <xf numFmtId="0" fontId="8" fillId="0" borderId="0" xfId="4" applyFont="1" applyAlignment="1">
      <alignment vertical="center"/>
    </xf>
    <xf numFmtId="0" fontId="23" fillId="0" borderId="0" xfId="9" applyFont="1" applyFill="1" applyAlignment="1">
      <alignment horizontal="left" vertical="center"/>
    </xf>
    <xf numFmtId="0" fontId="8" fillId="0" borderId="0" xfId="9" applyFont="1" applyFill="1" applyAlignment="1">
      <alignment vertical="center"/>
    </xf>
    <xf numFmtId="0" fontId="11" fillId="0" borderId="2" xfId="4" applyFont="1" applyFill="1" applyBorder="1" applyAlignment="1">
      <alignment vertical="center"/>
    </xf>
    <xf numFmtId="0" fontId="11" fillId="0" borderId="3" xfId="0" applyFont="1" applyBorder="1" applyAlignment="1">
      <alignment horizontal="center" vertical="center"/>
    </xf>
    <xf numFmtId="0" fontId="8" fillId="0" borderId="5" xfId="4" applyFont="1" applyFill="1" applyBorder="1" applyAlignment="1">
      <alignment vertical="center"/>
    </xf>
    <xf numFmtId="0" fontId="8" fillId="0" borderId="1" xfId="9" applyFont="1" applyFill="1" applyBorder="1" applyAlignment="1">
      <alignment horizontal="center" vertical="center"/>
    </xf>
    <xf numFmtId="0" fontId="8" fillId="0" borderId="1" xfId="0" applyFont="1" applyBorder="1" applyAlignment="1">
      <alignment vertical="center"/>
    </xf>
    <xf numFmtId="0" fontId="8" fillId="0" borderId="6" xfId="0" applyFont="1" applyBorder="1" applyAlignment="1">
      <alignment vertical="center"/>
    </xf>
    <xf numFmtId="0" fontId="8" fillId="0" borderId="1" xfId="4" applyFont="1" applyFill="1" applyBorder="1" applyAlignment="1">
      <alignment vertical="center"/>
    </xf>
    <xf numFmtId="9" fontId="8" fillId="0" borderId="1" xfId="4" applyNumberFormat="1" applyFont="1" applyBorder="1" applyAlignment="1">
      <alignment vertical="center"/>
    </xf>
    <xf numFmtId="0" fontId="11" fillId="0" borderId="5" xfId="4" applyFont="1" applyFill="1" applyBorder="1" applyAlignment="1">
      <alignment vertical="center"/>
    </xf>
    <xf numFmtId="178" fontId="27" fillId="0" borderId="1" xfId="0" applyNumberFormat="1" applyFont="1" applyFill="1" applyBorder="1" applyAlignment="1">
      <alignment horizontal="right" vertical="center"/>
    </xf>
    <xf numFmtId="0" fontId="8" fillId="0" borderId="1" xfId="0" applyFont="1" applyBorder="1" applyAlignment="1">
      <alignment horizontal="center" vertical="center"/>
    </xf>
    <xf numFmtId="0" fontId="11" fillId="0" borderId="7" xfId="4" applyFont="1" applyFill="1" applyBorder="1" applyAlignment="1">
      <alignment vertical="center"/>
    </xf>
    <xf numFmtId="188" fontId="27" fillId="0" borderId="8" xfId="0" applyNumberFormat="1" applyFont="1" applyFill="1" applyBorder="1" applyAlignment="1">
      <alignment horizontal="right" vertical="center"/>
    </xf>
    <xf numFmtId="0" fontId="8" fillId="0" borderId="8" xfId="9" applyFont="1" applyFill="1" applyBorder="1" applyAlignment="1">
      <alignment horizontal="center" vertical="center"/>
    </xf>
    <xf numFmtId="0" fontId="8" fillId="0" borderId="9" xfId="0" applyFont="1" applyBorder="1" applyAlignment="1">
      <alignment vertical="center"/>
    </xf>
    <xf numFmtId="0" fontId="11" fillId="0" borderId="0" xfId="4" applyFont="1" applyFill="1" applyBorder="1" applyAlignment="1">
      <alignment vertical="center"/>
    </xf>
    <xf numFmtId="0" fontId="8" fillId="0" borderId="0" xfId="4" applyFont="1" applyBorder="1" applyAlignment="1">
      <alignment vertical="center"/>
    </xf>
    <xf numFmtId="0" fontId="8" fillId="0" borderId="0" xfId="9" applyFont="1" applyFill="1" applyBorder="1" applyAlignment="1">
      <alignment vertical="center"/>
    </xf>
    <xf numFmtId="176" fontId="8" fillId="0" borderId="0" xfId="0" applyNumberFormat="1" applyFont="1" applyAlignment="1">
      <alignment vertical="center"/>
    </xf>
    <xf numFmtId="0" fontId="11" fillId="0" borderId="2" xfId="0" applyFont="1" applyBorder="1" applyAlignment="1">
      <alignment horizontal="center" vertical="center"/>
    </xf>
    <xf numFmtId="0" fontId="9" fillId="0" borderId="5" xfId="0" applyFont="1" applyBorder="1" applyAlignment="1">
      <alignment vertical="center"/>
    </xf>
    <xf numFmtId="0" fontId="8" fillId="0" borderId="1" xfId="0" applyFont="1" applyBorder="1" applyAlignment="1">
      <alignment horizontal="right" vertical="center"/>
    </xf>
    <xf numFmtId="0" fontId="8" fillId="0" borderId="1" xfId="0" applyFont="1" applyFill="1" applyBorder="1" applyAlignment="1">
      <alignment horizontal="right" vertical="center"/>
    </xf>
    <xf numFmtId="0" fontId="8" fillId="0" borderId="0" xfId="0" applyFont="1" applyBorder="1" applyAlignment="1">
      <alignment vertical="center"/>
    </xf>
    <xf numFmtId="9" fontId="8" fillId="0" borderId="1" xfId="4" applyNumberFormat="1" applyFont="1" applyFill="1" applyBorder="1" applyAlignment="1">
      <alignment horizontal="center" vertical="center"/>
    </xf>
    <xf numFmtId="0" fontId="8" fillId="0" borderId="8" xfId="0" applyFont="1" applyBorder="1" applyAlignment="1">
      <alignment horizontal="center" vertical="center"/>
    </xf>
    <xf numFmtId="3" fontId="11" fillId="0" borderId="0" xfId="9" applyNumberFormat="1" applyFont="1" applyFill="1" applyBorder="1" applyAlignment="1">
      <alignment horizontal="right" vertical="center"/>
    </xf>
    <xf numFmtId="0" fontId="11" fillId="0" borderId="0" xfId="0" applyFont="1" applyFill="1" applyBorder="1" applyAlignment="1">
      <alignment vertical="center"/>
    </xf>
    <xf numFmtId="0" fontId="8" fillId="0" borderId="0" xfId="0" applyFont="1" applyFill="1" applyAlignment="1">
      <alignment vertical="center"/>
    </xf>
    <xf numFmtId="3" fontId="11" fillId="0" borderId="0" xfId="0" applyNumberFormat="1" applyFont="1" applyFill="1" applyBorder="1" applyAlignment="1">
      <alignment vertical="center"/>
    </xf>
    <xf numFmtId="0" fontId="11" fillId="0" borderId="3" xfId="4" applyFont="1" applyFill="1" applyBorder="1" applyAlignment="1">
      <alignment vertical="center"/>
    </xf>
    <xf numFmtId="3" fontId="11" fillId="0" borderId="3" xfId="9" applyNumberFormat="1" applyFont="1" applyFill="1" applyBorder="1" applyAlignment="1">
      <alignment horizontal="right" vertical="center"/>
    </xf>
    <xf numFmtId="3" fontId="11" fillId="0" borderId="1" xfId="9" applyNumberFormat="1" applyFont="1" applyFill="1" applyBorder="1" applyAlignment="1">
      <alignment horizontal="right" vertical="center"/>
    </xf>
    <xf numFmtId="0" fontId="11" fillId="0" borderId="1" xfId="0" applyFont="1" applyFill="1" applyBorder="1" applyAlignment="1">
      <alignment vertical="center"/>
    </xf>
    <xf numFmtId="176" fontId="11" fillId="0" borderId="1" xfId="0" applyNumberFormat="1" applyFont="1" applyFill="1" applyBorder="1" applyAlignment="1">
      <alignment vertical="center"/>
    </xf>
    <xf numFmtId="0" fontId="11" fillId="0" borderId="1" xfId="0" applyFont="1" applyFill="1" applyBorder="1" applyAlignment="1">
      <alignment horizontal="center" vertical="center"/>
    </xf>
    <xf numFmtId="9" fontId="11" fillId="0" borderId="1" xfId="7" applyFont="1" applyFill="1" applyBorder="1" applyAlignment="1">
      <alignment vertical="center"/>
    </xf>
    <xf numFmtId="0" fontId="11" fillId="7" borderId="1" xfId="4" applyFont="1" applyFill="1" applyBorder="1" applyAlignment="1">
      <alignment vertical="center"/>
    </xf>
    <xf numFmtId="0" fontId="11" fillId="7" borderId="8" xfId="4" applyFont="1" applyFill="1" applyBorder="1" applyAlignment="1">
      <alignment vertical="center"/>
    </xf>
    <xf numFmtId="178" fontId="46" fillId="5" borderId="8" xfId="11" applyNumberFormat="1" applyFont="1" applyFill="1" applyBorder="1" applyAlignment="1">
      <alignment vertical="center"/>
    </xf>
    <xf numFmtId="0" fontId="11" fillId="0" borderId="8" xfId="0" applyFont="1" applyFill="1" applyBorder="1" applyAlignment="1">
      <alignment horizontal="center" vertical="center"/>
    </xf>
    <xf numFmtId="0" fontId="8" fillId="7" borderId="0" xfId="4" applyFont="1" applyFill="1" applyBorder="1" applyAlignment="1">
      <alignment vertical="center"/>
    </xf>
    <xf numFmtId="0" fontId="8" fillId="7" borderId="0" xfId="0" applyFont="1" applyFill="1" applyAlignment="1">
      <alignment vertical="center"/>
    </xf>
    <xf numFmtId="0" fontId="8" fillId="0" borderId="0" xfId="4" applyFont="1" applyFill="1" applyBorder="1" applyAlignment="1">
      <alignment vertical="center"/>
    </xf>
    <xf numFmtId="0" fontId="23" fillId="0" borderId="0" xfId="0" applyFont="1" applyAlignment="1">
      <alignmen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xf>
    <xf numFmtId="0" fontId="9"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4" applyFont="1" applyFill="1" applyBorder="1" applyAlignment="1">
      <alignment horizontal="center" vertical="center"/>
    </xf>
    <xf numFmtId="0" fontId="8" fillId="0" borderId="0" xfId="0" applyFont="1" applyAlignment="1">
      <alignment horizontal="center" vertical="center"/>
    </xf>
    <xf numFmtId="0" fontId="8" fillId="0" borderId="1" xfId="4" applyFont="1" applyFill="1" applyBorder="1" applyAlignment="1">
      <alignment horizontal="center" vertical="center"/>
    </xf>
    <xf numFmtId="0" fontId="8" fillId="0" borderId="10" xfId="4" applyFont="1" applyFill="1" applyBorder="1" applyAlignment="1">
      <alignment horizontal="center" vertical="center"/>
    </xf>
    <xf numFmtId="9" fontId="8" fillId="0" borderId="1" xfId="0" applyNumberFormat="1" applyFont="1" applyBorder="1" applyAlignment="1">
      <alignment horizontal="center" vertical="center"/>
    </xf>
    <xf numFmtId="179" fontId="8" fillId="0" borderId="1" xfId="0" applyNumberFormat="1" applyFont="1" applyBorder="1" applyAlignment="1">
      <alignment horizontal="center" vertical="center"/>
    </xf>
    <xf numFmtId="0" fontId="8" fillId="0" borderId="6" xfId="4" applyFont="1" applyFill="1" applyBorder="1" applyAlignment="1">
      <alignment horizontal="center" vertical="center"/>
    </xf>
    <xf numFmtId="178" fontId="8" fillId="0" borderId="1" xfId="11" applyNumberFormat="1" applyFont="1" applyFill="1" applyBorder="1" applyAlignment="1">
      <alignment horizontal="center" vertical="center"/>
    </xf>
    <xf numFmtId="2" fontId="8" fillId="0" borderId="1" xfId="4" applyNumberFormat="1" applyFont="1" applyFill="1" applyBorder="1" applyAlignment="1">
      <alignment horizontal="center" vertical="center"/>
    </xf>
    <xf numFmtId="0" fontId="8" fillId="0" borderId="11" xfId="4" applyFont="1" applyFill="1" applyBorder="1" applyAlignment="1">
      <alignment horizontal="center" vertical="center"/>
    </xf>
    <xf numFmtId="0" fontId="8" fillId="0" borderId="12" xfId="4" applyFont="1" applyFill="1" applyBorder="1" applyAlignment="1">
      <alignment horizontal="center" vertical="center"/>
    </xf>
    <xf numFmtId="0" fontId="11" fillId="0" borderId="7" xfId="4" applyFont="1" applyFill="1" applyBorder="1" applyAlignment="1">
      <alignment horizontal="center" vertical="center"/>
    </xf>
    <xf numFmtId="0" fontId="8" fillId="3" borderId="0" xfId="4" applyFont="1" applyFill="1" applyBorder="1" applyAlignment="1">
      <alignment vertical="center"/>
    </xf>
    <xf numFmtId="0" fontId="11" fillId="0" borderId="0" xfId="0" applyFont="1" applyFill="1" applyAlignment="1">
      <alignment vertical="center"/>
    </xf>
    <xf numFmtId="0" fontId="24" fillId="0" borderId="0" xfId="4" applyFont="1" applyFill="1" applyAlignment="1">
      <alignment vertical="center"/>
    </xf>
    <xf numFmtId="0" fontId="31" fillId="0" borderId="0" xfId="0" applyFont="1" applyAlignment="1">
      <alignmen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32" fillId="0" borderId="0" xfId="0" applyFont="1" applyAlignment="1">
      <alignment vertical="center"/>
    </xf>
    <xf numFmtId="0" fontId="8" fillId="7" borderId="1" xfId="4" applyFont="1" applyFill="1" applyBorder="1" applyAlignment="1">
      <alignment horizontal="right" vertical="center"/>
    </xf>
    <xf numFmtId="0" fontId="8" fillId="0" borderId="1" xfId="0" applyFont="1" applyBorder="1" applyAlignment="1">
      <alignment vertical="center" wrapText="1"/>
    </xf>
    <xf numFmtId="0" fontId="8" fillId="0" borderId="6" xfId="0" applyFont="1" applyBorder="1" applyAlignment="1">
      <alignment horizontal="left" vertical="center" wrapText="1"/>
    </xf>
    <xf numFmtId="2" fontId="8" fillId="7" borderId="1" xfId="4" applyNumberFormat="1" applyFont="1" applyFill="1" applyBorder="1" applyAlignment="1">
      <alignment horizontal="right" vertical="center"/>
    </xf>
    <xf numFmtId="0" fontId="9" fillId="0" borderId="6" xfId="0" applyFont="1" applyBorder="1" applyAlignment="1">
      <alignment vertical="center"/>
    </xf>
    <xf numFmtId="3" fontId="8" fillId="0" borderId="1" xfId="11" applyNumberFormat="1" applyFont="1" applyFill="1" applyBorder="1" applyAlignment="1">
      <alignment horizontal="right" vertical="center"/>
    </xf>
    <xf numFmtId="0" fontId="9" fillId="0" borderId="1" xfId="0" applyFont="1" applyBorder="1" applyAlignment="1">
      <alignment vertical="center"/>
    </xf>
    <xf numFmtId="4" fontId="11" fillId="0" borderId="1" xfId="9" applyNumberFormat="1" applyFont="1" applyFill="1" applyBorder="1" applyAlignment="1">
      <alignment horizontal="right" vertical="center"/>
    </xf>
    <xf numFmtId="0" fontId="11" fillId="0" borderId="6" xfId="0" applyFont="1" applyFill="1" applyBorder="1" applyAlignment="1">
      <alignment vertical="center"/>
    </xf>
    <xf numFmtId="183" fontId="8" fillId="0" borderId="1" xfId="9" applyNumberFormat="1" applyFont="1" applyFill="1" applyBorder="1" applyAlignment="1">
      <alignment horizontal="right" vertical="center"/>
    </xf>
    <xf numFmtId="0" fontId="8" fillId="0" borderId="1" xfId="0" applyFont="1" applyFill="1" applyBorder="1" applyAlignment="1">
      <alignment vertical="center"/>
    </xf>
    <xf numFmtId="4" fontId="8" fillId="0" borderId="1" xfId="9" applyNumberFormat="1" applyFont="1" applyFill="1" applyBorder="1" applyAlignment="1">
      <alignment horizontal="right" vertical="center"/>
    </xf>
    <xf numFmtId="0" fontId="8" fillId="0" borderId="1" xfId="0" applyFont="1" applyFill="1" applyBorder="1" applyAlignment="1">
      <alignment horizontal="center" vertical="center"/>
    </xf>
    <xf numFmtId="3" fontId="8" fillId="0" borderId="1" xfId="9" applyNumberFormat="1" applyFont="1" applyFill="1" applyBorder="1" applyAlignment="1">
      <alignment horizontal="right" vertical="center"/>
    </xf>
    <xf numFmtId="0" fontId="11" fillId="0" borderId="8" xfId="0" applyFont="1" applyFill="1" applyBorder="1" applyAlignment="1">
      <alignment vertical="center"/>
    </xf>
    <xf numFmtId="0" fontId="11" fillId="0" borderId="9" xfId="0" applyFont="1" applyFill="1" applyBorder="1" applyAlignment="1">
      <alignment vertical="center"/>
    </xf>
    <xf numFmtId="0" fontId="31" fillId="0" borderId="0" xfId="0" applyFont="1" applyFill="1" applyAlignment="1">
      <alignment vertical="center"/>
    </xf>
    <xf numFmtId="0" fontId="24" fillId="0" borderId="0" xfId="0" applyFont="1" applyAlignment="1">
      <alignment vertical="center"/>
    </xf>
    <xf numFmtId="0" fontId="11" fillId="7" borderId="13" xfId="0" applyFont="1" applyFill="1" applyBorder="1" applyAlignment="1">
      <alignment horizontal="center" vertical="center"/>
    </xf>
    <xf numFmtId="0" fontId="8" fillId="0" borderId="18" xfId="0" applyFont="1" applyBorder="1" applyAlignment="1">
      <alignment vertical="center"/>
    </xf>
    <xf numFmtId="0" fontId="8" fillId="0" borderId="1" xfId="4" applyFont="1" applyFill="1" applyBorder="1" applyAlignment="1">
      <alignment horizontal="right" vertical="center"/>
    </xf>
    <xf numFmtId="9" fontId="8" fillId="0" borderId="1" xfId="7" applyNumberFormat="1" applyFont="1" applyFill="1" applyBorder="1" applyAlignment="1">
      <alignment horizontal="right" vertical="center"/>
    </xf>
    <xf numFmtId="0" fontId="8" fillId="0" borderId="6" xfId="0" applyFont="1" applyBorder="1" applyAlignment="1">
      <alignment vertical="center" wrapText="1"/>
    </xf>
    <xf numFmtId="4" fontId="8" fillId="0" borderId="1" xfId="4" applyNumberFormat="1" applyFont="1" applyFill="1" applyBorder="1" applyAlignment="1">
      <alignment horizontal="right" vertical="center"/>
    </xf>
    <xf numFmtId="9" fontId="8" fillId="7" borderId="1" xfId="0" applyNumberFormat="1" applyFont="1" applyFill="1" applyBorder="1" applyAlignment="1">
      <alignment horizontal="right" vertical="center"/>
    </xf>
    <xf numFmtId="0" fontId="8" fillId="0" borderId="5" xfId="0" applyFont="1" applyBorder="1" applyAlignment="1">
      <alignment vertical="center"/>
    </xf>
    <xf numFmtId="9" fontId="8" fillId="0" borderId="1" xfId="0" applyNumberFormat="1" applyFont="1" applyBorder="1" applyAlignment="1">
      <alignment horizontal="right" vertical="center"/>
    </xf>
    <xf numFmtId="0" fontId="31" fillId="0" borderId="8" xfId="0" applyFont="1" applyBorder="1" applyAlignment="1">
      <alignment vertical="center"/>
    </xf>
    <xf numFmtId="3" fontId="11" fillId="0" borderId="0" xfId="0" applyNumberFormat="1" applyFont="1" applyBorder="1" applyAlignment="1">
      <alignment horizontal="right" vertical="center"/>
    </xf>
    <xf numFmtId="0" fontId="31" fillId="0" borderId="0" xfId="0" applyFont="1" applyBorder="1" applyAlignment="1">
      <alignment vertical="center"/>
    </xf>
    <xf numFmtId="0" fontId="24" fillId="0" borderId="0" xfId="0" applyFont="1" applyBorder="1" applyAlignment="1">
      <alignment horizontal="center" vertical="center"/>
    </xf>
    <xf numFmtId="9" fontId="8" fillId="0" borderId="0" xfId="9" applyNumberFormat="1" applyFont="1" applyFill="1" applyBorder="1" applyAlignment="1">
      <alignment horizontal="center"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182" fontId="8" fillId="0" borderId="0" xfId="9" applyNumberFormat="1" applyFont="1" applyFill="1" applyBorder="1" applyAlignment="1">
      <alignment horizontal="center" vertical="center"/>
    </xf>
    <xf numFmtId="184" fontId="11" fillId="0" borderId="0" xfId="9" applyNumberFormat="1" applyFont="1" applyFill="1" applyBorder="1" applyAlignment="1">
      <alignment horizontal="center" vertical="center"/>
    </xf>
    <xf numFmtId="0" fontId="8" fillId="0" borderId="0" xfId="0" applyFont="1" applyFill="1" applyBorder="1" applyAlignment="1">
      <alignment horizontal="left" vertical="center"/>
    </xf>
    <xf numFmtId="0" fontId="11" fillId="0" borderId="0" xfId="9" applyFont="1" applyFill="1" applyBorder="1" applyAlignment="1">
      <alignment vertical="center"/>
    </xf>
    <xf numFmtId="181" fontId="11" fillId="0" borderId="0" xfId="9" applyNumberFormat="1" applyFont="1" applyFill="1" applyBorder="1" applyAlignment="1">
      <alignment horizontal="center" vertical="center"/>
    </xf>
    <xf numFmtId="0" fontId="11" fillId="0" borderId="0" xfId="4" applyFont="1" applyFill="1" applyBorder="1" applyAlignment="1">
      <alignment horizontal="center" vertical="center"/>
    </xf>
    <xf numFmtId="0" fontId="23" fillId="0" borderId="0" xfId="0" applyFont="1" applyBorder="1" applyAlignment="1">
      <alignment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8" fillId="0" borderId="0" xfId="9" applyFont="1" applyFill="1" applyBorder="1" applyAlignment="1">
      <alignment horizontal="center" vertical="center"/>
    </xf>
    <xf numFmtId="0" fontId="8" fillId="0" borderId="0" xfId="4" applyFont="1" applyBorder="1" applyAlignment="1">
      <alignment horizontal="center" vertical="center"/>
    </xf>
    <xf numFmtId="0" fontId="8" fillId="0" borderId="0" xfId="9" applyFont="1" applyFill="1" applyBorder="1" applyAlignment="1">
      <alignment horizontal="right" vertical="center"/>
    </xf>
    <xf numFmtId="0" fontId="11" fillId="4" borderId="0" xfId="0" applyFont="1" applyFill="1" applyBorder="1" applyAlignment="1">
      <alignment vertical="center"/>
    </xf>
    <xf numFmtId="178" fontId="11" fillId="4" borderId="0" xfId="11" applyNumberFormat="1" applyFont="1" applyFill="1" applyBorder="1" applyAlignment="1">
      <alignment vertical="center"/>
    </xf>
    <xf numFmtId="44" fontId="8" fillId="0" borderId="0" xfId="0" applyNumberFormat="1" applyFont="1" applyBorder="1" applyAlignment="1">
      <alignment vertical="center"/>
    </xf>
    <xf numFmtId="178" fontId="8" fillId="0" borderId="0" xfId="0" applyNumberFormat="1" applyFont="1" applyAlignment="1">
      <alignment horizontal="left" vertical="center"/>
    </xf>
    <xf numFmtId="0" fontId="13" fillId="0" borderId="0" xfId="0" applyFont="1" applyFill="1"/>
    <xf numFmtId="0" fontId="13" fillId="0" borderId="0" xfId="0" applyFont="1" applyFill="1" applyAlignment="1">
      <alignment horizontal="left"/>
    </xf>
    <xf numFmtId="0" fontId="12" fillId="0" borderId="19" xfId="0" applyFont="1" applyFill="1" applyBorder="1" applyAlignment="1">
      <alignment horizontal="center"/>
    </xf>
    <xf numFmtId="0" fontId="12" fillId="0" borderId="20" xfId="0" applyFont="1" applyFill="1" applyBorder="1" applyAlignment="1">
      <alignment horizontal="center"/>
    </xf>
    <xf numFmtId="0" fontId="12" fillId="0" borderId="21" xfId="0" applyFont="1" applyFill="1" applyBorder="1" applyAlignment="1">
      <alignment horizontal="center"/>
    </xf>
    <xf numFmtId="0" fontId="15" fillId="0" borderId="22" xfId="0" applyFont="1" applyBorder="1" applyAlignment="1">
      <alignment horizontal="center" vertical="center"/>
    </xf>
    <xf numFmtId="0" fontId="12" fillId="0" borderId="3" xfId="0" applyFont="1" applyFill="1" applyBorder="1" applyAlignment="1">
      <alignment horizontal="center"/>
    </xf>
    <xf numFmtId="0" fontId="7" fillId="0" borderId="1" xfId="5" applyFont="1" applyFill="1" applyBorder="1">
      <alignment vertical="center"/>
    </xf>
    <xf numFmtId="3" fontId="7" fillId="0" borderId="1" xfId="11" applyNumberFormat="1" applyFont="1" applyFill="1" applyBorder="1" applyAlignment="1">
      <alignment horizontal="right" vertical="center"/>
    </xf>
    <xf numFmtId="0" fontId="7" fillId="0" borderId="1" xfId="0" applyFont="1" applyFill="1" applyBorder="1" applyAlignment="1">
      <alignment horizontal="center"/>
    </xf>
    <xf numFmtId="0" fontId="7" fillId="0" borderId="1" xfId="0" applyFont="1" applyFill="1" applyBorder="1" applyAlignment="1">
      <alignment horizontal="left"/>
    </xf>
    <xf numFmtId="0" fontId="16" fillId="0" borderId="0" xfId="0" applyFont="1" applyFill="1"/>
    <xf numFmtId="2" fontId="7" fillId="0" borderId="1" xfId="5" applyNumberFormat="1" applyFont="1" applyFill="1" applyBorder="1">
      <alignment vertical="center"/>
    </xf>
    <xf numFmtId="0" fontId="7" fillId="0" borderId="1" xfId="0" applyFont="1" applyFill="1" applyBorder="1"/>
    <xf numFmtId="4" fontId="7" fillId="0" borderId="1" xfId="5" applyNumberFormat="1" applyFont="1" applyFill="1" applyBorder="1">
      <alignment vertical="center"/>
    </xf>
    <xf numFmtId="9" fontId="7" fillId="0" borderId="1" xfId="9" applyNumberFormat="1" applyFont="1" applyFill="1" applyBorder="1" applyAlignment="1">
      <alignment horizontal="right" vertical="center"/>
    </xf>
    <xf numFmtId="0" fontId="7" fillId="0" borderId="1" xfId="0" applyFont="1" applyFill="1" applyBorder="1" applyAlignment="1">
      <alignment wrapText="1"/>
    </xf>
    <xf numFmtId="0" fontId="7" fillId="0" borderId="1" xfId="5" applyFont="1" applyFill="1" applyBorder="1" applyAlignment="1">
      <alignment vertical="center" wrapText="1"/>
    </xf>
    <xf numFmtId="0" fontId="7" fillId="0" borderId="1" xfId="0" applyFont="1" applyFill="1" applyBorder="1" applyAlignment="1">
      <alignment horizontal="right"/>
    </xf>
    <xf numFmtId="0" fontId="7" fillId="0" borderId="1" xfId="0" applyFont="1" applyFill="1" applyBorder="1" applyAlignment="1">
      <alignment vertical="center" wrapText="1"/>
    </xf>
    <xf numFmtId="0" fontId="12" fillId="0" borderId="1" xfId="5" applyFont="1" applyFill="1" applyBorder="1">
      <alignment vertical="center"/>
    </xf>
    <xf numFmtId="178" fontId="7" fillId="0" borderId="1" xfId="5" applyNumberFormat="1" applyFont="1" applyFill="1" applyBorder="1">
      <alignment vertical="center"/>
    </xf>
    <xf numFmtId="0" fontId="7" fillId="0" borderId="0" xfId="5" applyFont="1" applyFill="1" applyBorder="1">
      <alignment vertical="center"/>
    </xf>
    <xf numFmtId="178" fontId="18" fillId="0" borderId="0" xfId="5" applyNumberFormat="1" applyFont="1" applyFill="1" applyBorder="1" applyAlignment="1">
      <alignment vertical="center"/>
    </xf>
    <xf numFmtId="0" fontId="13" fillId="0" borderId="0" xfId="0" applyFont="1" applyFill="1" applyBorder="1" applyAlignment="1">
      <alignment horizontal="left"/>
    </xf>
    <xf numFmtId="0" fontId="12" fillId="0" borderId="1" xfId="0" applyFont="1" applyFill="1" applyBorder="1" applyAlignment="1">
      <alignment horizontal="center"/>
    </xf>
    <xf numFmtId="0" fontId="7" fillId="0" borderId="1" xfId="0" applyFont="1" applyBorder="1" applyAlignment="1">
      <alignment horizontal="center"/>
    </xf>
    <xf numFmtId="178" fontId="7" fillId="0" borderId="1" xfId="11" applyNumberFormat="1" applyFont="1" applyFill="1" applyBorder="1" applyAlignment="1">
      <alignment vertical="center"/>
    </xf>
    <xf numFmtId="0" fontId="12" fillId="0" borderId="2" xfId="0" applyFont="1" applyFill="1" applyBorder="1" applyAlignment="1">
      <alignment horizontal="center"/>
    </xf>
    <xf numFmtId="0" fontId="12" fillId="0" borderId="4" xfId="0" applyFont="1" applyFill="1" applyBorder="1" applyAlignment="1">
      <alignment horizontal="center"/>
    </xf>
    <xf numFmtId="0" fontId="12" fillId="0" borderId="5" xfId="0" applyFont="1" applyFill="1" applyBorder="1" applyAlignment="1">
      <alignment horizontal="center"/>
    </xf>
    <xf numFmtId="0" fontId="12" fillId="0" borderId="6" xfId="0" applyFont="1" applyFill="1" applyBorder="1" applyAlignment="1">
      <alignment horizontal="center"/>
    </xf>
    <xf numFmtId="0" fontId="7" fillId="0" borderId="6" xfId="0" applyFont="1" applyFill="1" applyBorder="1" applyAlignment="1">
      <alignment horizontal="left" wrapText="1"/>
    </xf>
    <xf numFmtId="0" fontId="7" fillId="0" borderId="6" xfId="0" applyFont="1" applyFill="1" applyBorder="1" applyAlignment="1">
      <alignment horizontal="left"/>
    </xf>
    <xf numFmtId="0" fontId="7" fillId="0" borderId="1" xfId="5" applyFont="1" applyFill="1" applyBorder="1" applyAlignment="1">
      <alignment horizontal="right" vertical="center"/>
    </xf>
    <xf numFmtId="4" fontId="7" fillId="0" borderId="1" xfId="8" applyNumberFormat="1" applyFont="1" applyFill="1" applyBorder="1" applyAlignment="1">
      <alignment horizontal="right"/>
    </xf>
    <xf numFmtId="0" fontId="7" fillId="0" borderId="6" xfId="5" applyFont="1" applyFill="1" applyBorder="1">
      <alignment vertical="center"/>
    </xf>
    <xf numFmtId="3" fontId="7" fillId="0" borderId="6" xfId="11" applyNumberFormat="1" applyFont="1" applyFill="1" applyBorder="1" applyAlignment="1">
      <alignment horizontal="left" vertical="center"/>
    </xf>
    <xf numFmtId="0" fontId="7" fillId="0" borderId="1" xfId="9" applyFont="1" applyFill="1" applyBorder="1" applyAlignment="1">
      <alignment horizontal="right" vertical="center"/>
    </xf>
    <xf numFmtId="0" fontId="7" fillId="0" borderId="1" xfId="5" applyFont="1" applyFill="1" applyBorder="1" applyAlignment="1">
      <alignment horizontal="center" vertical="center"/>
    </xf>
    <xf numFmtId="9" fontId="7" fillId="0" borderId="1" xfId="5" applyNumberFormat="1" applyFont="1" applyFill="1" applyBorder="1">
      <alignment vertical="center"/>
    </xf>
    <xf numFmtId="0" fontId="17" fillId="0" borderId="6" xfId="0" applyFont="1" applyFill="1" applyBorder="1"/>
    <xf numFmtId="178" fontId="12" fillId="0" borderId="1" xfId="11" applyNumberFormat="1" applyFont="1" applyFill="1" applyBorder="1" applyAlignment="1">
      <alignment horizontal="center" vertical="center"/>
    </xf>
    <xf numFmtId="0" fontId="12" fillId="0" borderId="6" xfId="0" applyFont="1" applyFill="1" applyBorder="1"/>
    <xf numFmtId="0" fontId="12" fillId="0" borderId="7" xfId="5" applyFont="1" applyFill="1" applyBorder="1">
      <alignment vertical="center"/>
    </xf>
    <xf numFmtId="0" fontId="12" fillId="0" borderId="8" xfId="0" applyFont="1" applyFill="1" applyBorder="1"/>
    <xf numFmtId="0" fontId="12" fillId="0" borderId="9" xfId="0" applyFont="1" applyFill="1" applyBorder="1"/>
    <xf numFmtId="9" fontId="7" fillId="0" borderId="1" xfId="5" applyNumberFormat="1" applyFont="1" applyFill="1" applyBorder="1" applyAlignment="1">
      <alignment horizontal="right" vertical="center"/>
    </xf>
    <xf numFmtId="179" fontId="7" fillId="0" borderId="0" xfId="0" applyNumberFormat="1" applyFont="1" applyFill="1"/>
    <xf numFmtId="0" fontId="12" fillId="0" borderId="1" xfId="0" applyFont="1" applyFill="1" applyBorder="1"/>
    <xf numFmtId="3" fontId="12" fillId="0" borderId="1" xfId="0" applyNumberFormat="1" applyFont="1" applyFill="1" applyBorder="1"/>
    <xf numFmtId="0" fontId="7" fillId="0" borderId="0" xfId="0" applyFont="1" applyFill="1" applyAlignment="1">
      <alignment horizontal="left"/>
    </xf>
    <xf numFmtId="180" fontId="7" fillId="0" borderId="0" xfId="0" applyNumberFormat="1" applyFont="1" applyFill="1"/>
    <xf numFmtId="181" fontId="7" fillId="0" borderId="0" xfId="0" applyNumberFormat="1" applyFont="1" applyFill="1"/>
    <xf numFmtId="3" fontId="12" fillId="0" borderId="0" xfId="0" applyNumberFormat="1" applyFont="1" applyFill="1" applyBorder="1"/>
    <xf numFmtId="178" fontId="12" fillId="4" borderId="0" xfId="11" applyNumberFormat="1" applyFont="1" applyFill="1" applyBorder="1" applyAlignment="1">
      <alignment vertical="center"/>
    </xf>
    <xf numFmtId="3" fontId="7" fillId="0" borderId="0" xfId="0" applyNumberFormat="1" applyFont="1" applyFill="1"/>
    <xf numFmtId="178" fontId="12" fillId="0" borderId="0" xfId="0" applyNumberFormat="1" applyFont="1" applyFill="1"/>
    <xf numFmtId="0" fontId="33" fillId="0" borderId="0" xfId="0" applyNumberFormat="1" applyFont="1" applyFill="1" applyAlignment="1">
      <alignment horizontal="left"/>
    </xf>
    <xf numFmtId="44" fontId="7" fillId="0" borderId="0" xfId="0" applyNumberFormat="1" applyFont="1" applyFill="1"/>
    <xf numFmtId="178" fontId="7" fillId="0" borderId="0" xfId="0" applyNumberFormat="1" applyFont="1" applyFill="1"/>
    <xf numFmtId="0" fontId="34" fillId="0" borderId="0" xfId="0" applyFont="1" applyFill="1" applyBorder="1"/>
    <xf numFmtId="0" fontId="36" fillId="0" borderId="0" xfId="0" applyFont="1" applyFill="1" applyBorder="1"/>
    <xf numFmtId="0" fontId="34" fillId="0" borderId="0" xfId="0" applyFont="1" applyFill="1" applyBorder="1" applyAlignment="1">
      <alignment horizontal="center"/>
    </xf>
    <xf numFmtId="0" fontId="36" fillId="0" borderId="0" xfId="4" applyFont="1" applyFill="1" applyBorder="1">
      <alignment vertical="center"/>
    </xf>
    <xf numFmtId="0" fontId="36" fillId="0" borderId="0" xfId="8" applyFont="1" applyFill="1" applyBorder="1" applyAlignment="1">
      <alignment horizontal="center"/>
    </xf>
    <xf numFmtId="0" fontId="36" fillId="0" borderId="0" xfId="4" applyFont="1" applyFill="1" applyBorder="1" applyAlignment="1">
      <alignment horizontal="center" vertical="center"/>
    </xf>
    <xf numFmtId="0" fontId="36" fillId="0" borderId="0" xfId="0" applyFont="1" applyFill="1" applyBorder="1" applyAlignment="1">
      <alignment horizontal="center"/>
    </xf>
    <xf numFmtId="0" fontId="36" fillId="0" borderId="0" xfId="0" applyFont="1" applyFill="1" applyBorder="1" applyAlignment="1">
      <alignment horizontal="left"/>
    </xf>
    <xf numFmtId="178" fontId="36" fillId="0" borderId="0" xfId="11" applyNumberFormat="1" applyFont="1" applyFill="1" applyBorder="1" applyAlignment="1">
      <alignment horizontal="center" vertical="center"/>
    </xf>
    <xf numFmtId="0" fontId="36" fillId="0" borderId="0" xfId="9" applyFont="1" applyFill="1" applyBorder="1">
      <alignment vertical="center"/>
    </xf>
    <xf numFmtId="178" fontId="36" fillId="0" borderId="0" xfId="11" applyNumberFormat="1" applyFont="1" applyFill="1" applyBorder="1" applyAlignment="1">
      <alignment horizontal="left" vertical="center"/>
    </xf>
    <xf numFmtId="0" fontId="36" fillId="0" borderId="0" xfId="9" applyFont="1" applyFill="1" applyBorder="1" applyAlignment="1">
      <alignment horizontal="center" vertical="center"/>
    </xf>
    <xf numFmtId="9" fontId="36" fillId="0" borderId="0" xfId="9" applyNumberFormat="1" applyFont="1" applyFill="1" applyBorder="1" applyAlignment="1">
      <alignment horizontal="center" vertical="center"/>
    </xf>
    <xf numFmtId="0" fontId="34" fillId="0" borderId="0" xfId="4" applyFont="1" applyFill="1" applyBorder="1">
      <alignment vertical="center"/>
    </xf>
    <xf numFmtId="176" fontId="34" fillId="0" borderId="0" xfId="4" applyNumberFormat="1" applyFont="1" applyFill="1" applyBorder="1" applyAlignment="1">
      <alignment horizontal="center" vertical="center"/>
    </xf>
    <xf numFmtId="178" fontId="34" fillId="0" borderId="0" xfId="0" applyNumberFormat="1" applyFont="1" applyFill="1" applyBorder="1"/>
    <xf numFmtId="0" fontId="15" fillId="0" borderId="3" xfId="0" applyFont="1" applyBorder="1" applyAlignment="1">
      <alignment horizontal="center" wrapText="1"/>
    </xf>
    <xf numFmtId="0" fontId="15" fillId="0" borderId="4" xfId="0" applyFont="1" applyBorder="1" applyAlignment="1">
      <alignment horizontal="center" wrapText="1"/>
    </xf>
    <xf numFmtId="0" fontId="15" fillId="0" borderId="1" xfId="0" applyFont="1" applyBorder="1" applyAlignment="1">
      <alignment horizontal="center"/>
    </xf>
    <xf numFmtId="0" fontId="15" fillId="0" borderId="1" xfId="0" applyFont="1" applyBorder="1" applyAlignment="1">
      <alignment horizontal="center" wrapText="1"/>
    </xf>
    <xf numFmtId="0" fontId="15" fillId="0" borderId="6" xfId="0" applyFont="1" applyBorder="1" applyAlignment="1">
      <alignment horizontal="center" wrapText="1"/>
    </xf>
    <xf numFmtId="0" fontId="47" fillId="0" borderId="5" xfId="0" applyFont="1" applyBorder="1" applyAlignment="1">
      <alignment horizontal="center" vertical="center" wrapText="1"/>
    </xf>
    <xf numFmtId="3" fontId="17" fillId="0" borderId="1" xfId="0" applyNumberFormat="1" applyFont="1" applyBorder="1" applyAlignment="1">
      <alignment horizontal="center" wrapText="1"/>
    </xf>
    <xf numFmtId="3" fontId="7" fillId="0" borderId="1" xfId="0" applyNumberFormat="1" applyFont="1" applyBorder="1" applyAlignment="1">
      <alignment horizontal="center" wrapText="1"/>
    </xf>
    <xf numFmtId="3" fontId="7" fillId="0" borderId="6" xfId="0" applyNumberFormat="1" applyFont="1" applyBorder="1" applyAlignment="1">
      <alignment horizontal="center" wrapText="1"/>
    </xf>
    <xf numFmtId="3" fontId="7" fillId="0" borderId="0" xfId="0" applyNumberFormat="1" applyFont="1"/>
    <xf numFmtId="3" fontId="17" fillId="0" borderId="1" xfId="0" applyNumberFormat="1" applyFont="1" applyBorder="1" applyAlignment="1">
      <alignment horizontal="center" vertical="top" wrapText="1"/>
    </xf>
    <xf numFmtId="0" fontId="47" fillId="0" borderId="23" xfId="0" applyFont="1" applyBorder="1" applyAlignment="1">
      <alignment horizontal="center" vertical="center" wrapText="1"/>
    </xf>
    <xf numFmtId="0" fontId="15" fillId="0" borderId="2" xfId="0" applyFont="1" applyBorder="1" applyAlignment="1">
      <alignment horizontal="center" wrapText="1"/>
    </xf>
    <xf numFmtId="3" fontId="12" fillId="0" borderId="3" xfId="0" applyNumberFormat="1" applyFont="1" applyBorder="1" applyAlignment="1">
      <alignment horizontal="center" wrapText="1"/>
    </xf>
    <xf numFmtId="3" fontId="12" fillId="0" borderId="4" xfId="0" applyNumberFormat="1" applyFont="1" applyBorder="1" applyAlignment="1">
      <alignment horizontal="center" wrapText="1"/>
    </xf>
    <xf numFmtId="0" fontId="15" fillId="0" borderId="7" xfId="0" applyFont="1" applyBorder="1" applyAlignment="1">
      <alignment horizontal="center" wrapText="1"/>
    </xf>
    <xf numFmtId="3" fontId="17" fillId="0" borderId="8" xfId="0" applyNumberFormat="1" applyFont="1" applyBorder="1" applyAlignment="1">
      <alignment horizontal="center" wrapText="1"/>
    </xf>
    <xf numFmtId="183" fontId="17" fillId="0" borderId="0" xfId="0" applyNumberFormat="1" applyFont="1" applyFill="1" applyBorder="1" applyAlignment="1">
      <alignment horizontal="center" wrapText="1"/>
    </xf>
    <xf numFmtId="178" fontId="7" fillId="0" borderId="0" xfId="11" applyNumberFormat="1" applyFont="1"/>
    <xf numFmtId="187" fontId="27" fillId="0" borderId="8" xfId="0" applyNumberFormat="1" applyFont="1" applyFill="1" applyBorder="1" applyAlignment="1">
      <alignment horizontal="right" vertical="center"/>
    </xf>
    <xf numFmtId="187" fontId="27" fillId="0" borderId="1" xfId="0" applyNumberFormat="1" applyFont="1" applyFill="1" applyBorder="1" applyAlignment="1">
      <alignment horizontal="right" vertical="center"/>
    </xf>
    <xf numFmtId="187" fontId="27" fillId="0" borderId="11" xfId="0" applyNumberFormat="1" applyFont="1" applyFill="1" applyBorder="1" applyAlignment="1">
      <alignment horizontal="center" vertical="center"/>
    </xf>
    <xf numFmtId="189" fontId="8" fillId="0" borderId="0" xfId="0" applyNumberFormat="1" applyFont="1" applyAlignment="1">
      <alignment vertical="center"/>
    </xf>
    <xf numFmtId="9" fontId="8" fillId="0" borderId="1" xfId="0" applyNumberFormat="1" applyFont="1" applyFill="1" applyBorder="1" applyAlignment="1">
      <alignment vertical="center"/>
    </xf>
    <xf numFmtId="9" fontId="8" fillId="0" borderId="1" xfId="7" applyFont="1" applyFill="1" applyBorder="1" applyAlignment="1">
      <alignment horizontal="right" vertical="center"/>
    </xf>
    <xf numFmtId="0" fontId="7" fillId="0" borderId="1" xfId="0" applyFont="1" applyFill="1" applyBorder="1" applyAlignment="1">
      <alignment horizontal="left" vertical="center"/>
    </xf>
    <xf numFmtId="183" fontId="8" fillId="0" borderId="1" xfId="0" applyNumberFormat="1" applyFont="1" applyFill="1" applyBorder="1" applyAlignment="1">
      <alignment vertical="center"/>
    </xf>
    <xf numFmtId="0" fontId="39" fillId="0" borderId="0" xfId="0" applyFont="1" applyFill="1" applyBorder="1" applyAlignment="1">
      <alignment vertical="center"/>
    </xf>
    <xf numFmtId="3" fontId="8" fillId="0" borderId="0" xfId="0" applyNumberFormat="1" applyFont="1" applyFill="1" applyAlignment="1">
      <alignment vertical="center"/>
    </xf>
    <xf numFmtId="0" fontId="40" fillId="0" borderId="0" xfId="0" applyFont="1" applyFill="1" applyAlignment="1">
      <alignment vertical="center"/>
    </xf>
    <xf numFmtId="0" fontId="41" fillId="0" borderId="0" xfId="0" applyFont="1" applyFill="1" applyAlignment="1">
      <alignment vertical="center"/>
    </xf>
    <xf numFmtId="186" fontId="8" fillId="0" borderId="0" xfId="0" applyNumberFormat="1" applyFont="1" applyFill="1" applyAlignment="1">
      <alignment vertical="center"/>
    </xf>
    <xf numFmtId="4" fontId="7" fillId="0" borderId="0" xfId="0" applyNumberFormat="1" applyFont="1"/>
    <xf numFmtId="0" fontId="7" fillId="0" borderId="5" xfId="5" applyFont="1" applyBorder="1">
      <alignment vertical="center"/>
    </xf>
    <xf numFmtId="0" fontId="7" fillId="7" borderId="5" xfId="5" applyFont="1" applyFill="1" applyBorder="1">
      <alignment vertical="center"/>
    </xf>
    <xf numFmtId="0" fontId="7" fillId="7" borderId="5" xfId="4" applyFont="1" applyFill="1" applyBorder="1">
      <alignment vertical="center"/>
    </xf>
    <xf numFmtId="0" fontId="7" fillId="0" borderId="6" xfId="0" applyFont="1" applyBorder="1" applyAlignment="1">
      <alignment wrapText="1"/>
    </xf>
    <xf numFmtId="0" fontId="12" fillId="0" borderId="5" xfId="5" applyFont="1" applyBorder="1">
      <alignment vertical="center"/>
    </xf>
    <xf numFmtId="0" fontId="12" fillId="7" borderId="7" xfId="5" applyFont="1" applyFill="1" applyBorder="1">
      <alignment vertical="center"/>
    </xf>
    <xf numFmtId="0" fontId="7" fillId="7" borderId="8" xfId="0" applyFont="1" applyFill="1" applyBorder="1" applyAlignment="1">
      <alignment horizontal="center"/>
    </xf>
    <xf numFmtId="0" fontId="7" fillId="0" borderId="5" xfId="0" applyFont="1" applyBorder="1" applyAlignment="1">
      <alignment horizontal="left"/>
    </xf>
    <xf numFmtId="0" fontId="7" fillId="0" borderId="5" xfId="9" applyFont="1" applyBorder="1">
      <alignment vertical="center"/>
    </xf>
    <xf numFmtId="0" fontId="7" fillId="7" borderId="5" xfId="9" applyFont="1" applyFill="1" applyBorder="1">
      <alignment vertical="center"/>
    </xf>
    <xf numFmtId="0" fontId="12" fillId="7" borderId="5" xfId="0" applyFont="1" applyFill="1" applyBorder="1"/>
    <xf numFmtId="14" fontId="7" fillId="0" borderId="0" xfId="0" applyNumberFormat="1" applyFont="1"/>
    <xf numFmtId="4" fontId="7" fillId="0" borderId="1" xfId="0" applyNumberFormat="1" applyFont="1" applyBorder="1" applyAlignment="1">
      <alignment horizontal="center"/>
    </xf>
    <xf numFmtId="185" fontId="7" fillId="0" borderId="1" xfId="0" applyNumberFormat="1" applyFont="1" applyBorder="1" applyAlignment="1">
      <alignment horizontal="center"/>
    </xf>
    <xf numFmtId="3" fontId="7" fillId="0" borderId="1" xfId="0" applyNumberFormat="1" applyFont="1" applyBorder="1" applyAlignment="1">
      <alignment horizontal="center"/>
    </xf>
    <xf numFmtId="190" fontId="8" fillId="0" borderId="1" xfId="4" applyNumberFormat="1" applyFont="1" applyFill="1" applyBorder="1" applyAlignment="1">
      <alignment horizontal="right" vertical="center"/>
    </xf>
    <xf numFmtId="186" fontId="0" fillId="0" borderId="0" xfId="0" applyNumberFormat="1"/>
    <xf numFmtId="0" fontId="49" fillId="0" borderId="0" xfId="0" applyFont="1" applyAlignment="1">
      <alignment horizontal="center"/>
    </xf>
    <xf numFmtId="3" fontId="11" fillId="2" borderId="31" xfId="0" applyNumberFormat="1" applyFont="1" applyFill="1" applyBorder="1" applyAlignment="1">
      <alignment vertical="center"/>
    </xf>
    <xf numFmtId="0" fontId="12" fillId="0" borderId="1" xfId="0" applyFont="1" applyFill="1" applyBorder="1" applyAlignment="1">
      <alignment horizontal="left"/>
    </xf>
    <xf numFmtId="178" fontId="12" fillId="4" borderId="0" xfId="11" applyNumberFormat="1" applyFont="1" applyFill="1" applyBorder="1" applyAlignment="1">
      <alignment horizontal="left" vertical="center"/>
    </xf>
    <xf numFmtId="3" fontId="7" fillId="0" borderId="9" xfId="0" applyNumberFormat="1" applyFont="1" applyFill="1" applyBorder="1" applyAlignment="1">
      <alignment horizontal="center" wrapText="1"/>
    </xf>
    <xf numFmtId="0" fontId="11" fillId="0" borderId="3" xfId="0" applyFont="1" applyBorder="1" applyAlignment="1">
      <alignment horizontal="center" vertical="center"/>
    </xf>
    <xf numFmtId="0" fontId="11" fillId="0" borderId="7" xfId="0" applyFont="1" applyBorder="1" applyAlignment="1">
      <alignment horizontal="center"/>
    </xf>
    <xf numFmtId="0" fontId="11" fillId="7" borderId="5" xfId="0" applyFont="1" applyFill="1" applyBorder="1" applyAlignment="1">
      <alignment horizontal="center" vertical="center"/>
    </xf>
    <xf numFmtId="0" fontId="11" fillId="0" borderId="0" xfId="0" applyFont="1"/>
    <xf numFmtId="0" fontId="8" fillId="0" borderId="0" xfId="0" applyFont="1"/>
    <xf numFmtId="0" fontId="23" fillId="0" borderId="0" xfId="0" applyFont="1"/>
    <xf numFmtId="0" fontId="11" fillId="3" borderId="0" xfId="0" applyFont="1" applyFill="1"/>
    <xf numFmtId="0" fontId="11" fillId="0" borderId="0" xfId="0" applyFont="1" applyBorder="1"/>
    <xf numFmtId="0" fontId="8" fillId="0" borderId="0" xfId="0" applyFont="1" applyBorder="1"/>
    <xf numFmtId="0" fontId="23" fillId="0" borderId="0" xfId="0" applyFont="1" applyAlignment="1">
      <alignment horizontal="center"/>
    </xf>
    <xf numFmtId="0" fontId="23" fillId="0" borderId="0" xfId="0" applyFont="1" applyAlignment="1">
      <alignment horizontal="left"/>
    </xf>
    <xf numFmtId="0" fontId="10" fillId="0" borderId="2" xfId="0" applyFont="1" applyBorder="1" applyAlignment="1">
      <alignment horizontal="center" vertical="center"/>
    </xf>
    <xf numFmtId="0" fontId="32" fillId="0" borderId="0" xfId="0" applyFont="1"/>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9" fontId="8" fillId="0" borderId="1" xfId="0" applyNumberFormat="1" applyFont="1" applyFill="1" applyBorder="1" applyAlignment="1">
      <alignment horizontal="center" vertical="center"/>
    </xf>
    <xf numFmtId="0" fontId="54" fillId="0" borderId="0" xfId="10" applyFont="1" applyAlignment="1" applyProtection="1"/>
    <xf numFmtId="0" fontId="9" fillId="0" borderId="1" xfId="0" applyFont="1" applyFill="1" applyBorder="1" applyAlignment="1">
      <alignment horizontal="center" vertical="center" wrapText="1"/>
    </xf>
    <xf numFmtId="10" fontId="8" fillId="0" borderId="1" xfId="7" applyNumberFormat="1" applyFont="1" applyFill="1" applyBorder="1" applyAlignment="1">
      <alignment horizontal="center" vertical="center"/>
    </xf>
    <xf numFmtId="3" fontId="8" fillId="0" borderId="1" xfId="11" applyNumberFormat="1" applyFont="1" applyFill="1" applyBorder="1" applyAlignment="1">
      <alignment horizontal="center" vertical="center"/>
    </xf>
    <xf numFmtId="0" fontId="9" fillId="0" borderId="5" xfId="0" applyFont="1" applyFill="1" applyBorder="1" applyAlignment="1">
      <alignment horizontal="center" vertical="center"/>
    </xf>
    <xf numFmtId="4" fontId="8" fillId="0" borderId="1" xfId="11" applyNumberFormat="1" applyFont="1" applyFill="1" applyBorder="1" applyAlignment="1">
      <alignment horizontal="center" vertical="center"/>
    </xf>
    <xf numFmtId="0" fontId="9" fillId="0" borderId="6" xfId="0" applyFont="1" applyFill="1" applyBorder="1" applyAlignment="1">
      <alignment horizontal="center" vertical="center" wrapText="1"/>
    </xf>
    <xf numFmtId="4" fontId="8" fillId="0" borderId="1" xfId="0" applyNumberFormat="1" applyFont="1" applyBorder="1" applyAlignment="1">
      <alignment horizontal="center" vertical="center"/>
    </xf>
    <xf numFmtId="0" fontId="10" fillId="0" borderId="5" xfId="0" applyFont="1" applyFill="1" applyBorder="1" applyAlignment="1">
      <alignment horizontal="center" vertical="center"/>
    </xf>
    <xf numFmtId="178" fontId="27"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9" fillId="0" borderId="6" xfId="0" applyFont="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Border="1" applyAlignment="1">
      <alignment horizontal="center" vertical="center"/>
    </xf>
    <xf numFmtId="184" fontId="8" fillId="0" borderId="0" xfId="0" applyNumberFormat="1" applyFont="1"/>
    <xf numFmtId="0" fontId="8" fillId="0" borderId="0" xfId="0" applyFont="1" applyAlignment="1">
      <alignment horizontal="center"/>
    </xf>
    <xf numFmtId="0" fontId="11" fillId="0" borderId="0" xfId="0" applyFont="1" applyAlignment="1">
      <alignment wrapText="1"/>
    </xf>
    <xf numFmtId="0" fontId="8" fillId="0" borderId="0" xfId="0" applyFont="1" applyAlignment="1"/>
    <xf numFmtId="0" fontId="57" fillId="0" borderId="0" xfId="0" applyFont="1" applyAlignment="1"/>
    <xf numFmtId="0" fontId="8" fillId="0" borderId="0" xfId="0" applyFont="1" applyAlignment="1">
      <alignment horizontal="right"/>
    </xf>
    <xf numFmtId="0" fontId="56" fillId="0" borderId="5" xfId="0" applyFont="1" applyBorder="1" applyAlignment="1">
      <alignment horizontal="center" vertical="center"/>
    </xf>
    <xf numFmtId="1" fontId="8" fillId="0" borderId="1" xfId="0" applyNumberFormat="1" applyFont="1" applyFill="1" applyBorder="1" applyAlignment="1">
      <alignment horizontal="center" vertical="center"/>
    </xf>
    <xf numFmtId="0" fontId="8" fillId="7" borderId="1" xfId="0" applyFont="1" applyFill="1" applyBorder="1" applyAlignment="1">
      <alignment horizontal="center" vertical="center"/>
    </xf>
    <xf numFmtId="2" fontId="8" fillId="7" borderId="1" xfId="0" applyNumberFormat="1" applyFont="1" applyFill="1" applyBorder="1" applyAlignment="1">
      <alignment horizontal="center" vertical="center"/>
    </xf>
    <xf numFmtId="4" fontId="8" fillId="7" borderId="1" xfId="0" applyNumberFormat="1" applyFont="1" applyFill="1" applyBorder="1" applyAlignment="1">
      <alignment horizontal="center" vertical="center"/>
    </xf>
    <xf numFmtId="4" fontId="8" fillId="0" borderId="1" xfId="0"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5" xfId="0" applyFont="1" applyBorder="1" applyAlignment="1">
      <alignment horizontal="center" vertical="center"/>
    </xf>
    <xf numFmtId="187" fontId="27" fillId="0" borderId="1" xfId="0" applyNumberFormat="1" applyFont="1" applyFill="1" applyBorder="1" applyAlignment="1">
      <alignment horizontal="center"/>
    </xf>
    <xf numFmtId="0" fontId="59" fillId="0" borderId="1" xfId="0" applyFont="1" applyFill="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57" fillId="0" borderId="0" xfId="0" applyFont="1"/>
    <xf numFmtId="2" fontId="8" fillId="0" borderId="1" xfId="0" applyNumberFormat="1" applyFont="1" applyFill="1" applyBorder="1" applyAlignment="1">
      <alignment horizontal="center" vertical="center"/>
    </xf>
    <xf numFmtId="2" fontId="8" fillId="0" borderId="1" xfId="11" applyNumberFormat="1" applyFont="1" applyFill="1" applyBorder="1" applyAlignment="1">
      <alignment horizontal="center" vertical="center"/>
    </xf>
    <xf numFmtId="2" fontId="8" fillId="0" borderId="1" xfId="11" applyNumberFormat="1" applyFont="1" applyBorder="1" applyAlignment="1">
      <alignment horizontal="center" vertical="center"/>
    </xf>
    <xf numFmtId="0" fontId="11"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Border="1" applyAlignment="1">
      <alignment horizontal="center" vertical="center"/>
    </xf>
    <xf numFmtId="0" fontId="11" fillId="0" borderId="0" xfId="0" applyFont="1" applyFill="1" applyBorder="1"/>
    <xf numFmtId="178" fontId="11" fillId="0" borderId="0" xfId="0" applyNumberFormat="1" applyFont="1" applyFill="1" applyBorder="1"/>
    <xf numFmtId="0" fontId="8" fillId="0" borderId="0" xfId="0" applyFont="1" applyFill="1" applyBorder="1"/>
    <xf numFmtId="3" fontId="8" fillId="0" borderId="0" xfId="0" applyNumberFormat="1" applyFont="1"/>
    <xf numFmtId="0" fontId="8" fillId="3" borderId="0" xfId="0" applyFont="1" applyFill="1"/>
    <xf numFmtId="0" fontId="11" fillId="0" borderId="0" xfId="0" applyFont="1" applyFill="1"/>
    <xf numFmtId="0" fontId="8" fillId="0" borderId="0" xfId="0" applyFont="1" applyFill="1"/>
    <xf numFmtId="0" fontId="8" fillId="0" borderId="0" xfId="9" applyFont="1" applyFill="1" applyBorder="1">
      <alignment vertical="center"/>
    </xf>
    <xf numFmtId="178" fontId="8" fillId="0" borderId="0" xfId="9" applyNumberFormat="1" applyFont="1" applyFill="1" applyBorder="1">
      <alignment vertical="center"/>
    </xf>
    <xf numFmtId="181" fontId="8" fillId="0" borderId="0" xfId="9" applyNumberFormat="1" applyFont="1" applyFill="1" applyBorder="1" applyAlignment="1">
      <alignment horizontal="center" vertical="center"/>
    </xf>
    <xf numFmtId="0" fontId="8" fillId="0" borderId="0" xfId="0" applyFont="1" applyBorder="1" applyAlignment="1">
      <alignment horizontal="center"/>
    </xf>
    <xf numFmtId="0" fontId="11" fillId="2" borderId="0" xfId="0" applyFont="1" applyFill="1" applyBorder="1"/>
    <xf numFmtId="0" fontId="8" fillId="2" borderId="0" xfId="0" applyFont="1" applyFill="1"/>
    <xf numFmtId="0" fontId="11" fillId="2" borderId="0" xfId="11" applyNumberFormat="1" applyFont="1" applyFill="1" applyBorder="1"/>
    <xf numFmtId="0" fontId="8" fillId="2" borderId="0" xfId="11" applyNumberFormat="1" applyFont="1" applyFill="1" applyBorder="1"/>
    <xf numFmtId="176" fontId="8" fillId="0" borderId="0" xfId="0" applyNumberFormat="1" applyFont="1" applyBorder="1"/>
    <xf numFmtId="178" fontId="8" fillId="0" borderId="0" xfId="0" applyNumberFormat="1" applyFont="1"/>
    <xf numFmtId="178" fontId="8" fillId="0" borderId="0" xfId="0" applyNumberFormat="1" applyFont="1" applyAlignment="1">
      <alignment horizontal="center"/>
    </xf>
    <xf numFmtId="0" fontId="60" fillId="7" borderId="8" xfId="0" applyFont="1" applyFill="1" applyBorder="1" applyAlignment="1">
      <alignment horizontal="center"/>
    </xf>
    <xf numFmtId="3" fontId="11" fillId="2" borderId="0" xfId="0" applyNumberFormat="1" applyFont="1" applyFill="1" applyAlignment="1">
      <alignment horizontal="left" vertical="center" wrapText="1"/>
    </xf>
    <xf numFmtId="3" fontId="11" fillId="2" borderId="0" xfId="0" applyNumberFormat="1" applyFont="1" applyFill="1" applyAlignment="1">
      <alignment horizontal="left" wrapText="1"/>
    </xf>
    <xf numFmtId="0" fontId="7" fillId="0" borderId="28" xfId="0" applyFont="1" applyBorder="1" applyAlignment="1">
      <alignment wrapText="1"/>
    </xf>
    <xf numFmtId="0" fontId="7" fillId="0" borderId="4" xfId="0" applyFont="1" applyFill="1" applyBorder="1"/>
    <xf numFmtId="0" fontId="16" fillId="0" borderId="6" xfId="0" applyFont="1" applyFill="1" applyBorder="1"/>
    <xf numFmtId="0" fontId="7" fillId="0" borderId="6" xfId="0" applyFont="1" applyFill="1" applyBorder="1"/>
    <xf numFmtId="0" fontId="7" fillId="0" borderId="6" xfId="5" applyFont="1" applyFill="1" applyBorder="1" applyAlignment="1">
      <alignment vertical="center" wrapText="1"/>
    </xf>
    <xf numFmtId="0" fontId="7" fillId="0" borderId="8" xfId="0" applyFont="1" applyFill="1" applyBorder="1"/>
    <xf numFmtId="0" fontId="7" fillId="0" borderId="9" xfId="0" applyFont="1" applyFill="1" applyBorder="1"/>
    <xf numFmtId="0" fontId="7" fillId="8" borderId="11" xfId="0" applyFont="1" applyFill="1" applyBorder="1" applyAlignment="1">
      <alignment horizontal="center" vertical="center"/>
    </xf>
    <xf numFmtId="0" fontId="7" fillId="8" borderId="24" xfId="0" applyFont="1" applyFill="1" applyBorder="1" applyAlignment="1">
      <alignment horizontal="center" vertical="center"/>
    </xf>
    <xf numFmtId="0" fontId="7" fillId="8" borderId="17" xfId="0" applyFont="1" applyFill="1" applyBorder="1" applyAlignment="1">
      <alignment horizontal="center" vertical="center"/>
    </xf>
    <xf numFmtId="3" fontId="46" fillId="2" borderId="8" xfId="0" applyNumberFormat="1" applyFont="1" applyFill="1" applyBorder="1" applyAlignment="1">
      <alignment horizontal="center" vertical="center"/>
    </xf>
    <xf numFmtId="0" fontId="11" fillId="0" borderId="0" xfId="0" applyFont="1" applyAlignment="1">
      <alignment wrapText="1"/>
    </xf>
    <xf numFmtId="0" fontId="8" fillId="0" borderId="0" xfId="0" applyFont="1" applyAlignment="1"/>
    <xf numFmtId="3" fontId="27" fillId="2" borderId="8" xfId="0" applyNumberFormat="1" applyFont="1" applyFill="1" applyBorder="1" applyAlignment="1">
      <alignment horizontal="center" vertical="center"/>
    </xf>
    <xf numFmtId="3" fontId="27" fillId="2" borderId="8" xfId="0" applyNumberFormat="1" applyFont="1" applyFill="1" applyBorder="1" applyAlignment="1">
      <alignment horizontal="center"/>
    </xf>
    <xf numFmtId="0" fontId="8" fillId="0" borderId="1" xfId="0" applyFont="1" applyBorder="1" applyAlignment="1">
      <alignment vertical="center"/>
    </xf>
    <xf numFmtId="0" fontId="8" fillId="0" borderId="6" xfId="0" applyFont="1" applyBorder="1" applyAlignment="1">
      <alignment vertical="center"/>
    </xf>
    <xf numFmtId="0" fontId="8" fillId="0" borderId="28" xfId="0" applyFont="1" applyBorder="1" applyAlignment="1">
      <alignment vertical="center"/>
    </xf>
    <xf numFmtId="0" fontId="8" fillId="0" borderId="29" xfId="0" applyFont="1" applyBorder="1" applyAlignment="1">
      <alignment vertical="center"/>
    </xf>
    <xf numFmtId="0" fontId="8" fillId="0" borderId="30"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31" xfId="0" applyFont="1" applyBorder="1" applyAlignment="1">
      <alignment vertical="center"/>
    </xf>
    <xf numFmtId="0" fontId="8" fillId="0" borderId="33" xfId="0" applyFont="1" applyBorder="1" applyAlignment="1">
      <alignment vertical="center"/>
    </xf>
    <xf numFmtId="0" fontId="8" fillId="0" borderId="34" xfId="0" applyFont="1" applyBorder="1" applyAlignment="1">
      <alignment vertical="center"/>
    </xf>
    <xf numFmtId="0" fontId="11"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11" fillId="0" borderId="25" xfId="0" applyFont="1" applyBorder="1" applyAlignment="1">
      <alignment horizontal="center" vertical="center"/>
    </xf>
    <xf numFmtId="0" fontId="8" fillId="0" borderId="26" xfId="0" applyFont="1" applyBorder="1" applyAlignment="1">
      <alignment vertical="center"/>
    </xf>
    <xf numFmtId="0" fontId="8" fillId="0" borderId="27" xfId="0" applyFont="1" applyBorder="1" applyAlignment="1">
      <alignment vertical="center"/>
    </xf>
    <xf numFmtId="3" fontId="11" fillId="0" borderId="8" xfId="0" applyNumberFormat="1" applyFont="1" applyBorder="1" applyAlignment="1">
      <alignment horizontal="right" vertical="center"/>
    </xf>
    <xf numFmtId="3" fontId="11" fillId="2" borderId="31" xfId="0" applyNumberFormat="1" applyFont="1" applyFill="1" applyBorder="1" applyAlignment="1">
      <alignment horizontal="right" vertical="center"/>
    </xf>
    <xf numFmtId="3" fontId="11" fillId="2" borderId="32" xfId="0" applyNumberFormat="1" applyFont="1" applyFill="1" applyBorder="1" applyAlignment="1">
      <alignment horizontal="right" vertical="center"/>
    </xf>
    <xf numFmtId="3" fontId="11" fillId="0" borderId="31" xfId="9" applyNumberFormat="1" applyFont="1" applyFill="1" applyBorder="1" applyAlignment="1">
      <alignment horizontal="right" vertical="center"/>
    </xf>
    <xf numFmtId="3" fontId="0" fillId="0" borderId="32" xfId="0" applyNumberFormat="1" applyBorder="1" applyAlignment="1">
      <alignment horizontal="right" vertical="center"/>
    </xf>
    <xf numFmtId="3" fontId="46" fillId="2" borderId="31" xfId="0" applyNumberFormat="1" applyFont="1" applyFill="1" applyBorder="1" applyAlignment="1">
      <alignment horizontal="center" vertical="center"/>
    </xf>
    <xf numFmtId="3" fontId="46" fillId="2" borderId="32" xfId="0" applyNumberFormat="1" applyFont="1" applyFill="1" applyBorder="1" applyAlignment="1">
      <alignment horizontal="center" vertical="center"/>
    </xf>
    <xf numFmtId="0" fontId="8" fillId="0" borderId="3" xfId="0" applyFont="1" applyBorder="1" applyAlignment="1">
      <alignment horizontal="center" vertical="center"/>
    </xf>
    <xf numFmtId="3" fontId="48" fillId="2" borderId="31" xfId="0" applyNumberFormat="1" applyFont="1" applyFill="1" applyBorder="1" applyAlignment="1">
      <alignment horizontal="right" vertical="center"/>
    </xf>
    <xf numFmtId="3" fontId="48" fillId="2" borderId="32" xfId="0" applyNumberFormat="1" applyFont="1" applyFill="1" applyBorder="1" applyAlignment="1">
      <alignment horizontal="right" vertical="center"/>
    </xf>
    <xf numFmtId="3" fontId="48" fillId="2" borderId="8" xfId="0" applyNumberFormat="1" applyFont="1" applyFill="1" applyBorder="1" applyAlignment="1">
      <alignment horizontal="right" vertical="center"/>
    </xf>
    <xf numFmtId="178" fontId="12" fillId="0" borderId="1" xfId="5" applyNumberFormat="1" applyFont="1" applyFill="1" applyBorder="1" applyAlignment="1">
      <alignment horizontal="center" vertical="center"/>
    </xf>
    <xf numFmtId="178" fontId="12" fillId="0" borderId="1" xfId="5" applyNumberFormat="1" applyFont="1" applyFill="1" applyBorder="1" applyAlignment="1">
      <alignment horizontal="right" vertical="center"/>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cellXfs>
  <cellStyles count="12">
    <cellStyle name="Euro" xfId="1" xr:uid="{00000000-0005-0000-0000-000000000000}"/>
    <cellStyle name="Normal 2" xfId="2" xr:uid="{00000000-0005-0000-0000-000001000000}"/>
    <cellStyle name="Normal_AMIGO AGRO (HOGS INVTY 06)" xfId="3" xr:uid="{00000000-0005-0000-0000-000002000000}"/>
    <cellStyle name="Normal_Sheet2" xfId="4" xr:uid="{00000000-0005-0000-0000-000003000000}"/>
    <cellStyle name="Normal_Sheet3" xfId="5" xr:uid="{00000000-0005-0000-0000-000004000000}"/>
    <cellStyle name="Percent 2" xfId="6" xr:uid="{00000000-0005-0000-0000-000005000000}"/>
    <cellStyle name="百分比" xfId="7" builtinId="5"/>
    <cellStyle name="常规" xfId="0" builtinId="0"/>
    <cellStyle name="常规_Sheet2" xfId="8" xr:uid="{00000000-0005-0000-0000-000008000000}"/>
    <cellStyle name="常规_范霍夫数－计算结果" xfId="9" xr:uid="{00000000-0005-0000-0000-000009000000}"/>
    <cellStyle name="超链接" xfId="10" builtinId="8"/>
    <cellStyle name="千位分隔" xfId="1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5" Type="http://schemas.openxmlformats.org/officeDocument/2006/relationships/image" Target="../media/image17.png"/><Relationship Id="rId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411163</xdr:colOff>
      <xdr:row>3</xdr:row>
      <xdr:rowOff>47137</xdr:rowOff>
    </xdr:to>
    <xdr:pic>
      <xdr:nvPicPr>
        <xdr:cNvPr id="49335" name="Picture 3">
          <a:extLst>
            <a:ext uri="{FF2B5EF4-FFF2-40B4-BE49-F238E27FC236}">
              <a16:creationId xmlns:a16="http://schemas.microsoft.com/office/drawing/2014/main" id="{A5F66A01-5833-3594-0FDA-81DA1656F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50"/>
          <a:ext cx="261620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254000</xdr:colOff>
      <xdr:row>30</xdr:row>
      <xdr:rowOff>7983</xdr:rowOff>
    </xdr:from>
    <xdr:to>
      <xdr:col>2</xdr:col>
      <xdr:colOff>431311</xdr:colOff>
      <xdr:row>32</xdr:row>
      <xdr:rowOff>104408</xdr:rowOff>
    </xdr:to>
    <xdr:pic>
      <xdr:nvPicPr>
        <xdr:cNvPr id="49336" name="Picture 5">
          <a:extLst>
            <a:ext uri="{FF2B5EF4-FFF2-40B4-BE49-F238E27FC236}">
              <a16:creationId xmlns:a16="http://schemas.microsoft.com/office/drawing/2014/main" id="{828FDEE7-062C-90D5-C594-12B976C4FD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000" y="5363964"/>
          <a:ext cx="2379540" cy="4219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3</xdr:col>
      <xdr:colOff>331177</xdr:colOff>
      <xdr:row>31</xdr:row>
      <xdr:rowOff>55616</xdr:rowOff>
    </xdr:from>
    <xdr:to>
      <xdr:col>3</xdr:col>
      <xdr:colOff>1607771</xdr:colOff>
      <xdr:row>33</xdr:row>
      <xdr:rowOff>74124</xdr:rowOff>
    </xdr:to>
    <xdr:pic>
      <xdr:nvPicPr>
        <xdr:cNvPr id="49337" name="Picture 6">
          <a:extLst>
            <a:ext uri="{FF2B5EF4-FFF2-40B4-BE49-F238E27FC236}">
              <a16:creationId xmlns:a16="http://schemas.microsoft.com/office/drawing/2014/main" id="{3B609825-7731-FCDB-F43A-01E9F161C4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91658" y="5572789"/>
          <a:ext cx="1273419" cy="340893"/>
        </a:xfrm>
        <a:prstGeom prst="rect">
          <a:avLst/>
        </a:prstGeom>
        <a:solidFill>
          <a:srgbClr val="FF0000"/>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41</xdr:row>
      <xdr:rowOff>101600</xdr:rowOff>
    </xdr:from>
    <xdr:to>
      <xdr:col>4</xdr:col>
      <xdr:colOff>53976</xdr:colOff>
      <xdr:row>45</xdr:row>
      <xdr:rowOff>53977</xdr:rowOff>
    </xdr:to>
    <xdr:pic>
      <xdr:nvPicPr>
        <xdr:cNvPr id="50599" name="Picture 4">
          <a:extLst>
            <a:ext uri="{FF2B5EF4-FFF2-40B4-BE49-F238E27FC236}">
              <a16:creationId xmlns:a16="http://schemas.microsoft.com/office/drawing/2014/main" id="{83AC4713-0209-D198-B80E-E6F6A7C0E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23050"/>
          <a:ext cx="660400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60</xdr:row>
      <xdr:rowOff>6350</xdr:rowOff>
    </xdr:from>
    <xdr:to>
      <xdr:col>2</xdr:col>
      <xdr:colOff>206376</xdr:colOff>
      <xdr:row>63</xdr:row>
      <xdr:rowOff>53975</xdr:rowOff>
    </xdr:to>
    <xdr:pic>
      <xdr:nvPicPr>
        <xdr:cNvPr id="50600" name="Picture 5">
          <a:extLst>
            <a:ext uri="{FF2B5EF4-FFF2-40B4-BE49-F238E27FC236}">
              <a16:creationId xmlns:a16="http://schemas.microsoft.com/office/drawing/2014/main" id="{FBA26B2A-AAC4-2130-28CD-2C0A820B0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156700"/>
          <a:ext cx="41148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152400</xdr:colOff>
      <xdr:row>63</xdr:row>
      <xdr:rowOff>120650</xdr:rowOff>
    </xdr:from>
    <xdr:to>
      <xdr:col>2</xdr:col>
      <xdr:colOff>95250</xdr:colOff>
      <xdr:row>67</xdr:row>
      <xdr:rowOff>39690</xdr:rowOff>
    </xdr:to>
    <xdr:pic>
      <xdr:nvPicPr>
        <xdr:cNvPr id="50601" name="Picture 6">
          <a:extLst>
            <a:ext uri="{FF2B5EF4-FFF2-40B4-BE49-F238E27FC236}">
              <a16:creationId xmlns:a16="http://schemas.microsoft.com/office/drawing/2014/main" id="{33A00FF7-9A4F-9F32-CF94-77984CB657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 y="9652000"/>
          <a:ext cx="38544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69850</xdr:colOff>
      <xdr:row>81</xdr:row>
      <xdr:rowOff>38100</xdr:rowOff>
    </xdr:from>
    <xdr:to>
      <xdr:col>1</xdr:col>
      <xdr:colOff>1087439</xdr:colOff>
      <xdr:row>84</xdr:row>
      <xdr:rowOff>77790</xdr:rowOff>
    </xdr:to>
    <xdr:pic>
      <xdr:nvPicPr>
        <xdr:cNvPr id="50602" name="Picture 7">
          <a:extLst>
            <a:ext uri="{FF2B5EF4-FFF2-40B4-BE49-F238E27FC236}">
              <a16:creationId xmlns:a16="http://schemas.microsoft.com/office/drawing/2014/main" id="{815F7E7A-FDF7-BE51-14D7-99CC2B11CCA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850" y="12287250"/>
          <a:ext cx="347980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457200</xdr:colOff>
      <xdr:row>5</xdr:row>
      <xdr:rowOff>0</xdr:rowOff>
    </xdr:to>
    <xdr:pic>
      <xdr:nvPicPr>
        <xdr:cNvPr id="50603" name="图片 3">
          <a:extLst>
            <a:ext uri="{FF2B5EF4-FFF2-40B4-BE49-F238E27FC236}">
              <a16:creationId xmlns:a16="http://schemas.microsoft.com/office/drawing/2014/main" id="{53081EC3-83BD-A452-BA3E-8F521B3DAA4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27000"/>
          <a:ext cx="2914650" cy="50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241300</xdr:colOff>
      <xdr:row>1</xdr:row>
      <xdr:rowOff>120650</xdr:rowOff>
    </xdr:from>
    <xdr:to>
      <xdr:col>4</xdr:col>
      <xdr:colOff>2020889</xdr:colOff>
      <xdr:row>6</xdr:row>
      <xdr:rowOff>57150</xdr:rowOff>
    </xdr:to>
    <xdr:pic>
      <xdr:nvPicPr>
        <xdr:cNvPr id="50604" name="图片 4">
          <a:extLst>
            <a:ext uri="{FF2B5EF4-FFF2-40B4-BE49-F238E27FC236}">
              <a16:creationId xmlns:a16="http://schemas.microsoft.com/office/drawing/2014/main" id="{2867A1D4-4902-F217-AB12-1A1096671E6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152900" y="247650"/>
          <a:ext cx="44259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107950</xdr:colOff>
      <xdr:row>19</xdr:row>
      <xdr:rowOff>31137</xdr:rowOff>
    </xdr:from>
    <xdr:to>
      <xdr:col>2</xdr:col>
      <xdr:colOff>774700</xdr:colOff>
      <xdr:row>22</xdr:row>
      <xdr:rowOff>20639</xdr:rowOff>
    </xdr:to>
    <xdr:pic>
      <xdr:nvPicPr>
        <xdr:cNvPr id="50605" name="图片 5">
          <a:extLst>
            <a:ext uri="{FF2B5EF4-FFF2-40B4-BE49-F238E27FC236}">
              <a16:creationId xmlns:a16="http://schemas.microsoft.com/office/drawing/2014/main" id="{55CADC9D-6A6D-58DF-FEFC-BCDA7C85778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7950" y="2856887"/>
          <a:ext cx="4578350" cy="561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7</xdr:row>
      <xdr:rowOff>63500</xdr:rowOff>
    </xdr:from>
    <xdr:to>
      <xdr:col>1</xdr:col>
      <xdr:colOff>1201739</xdr:colOff>
      <xdr:row>11</xdr:row>
      <xdr:rowOff>38100</xdr:rowOff>
    </xdr:to>
    <xdr:pic>
      <xdr:nvPicPr>
        <xdr:cNvPr id="50606" name="图片 8">
          <a:extLst>
            <a:ext uri="{FF2B5EF4-FFF2-40B4-BE49-F238E27FC236}">
              <a16:creationId xmlns:a16="http://schemas.microsoft.com/office/drawing/2014/main" id="{0EB3728B-D8BC-8C0E-DF75-19D4515D149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150" y="977900"/>
          <a:ext cx="36068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29</xdr:row>
      <xdr:rowOff>120650</xdr:rowOff>
    </xdr:from>
    <xdr:to>
      <xdr:col>2</xdr:col>
      <xdr:colOff>1316039</xdr:colOff>
      <xdr:row>34</xdr:row>
      <xdr:rowOff>53975</xdr:rowOff>
    </xdr:to>
    <xdr:pic>
      <xdr:nvPicPr>
        <xdr:cNvPr id="50607" name="图片 1">
          <a:extLst>
            <a:ext uri="{FF2B5EF4-FFF2-40B4-BE49-F238E27FC236}">
              <a16:creationId xmlns:a16="http://schemas.microsoft.com/office/drawing/2014/main" id="{FD75BA4C-2018-D2D9-6D3C-2ED6DD41F07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4603750"/>
          <a:ext cx="52324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95250</xdr:colOff>
      <xdr:row>2</xdr:row>
      <xdr:rowOff>103188</xdr:rowOff>
    </xdr:to>
    <xdr:pic>
      <xdr:nvPicPr>
        <xdr:cNvPr id="51435" name="Picture 1">
          <a:extLst>
            <a:ext uri="{FF2B5EF4-FFF2-40B4-BE49-F238E27FC236}">
              <a16:creationId xmlns:a16="http://schemas.microsoft.com/office/drawing/2014/main" id="{91960F59-030E-0B2B-5B1F-C8A3F3B72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50"/>
          <a:ext cx="30797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50800</xdr:colOff>
      <xdr:row>4</xdr:row>
      <xdr:rowOff>38100</xdr:rowOff>
    </xdr:from>
    <xdr:to>
      <xdr:col>1</xdr:col>
      <xdr:colOff>1322388</xdr:colOff>
      <xdr:row>18</xdr:row>
      <xdr:rowOff>76200</xdr:rowOff>
    </xdr:to>
    <xdr:pic>
      <xdr:nvPicPr>
        <xdr:cNvPr id="51436" name="Picture 2">
          <a:extLst>
            <a:ext uri="{FF2B5EF4-FFF2-40B4-BE49-F238E27FC236}">
              <a16:creationId xmlns:a16="http://schemas.microsoft.com/office/drawing/2014/main" id="{F8F1789A-646D-529B-99BC-4AA69B44A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800" y="635000"/>
          <a:ext cx="4254500" cy="208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63500</xdr:colOff>
      <xdr:row>38</xdr:row>
      <xdr:rowOff>25400</xdr:rowOff>
    </xdr:from>
    <xdr:to>
      <xdr:col>2</xdr:col>
      <xdr:colOff>312738</xdr:colOff>
      <xdr:row>53</xdr:row>
      <xdr:rowOff>95250</xdr:rowOff>
    </xdr:to>
    <xdr:pic>
      <xdr:nvPicPr>
        <xdr:cNvPr id="51437" name="Picture 4">
          <a:extLst>
            <a:ext uri="{FF2B5EF4-FFF2-40B4-BE49-F238E27FC236}">
              <a16:creationId xmlns:a16="http://schemas.microsoft.com/office/drawing/2014/main" id="{120DE75C-7276-6E9E-C2F8-467EA4413A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500" y="6089650"/>
          <a:ext cx="4572000" cy="226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107950</xdr:colOff>
      <xdr:row>78</xdr:row>
      <xdr:rowOff>50800</xdr:rowOff>
    </xdr:from>
    <xdr:to>
      <xdr:col>3</xdr:col>
      <xdr:colOff>735013</xdr:colOff>
      <xdr:row>82</xdr:row>
      <xdr:rowOff>0</xdr:rowOff>
    </xdr:to>
    <xdr:pic>
      <xdr:nvPicPr>
        <xdr:cNvPr id="51438" name="图片 1">
          <a:extLst>
            <a:ext uri="{FF2B5EF4-FFF2-40B4-BE49-F238E27FC236}">
              <a16:creationId xmlns:a16="http://schemas.microsoft.com/office/drawing/2014/main" id="{12434EED-C3BE-DE8F-BF60-82F9BEBC817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7950" y="12414250"/>
          <a:ext cx="61785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95</xdr:row>
      <xdr:rowOff>82550</xdr:rowOff>
    </xdr:from>
    <xdr:to>
      <xdr:col>3</xdr:col>
      <xdr:colOff>190500</xdr:colOff>
      <xdr:row>98</xdr:row>
      <xdr:rowOff>122238</xdr:rowOff>
    </xdr:to>
    <xdr:pic>
      <xdr:nvPicPr>
        <xdr:cNvPr id="51439" name="图片 2">
          <a:extLst>
            <a:ext uri="{FF2B5EF4-FFF2-40B4-BE49-F238E27FC236}">
              <a16:creationId xmlns:a16="http://schemas.microsoft.com/office/drawing/2014/main" id="{93C398EC-3EB4-2CA6-B597-9E741FFBCB6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3500" y="15189200"/>
          <a:ext cx="56769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D7"/>
  <sheetViews>
    <sheetView tabSelected="1" zoomScale="145" zoomScaleNormal="145" workbookViewId="0">
      <selection activeCell="D14" sqref="D14"/>
    </sheetView>
  </sheetViews>
  <sheetFormatPr defaultColWidth="8.7265625" defaultRowHeight="11.5" x14ac:dyDescent="0.25"/>
  <cols>
    <col min="1" max="2" width="8.7265625" style="3"/>
    <col min="3" max="3" width="42.26953125" style="3" customWidth="1"/>
    <col min="4" max="4" width="45.7265625" style="3" customWidth="1"/>
    <col min="5" max="16384" width="8.7265625" style="3"/>
  </cols>
  <sheetData>
    <row r="3" spans="3:4" ht="23" x14ac:dyDescent="0.25">
      <c r="C3" s="1" t="s">
        <v>130</v>
      </c>
      <c r="D3" s="2" t="s">
        <v>172</v>
      </c>
    </row>
    <row r="4" spans="3:4" x14ac:dyDescent="0.25">
      <c r="C4" s="1" t="s">
        <v>131</v>
      </c>
      <c r="D4" s="245" t="s">
        <v>176</v>
      </c>
    </row>
    <row r="5" spans="3:4" x14ac:dyDescent="0.25">
      <c r="C5" s="1" t="s">
        <v>132</v>
      </c>
      <c r="D5" s="4">
        <v>3</v>
      </c>
    </row>
    <row r="6" spans="3:4" x14ac:dyDescent="0.25">
      <c r="C6" s="1" t="s">
        <v>133</v>
      </c>
      <c r="D6" s="245" t="s">
        <v>301</v>
      </c>
    </row>
    <row r="7" spans="3:4" ht="26" customHeight="1" x14ac:dyDescent="0.25">
      <c r="C7" s="1" t="s">
        <v>134</v>
      </c>
      <c r="D7" s="2" t="s">
        <v>173</v>
      </c>
    </row>
  </sheetData>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H32"/>
  <sheetViews>
    <sheetView zoomScale="130" zoomScaleNormal="130" workbookViewId="0">
      <selection activeCell="H29" sqref="H29"/>
    </sheetView>
  </sheetViews>
  <sheetFormatPr defaultRowHeight="12.5" x14ac:dyDescent="0.25"/>
  <cols>
    <col min="4" max="4" width="23" bestFit="1" customWidth="1"/>
    <col min="5" max="5" width="53.81640625" bestFit="1" customWidth="1"/>
    <col min="8" max="8" width="15.6328125" customWidth="1"/>
  </cols>
  <sheetData>
    <row r="4" spans="3:8" ht="13" x14ac:dyDescent="0.25">
      <c r="C4" s="366" t="s">
        <v>235</v>
      </c>
      <c r="D4" s="169" t="s">
        <v>236</v>
      </c>
      <c r="E4" s="169" t="s">
        <v>253</v>
      </c>
    </row>
    <row r="5" spans="3:8" x14ac:dyDescent="0.25">
      <c r="C5" s="367"/>
      <c r="D5" s="169" t="str">
        <f>'EMISSION REDUCTIONS'!B6</f>
        <v>20/12/2020-31/12/2020</v>
      </c>
      <c r="E5" s="265">
        <f>20577003.48/365*12</f>
        <v>676504.22399999993</v>
      </c>
      <c r="H5" s="269"/>
    </row>
    <row r="6" spans="3:8" x14ac:dyDescent="0.25">
      <c r="C6" s="367"/>
      <c r="D6" s="169" t="str">
        <f>'EMISSION REDUCTIONS'!B7</f>
        <v>01/01/2021-31/12/2021</v>
      </c>
      <c r="E6" s="265">
        <v>20577003.48</v>
      </c>
    </row>
    <row r="7" spans="3:8" x14ac:dyDescent="0.25">
      <c r="C7" s="367"/>
      <c r="D7" s="169" t="str">
        <f>'EMISSION REDUCTIONS'!B8</f>
        <v>01/01/2022-31/12/2022</v>
      </c>
      <c r="E7" s="265">
        <f>E6</f>
        <v>20577003.48</v>
      </c>
    </row>
    <row r="8" spans="3:8" x14ac:dyDescent="0.25">
      <c r="C8" s="367"/>
      <c r="D8" s="169" t="str">
        <f>'EMISSION REDUCTIONS'!B9</f>
        <v>01/01/2023-31/12/2023</v>
      </c>
      <c r="E8" s="265">
        <f>E7</f>
        <v>20577003.48</v>
      </c>
    </row>
    <row r="9" spans="3:8" x14ac:dyDescent="0.25">
      <c r="C9" s="367"/>
      <c r="D9" s="169" t="str">
        <f>'EMISSION REDUCTIONS'!B10</f>
        <v>01/01/2024-31/12/2024</v>
      </c>
      <c r="E9" s="265">
        <f>E8</f>
        <v>20577003.48</v>
      </c>
    </row>
    <row r="10" spans="3:8" x14ac:dyDescent="0.25">
      <c r="C10" s="367"/>
      <c r="D10" s="169" t="str">
        <f>'EMISSION REDUCTIONS'!B11</f>
        <v>01/01/2025-19/12/2025</v>
      </c>
      <c r="E10" s="265">
        <f>20577003.48/365*353</f>
        <v>19900499.256000001</v>
      </c>
    </row>
    <row r="11" spans="3:8" x14ac:dyDescent="0.25">
      <c r="C11" s="367"/>
      <c r="D11" s="169" t="s">
        <v>237</v>
      </c>
      <c r="E11" s="266">
        <f>SUM(E5:E10)</f>
        <v>102885017.40000001</v>
      </c>
    </row>
    <row r="12" spans="3:8" x14ac:dyDescent="0.25">
      <c r="C12" s="368"/>
      <c r="D12" s="169" t="s">
        <v>238</v>
      </c>
      <c r="E12" s="265">
        <f>E11/5</f>
        <v>20577003.48</v>
      </c>
    </row>
    <row r="13" spans="3:8" x14ac:dyDescent="0.25">
      <c r="C13" s="3"/>
      <c r="D13" s="3"/>
      <c r="E13" s="3"/>
    </row>
    <row r="14" spans="3:8" x14ac:dyDescent="0.25">
      <c r="C14" s="366" t="s">
        <v>239</v>
      </c>
      <c r="D14" s="169" t="s">
        <v>236</v>
      </c>
      <c r="E14" s="169" t="s">
        <v>240</v>
      </c>
    </row>
    <row r="15" spans="3:8" x14ac:dyDescent="0.25">
      <c r="C15" s="367"/>
      <c r="D15" s="169" t="str">
        <f t="shared" ref="D15:D22" si="0">D5</f>
        <v>20/12/2020-31/12/2020</v>
      </c>
      <c r="E15" s="169" t="s">
        <v>241</v>
      </c>
    </row>
    <row r="16" spans="3:8" x14ac:dyDescent="0.25">
      <c r="C16" s="367"/>
      <c r="D16" s="169" t="str">
        <f t="shared" si="0"/>
        <v>01/01/2021-31/12/2021</v>
      </c>
      <c r="E16" s="169" t="str">
        <f t="shared" ref="E16:E22" si="1">E15</f>
        <v>18 full time jobs created,including 9 females and 9 males</v>
      </c>
    </row>
    <row r="17" spans="3:5" x14ac:dyDescent="0.25">
      <c r="C17" s="367"/>
      <c r="D17" s="169" t="str">
        <f t="shared" si="0"/>
        <v>01/01/2022-31/12/2022</v>
      </c>
      <c r="E17" s="169" t="str">
        <f t="shared" si="1"/>
        <v>18 full time jobs created,including 9 females and 9 males</v>
      </c>
    </row>
    <row r="18" spans="3:5" x14ac:dyDescent="0.25">
      <c r="C18" s="367"/>
      <c r="D18" s="169" t="str">
        <f t="shared" si="0"/>
        <v>01/01/2023-31/12/2023</v>
      </c>
      <c r="E18" s="169" t="str">
        <f t="shared" si="1"/>
        <v>18 full time jobs created,including 9 females and 9 males</v>
      </c>
    </row>
    <row r="19" spans="3:5" x14ac:dyDescent="0.25">
      <c r="C19" s="367"/>
      <c r="D19" s="169" t="str">
        <f t="shared" si="0"/>
        <v>01/01/2024-31/12/2024</v>
      </c>
      <c r="E19" s="169" t="str">
        <f t="shared" si="1"/>
        <v>18 full time jobs created,including 9 females and 9 males</v>
      </c>
    </row>
    <row r="20" spans="3:5" x14ac:dyDescent="0.25">
      <c r="C20" s="367"/>
      <c r="D20" s="169" t="str">
        <f t="shared" si="0"/>
        <v>01/01/2025-19/12/2025</v>
      </c>
      <c r="E20" s="169" t="str">
        <f t="shared" si="1"/>
        <v>18 full time jobs created,including 9 females and 9 males</v>
      </c>
    </row>
    <row r="21" spans="3:5" x14ac:dyDescent="0.25">
      <c r="C21" s="367"/>
      <c r="D21" s="169" t="str">
        <f t="shared" si="0"/>
        <v>Total</v>
      </c>
      <c r="E21" s="169" t="str">
        <f>E19</f>
        <v>18 full time jobs created,including 9 females and 9 males</v>
      </c>
    </row>
    <row r="22" spans="3:5" x14ac:dyDescent="0.25">
      <c r="C22" s="368"/>
      <c r="D22" s="169" t="str">
        <f t="shared" si="0"/>
        <v>Average</v>
      </c>
      <c r="E22" s="169" t="str">
        <f t="shared" si="1"/>
        <v>18 full time jobs created,including 9 females and 9 males</v>
      </c>
    </row>
    <row r="23" spans="3:5" x14ac:dyDescent="0.25">
      <c r="C23" s="3"/>
      <c r="D23" s="3"/>
      <c r="E23" s="3"/>
    </row>
    <row r="24" spans="3:5" ht="13" x14ac:dyDescent="0.3">
      <c r="C24" s="366" t="s">
        <v>242</v>
      </c>
      <c r="D24" s="169" t="s">
        <v>243</v>
      </c>
      <c r="E24" s="169" t="s">
        <v>244</v>
      </c>
    </row>
    <row r="25" spans="3:5" x14ac:dyDescent="0.25">
      <c r="C25" s="367"/>
      <c r="D25" s="169" t="str">
        <f t="shared" ref="D25:D30" si="2">D15</f>
        <v>20/12/2020-31/12/2020</v>
      </c>
      <c r="E25" s="267">
        <f>'EMISSION REDUCTIONS'!F6</f>
        <v>7854.673972602739</v>
      </c>
    </row>
    <row r="26" spans="3:5" x14ac:dyDescent="0.25">
      <c r="C26" s="367"/>
      <c r="D26" s="169" t="str">
        <f t="shared" si="2"/>
        <v>01/01/2021-31/12/2021</v>
      </c>
      <c r="E26" s="267">
        <f>'EMISSION REDUCTIONS'!F7</f>
        <v>238913</v>
      </c>
    </row>
    <row r="27" spans="3:5" x14ac:dyDescent="0.25">
      <c r="C27" s="367"/>
      <c r="D27" s="169" t="str">
        <f t="shared" si="2"/>
        <v>01/01/2022-31/12/2022</v>
      </c>
      <c r="E27" s="267">
        <f>'EMISSION REDUCTIONS'!F8</f>
        <v>238913</v>
      </c>
    </row>
    <row r="28" spans="3:5" x14ac:dyDescent="0.25">
      <c r="C28" s="367"/>
      <c r="D28" s="169" t="str">
        <f t="shared" si="2"/>
        <v>01/01/2023-31/12/2023</v>
      </c>
      <c r="E28" s="267">
        <f>'EMISSION REDUCTIONS'!F9</f>
        <v>238913</v>
      </c>
    </row>
    <row r="29" spans="3:5" x14ac:dyDescent="0.25">
      <c r="C29" s="367"/>
      <c r="D29" s="169" t="str">
        <f t="shared" si="2"/>
        <v>01/01/2024-31/12/2024</v>
      </c>
      <c r="E29" s="267">
        <f>'EMISSION REDUCTIONS'!F10</f>
        <v>238913</v>
      </c>
    </row>
    <row r="30" spans="3:5" x14ac:dyDescent="0.25">
      <c r="C30" s="367"/>
      <c r="D30" s="169" t="str">
        <f t="shared" si="2"/>
        <v>01/01/2025-19/12/2025</v>
      </c>
      <c r="E30" s="267">
        <f>'EMISSION REDUCTIONS'!F11</f>
        <v>231058.32602739724</v>
      </c>
    </row>
    <row r="31" spans="3:5" x14ac:dyDescent="0.25">
      <c r="C31" s="367"/>
      <c r="D31" s="169" t="s">
        <v>237</v>
      </c>
      <c r="E31" s="267">
        <f>SUM(E25:E30)</f>
        <v>1194565</v>
      </c>
    </row>
    <row r="32" spans="3:5" x14ac:dyDescent="0.25">
      <c r="C32" s="368"/>
      <c r="D32" s="169" t="s">
        <v>238</v>
      </c>
      <c r="E32" s="267">
        <f>E31/5</f>
        <v>238913</v>
      </c>
    </row>
  </sheetData>
  <mergeCells count="3">
    <mergeCell ref="C4:C12"/>
    <mergeCell ref="C14:C22"/>
    <mergeCell ref="C24:C32"/>
  </mergeCells>
  <phoneticPr fontId="43" type="noConversion"/>
  <pageMargins left="0.7" right="0.7" top="0.75" bottom="0.75" header="0.3" footer="0.3"/>
  <ignoredErrors>
    <ignoredError sqref="E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1"/>
  <sheetViews>
    <sheetView topLeftCell="A43" zoomScale="130" zoomScaleNormal="130" zoomScaleSheetLayoutView="140" workbookViewId="0">
      <selection activeCell="E75" sqref="E75"/>
    </sheetView>
  </sheetViews>
  <sheetFormatPr defaultColWidth="9" defaultRowHeight="10" x14ac:dyDescent="0.2"/>
  <cols>
    <col min="1" max="1" width="16.453125" style="279" customWidth="1"/>
    <col min="2" max="3" width="15.1796875" style="279" customWidth="1"/>
    <col min="4" max="4" width="31.453125" style="279" customWidth="1"/>
    <col min="5" max="5" width="47.81640625" style="279" customWidth="1"/>
    <col min="6" max="6" width="58" style="279" customWidth="1"/>
    <col min="7" max="16384" width="9" style="279"/>
  </cols>
  <sheetData>
    <row r="1" spans="1:7" x14ac:dyDescent="0.2">
      <c r="A1" s="278" t="s">
        <v>0</v>
      </c>
      <c r="B1" s="278"/>
      <c r="C1" s="278"/>
    </row>
    <row r="2" spans="1:7" x14ac:dyDescent="0.2">
      <c r="A2" s="278"/>
      <c r="B2" s="278"/>
      <c r="C2" s="278"/>
      <c r="D2" s="280"/>
    </row>
    <row r="3" spans="1:7" x14ac:dyDescent="0.2">
      <c r="A3" s="278"/>
      <c r="B3" s="278"/>
      <c r="C3" s="278"/>
    </row>
    <row r="4" spans="1:7" ht="12" x14ac:dyDescent="0.3">
      <c r="A4" s="281" t="s">
        <v>256</v>
      </c>
      <c r="B4" s="278"/>
      <c r="C4" s="278"/>
    </row>
    <row r="5" spans="1:7" ht="12" x14ac:dyDescent="0.3">
      <c r="A5" s="282" t="s">
        <v>257</v>
      </c>
      <c r="B5" s="282"/>
      <c r="C5" s="283"/>
      <c r="D5" s="283"/>
      <c r="E5" s="284"/>
      <c r="F5" s="285"/>
    </row>
    <row r="6" spans="1:7" ht="10.5" thickBot="1" x14ac:dyDescent="0.25"/>
    <row r="7" spans="1:7" x14ac:dyDescent="0.2">
      <c r="A7" s="286" t="s">
        <v>1</v>
      </c>
      <c r="B7" s="63" t="s">
        <v>2</v>
      </c>
      <c r="C7" s="63"/>
      <c r="D7" s="63" t="s">
        <v>3</v>
      </c>
      <c r="E7" s="63" t="s">
        <v>4</v>
      </c>
      <c r="F7" s="64" t="s">
        <v>103</v>
      </c>
      <c r="G7" s="287"/>
    </row>
    <row r="8" spans="1:7" x14ac:dyDescent="0.2">
      <c r="A8" s="288"/>
      <c r="B8" s="289" t="s">
        <v>5</v>
      </c>
      <c r="C8" s="289" t="s">
        <v>6</v>
      </c>
      <c r="D8" s="289"/>
      <c r="E8" s="290"/>
      <c r="F8" s="291"/>
      <c r="G8" s="287"/>
    </row>
    <row r="9" spans="1:7" ht="12" x14ac:dyDescent="0.3">
      <c r="A9" s="292" t="s">
        <v>144</v>
      </c>
      <c r="B9" s="105">
        <v>28</v>
      </c>
      <c r="C9" s="105">
        <v>28</v>
      </c>
      <c r="D9" s="270" t="s">
        <v>246</v>
      </c>
      <c r="E9" s="293" t="s">
        <v>177</v>
      </c>
      <c r="F9" s="291" t="s">
        <v>258</v>
      </c>
      <c r="G9" s="287"/>
    </row>
    <row r="10" spans="1:7" ht="12" x14ac:dyDescent="0.2">
      <c r="A10" s="292" t="s">
        <v>259</v>
      </c>
      <c r="B10" s="105">
        <v>6.7000000000000002E-4</v>
      </c>
      <c r="C10" s="105">
        <v>6.7000000000000002E-4</v>
      </c>
      <c r="D10" s="294" t="s">
        <v>260</v>
      </c>
      <c r="E10" s="293" t="s">
        <v>109</v>
      </c>
      <c r="F10" s="291" t="s">
        <v>261</v>
      </c>
      <c r="G10" s="287"/>
    </row>
    <row r="11" spans="1:7" ht="12" x14ac:dyDescent="0.2">
      <c r="A11" s="292" t="s">
        <v>262</v>
      </c>
      <c r="B11" s="74">
        <v>0.78</v>
      </c>
      <c r="C11" s="295">
        <v>0.78</v>
      </c>
      <c r="D11" s="294" t="s">
        <v>8</v>
      </c>
      <c r="E11" s="293" t="s">
        <v>104</v>
      </c>
      <c r="F11" s="291" t="s">
        <v>174</v>
      </c>
      <c r="G11" s="296"/>
    </row>
    <row r="12" spans="1:7" ht="30" x14ac:dyDescent="0.2">
      <c r="A12" s="292" t="s">
        <v>9</v>
      </c>
      <c r="B12" s="105">
        <v>0.94</v>
      </c>
      <c r="C12" s="105">
        <v>0.94</v>
      </c>
      <c r="D12" s="294" t="s">
        <v>98</v>
      </c>
      <c r="E12" s="297" t="s">
        <v>102</v>
      </c>
      <c r="F12" s="291" t="s">
        <v>10</v>
      </c>
      <c r="G12" s="296"/>
    </row>
    <row r="13" spans="1:7" ht="30" x14ac:dyDescent="0.2">
      <c r="A13" s="292" t="s">
        <v>175</v>
      </c>
      <c r="B13" s="298">
        <f>B11*B12</f>
        <v>0.73319999999999996</v>
      </c>
      <c r="C13" s="298">
        <f>C11*C12</f>
        <v>0.73319999999999996</v>
      </c>
      <c r="D13" s="294" t="s">
        <v>98</v>
      </c>
      <c r="E13" s="297" t="s">
        <v>11</v>
      </c>
      <c r="F13" s="291" t="s">
        <v>10</v>
      </c>
      <c r="G13" s="296"/>
    </row>
    <row r="14" spans="1:7" ht="12" x14ac:dyDescent="0.2">
      <c r="A14" s="292" t="s">
        <v>263</v>
      </c>
      <c r="B14" s="105">
        <v>0.28999999999999998</v>
      </c>
      <c r="C14" s="105">
        <v>0.28999999999999998</v>
      </c>
      <c r="D14" s="294" t="s">
        <v>264</v>
      </c>
      <c r="E14" s="293" t="s">
        <v>12</v>
      </c>
      <c r="F14" s="291" t="s">
        <v>13</v>
      </c>
      <c r="G14" s="287"/>
    </row>
    <row r="15" spans="1:7" ht="15" customHeight="1" x14ac:dyDescent="0.2">
      <c r="A15" s="292" t="s">
        <v>265</v>
      </c>
      <c r="B15" s="299">
        <v>139800</v>
      </c>
      <c r="C15" s="299">
        <v>97470</v>
      </c>
      <c r="D15" s="294" t="s">
        <v>14</v>
      </c>
      <c r="E15" s="293" t="s">
        <v>178</v>
      </c>
      <c r="F15" s="291" t="s">
        <v>15</v>
      </c>
      <c r="G15" s="287"/>
    </row>
    <row r="16" spans="1:7" ht="15" customHeight="1" x14ac:dyDescent="0.2">
      <c r="A16" s="300" t="str">
        <f>A40</f>
        <v>Wsite</v>
      </c>
      <c r="B16" s="301">
        <v>66</v>
      </c>
      <c r="C16" s="301">
        <v>98</v>
      </c>
      <c r="D16" s="294" t="s">
        <v>16</v>
      </c>
      <c r="E16" s="293" t="s">
        <v>178</v>
      </c>
      <c r="F16" s="291" t="s">
        <v>17</v>
      </c>
      <c r="G16" s="287"/>
    </row>
    <row r="17" spans="1:7" ht="15" customHeight="1" x14ac:dyDescent="0.2">
      <c r="A17" s="292" t="s">
        <v>266</v>
      </c>
      <c r="B17" s="299">
        <f>B41</f>
        <v>28</v>
      </c>
      <c r="C17" s="299">
        <f>C41</f>
        <v>28</v>
      </c>
      <c r="D17" s="294" t="s">
        <v>16</v>
      </c>
      <c r="E17" s="293" t="s">
        <v>12</v>
      </c>
      <c r="F17" s="291" t="s">
        <v>18</v>
      </c>
      <c r="G17" s="287"/>
    </row>
    <row r="18" spans="1:7" ht="12" x14ac:dyDescent="0.2">
      <c r="A18" s="292" t="s">
        <v>267</v>
      </c>
      <c r="B18" s="28">
        <v>0.3</v>
      </c>
      <c r="C18" s="28">
        <v>0.3</v>
      </c>
      <c r="D18" s="294" t="s">
        <v>106</v>
      </c>
      <c r="E18" s="293" t="str">
        <f>E14</f>
        <v>2006 IPCC guideline, volume 4, chapter 10, tbl. 10A-7</v>
      </c>
      <c r="F18" s="302" t="s">
        <v>19</v>
      </c>
      <c r="G18" s="287"/>
    </row>
    <row r="19" spans="1:7" ht="25" customHeight="1" x14ac:dyDescent="0.2">
      <c r="A19" s="292" t="s">
        <v>268</v>
      </c>
      <c r="B19" s="303">
        <f>(B16/B17)*B18*B21</f>
        <v>258.10714285714289</v>
      </c>
      <c r="C19" s="303">
        <f>(C16/C17)*C18*C21</f>
        <v>383.25</v>
      </c>
      <c r="D19" s="294" t="s">
        <v>107</v>
      </c>
      <c r="E19" s="293" t="s">
        <v>128</v>
      </c>
      <c r="F19" s="302" t="s">
        <v>108</v>
      </c>
      <c r="G19" s="287"/>
    </row>
    <row r="20" spans="1:7" ht="12" x14ac:dyDescent="0.2">
      <c r="A20" s="292" t="s">
        <v>269</v>
      </c>
      <c r="B20" s="295">
        <v>1</v>
      </c>
      <c r="C20" s="295">
        <v>1</v>
      </c>
      <c r="D20" s="294" t="s">
        <v>8</v>
      </c>
      <c r="E20" s="293" t="str">
        <f>E15</f>
        <v>project evaluation report</v>
      </c>
      <c r="F20" s="291" t="s">
        <v>20</v>
      </c>
      <c r="G20" s="287"/>
    </row>
    <row r="21" spans="1:7" ht="12" x14ac:dyDescent="0.2">
      <c r="A21" s="292" t="s">
        <v>270</v>
      </c>
      <c r="B21" s="28">
        <v>365</v>
      </c>
      <c r="C21" s="28">
        <v>365</v>
      </c>
      <c r="D21" s="294" t="s">
        <v>21</v>
      </c>
      <c r="E21" s="293" t="s">
        <v>22</v>
      </c>
      <c r="F21" s="291"/>
      <c r="G21" s="287"/>
    </row>
    <row r="22" spans="1:7" x14ac:dyDescent="0.2">
      <c r="A22" s="304"/>
      <c r="B22" s="305">
        <f>B9*B10*B13*B14*B15*B19*B20</f>
        <v>143933.03497029599</v>
      </c>
      <c r="C22" s="305">
        <f>C9*C10*C13*C14*C15*C19*C20</f>
        <v>149006.91312463317</v>
      </c>
      <c r="D22" s="306"/>
      <c r="E22" s="293" t="s">
        <v>128</v>
      </c>
      <c r="F22" s="307"/>
      <c r="G22" s="287"/>
    </row>
    <row r="23" spans="1:7" ht="12.5" thickBot="1" x14ac:dyDescent="0.25">
      <c r="A23" s="308" t="s">
        <v>271</v>
      </c>
      <c r="B23" s="369">
        <f>B22+C22</f>
        <v>292939.94809492916</v>
      </c>
      <c r="C23" s="369"/>
      <c r="D23" s="309"/>
      <c r="E23" s="310" t="s">
        <v>128</v>
      </c>
      <c r="F23" s="311"/>
      <c r="G23" s="287"/>
    </row>
    <row r="24" spans="1:7" x14ac:dyDescent="0.2">
      <c r="D24" s="312"/>
    </row>
    <row r="25" spans="1:7" ht="12" x14ac:dyDescent="0.3">
      <c r="A25" s="281" t="s">
        <v>298</v>
      </c>
      <c r="B25" s="278"/>
      <c r="E25" s="313"/>
    </row>
    <row r="26" spans="1:7" ht="11" x14ac:dyDescent="0.3">
      <c r="A26" s="370" t="s">
        <v>272</v>
      </c>
      <c r="B26" s="371"/>
      <c r="C26" s="371"/>
      <c r="D26" s="371"/>
      <c r="E26" s="284"/>
    </row>
    <row r="27" spans="1:7" x14ac:dyDescent="0.2">
      <c r="A27" s="314"/>
      <c r="B27" s="315"/>
      <c r="C27" s="315"/>
      <c r="D27" s="315"/>
      <c r="E27" s="313"/>
    </row>
    <row r="28" spans="1:7" x14ac:dyDescent="0.2">
      <c r="A28" s="278" t="s">
        <v>23</v>
      </c>
      <c r="B28" s="278"/>
    </row>
    <row r="29" spans="1:7" ht="12.75" customHeight="1" x14ac:dyDescent="0.3">
      <c r="A29" s="314"/>
      <c r="B29" s="316" t="s">
        <v>273</v>
      </c>
      <c r="C29" s="316"/>
      <c r="D29" s="316"/>
      <c r="E29" s="285"/>
    </row>
    <row r="30" spans="1:7" ht="12.75" customHeight="1" x14ac:dyDescent="0.2">
      <c r="A30" s="314"/>
      <c r="B30" s="316"/>
      <c r="C30" s="316"/>
      <c r="D30" s="316"/>
      <c r="E30" s="285"/>
    </row>
    <row r="31" spans="1:7" ht="12.75" customHeight="1" x14ac:dyDescent="0.3">
      <c r="A31" s="314"/>
      <c r="B31" s="316"/>
      <c r="C31" s="316"/>
      <c r="D31" s="316" t="s">
        <v>274</v>
      </c>
      <c r="E31" s="317"/>
      <c r="F31" s="287"/>
    </row>
    <row r="32" spans="1:7" ht="12.75" customHeight="1" x14ac:dyDescent="0.2">
      <c r="A32" s="314"/>
      <c r="B32" s="316"/>
      <c r="C32" s="316"/>
      <c r="D32" s="316"/>
      <c r="E32" s="285"/>
    </row>
    <row r="33" spans="1:6" ht="12.75" customHeight="1" x14ac:dyDescent="0.2">
      <c r="A33" s="314"/>
      <c r="B33" s="316"/>
      <c r="C33" s="316"/>
      <c r="D33" s="316"/>
      <c r="E33" s="285"/>
    </row>
    <row r="34" spans="1:6" ht="10.5" thickBot="1" x14ac:dyDescent="0.25"/>
    <row r="35" spans="1:6" x14ac:dyDescent="0.2">
      <c r="A35" s="37" t="s">
        <v>1</v>
      </c>
      <c r="B35" s="275" t="s">
        <v>24</v>
      </c>
      <c r="C35" s="275"/>
      <c r="D35" s="275" t="s">
        <v>3</v>
      </c>
      <c r="E35" s="275" t="s">
        <v>4</v>
      </c>
      <c r="F35" s="64" t="s">
        <v>103</v>
      </c>
    </row>
    <row r="36" spans="1:6" x14ac:dyDescent="0.2">
      <c r="A36" s="65"/>
      <c r="B36" s="66" t="str">
        <f>B8</f>
        <v>Market Swine</v>
      </c>
      <c r="C36" s="66" t="str">
        <f>C8</f>
        <v>Breeding Swine</v>
      </c>
      <c r="D36" s="66"/>
      <c r="E36" s="66"/>
      <c r="F36" s="67"/>
    </row>
    <row r="37" spans="1:6" ht="20" x14ac:dyDescent="0.2">
      <c r="A37" s="318" t="s">
        <v>275</v>
      </c>
      <c r="B37" s="28">
        <v>0</v>
      </c>
      <c r="C37" s="319">
        <v>0</v>
      </c>
      <c r="D37" s="28" t="s">
        <v>276</v>
      </c>
      <c r="E37" s="28" t="s">
        <v>110</v>
      </c>
      <c r="F37" s="69" t="s">
        <v>111</v>
      </c>
    </row>
    <row r="38" spans="1:6" ht="12" x14ac:dyDescent="0.2">
      <c r="A38" s="318" t="s">
        <v>277</v>
      </c>
      <c r="B38" s="320">
        <f>0.42</f>
        <v>0.42</v>
      </c>
      <c r="C38" s="321">
        <v>0.24</v>
      </c>
      <c r="D38" s="28" t="s">
        <v>25</v>
      </c>
      <c r="E38" s="28" t="s">
        <v>26</v>
      </c>
      <c r="F38" s="67"/>
    </row>
    <row r="39" spans="1:6" ht="20" x14ac:dyDescent="0.2">
      <c r="A39" s="318" t="s">
        <v>278</v>
      </c>
      <c r="B39" s="322">
        <f>B38*B41/1000*365</f>
        <v>4.2923999999999998</v>
      </c>
      <c r="C39" s="322">
        <f>C38*C41/1000*365</f>
        <v>2.4527999999999999</v>
      </c>
      <c r="D39" s="28" t="s">
        <v>28</v>
      </c>
      <c r="E39" s="28" t="s">
        <v>27</v>
      </c>
      <c r="F39" s="69" t="s">
        <v>112</v>
      </c>
    </row>
    <row r="40" spans="1:6" ht="12" x14ac:dyDescent="0.2">
      <c r="A40" s="318" t="s">
        <v>279</v>
      </c>
      <c r="B40" s="301">
        <f>B16</f>
        <v>66</v>
      </c>
      <c r="C40" s="301">
        <f>C16</f>
        <v>98</v>
      </c>
      <c r="D40" s="28" t="s">
        <v>16</v>
      </c>
      <c r="E40" s="28" t="str">
        <f>E16</f>
        <v>project evaluation report</v>
      </c>
      <c r="F40" s="67"/>
    </row>
    <row r="41" spans="1:6" ht="12" x14ac:dyDescent="0.2">
      <c r="A41" s="318" t="s">
        <v>280</v>
      </c>
      <c r="B41" s="105">
        <v>28</v>
      </c>
      <c r="C41" s="319">
        <v>28</v>
      </c>
      <c r="D41" s="28" t="s">
        <v>16</v>
      </c>
      <c r="E41" s="294" t="str">
        <f>E17</f>
        <v>2006 IPCC guideline, volume 4, chapter 10, tbl. 10A-7</v>
      </c>
      <c r="F41" s="67"/>
    </row>
    <row r="42" spans="1:6" ht="12" x14ac:dyDescent="0.2">
      <c r="A42" s="318" t="s">
        <v>281</v>
      </c>
      <c r="B42" s="323">
        <f>(B40/B41)*B39</f>
        <v>10.117799999999999</v>
      </c>
      <c r="C42" s="323">
        <f>(C40/C41)*C39</f>
        <v>8.5847999999999995</v>
      </c>
      <c r="D42" s="28" t="s">
        <v>28</v>
      </c>
      <c r="E42" s="28" t="s">
        <v>29</v>
      </c>
      <c r="F42" s="324"/>
    </row>
    <row r="43" spans="1:6" ht="12" x14ac:dyDescent="0.2">
      <c r="A43" s="325" t="s">
        <v>282</v>
      </c>
      <c r="B43" s="299">
        <f>B15</f>
        <v>139800</v>
      </c>
      <c r="C43" s="299">
        <f>C15</f>
        <v>97470</v>
      </c>
      <c r="D43" s="28" t="str">
        <f>D15</f>
        <v>No of heads</v>
      </c>
      <c r="E43" s="28" t="str">
        <f>E15</f>
        <v>project evaluation report</v>
      </c>
      <c r="F43" s="67"/>
    </row>
    <row r="44" spans="1:6" ht="12" x14ac:dyDescent="0.2">
      <c r="A44" s="325" t="s">
        <v>283</v>
      </c>
      <c r="B44" s="295">
        <f>B20</f>
        <v>1</v>
      </c>
      <c r="C44" s="295">
        <f>C20</f>
        <v>1</v>
      </c>
      <c r="D44" s="28" t="str">
        <f>D20</f>
        <v>%</v>
      </c>
      <c r="E44" s="294" t="s">
        <v>20</v>
      </c>
      <c r="F44" s="67"/>
    </row>
    <row r="45" spans="1:6" ht="12.5" thickBot="1" x14ac:dyDescent="0.35">
      <c r="A45" s="276" t="s">
        <v>254</v>
      </c>
      <c r="B45" s="326">
        <f>B37*B42*B43*B44</f>
        <v>0</v>
      </c>
      <c r="C45" s="326">
        <f>C37*C42*C43*C44</f>
        <v>0</v>
      </c>
      <c r="D45" s="356" t="s">
        <v>299</v>
      </c>
      <c r="E45" s="327"/>
      <c r="F45" s="67"/>
    </row>
    <row r="46" spans="1:6" ht="10.5" thickBot="1" x14ac:dyDescent="0.25">
      <c r="A46" s="328"/>
      <c r="B46" s="373">
        <f>B45+C45</f>
        <v>0</v>
      </c>
      <c r="C46" s="373"/>
      <c r="D46" s="329"/>
      <c r="E46" s="329"/>
      <c r="F46" s="330"/>
    </row>
    <row r="47" spans="1:6" ht="12" x14ac:dyDescent="0.3">
      <c r="A47" s="278" t="s">
        <v>284</v>
      </c>
    </row>
    <row r="48" spans="1:6" ht="12" x14ac:dyDescent="0.3">
      <c r="B48" s="331" t="s">
        <v>285</v>
      </c>
      <c r="C48" s="278"/>
      <c r="D48" s="278"/>
      <c r="E48" s="280"/>
      <c r="F48" s="285"/>
    </row>
    <row r="49" spans="1:6" ht="10.5" thickBot="1" x14ac:dyDescent="0.25">
      <c r="B49" s="278"/>
      <c r="C49" s="278"/>
    </row>
    <row r="50" spans="1:6" x14ac:dyDescent="0.2">
      <c r="A50" s="37" t="s">
        <v>1</v>
      </c>
      <c r="B50" s="275" t="s">
        <v>24</v>
      </c>
      <c r="C50" s="275"/>
      <c r="D50" s="275" t="s">
        <v>3</v>
      </c>
      <c r="E50" s="275" t="s">
        <v>4</v>
      </c>
      <c r="F50" s="64" t="s">
        <v>103</v>
      </c>
    </row>
    <row r="51" spans="1:6" x14ac:dyDescent="0.2">
      <c r="A51" s="65"/>
      <c r="B51" s="66" t="str">
        <f>B36</f>
        <v>Market Swine</v>
      </c>
      <c r="C51" s="66" t="str">
        <f>C36</f>
        <v>Breeding Swine</v>
      </c>
      <c r="D51" s="66"/>
      <c r="E51" s="66"/>
      <c r="F51" s="67"/>
    </row>
    <row r="52" spans="1:6" ht="20" x14ac:dyDescent="0.2">
      <c r="A52" s="318" t="s">
        <v>286</v>
      </c>
      <c r="B52" s="28">
        <v>0.01</v>
      </c>
      <c r="C52" s="332">
        <v>0.01</v>
      </c>
      <c r="D52" s="28" t="s">
        <v>287</v>
      </c>
      <c r="E52" s="28" t="s">
        <v>30</v>
      </c>
      <c r="F52" s="69" t="s">
        <v>113</v>
      </c>
    </row>
    <row r="53" spans="1:6" ht="20" x14ac:dyDescent="0.2">
      <c r="A53" s="318" t="s">
        <v>288</v>
      </c>
      <c r="B53" s="74">
        <v>0.4</v>
      </c>
      <c r="C53" s="295">
        <v>0.4</v>
      </c>
      <c r="D53" s="28" t="s">
        <v>8</v>
      </c>
      <c r="E53" s="28" t="s">
        <v>32</v>
      </c>
      <c r="F53" s="69" t="s">
        <v>33</v>
      </c>
    </row>
    <row r="54" spans="1:6" ht="12" x14ac:dyDescent="0.2">
      <c r="A54" s="325" t="s">
        <v>289</v>
      </c>
      <c r="B54" s="333">
        <f>B42</f>
        <v>10.117799999999999</v>
      </c>
      <c r="C54" s="333">
        <f>C42</f>
        <v>8.5847999999999995</v>
      </c>
      <c r="D54" s="28" t="str">
        <f>D42</f>
        <v>kg N/animal/year</v>
      </c>
      <c r="E54" s="28" t="s">
        <v>29</v>
      </c>
      <c r="F54" s="67"/>
    </row>
    <row r="55" spans="1:6" ht="12" x14ac:dyDescent="0.2">
      <c r="A55" s="325" t="s">
        <v>282</v>
      </c>
      <c r="B55" s="299">
        <f>B15</f>
        <v>139800</v>
      </c>
      <c r="C55" s="299">
        <f>C15</f>
        <v>97470</v>
      </c>
      <c r="D55" s="28" t="str">
        <f>D43</f>
        <v>No of heads</v>
      </c>
      <c r="E55" s="28" t="s">
        <v>178</v>
      </c>
      <c r="F55" s="67"/>
    </row>
    <row r="56" spans="1:6" ht="12" x14ac:dyDescent="0.2">
      <c r="A56" s="325" t="s">
        <v>283</v>
      </c>
      <c r="B56" s="74">
        <f>B44</f>
        <v>1</v>
      </c>
      <c r="C56" s="74">
        <f>C44</f>
        <v>1</v>
      </c>
      <c r="D56" s="28" t="str">
        <f>D44</f>
        <v>%</v>
      </c>
      <c r="E56" s="294" t="s">
        <v>20</v>
      </c>
      <c r="F56" s="67"/>
    </row>
    <row r="57" spans="1:6" ht="12" x14ac:dyDescent="0.2">
      <c r="A57" s="325" t="s">
        <v>183</v>
      </c>
      <c r="B57" s="333">
        <v>265</v>
      </c>
      <c r="C57" s="333">
        <v>265</v>
      </c>
      <c r="D57" s="28" t="s">
        <v>290</v>
      </c>
      <c r="E57" s="293" t="s">
        <v>177</v>
      </c>
      <c r="F57" s="291" t="s">
        <v>291</v>
      </c>
    </row>
    <row r="58" spans="1:6" ht="12" x14ac:dyDescent="0.2">
      <c r="A58" s="325" t="s">
        <v>292</v>
      </c>
      <c r="B58" s="334">
        <f>44/28</f>
        <v>1.5714285714285714</v>
      </c>
      <c r="C58" s="334">
        <f>44/28</f>
        <v>1.5714285714285714</v>
      </c>
      <c r="D58" s="28" t="s">
        <v>293</v>
      </c>
      <c r="E58" s="294" t="s">
        <v>114</v>
      </c>
      <c r="F58" s="67"/>
    </row>
    <row r="59" spans="1:6" ht="12.5" thickBot="1" x14ac:dyDescent="0.35">
      <c r="A59" s="277" t="s">
        <v>255</v>
      </c>
      <c r="B59" s="305">
        <f>B52*B53*B54*B55*B56</f>
        <v>5657.8737599999995</v>
      </c>
      <c r="C59" s="305">
        <f>C52*C53*C54*C55*C56</f>
        <v>3347.0418239999999</v>
      </c>
      <c r="D59" s="356" t="s">
        <v>299</v>
      </c>
      <c r="E59" s="105"/>
      <c r="F59" s="67"/>
    </row>
    <row r="60" spans="1:6" ht="10.5" thickBot="1" x14ac:dyDescent="0.25">
      <c r="A60" s="335"/>
      <c r="B60" s="372">
        <f>B59+C59</f>
        <v>9004.9155839999985</v>
      </c>
      <c r="C60" s="372"/>
      <c r="D60" s="336"/>
      <c r="E60" s="336"/>
      <c r="F60" s="337"/>
    </row>
    <row r="61" spans="1:6" x14ac:dyDescent="0.2">
      <c r="A61" s="338"/>
      <c r="B61" s="339"/>
      <c r="C61" s="339"/>
      <c r="D61" s="340"/>
      <c r="E61" s="340"/>
    </row>
    <row r="62" spans="1:6" ht="12" x14ac:dyDescent="0.3">
      <c r="A62" s="370" t="s">
        <v>294</v>
      </c>
      <c r="B62" s="371"/>
      <c r="C62" s="371"/>
      <c r="D62" s="371"/>
      <c r="E62" s="358">
        <f>B57*B58/1000*(B60+B46)</f>
        <v>3749.9041324799991</v>
      </c>
      <c r="F62" s="357" t="s">
        <v>185</v>
      </c>
    </row>
    <row r="63" spans="1:6" x14ac:dyDescent="0.2">
      <c r="B63" s="315"/>
      <c r="C63" s="315"/>
      <c r="D63" s="315"/>
      <c r="E63" s="340"/>
      <c r="F63" s="341"/>
    </row>
    <row r="65" spans="1:6" ht="12" x14ac:dyDescent="0.3">
      <c r="A65" s="281" t="s">
        <v>295</v>
      </c>
      <c r="B65" s="342"/>
      <c r="C65" s="342"/>
    </row>
    <row r="66" spans="1:6" s="344" customFormat="1" ht="12" x14ac:dyDescent="0.3">
      <c r="A66" s="343" t="s">
        <v>296</v>
      </c>
    </row>
    <row r="67" spans="1:6" x14ac:dyDescent="0.2">
      <c r="A67" s="345"/>
      <c r="B67" s="346"/>
      <c r="C67" s="347"/>
      <c r="D67" s="348"/>
      <c r="E67" s="283"/>
    </row>
    <row r="68" spans="1:6" ht="12" x14ac:dyDescent="0.3">
      <c r="A68" s="349" t="s">
        <v>34</v>
      </c>
      <c r="B68" s="350"/>
      <c r="C68" s="351" t="s">
        <v>297</v>
      </c>
      <c r="D68" s="352"/>
      <c r="E68" s="358">
        <f>ROUNDDOWN(B23+E62,0)</f>
        <v>296689</v>
      </c>
      <c r="F68" s="357" t="s">
        <v>185</v>
      </c>
    </row>
    <row r="69" spans="1:6" x14ac:dyDescent="0.2">
      <c r="A69" s="283"/>
      <c r="B69" s="353"/>
      <c r="C69" s="283"/>
      <c r="D69" s="283"/>
      <c r="E69" s="283"/>
    </row>
    <row r="70" spans="1:6" x14ac:dyDescent="0.2">
      <c r="B70" s="313"/>
      <c r="C70" s="313"/>
      <c r="D70" s="313"/>
    </row>
    <row r="71" spans="1:6" x14ac:dyDescent="0.2">
      <c r="A71" s="354"/>
      <c r="B71" s="355"/>
      <c r="C71" s="355"/>
      <c r="D71" s="355"/>
    </row>
  </sheetData>
  <sheetProtection selectLockedCells="1" selectUnlockedCells="1"/>
  <customSheetViews>
    <customSheetView guid="{2C071143-29D6-4036-A926-BF7E54293313}" showRuler="0">
      <selection activeCell="E28" sqref="E28"/>
      <pageMargins left="0.75" right="0.75" top="1" bottom="1" header="0.5" footer="0.5"/>
      <pageSetup orientation="portrait"/>
      <headerFooter alignWithMargins="0"/>
    </customSheetView>
  </customSheetViews>
  <mergeCells count="5">
    <mergeCell ref="B23:C23"/>
    <mergeCell ref="A26:D26"/>
    <mergeCell ref="B60:C60"/>
    <mergeCell ref="A62:D62"/>
    <mergeCell ref="B46:C46"/>
  </mergeCells>
  <phoneticPr fontId="5" type="noConversion"/>
  <pageMargins left="0.75" right="0.75" top="1" bottom="1" header="0.5" footer="0.5"/>
  <pageSetup orientation="portrait" r:id="rId1"/>
  <headerFooter alignWithMargins="0"/>
  <ignoredErrors>
    <ignoredError sqref="B55:C55"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24"/>
  <sheetViews>
    <sheetView topLeftCell="A72" zoomScaleNormal="100" workbookViewId="0">
      <selection activeCell="E83" sqref="E83"/>
    </sheetView>
  </sheetViews>
  <sheetFormatPr defaultColWidth="9" defaultRowHeight="10" x14ac:dyDescent="0.25"/>
  <cols>
    <col min="1" max="1" width="35.1796875" style="10" customWidth="1"/>
    <col min="2" max="3" width="20.81640625" style="10" customWidth="1"/>
    <col min="4" max="4" width="17" style="10" customWidth="1"/>
    <col min="5" max="5" width="47" style="10" customWidth="1"/>
    <col min="6" max="6" width="45.54296875" style="10" customWidth="1"/>
    <col min="7" max="7" width="10.1796875" style="10" bestFit="1" customWidth="1"/>
    <col min="8" max="8" width="12.08984375" style="10" bestFit="1" customWidth="1"/>
    <col min="9" max="16384" width="9" style="10"/>
  </cols>
  <sheetData>
    <row r="1" spans="1:6" x14ac:dyDescent="0.25">
      <c r="A1" s="9" t="s">
        <v>35</v>
      </c>
    </row>
    <row r="3" spans="1:6" x14ac:dyDescent="0.25">
      <c r="E3" s="11"/>
    </row>
    <row r="4" spans="1:6" x14ac:dyDescent="0.25">
      <c r="A4" s="12" t="s">
        <v>36</v>
      </c>
    </row>
    <row r="5" spans="1:6" x14ac:dyDescent="0.25">
      <c r="A5" s="12"/>
    </row>
    <row r="6" spans="1:6" ht="12" x14ac:dyDescent="0.25">
      <c r="A6" s="13" t="s">
        <v>136</v>
      </c>
      <c r="B6" s="13"/>
    </row>
    <row r="7" spans="1:6" x14ac:dyDescent="0.25">
      <c r="A7" s="9"/>
    </row>
    <row r="8" spans="1:6" x14ac:dyDescent="0.25">
      <c r="A8" s="14"/>
      <c r="B8" s="15"/>
      <c r="D8" s="16"/>
      <c r="E8" s="11"/>
    </row>
    <row r="9" spans="1:6" x14ac:dyDescent="0.25">
      <c r="A9" s="14"/>
      <c r="B9" s="15"/>
      <c r="C9" s="17"/>
      <c r="D9" s="17"/>
      <c r="E9" s="11"/>
    </row>
    <row r="10" spans="1:6" x14ac:dyDescent="0.25">
      <c r="A10" s="14"/>
      <c r="B10" s="15"/>
      <c r="C10" s="17"/>
      <c r="D10" s="17"/>
      <c r="E10" s="11"/>
    </row>
    <row r="11" spans="1:6" x14ac:dyDescent="0.25">
      <c r="B11" s="15"/>
      <c r="C11" s="17"/>
      <c r="D11" s="17"/>
      <c r="E11" s="11"/>
    </row>
    <row r="12" spans="1:6" ht="10.5" thickBot="1" x14ac:dyDescent="0.3">
      <c r="A12" s="14"/>
      <c r="B12" s="15"/>
      <c r="C12" s="17"/>
      <c r="D12" s="17"/>
    </row>
    <row r="13" spans="1:6" x14ac:dyDescent="0.25">
      <c r="A13" s="18" t="s">
        <v>1</v>
      </c>
      <c r="B13" s="19" t="s">
        <v>37</v>
      </c>
      <c r="C13" s="19" t="s">
        <v>3</v>
      </c>
      <c r="D13" s="384" t="s">
        <v>4</v>
      </c>
      <c r="E13" s="385"/>
      <c r="F13" s="386"/>
    </row>
    <row r="14" spans="1:6" ht="15" customHeight="1" x14ac:dyDescent="0.25">
      <c r="A14" s="20" t="s">
        <v>137</v>
      </c>
      <c r="B14" s="246">
        <v>0</v>
      </c>
      <c r="C14" s="21" t="s">
        <v>38</v>
      </c>
      <c r="D14" s="374" t="s">
        <v>178</v>
      </c>
      <c r="E14" s="374"/>
      <c r="F14" s="375"/>
    </row>
    <row r="15" spans="1:6" ht="15" customHeight="1" x14ac:dyDescent="0.25">
      <c r="A15" s="20" t="s">
        <v>138</v>
      </c>
      <c r="B15" s="24">
        <f>(0.8042*0.5+0.2135*0.5)</f>
        <v>0.50885000000000002</v>
      </c>
      <c r="C15" s="21" t="s">
        <v>139</v>
      </c>
      <c r="D15" s="374" t="s">
        <v>300</v>
      </c>
      <c r="E15" s="374"/>
      <c r="F15" s="375"/>
    </row>
    <row r="16" spans="1:6" ht="15" customHeight="1" x14ac:dyDescent="0.25">
      <c r="A16" s="20" t="s">
        <v>140</v>
      </c>
      <c r="B16" s="25">
        <v>0.2</v>
      </c>
      <c r="C16" s="21" t="s">
        <v>98</v>
      </c>
      <c r="D16" s="374" t="s">
        <v>116</v>
      </c>
      <c r="E16" s="374"/>
      <c r="F16" s="375"/>
    </row>
    <row r="17" spans="1:8" ht="15" customHeight="1" x14ac:dyDescent="0.25">
      <c r="A17" s="26" t="s">
        <v>141</v>
      </c>
      <c r="B17" s="27">
        <f>B14*B15*(1+B16)</f>
        <v>0</v>
      </c>
      <c r="C17" s="28" t="s">
        <v>142</v>
      </c>
      <c r="D17" s="374" t="s">
        <v>97</v>
      </c>
      <c r="E17" s="374"/>
      <c r="F17" s="375"/>
    </row>
    <row r="18" spans="1:8" ht="15" customHeight="1" thickBot="1" x14ac:dyDescent="0.3">
      <c r="A18" s="29" t="s">
        <v>143</v>
      </c>
      <c r="B18" s="30">
        <v>0</v>
      </c>
      <c r="C18" s="31" t="s">
        <v>142</v>
      </c>
      <c r="D18" s="379" t="s">
        <v>39</v>
      </c>
      <c r="E18" s="379"/>
      <c r="F18" s="380"/>
    </row>
    <row r="19" spans="1:8" ht="15" customHeight="1" x14ac:dyDescent="0.25">
      <c r="A19" s="33"/>
      <c r="B19" s="34"/>
      <c r="C19" s="35"/>
      <c r="D19" s="35"/>
    </row>
    <row r="20" spans="1:8" ht="15" customHeight="1" x14ac:dyDescent="0.25">
      <c r="A20" s="33"/>
      <c r="B20" s="34"/>
      <c r="C20" s="35"/>
      <c r="D20" s="35"/>
    </row>
    <row r="21" spans="1:8" ht="15" customHeight="1" x14ac:dyDescent="0.25">
      <c r="A21" s="33"/>
      <c r="B21" s="34"/>
      <c r="C21" s="35"/>
      <c r="D21" s="35"/>
      <c r="E21" s="11"/>
    </row>
    <row r="22" spans="1:8" ht="15" customHeight="1" x14ac:dyDescent="0.25">
      <c r="A22" s="33"/>
      <c r="B22" s="34"/>
      <c r="C22" s="35"/>
      <c r="D22" s="35"/>
      <c r="E22" s="36"/>
    </row>
    <row r="23" spans="1:8" ht="10.5" thickBot="1" x14ac:dyDescent="0.3">
      <c r="A23" s="14"/>
      <c r="B23" s="15"/>
      <c r="C23" s="17"/>
      <c r="D23" s="17"/>
    </row>
    <row r="24" spans="1:8" x14ac:dyDescent="0.25">
      <c r="A24" s="37" t="s">
        <v>1</v>
      </c>
      <c r="B24" s="19" t="s">
        <v>120</v>
      </c>
      <c r="C24" s="19" t="s">
        <v>3</v>
      </c>
      <c r="D24" s="387" t="s">
        <v>4</v>
      </c>
      <c r="E24" s="388"/>
      <c r="F24" s="389"/>
    </row>
    <row r="25" spans="1:8" ht="12" x14ac:dyDescent="0.3">
      <c r="A25" s="38" t="s">
        <v>144</v>
      </c>
      <c r="B25" s="39">
        <v>28</v>
      </c>
      <c r="C25" s="270" t="s">
        <v>246</v>
      </c>
      <c r="D25" s="376" t="str">
        <f>'Baseline Emission'!E9</f>
        <v>IPCC AR5</v>
      </c>
      <c r="E25" s="377"/>
      <c r="F25" s="378"/>
    </row>
    <row r="26" spans="1:8" ht="12" x14ac:dyDescent="0.25">
      <c r="A26" s="38" t="s">
        <v>145</v>
      </c>
      <c r="B26" s="40">
        <v>0.05</v>
      </c>
      <c r="C26" s="28" t="s">
        <v>146</v>
      </c>
      <c r="D26" s="376" t="s">
        <v>117</v>
      </c>
      <c r="E26" s="377"/>
      <c r="F26" s="378"/>
      <c r="G26" s="41"/>
    </row>
    <row r="27" spans="1:8" ht="12" x14ac:dyDescent="0.25">
      <c r="A27" s="20" t="s">
        <v>147</v>
      </c>
      <c r="B27" s="268">
        <f>22863337.2*60%*0.00067</f>
        <v>9191.0615543999993</v>
      </c>
      <c r="C27" s="42" t="s">
        <v>41</v>
      </c>
      <c r="D27" s="376" t="s">
        <v>97</v>
      </c>
      <c r="E27" s="377"/>
      <c r="F27" s="378"/>
    </row>
    <row r="28" spans="1:8" ht="15" customHeight="1" thickBot="1" x14ac:dyDescent="0.3">
      <c r="A28" s="29" t="s">
        <v>148</v>
      </c>
      <c r="B28" s="239">
        <f>ROUNDUP(B25*B26*B27,0)</f>
        <v>12868</v>
      </c>
      <c r="C28" s="43" t="s">
        <v>142</v>
      </c>
      <c r="D28" s="381" t="s">
        <v>97</v>
      </c>
      <c r="E28" s="382"/>
      <c r="F28" s="383"/>
    </row>
    <row r="29" spans="1:8" s="46" customFormat="1" ht="14.25" customHeight="1" x14ac:dyDescent="0.25">
      <c r="A29" s="33"/>
      <c r="B29" s="44"/>
      <c r="C29" s="44"/>
      <c r="D29" s="45"/>
      <c r="E29" s="45"/>
      <c r="F29" s="45"/>
    </row>
    <row r="30" spans="1:8" s="46" customFormat="1" ht="14.25" customHeight="1" x14ac:dyDescent="0.25">
      <c r="A30" s="33"/>
      <c r="B30" s="44"/>
      <c r="C30" s="44"/>
      <c r="D30" s="247"/>
      <c r="E30" s="45"/>
      <c r="F30" s="45"/>
      <c r="G30" s="248"/>
      <c r="H30" s="249"/>
    </row>
    <row r="31" spans="1:8" s="46" customFormat="1" ht="14.25" customHeight="1" x14ac:dyDescent="0.25">
      <c r="A31" s="33"/>
      <c r="B31" s="44"/>
      <c r="C31" s="44"/>
      <c r="D31" s="247"/>
      <c r="E31" s="45"/>
      <c r="F31" s="45"/>
    </row>
    <row r="32" spans="1:8" s="46" customFormat="1" ht="14.25" customHeight="1" x14ac:dyDescent="0.25">
      <c r="A32" s="33"/>
      <c r="B32" s="44"/>
      <c r="C32" s="44"/>
      <c r="D32" s="247"/>
      <c r="E32" s="47"/>
      <c r="F32" s="45"/>
    </row>
    <row r="33" spans="1:9" s="46" customFormat="1" ht="14.25" customHeight="1" x14ac:dyDescent="0.25">
      <c r="A33" s="33"/>
      <c r="B33" s="44"/>
      <c r="C33" s="44"/>
      <c r="D33" s="247"/>
      <c r="E33" s="47"/>
      <c r="F33" s="45"/>
      <c r="H33" s="249"/>
    </row>
    <row r="34" spans="1:9" s="46" customFormat="1" ht="14.25" customHeight="1" x14ac:dyDescent="0.25">
      <c r="A34" s="33"/>
      <c r="B34" s="44"/>
      <c r="C34" s="44"/>
      <c r="D34" s="45"/>
      <c r="E34" s="45"/>
      <c r="F34" s="45"/>
      <c r="H34" s="250"/>
      <c r="I34" s="251"/>
    </row>
    <row r="35" spans="1:9" s="46" customFormat="1" ht="14.25" customHeight="1" thickBot="1" x14ac:dyDescent="0.3">
      <c r="A35" s="33"/>
      <c r="B35" s="44"/>
      <c r="C35" s="44"/>
      <c r="D35" s="45"/>
      <c r="E35" s="45"/>
      <c r="F35" s="45"/>
    </row>
    <row r="36" spans="1:9" s="46" customFormat="1" ht="14.25" customHeight="1" x14ac:dyDescent="0.25">
      <c r="A36" s="48" t="s">
        <v>1</v>
      </c>
      <c r="B36" s="49" t="s">
        <v>40</v>
      </c>
      <c r="C36" s="49" t="s">
        <v>3</v>
      </c>
      <c r="D36" s="387" t="s">
        <v>4</v>
      </c>
      <c r="E36" s="388"/>
      <c r="F36" s="389"/>
    </row>
    <row r="37" spans="1:9" s="46" customFormat="1" ht="14.25" customHeight="1" x14ac:dyDescent="0.3">
      <c r="A37" s="24" t="s">
        <v>186</v>
      </c>
      <c r="B37" s="50">
        <v>28</v>
      </c>
      <c r="C37" s="270" t="s">
        <v>246</v>
      </c>
      <c r="D37" s="376" t="str">
        <f>D25</f>
        <v>IPCC AR5</v>
      </c>
      <c r="E37" s="377"/>
      <c r="F37" s="378"/>
    </row>
    <row r="38" spans="1:9" s="46" customFormat="1" ht="12" x14ac:dyDescent="0.25">
      <c r="A38" s="103" t="s">
        <v>187</v>
      </c>
      <c r="B38" s="52">
        <f>B27*0.1</f>
        <v>919.10615543999995</v>
      </c>
      <c r="C38" s="53" t="s">
        <v>41</v>
      </c>
      <c r="D38" s="376" t="s">
        <v>178</v>
      </c>
      <c r="E38" s="377"/>
      <c r="F38" s="378"/>
    </row>
    <row r="39" spans="1:9" ht="12" x14ac:dyDescent="0.25">
      <c r="A39" s="103" t="s">
        <v>188</v>
      </c>
      <c r="B39" s="54">
        <v>0</v>
      </c>
      <c r="C39" s="53" t="s">
        <v>98</v>
      </c>
      <c r="D39" s="376" t="s">
        <v>115</v>
      </c>
      <c r="E39" s="377"/>
      <c r="F39" s="378"/>
    </row>
    <row r="40" spans="1:9" ht="12" x14ac:dyDescent="0.25">
      <c r="A40" s="55" t="s">
        <v>149</v>
      </c>
      <c r="B40" s="240">
        <f>ROUNDUP(B37*B38*(1-B39),0)</f>
        <v>25735</v>
      </c>
      <c r="C40" s="53" t="s">
        <v>150</v>
      </c>
      <c r="D40" s="376" t="s">
        <v>119</v>
      </c>
      <c r="E40" s="377"/>
      <c r="F40" s="378"/>
    </row>
    <row r="41" spans="1:9" ht="12.5" thickBot="1" x14ac:dyDescent="0.3">
      <c r="A41" s="56" t="s">
        <v>151</v>
      </c>
      <c r="B41" s="57">
        <f>ROUND(B17+B18+B28+B40,0)</f>
        <v>38603</v>
      </c>
      <c r="C41" s="58" t="s">
        <v>150</v>
      </c>
      <c r="D41" s="381" t="s">
        <v>118</v>
      </c>
      <c r="E41" s="382"/>
      <c r="F41" s="383"/>
    </row>
    <row r="42" spans="1:9" x14ac:dyDescent="0.25">
      <c r="A42" s="59"/>
      <c r="B42" s="60"/>
    </row>
    <row r="43" spans="1:9" x14ac:dyDescent="0.25">
      <c r="A43" s="61"/>
      <c r="E43" s="62"/>
      <c r="F43" s="11"/>
    </row>
    <row r="44" spans="1:9" x14ac:dyDescent="0.25">
      <c r="A44" s="61"/>
    </row>
    <row r="45" spans="1:9" ht="10.5" thickBot="1" x14ac:dyDescent="0.3">
      <c r="A45" s="61"/>
    </row>
    <row r="46" spans="1:9" x14ac:dyDescent="0.25">
      <c r="A46" s="37" t="s">
        <v>1</v>
      </c>
      <c r="B46" s="384" t="s">
        <v>121</v>
      </c>
      <c r="C46" s="397"/>
      <c r="D46" s="63" t="s">
        <v>3</v>
      </c>
      <c r="E46" s="64" t="s">
        <v>4</v>
      </c>
    </row>
    <row r="47" spans="1:9" x14ac:dyDescent="0.25">
      <c r="A47" s="65"/>
      <c r="B47" s="66" t="str">
        <f>'Baseline Emission'!B8</f>
        <v>Market Swine</v>
      </c>
      <c r="C47" s="28" t="str">
        <f>'Baseline Emission'!C8</f>
        <v>Breeding Swine</v>
      </c>
      <c r="D47" s="28"/>
      <c r="E47" s="67"/>
    </row>
    <row r="48" spans="1:9" ht="12" x14ac:dyDescent="0.3">
      <c r="A48" s="68" t="s">
        <v>152</v>
      </c>
      <c r="B48" s="28">
        <f>'Baseline Emission'!B9</f>
        <v>28</v>
      </c>
      <c r="C48" s="28">
        <f>'Baseline Emission'!C9</f>
        <v>28</v>
      </c>
      <c r="D48" s="270" t="s">
        <v>246</v>
      </c>
      <c r="E48" s="69" t="str">
        <f>'Baseline Emission'!E9</f>
        <v>IPCC AR5</v>
      </c>
    </row>
    <row r="49" spans="1:5" ht="12" x14ac:dyDescent="0.25">
      <c r="A49" s="70" t="s">
        <v>153</v>
      </c>
      <c r="B49" s="28">
        <f>'Baseline Emission'!B10</f>
        <v>6.7000000000000002E-4</v>
      </c>
      <c r="C49" s="28">
        <f>'Baseline Emission'!C10</f>
        <v>6.7000000000000002E-4</v>
      </c>
      <c r="D49" s="28" t="str">
        <f>'Baseline Emission'!D10</f>
        <v>t/m3</v>
      </c>
      <c r="E49" s="67" t="str">
        <f>'Baseline Emission'!E10</f>
        <v>ACM0010 Version 08.0, page 30</v>
      </c>
    </row>
    <row r="50" spans="1:5" x14ac:dyDescent="0.25">
      <c r="A50" s="71"/>
      <c r="B50" s="72">
        <v>1E-3</v>
      </c>
      <c r="C50" s="73">
        <v>1E-3</v>
      </c>
      <c r="D50" s="28"/>
      <c r="E50" s="67"/>
    </row>
    <row r="51" spans="1:5" ht="12" x14ac:dyDescent="0.25">
      <c r="A51" s="70" t="s">
        <v>154</v>
      </c>
      <c r="B51" s="74">
        <v>0.65</v>
      </c>
      <c r="C51" s="74">
        <v>0.65</v>
      </c>
      <c r="D51" s="28"/>
      <c r="E51" s="67"/>
    </row>
    <row r="52" spans="1:5" ht="20" x14ac:dyDescent="0.25">
      <c r="A52" s="70" t="s">
        <v>155</v>
      </c>
      <c r="B52" s="75">
        <f>(1-0%)*(1-80%)</f>
        <v>0.19999999999999996</v>
      </c>
      <c r="C52" s="75">
        <f>(1-0%)*(1-80%)</f>
        <v>0.19999999999999996</v>
      </c>
      <c r="D52" s="28"/>
      <c r="E52" s="69" t="s">
        <v>247</v>
      </c>
    </row>
    <row r="53" spans="1:5" ht="12" x14ac:dyDescent="0.25">
      <c r="A53" s="70" t="s">
        <v>156</v>
      </c>
      <c r="B53" s="72">
        <f>'Baseline Emission'!B14</f>
        <v>0.28999999999999998</v>
      </c>
      <c r="C53" s="72">
        <f>'Baseline Emission'!C14</f>
        <v>0.28999999999999998</v>
      </c>
      <c r="D53" s="72" t="str">
        <f>'Baseline Emission'!D14</f>
        <v>m3 CH4 /kg VS</v>
      </c>
      <c r="E53" s="76" t="str">
        <f>'Baseline Emission'!E14</f>
        <v>2006 IPCC guideline, volume 4, chapter 10, tbl. 10A-7</v>
      </c>
    </row>
    <row r="54" spans="1:5" ht="12" x14ac:dyDescent="0.25">
      <c r="A54" s="70" t="s">
        <v>157</v>
      </c>
      <c r="B54" s="77">
        <f>'Baseline Emission'!B15</f>
        <v>139800</v>
      </c>
      <c r="C54" s="77">
        <f>'Baseline Emission'!C15</f>
        <v>97470</v>
      </c>
      <c r="D54" s="72" t="str">
        <f>'Baseline Emission'!D15</f>
        <v>No of heads</v>
      </c>
      <c r="E54" s="76" t="str">
        <f>'Baseline Emission'!E15</f>
        <v>project evaluation report</v>
      </c>
    </row>
    <row r="55" spans="1:5" ht="12" x14ac:dyDescent="0.25">
      <c r="A55" s="70" t="s">
        <v>158</v>
      </c>
      <c r="B55" s="78">
        <f>'Baseline Emission'!B19</f>
        <v>258.10714285714289</v>
      </c>
      <c r="C55" s="78">
        <f>'Baseline Emission'!C19</f>
        <v>383.25</v>
      </c>
      <c r="D55" s="72" t="str">
        <f>'Baseline Emission'!D19</f>
        <v>kg/hd/y</v>
      </c>
      <c r="E55" s="76" t="s">
        <v>97</v>
      </c>
    </row>
    <row r="56" spans="1:5" x14ac:dyDescent="0.25">
      <c r="A56" s="70" t="s">
        <v>122</v>
      </c>
      <c r="B56" s="42">
        <v>1</v>
      </c>
      <c r="C56" s="42">
        <v>1</v>
      </c>
      <c r="D56" s="72"/>
      <c r="E56" s="76"/>
    </row>
    <row r="57" spans="1:5" x14ac:dyDescent="0.25">
      <c r="A57" s="71"/>
      <c r="B57" s="241">
        <f>B48*B49*B50*B51*B52*B53*B54*B55*B56</f>
        <v>25.520041661399997</v>
      </c>
      <c r="C57" s="241">
        <f>C48*C49*C50*C51*C52*C53*C54*C55*C56</f>
        <v>26.419665447629995</v>
      </c>
      <c r="D57" s="79"/>
      <c r="E57" s="80"/>
    </row>
    <row r="58" spans="1:5" ht="12.5" thickBot="1" x14ac:dyDescent="0.3">
      <c r="A58" s="81" t="s">
        <v>159</v>
      </c>
      <c r="B58" s="395">
        <f>B57+C57</f>
        <v>51.939707109029996</v>
      </c>
      <c r="C58" s="396"/>
      <c r="D58" s="43"/>
      <c r="E58" s="43"/>
    </row>
    <row r="59" spans="1:5" x14ac:dyDescent="0.25">
      <c r="A59" s="61"/>
    </row>
    <row r="60" spans="1:5" x14ac:dyDescent="0.25">
      <c r="A60" s="82" t="s">
        <v>43</v>
      </c>
    </row>
    <row r="61" spans="1:5" x14ac:dyDescent="0.25">
      <c r="A61" s="61"/>
    </row>
    <row r="62" spans="1:5" x14ac:dyDescent="0.25">
      <c r="A62" s="61"/>
      <c r="D62" s="62"/>
    </row>
    <row r="63" spans="1:5" x14ac:dyDescent="0.25">
      <c r="A63" s="83"/>
      <c r="D63" s="62"/>
    </row>
    <row r="64" spans="1:5" x14ac:dyDescent="0.25">
      <c r="A64" s="83"/>
      <c r="D64" s="62"/>
    </row>
    <row r="65" spans="1:10" x14ac:dyDescent="0.25">
      <c r="A65" s="83"/>
      <c r="D65" s="62"/>
    </row>
    <row r="66" spans="1:10" x14ac:dyDescent="0.25">
      <c r="A66" s="83"/>
      <c r="D66" s="62"/>
    </row>
    <row r="67" spans="1:10" ht="12" x14ac:dyDescent="0.25">
      <c r="A67" s="84" t="s">
        <v>160</v>
      </c>
      <c r="B67" s="85"/>
    </row>
    <row r="68" spans="1:10" ht="10.5" thickBot="1" x14ac:dyDescent="0.3">
      <c r="A68" s="14"/>
    </row>
    <row r="69" spans="1:10" ht="10.5" thickBot="1" x14ac:dyDescent="0.3">
      <c r="A69" s="86" t="s">
        <v>1</v>
      </c>
      <c r="B69" s="87" t="s">
        <v>40</v>
      </c>
      <c r="C69" s="87"/>
      <c r="D69" s="87" t="s">
        <v>3</v>
      </c>
      <c r="E69" s="87" t="s">
        <v>4</v>
      </c>
      <c r="F69" s="88" t="s">
        <v>44</v>
      </c>
    </row>
    <row r="70" spans="1:10" s="92" customFormat="1" x14ac:dyDescent="0.25">
      <c r="A70" s="89"/>
      <c r="B70" s="90" t="s">
        <v>5</v>
      </c>
      <c r="C70" s="90" t="s">
        <v>6</v>
      </c>
      <c r="D70" s="90"/>
      <c r="E70" s="90"/>
      <c r="F70" s="91"/>
      <c r="G70" s="10"/>
      <c r="H70" s="10"/>
      <c r="I70" s="10"/>
      <c r="J70" s="10"/>
    </row>
    <row r="71" spans="1:10" ht="20" x14ac:dyDescent="0.25">
      <c r="A71" s="20" t="s">
        <v>180</v>
      </c>
      <c r="B71" s="93">
        <v>0</v>
      </c>
      <c r="C71" s="93">
        <v>0</v>
      </c>
      <c r="D71" s="28" t="s">
        <v>99</v>
      </c>
      <c r="E71" s="94" t="str">
        <f>'Baseline Emission'!E37</f>
        <v>2006 IPCC default value, vol. 4, ch. 10, tbl. 10.21</v>
      </c>
      <c r="F71" s="95" t="s">
        <v>124</v>
      </c>
    </row>
    <row r="72" spans="1:10" ht="12" x14ac:dyDescent="0.25">
      <c r="A72" s="20" t="s">
        <v>163</v>
      </c>
      <c r="B72" s="96">
        <f>'Baseline Emission'!B54</f>
        <v>10.117799999999999</v>
      </c>
      <c r="C72" s="96">
        <f>'Baseline Emission'!C54</f>
        <v>8.5847999999999995</v>
      </c>
      <c r="D72" s="28" t="s">
        <v>28</v>
      </c>
      <c r="E72" s="22" t="str">
        <f>'Baseline Emission'!E54</f>
        <v>Calculated</v>
      </c>
      <c r="F72" s="97"/>
    </row>
    <row r="73" spans="1:10" ht="12" x14ac:dyDescent="0.25">
      <c r="A73" s="20" t="s">
        <v>157</v>
      </c>
      <c r="B73" s="98">
        <f>'Baseline Emission'!B15</f>
        <v>139800</v>
      </c>
      <c r="C73" s="98">
        <f>'Baseline Emission'!C15</f>
        <v>97470</v>
      </c>
      <c r="D73" s="28" t="s">
        <v>14</v>
      </c>
      <c r="E73" s="22" t="str">
        <f>E54</f>
        <v>project evaluation report</v>
      </c>
      <c r="F73" s="23"/>
      <c r="G73" s="92"/>
      <c r="H73" s="92"/>
      <c r="I73" s="92"/>
      <c r="J73" s="92"/>
    </row>
    <row r="74" spans="1:10" ht="12" x14ac:dyDescent="0.25">
      <c r="A74" s="20" t="s">
        <v>181</v>
      </c>
      <c r="B74" s="243">
        <v>0.5</v>
      </c>
      <c r="C74" s="243">
        <f>B74</f>
        <v>0.5</v>
      </c>
      <c r="D74" s="28" t="s">
        <v>98</v>
      </c>
      <c r="E74" s="99" t="s">
        <v>20</v>
      </c>
      <c r="F74" s="23"/>
    </row>
    <row r="75" spans="1:10" ht="12" x14ac:dyDescent="0.25">
      <c r="A75" s="26" t="s">
        <v>161</v>
      </c>
      <c r="B75" s="100">
        <f>B71*B72*B73*B74</f>
        <v>0</v>
      </c>
      <c r="C75" s="100">
        <f>C71*C72*C73*C74</f>
        <v>0</v>
      </c>
      <c r="D75" s="28" t="s">
        <v>150</v>
      </c>
      <c r="E75" s="51"/>
      <c r="F75" s="101"/>
    </row>
    <row r="76" spans="1:10" ht="12" x14ac:dyDescent="0.25">
      <c r="A76" s="20" t="s">
        <v>180</v>
      </c>
      <c r="B76" s="102">
        <v>6.0000000000000001E-3</v>
      </c>
      <c r="C76" s="102">
        <v>6.0000000000000001E-3</v>
      </c>
      <c r="D76" s="71" t="s">
        <v>65</v>
      </c>
      <c r="E76" s="103" t="s">
        <v>123</v>
      </c>
      <c r="F76" s="95" t="s">
        <v>125</v>
      </c>
    </row>
    <row r="77" spans="1:10" ht="12" x14ac:dyDescent="0.25">
      <c r="A77" s="20" t="s">
        <v>163</v>
      </c>
      <c r="B77" s="104">
        <f t="shared" ref="B77:D78" si="0">B72</f>
        <v>10.117799999999999</v>
      </c>
      <c r="C77" s="104">
        <f t="shared" si="0"/>
        <v>8.5847999999999995</v>
      </c>
      <c r="D77" s="105" t="str">
        <f t="shared" si="0"/>
        <v>kg N/animal/year</v>
      </c>
      <c r="E77" s="22" t="s">
        <v>97</v>
      </c>
      <c r="F77" s="101"/>
    </row>
    <row r="78" spans="1:10" ht="12" x14ac:dyDescent="0.25">
      <c r="A78" s="20" t="s">
        <v>157</v>
      </c>
      <c r="B78" s="106">
        <f t="shared" si="0"/>
        <v>139800</v>
      </c>
      <c r="C78" s="106">
        <f t="shared" si="0"/>
        <v>97470</v>
      </c>
      <c r="D78" s="105" t="str">
        <f t="shared" si="0"/>
        <v>No of heads</v>
      </c>
      <c r="E78" s="103" t="str">
        <f>E73</f>
        <v>project evaluation report</v>
      </c>
      <c r="F78" s="101"/>
    </row>
    <row r="79" spans="1:10" ht="12" x14ac:dyDescent="0.25">
      <c r="A79" s="20" t="s">
        <v>181</v>
      </c>
      <c r="B79" s="244">
        <v>0.65</v>
      </c>
      <c r="C79" s="244">
        <v>0.65</v>
      </c>
      <c r="D79" s="105" t="s">
        <v>98</v>
      </c>
      <c r="E79" s="51"/>
      <c r="F79" s="101"/>
    </row>
    <row r="80" spans="1:10" ht="12" x14ac:dyDescent="0.25">
      <c r="A80" s="26"/>
      <c r="B80" s="50">
        <f>B76*B77*B78*B79</f>
        <v>5516.4269160000003</v>
      </c>
      <c r="C80" s="50">
        <f>C76*C77*C78*C79</f>
        <v>3263.3657784000002</v>
      </c>
      <c r="D80" s="53" t="s">
        <v>185</v>
      </c>
      <c r="E80" s="51" t="s">
        <v>97</v>
      </c>
      <c r="F80" s="101"/>
    </row>
    <row r="81" spans="1:10" ht="13" thickBot="1" x14ac:dyDescent="0.3">
      <c r="A81" s="29" t="s">
        <v>161</v>
      </c>
      <c r="B81" s="393">
        <f>B80+C80+B75+C75</f>
        <v>8779.792694400001</v>
      </c>
      <c r="C81" s="394"/>
      <c r="D81" s="53" t="s">
        <v>185</v>
      </c>
      <c r="E81" s="107" t="s">
        <v>97</v>
      </c>
      <c r="F81" s="108"/>
      <c r="H81" s="242"/>
    </row>
    <row r="83" spans="1:10" x14ac:dyDescent="0.25">
      <c r="A83" s="12" t="s">
        <v>47</v>
      </c>
      <c r="B83" s="109"/>
      <c r="C83" s="85"/>
      <c r="D83" s="62"/>
      <c r="E83" s="85"/>
    </row>
    <row r="84" spans="1:10" x14ac:dyDescent="0.25">
      <c r="A84" s="12"/>
      <c r="B84" s="109"/>
      <c r="C84" s="85"/>
      <c r="D84" s="62"/>
      <c r="E84" s="85"/>
    </row>
    <row r="85" spans="1:10" ht="10.5" thickBot="1" x14ac:dyDescent="0.3">
      <c r="A85" s="110" t="s">
        <v>135</v>
      </c>
      <c r="B85" s="85"/>
      <c r="C85" s="85"/>
      <c r="D85" s="85"/>
      <c r="E85" s="85"/>
    </row>
    <row r="86" spans="1:10" ht="10.5" thickBot="1" x14ac:dyDescent="0.3">
      <c r="A86" s="111" t="s">
        <v>1</v>
      </c>
      <c r="B86" s="87" t="s">
        <v>40</v>
      </c>
      <c r="C86" s="87"/>
      <c r="D86" s="87" t="s">
        <v>3</v>
      </c>
      <c r="E86" s="87" t="s">
        <v>4</v>
      </c>
      <c r="F86" s="88" t="s">
        <v>44</v>
      </c>
    </row>
    <row r="87" spans="1:10" x14ac:dyDescent="0.25">
      <c r="A87" s="89"/>
      <c r="B87" s="90" t="str">
        <f>B70</f>
        <v>Market Swine</v>
      </c>
      <c r="C87" s="90" t="str">
        <f>C70</f>
        <v>Breeding Swine</v>
      </c>
      <c r="D87" s="90"/>
      <c r="E87" s="90"/>
      <c r="F87" s="112"/>
    </row>
    <row r="88" spans="1:10" s="92" customFormat="1" ht="12" x14ac:dyDescent="0.25">
      <c r="A88" s="20" t="s">
        <v>189</v>
      </c>
      <c r="B88" s="113">
        <v>0.01</v>
      </c>
      <c r="C88" s="113">
        <f>B88</f>
        <v>0.01</v>
      </c>
      <c r="D88" s="28" t="s">
        <v>100</v>
      </c>
      <c r="E88" s="22" t="s">
        <v>48</v>
      </c>
      <c r="F88" s="23" t="s">
        <v>49</v>
      </c>
      <c r="G88" s="10"/>
      <c r="H88" s="10"/>
      <c r="I88" s="10"/>
      <c r="J88" s="10"/>
    </row>
    <row r="89" spans="1:10" ht="30" x14ac:dyDescent="0.25">
      <c r="A89" s="20" t="s">
        <v>182</v>
      </c>
      <c r="B89" s="114">
        <v>0.4</v>
      </c>
      <c r="C89" s="114">
        <v>0.4</v>
      </c>
      <c r="D89" s="28" t="s">
        <v>98</v>
      </c>
      <c r="E89" s="94" t="s">
        <v>126</v>
      </c>
      <c r="F89" s="115" t="s">
        <v>33</v>
      </c>
    </row>
    <row r="90" spans="1:10" ht="20" x14ac:dyDescent="0.25">
      <c r="A90" s="20" t="s">
        <v>163</v>
      </c>
      <c r="B90" s="116">
        <f>B72</f>
        <v>10.117799999999999</v>
      </c>
      <c r="C90" s="116">
        <f>C72</f>
        <v>8.5847999999999995</v>
      </c>
      <c r="D90" s="28" t="str">
        <f>D77</f>
        <v>kg N/animal/year</v>
      </c>
      <c r="E90" s="22" t="s">
        <v>45</v>
      </c>
      <c r="F90" s="115" t="s">
        <v>51</v>
      </c>
    </row>
    <row r="91" spans="1:10" ht="12" x14ac:dyDescent="0.25">
      <c r="A91" s="20" t="s">
        <v>157</v>
      </c>
      <c r="B91" s="98">
        <f>'Baseline Emission'!B15</f>
        <v>139800</v>
      </c>
      <c r="C91" s="98">
        <f>'Baseline Emission'!C15</f>
        <v>97470</v>
      </c>
      <c r="D91" s="28" t="str">
        <f>D78</f>
        <v>No of heads</v>
      </c>
      <c r="E91" s="22" t="s">
        <v>178</v>
      </c>
      <c r="F91" s="23" t="s">
        <v>15</v>
      </c>
      <c r="G91" s="92"/>
      <c r="H91" s="92"/>
      <c r="I91" s="92"/>
      <c r="J91" s="92"/>
    </row>
    <row r="92" spans="1:10" x14ac:dyDescent="0.25">
      <c r="A92" s="20" t="s">
        <v>46</v>
      </c>
      <c r="B92" s="117">
        <v>0.5</v>
      </c>
      <c r="C92" s="117">
        <v>0.5</v>
      </c>
      <c r="D92" s="28" t="s">
        <v>8</v>
      </c>
      <c r="E92" s="99" t="s">
        <v>20</v>
      </c>
      <c r="F92" s="23"/>
    </row>
    <row r="93" spans="1:10" ht="12" x14ac:dyDescent="0.25">
      <c r="A93" s="20" t="s">
        <v>183</v>
      </c>
      <c r="B93" s="39">
        <v>265</v>
      </c>
      <c r="C93" s="39">
        <v>265</v>
      </c>
      <c r="D93" s="28" t="s">
        <v>248</v>
      </c>
      <c r="E93" s="94" t="str">
        <f>D25</f>
        <v>IPCC AR5</v>
      </c>
      <c r="F93" s="23" t="s">
        <v>162</v>
      </c>
    </row>
    <row r="94" spans="1:10" ht="12" x14ac:dyDescent="0.25">
      <c r="A94" s="118"/>
      <c r="B94" s="50">
        <f>B88*B89*B90*B91*B92</f>
        <v>2828.9368799999997</v>
      </c>
      <c r="C94" s="50">
        <f>ROUNDUP(C88*C89*C90*C91*C92,0)</f>
        <v>1674</v>
      </c>
      <c r="D94" s="53" t="s">
        <v>185</v>
      </c>
      <c r="E94" s="51"/>
      <c r="F94" s="23"/>
    </row>
    <row r="95" spans="1:10" ht="12" x14ac:dyDescent="0.25">
      <c r="A95" s="20" t="s">
        <v>184</v>
      </c>
      <c r="B95" s="113">
        <v>0.01</v>
      </c>
      <c r="C95" s="113">
        <f>B95</f>
        <v>0.01</v>
      </c>
      <c r="D95" s="28" t="str">
        <f>D88</f>
        <v>kg N2O/kg N</v>
      </c>
      <c r="E95" s="22" t="s">
        <v>48</v>
      </c>
      <c r="F95" s="23" t="s">
        <v>49</v>
      </c>
    </row>
    <row r="96" spans="1:10" ht="30" x14ac:dyDescent="0.25">
      <c r="A96" s="20" t="s">
        <v>182</v>
      </c>
      <c r="B96" s="114">
        <v>0.45</v>
      </c>
      <c r="C96" s="114">
        <v>0.45</v>
      </c>
      <c r="D96" s="28" t="s">
        <v>98</v>
      </c>
      <c r="E96" s="94" t="s">
        <v>50</v>
      </c>
      <c r="F96" s="115" t="s">
        <v>33</v>
      </c>
    </row>
    <row r="97" spans="1:6" ht="20" x14ac:dyDescent="0.25">
      <c r="A97" s="20" t="s">
        <v>163</v>
      </c>
      <c r="B97" s="116">
        <f>B90</f>
        <v>10.117799999999999</v>
      </c>
      <c r="C97" s="116">
        <f>C90</f>
        <v>8.5847999999999995</v>
      </c>
      <c r="D97" s="28" t="str">
        <f>D90</f>
        <v>kg N/animal/year</v>
      </c>
      <c r="E97" s="22" t="str">
        <f>'Baseline Emission'!E42</f>
        <v>Calculated</v>
      </c>
      <c r="F97" s="115" t="s">
        <v>51</v>
      </c>
    </row>
    <row r="98" spans="1:6" ht="12" x14ac:dyDescent="0.25">
      <c r="A98" s="20" t="s">
        <v>157</v>
      </c>
      <c r="B98" s="98">
        <f>'Baseline Emission'!B15</f>
        <v>139800</v>
      </c>
      <c r="C98" s="98">
        <f>'Baseline Emission'!C15</f>
        <v>97470</v>
      </c>
      <c r="D98" s="28" t="str">
        <f>'Baseline Emission'!D15</f>
        <v>No of heads</v>
      </c>
      <c r="E98" s="22" t="str">
        <f>'Baseline Emission'!E15</f>
        <v>project evaluation report</v>
      </c>
      <c r="F98" s="23" t="str">
        <f>F91</f>
        <v>Livestock of a defined population</v>
      </c>
    </row>
    <row r="99" spans="1:6" x14ac:dyDescent="0.25">
      <c r="A99" s="20" t="s">
        <v>46</v>
      </c>
      <c r="B99" s="119">
        <v>0.65</v>
      </c>
      <c r="C99" s="119">
        <v>0.65</v>
      </c>
      <c r="D99" s="28" t="s">
        <v>8</v>
      </c>
      <c r="E99" s="99" t="s">
        <v>20</v>
      </c>
      <c r="F99" s="23"/>
    </row>
    <row r="100" spans="1:6" ht="12" x14ac:dyDescent="0.25">
      <c r="A100" s="20" t="s">
        <v>183</v>
      </c>
      <c r="B100" s="39">
        <v>265</v>
      </c>
      <c r="C100" s="39">
        <v>265</v>
      </c>
      <c r="D100" s="28" t="s">
        <v>7</v>
      </c>
      <c r="E100" s="22" t="s">
        <v>177</v>
      </c>
      <c r="F100" s="23" t="s">
        <v>162</v>
      </c>
    </row>
    <row r="101" spans="1:6" x14ac:dyDescent="0.25">
      <c r="A101" s="118"/>
      <c r="B101" s="50">
        <f>B95*B96*B97*B98*B99</f>
        <v>4137.3201870000003</v>
      </c>
      <c r="C101" s="50">
        <f>ROUNDUP(C95*C96*C97*C98*C99,0)</f>
        <v>2448</v>
      </c>
      <c r="D101" s="53" t="s">
        <v>84</v>
      </c>
      <c r="E101" s="51"/>
      <c r="F101" s="23"/>
    </row>
    <row r="102" spans="1:6" ht="12.5" thickBot="1" x14ac:dyDescent="0.3">
      <c r="A102" s="29" t="s">
        <v>190</v>
      </c>
      <c r="B102" s="390">
        <f>B101+C101+B94+C94</f>
        <v>11088.257067</v>
      </c>
      <c r="C102" s="390"/>
      <c r="D102" s="58" t="s">
        <v>84</v>
      </c>
      <c r="E102" s="120"/>
      <c r="F102" s="32"/>
    </row>
    <row r="103" spans="1:6" x14ac:dyDescent="0.25">
      <c r="A103" s="33"/>
      <c r="B103" s="121"/>
      <c r="C103" s="121"/>
      <c r="D103" s="122"/>
      <c r="E103" s="122"/>
      <c r="F103" s="41"/>
    </row>
    <row r="104" spans="1:6" ht="13" thickBot="1" x14ac:dyDescent="0.3">
      <c r="A104" s="14" t="s">
        <v>191</v>
      </c>
      <c r="C104" s="391">
        <f>B93*44/28*1/1000*(B81+B102)</f>
        <v>8273.6235792115713</v>
      </c>
      <c r="D104" s="392"/>
      <c r="E104" s="271" t="s">
        <v>223</v>
      </c>
    </row>
    <row r="105" spans="1:6" x14ac:dyDescent="0.25">
      <c r="A105" s="123"/>
      <c r="B105" s="123"/>
      <c r="C105" s="123"/>
      <c r="D105" s="123"/>
      <c r="E105" s="123"/>
    </row>
    <row r="106" spans="1:6" x14ac:dyDescent="0.25">
      <c r="A106" s="35" t="s">
        <v>164</v>
      </c>
      <c r="B106" s="124"/>
      <c r="C106" s="124"/>
      <c r="D106" s="125" t="s">
        <v>52</v>
      </c>
      <c r="E106" s="126"/>
    </row>
    <row r="107" spans="1:6" x14ac:dyDescent="0.25">
      <c r="A107" s="35"/>
      <c r="B107" s="127"/>
      <c r="C107" s="127"/>
      <c r="E107" s="41"/>
    </row>
    <row r="108" spans="1:6" x14ac:dyDescent="0.25">
      <c r="A108" s="35" t="s">
        <v>53</v>
      </c>
      <c r="B108" s="127"/>
      <c r="C108" s="127"/>
      <c r="D108" s="125" t="s">
        <v>54</v>
      </c>
      <c r="E108" s="41"/>
    </row>
    <row r="109" spans="1:6" x14ac:dyDescent="0.25">
      <c r="A109" s="35"/>
      <c r="B109" s="127"/>
      <c r="C109" s="127"/>
      <c r="D109" s="126"/>
      <c r="E109" s="41"/>
    </row>
    <row r="110" spans="1:6" x14ac:dyDescent="0.25">
      <c r="A110" s="35" t="s">
        <v>55</v>
      </c>
      <c r="B110" s="128"/>
      <c r="C110" s="128"/>
      <c r="D110" s="129" t="s">
        <v>56</v>
      </c>
      <c r="E110" s="45"/>
    </row>
    <row r="111" spans="1:6" x14ac:dyDescent="0.25">
      <c r="A111" s="130"/>
      <c r="B111" s="131"/>
      <c r="C111" s="132"/>
      <c r="D111" s="129" t="s">
        <v>57</v>
      </c>
      <c r="E111" s="45"/>
    </row>
    <row r="112" spans="1:6" x14ac:dyDescent="0.25">
      <c r="A112" s="41"/>
      <c r="B112" s="133"/>
      <c r="C112" s="41"/>
      <c r="D112" s="41"/>
      <c r="E112" s="41"/>
    </row>
    <row r="113" spans="1:5" x14ac:dyDescent="0.25">
      <c r="A113" s="134"/>
      <c r="B113" s="41"/>
      <c r="C113" s="41"/>
      <c r="D113" s="41" t="s">
        <v>58</v>
      </c>
      <c r="E113" s="41"/>
    </row>
    <row r="114" spans="1:5" x14ac:dyDescent="0.25">
      <c r="A114" s="135"/>
      <c r="B114" s="135"/>
      <c r="C114" s="135"/>
      <c r="D114" s="135"/>
      <c r="E114" s="135"/>
    </row>
    <row r="115" spans="1:5" x14ac:dyDescent="0.25">
      <c r="A115" s="130"/>
      <c r="B115" s="136"/>
      <c r="C115" s="137"/>
      <c r="D115" s="136"/>
    </row>
    <row r="116" spans="1:5" x14ac:dyDescent="0.25">
      <c r="A116" s="130"/>
      <c r="B116" s="71"/>
      <c r="C116" s="137"/>
      <c r="D116" s="136"/>
    </row>
    <row r="117" spans="1:5" x14ac:dyDescent="0.25">
      <c r="B117" s="41"/>
    </row>
    <row r="118" spans="1:5" x14ac:dyDescent="0.25">
      <c r="A118" s="138"/>
      <c r="B118" s="41"/>
      <c r="C118" s="127"/>
      <c r="D118" s="126"/>
      <c r="E118" s="41"/>
    </row>
    <row r="121" spans="1:5" x14ac:dyDescent="0.25">
      <c r="A121" s="139" t="s">
        <v>59</v>
      </c>
      <c r="B121" s="140">
        <f>ROUND(B41+B58+C104,0)</f>
        <v>46929</v>
      </c>
      <c r="C121" s="41"/>
      <c r="D121" s="141"/>
      <c r="E121" s="41"/>
    </row>
    <row r="124" spans="1:5" x14ac:dyDescent="0.25">
      <c r="A124" s="142"/>
      <c r="B124" s="142"/>
      <c r="C124" s="142"/>
      <c r="D124" s="142"/>
    </row>
  </sheetData>
  <customSheetViews>
    <customSheetView guid="{2C071143-29D6-4036-A926-BF7E54293313}" hiddenRows="1" showRuler="0" topLeftCell="A61">
      <selection activeCell="B20" sqref="B20:C20"/>
      <pageMargins left="0.75" right="0.75" top="1" bottom="1" header="0.5" footer="0.5"/>
      <pageSetup paperSize="9" orientation="portrait"/>
      <headerFooter alignWithMargins="0"/>
    </customSheetView>
  </customSheetViews>
  <mergeCells count="22">
    <mergeCell ref="B102:C102"/>
    <mergeCell ref="C104:D104"/>
    <mergeCell ref="D36:F36"/>
    <mergeCell ref="D37:F37"/>
    <mergeCell ref="D38:F38"/>
    <mergeCell ref="D39:F39"/>
    <mergeCell ref="B81:C81"/>
    <mergeCell ref="B58:C58"/>
    <mergeCell ref="D41:F41"/>
    <mergeCell ref="B46:C46"/>
    <mergeCell ref="D15:F15"/>
    <mergeCell ref="D40:F40"/>
    <mergeCell ref="D18:F18"/>
    <mergeCell ref="D28:F28"/>
    <mergeCell ref="D13:F13"/>
    <mergeCell ref="D24:F24"/>
    <mergeCell ref="D25:F25"/>
    <mergeCell ref="D26:F26"/>
    <mergeCell ref="D27:F27"/>
    <mergeCell ref="D14:F14"/>
    <mergeCell ref="D16:F16"/>
    <mergeCell ref="D17:F17"/>
  </mergeCells>
  <phoneticPr fontId="5" type="noConversion"/>
  <pageMargins left="0.75" right="0.75" top="1" bottom="1" header="0.5" footer="0.5"/>
  <pageSetup paperSize="9" orientation="portrait" r:id="rId1"/>
  <headerFooter alignWithMargins="0"/>
  <ignoredErrors>
    <ignoredError sqref="E98"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5"/>
  <sheetViews>
    <sheetView topLeftCell="A88" zoomScaleNormal="100" workbookViewId="0">
      <selection activeCell="D118" sqref="D118"/>
    </sheetView>
  </sheetViews>
  <sheetFormatPr defaultColWidth="9" defaultRowHeight="11.5" x14ac:dyDescent="0.25"/>
  <cols>
    <col min="1" max="1" width="42.7265625" style="8" customWidth="1"/>
    <col min="2" max="2" width="19.1796875" style="8" customWidth="1"/>
    <col min="3" max="3" width="17.54296875" style="8" customWidth="1"/>
    <col min="4" max="4" width="20.453125" style="8" customWidth="1"/>
    <col min="5" max="5" width="49.6328125" style="8" customWidth="1"/>
    <col min="6" max="6" width="59.08984375" style="8" customWidth="1"/>
    <col min="7" max="16384" width="9" style="8"/>
  </cols>
  <sheetData>
    <row r="1" spans="1:4" x14ac:dyDescent="0.25">
      <c r="A1" s="7" t="s">
        <v>60</v>
      </c>
    </row>
    <row r="2" spans="1:4" x14ac:dyDescent="0.25">
      <c r="A2" s="7"/>
      <c r="B2" s="143"/>
    </row>
    <row r="3" spans="1:4" x14ac:dyDescent="0.25">
      <c r="A3" s="7"/>
    </row>
    <row r="4" spans="1:4" ht="12.5" x14ac:dyDescent="0.3">
      <c r="A4" s="8" t="s">
        <v>192</v>
      </c>
    </row>
    <row r="5" spans="1:4" x14ac:dyDescent="0.25">
      <c r="A5" s="7"/>
      <c r="D5" s="144"/>
    </row>
    <row r="6" spans="1:4" x14ac:dyDescent="0.25">
      <c r="A6" s="7"/>
      <c r="D6" s="144"/>
    </row>
    <row r="7" spans="1:4" x14ac:dyDescent="0.25">
      <c r="A7" s="7"/>
      <c r="D7" s="144"/>
    </row>
    <row r="8" spans="1:4" x14ac:dyDescent="0.25">
      <c r="A8" s="7"/>
      <c r="D8" s="144"/>
    </row>
    <row r="9" spans="1:4" x14ac:dyDescent="0.25">
      <c r="A9" s="7"/>
      <c r="D9" s="144"/>
    </row>
    <row r="10" spans="1:4" x14ac:dyDescent="0.25">
      <c r="A10" s="7"/>
      <c r="D10" s="144"/>
    </row>
    <row r="11" spans="1:4" x14ac:dyDescent="0.25">
      <c r="A11" s="7"/>
      <c r="D11" s="144"/>
    </row>
    <row r="12" spans="1:4" x14ac:dyDescent="0.25">
      <c r="A12" s="7"/>
      <c r="D12" s="144"/>
    </row>
    <row r="13" spans="1:4" x14ac:dyDescent="0.25">
      <c r="A13" s="7"/>
      <c r="D13" s="144"/>
    </row>
    <row r="14" spans="1:4" x14ac:dyDescent="0.25">
      <c r="A14" s="7"/>
      <c r="D14" s="144"/>
    </row>
    <row r="15" spans="1:4" x14ac:dyDescent="0.25">
      <c r="A15" s="7"/>
      <c r="D15" s="144"/>
    </row>
    <row r="16" spans="1:4" x14ac:dyDescent="0.25">
      <c r="A16" s="7"/>
      <c r="D16" s="144"/>
    </row>
    <row r="17" spans="1:6" x14ac:dyDescent="0.25">
      <c r="A17" s="7"/>
      <c r="D17" s="144"/>
    </row>
    <row r="18" spans="1:6" x14ac:dyDescent="0.25">
      <c r="A18" s="7"/>
    </row>
    <row r="19" spans="1:6" ht="12" thickBot="1" x14ac:dyDescent="0.3">
      <c r="A19" s="7"/>
    </row>
    <row r="20" spans="1:6" ht="12" thickBot="1" x14ac:dyDescent="0.3">
      <c r="A20" s="145" t="s">
        <v>1</v>
      </c>
      <c r="B20" s="146" t="s">
        <v>40</v>
      </c>
      <c r="C20" s="146"/>
      <c r="D20" s="147" t="s">
        <v>3</v>
      </c>
      <c r="E20" s="146" t="s">
        <v>4</v>
      </c>
      <c r="F20" s="148" t="s">
        <v>103</v>
      </c>
    </row>
    <row r="21" spans="1:6" x14ac:dyDescent="0.25">
      <c r="A21" s="171"/>
      <c r="B21" s="149" t="str">
        <f>B138</f>
        <v>Market Swine</v>
      </c>
      <c r="C21" s="149" t="str">
        <f>C138</f>
        <v>Breeding Swine</v>
      </c>
      <c r="D21" s="149"/>
      <c r="E21" s="149"/>
      <c r="F21" s="360"/>
    </row>
    <row r="22" spans="1:6" s="154" customFormat="1" ht="12.5" x14ac:dyDescent="0.25">
      <c r="A22" s="253" t="s">
        <v>193</v>
      </c>
      <c r="B22" s="151">
        <f>'Baseline Emission'!B15</f>
        <v>139800</v>
      </c>
      <c r="C22" s="151">
        <f>'Baseline Emission'!C15</f>
        <v>97470</v>
      </c>
      <c r="D22" s="152" t="str">
        <f>'Baseline Emission'!D15</f>
        <v>No of heads</v>
      </c>
      <c r="E22" s="153" t="str">
        <f>'Baseline Emission'!E15</f>
        <v>project evaluation report</v>
      </c>
      <c r="F22" s="361"/>
    </row>
    <row r="23" spans="1:6" ht="12.5" x14ac:dyDescent="0.25">
      <c r="A23" s="253" t="s">
        <v>194</v>
      </c>
      <c r="B23" s="150">
        <f>'Baseline Emission'!B38</f>
        <v>0.42</v>
      </c>
      <c r="C23" s="155">
        <f>'Baseline Emission'!C38</f>
        <v>0.24</v>
      </c>
      <c r="D23" s="152" t="s">
        <v>25</v>
      </c>
      <c r="E23" s="156" t="s">
        <v>26</v>
      </c>
      <c r="F23" s="362"/>
    </row>
    <row r="24" spans="1:6" ht="12.5" x14ac:dyDescent="0.25">
      <c r="A24" s="254" t="s">
        <v>195</v>
      </c>
      <c r="B24" s="157">
        <f>'Baseline Emission'!B42</f>
        <v>10.117799999999999</v>
      </c>
      <c r="C24" s="157">
        <f>'Baseline Emission'!C42</f>
        <v>8.5847999999999995</v>
      </c>
      <c r="D24" s="152" t="str">
        <f>'Baseline Emission'!D42</f>
        <v>kg N/animal/year</v>
      </c>
      <c r="E24" s="156" t="s">
        <v>62</v>
      </c>
      <c r="F24" s="362"/>
    </row>
    <row r="25" spans="1:6" s="154" customFormat="1" ht="23" x14ac:dyDescent="0.25">
      <c r="A25" s="254" t="s">
        <v>196</v>
      </c>
      <c r="B25" s="158">
        <v>0.8</v>
      </c>
      <c r="C25" s="158">
        <v>0.8</v>
      </c>
      <c r="D25" s="152" t="s">
        <v>7</v>
      </c>
      <c r="E25" s="359" t="s">
        <v>249</v>
      </c>
      <c r="F25" s="362" t="s">
        <v>63</v>
      </c>
    </row>
    <row r="26" spans="1:6" ht="12.5" x14ac:dyDescent="0.3">
      <c r="A26" s="254" t="s">
        <v>197</v>
      </c>
      <c r="B26" s="150">
        <v>0.01</v>
      </c>
      <c r="C26" s="150">
        <v>0.01</v>
      </c>
      <c r="D26" s="156" t="s">
        <v>250</v>
      </c>
      <c r="E26" s="159" t="s">
        <v>66</v>
      </c>
      <c r="F26" s="362" t="s">
        <v>67</v>
      </c>
    </row>
    <row r="27" spans="1:6" ht="12.5" x14ac:dyDescent="0.3">
      <c r="A27" s="254" t="s">
        <v>198</v>
      </c>
      <c r="B27" s="150">
        <v>7.4999999999999997E-3</v>
      </c>
      <c r="C27" s="150">
        <v>7.4999999999999997E-3</v>
      </c>
      <c r="D27" s="156" t="s">
        <v>250</v>
      </c>
      <c r="E27" s="159" t="s">
        <v>69</v>
      </c>
      <c r="F27" s="362"/>
    </row>
    <row r="28" spans="1:6" ht="23" x14ac:dyDescent="0.3">
      <c r="A28" s="254" t="s">
        <v>199</v>
      </c>
      <c r="B28" s="150">
        <v>0.01</v>
      </c>
      <c r="C28" s="150">
        <v>0.01</v>
      </c>
      <c r="D28" s="156" t="s">
        <v>250</v>
      </c>
      <c r="E28" s="159" t="s">
        <v>69</v>
      </c>
      <c r="F28" s="363" t="s">
        <v>71</v>
      </c>
    </row>
    <row r="29" spans="1:6" ht="12.5" x14ac:dyDescent="0.25">
      <c r="A29" s="254" t="s">
        <v>200</v>
      </c>
      <c r="B29" s="150">
        <v>0.3</v>
      </c>
      <c r="C29" s="150">
        <v>0.3</v>
      </c>
      <c r="D29" s="156"/>
      <c r="E29" s="159" t="s">
        <v>69</v>
      </c>
      <c r="F29" s="362"/>
    </row>
    <row r="30" spans="1:6" ht="12.5" x14ac:dyDescent="0.25">
      <c r="A30" s="254" t="s">
        <v>201</v>
      </c>
      <c r="B30" s="150">
        <v>0.2</v>
      </c>
      <c r="C30" s="150">
        <v>0.2</v>
      </c>
      <c r="D30" s="156" t="s">
        <v>73</v>
      </c>
      <c r="E30" s="159" t="s">
        <v>74</v>
      </c>
      <c r="F30" s="362" t="s">
        <v>75</v>
      </c>
    </row>
    <row r="31" spans="1:6" ht="12.5" x14ac:dyDescent="0.3">
      <c r="A31" s="255" t="s">
        <v>202</v>
      </c>
      <c r="B31" s="161">
        <v>265</v>
      </c>
      <c r="C31" s="161">
        <v>265</v>
      </c>
      <c r="D31" s="169" t="s">
        <v>209</v>
      </c>
      <c r="E31" s="162" t="s">
        <v>177</v>
      </c>
      <c r="F31" s="362"/>
    </row>
    <row r="32" spans="1:6" ht="12.5" x14ac:dyDescent="0.3">
      <c r="A32" s="257" t="s">
        <v>203</v>
      </c>
      <c r="B32" s="164">
        <f>ROUNDDOWN(B26*(1-B25)*B24*B22,0)</f>
        <v>2828</v>
      </c>
      <c r="C32" s="164">
        <f>ROUNDDOWN(C26*(1-C25)*C24*C22,0)</f>
        <v>1673</v>
      </c>
      <c r="D32" s="169" t="s">
        <v>207</v>
      </c>
      <c r="E32" s="156" t="s">
        <v>42</v>
      </c>
      <c r="F32" s="362"/>
    </row>
    <row r="33" spans="1:6" ht="12.5" x14ac:dyDescent="0.3">
      <c r="A33" s="257"/>
      <c r="B33" s="401">
        <f>B32+C32</f>
        <v>4501</v>
      </c>
      <c r="C33" s="401"/>
      <c r="D33" s="169" t="s">
        <v>207</v>
      </c>
      <c r="E33" s="156"/>
      <c r="F33" s="362"/>
    </row>
    <row r="34" spans="1:6" ht="12.5" x14ac:dyDescent="0.3">
      <c r="A34" s="257" t="s">
        <v>204</v>
      </c>
      <c r="B34" s="164">
        <f>ROUNDDOWN(B27*B29*(1-B25)*B24*B22,0)</f>
        <v>636</v>
      </c>
      <c r="C34" s="164">
        <f>ROUNDDOWN(C27*C29*(1-C25)*C24*C22,0)</f>
        <v>376</v>
      </c>
      <c r="D34" s="169" t="s">
        <v>207</v>
      </c>
      <c r="E34" s="156" t="s">
        <v>42</v>
      </c>
      <c r="F34" s="362"/>
    </row>
    <row r="35" spans="1:6" ht="12.5" x14ac:dyDescent="0.3">
      <c r="A35" s="257"/>
      <c r="B35" s="402">
        <f>B34+C34</f>
        <v>1012</v>
      </c>
      <c r="C35" s="402"/>
      <c r="D35" s="169" t="s">
        <v>207</v>
      </c>
      <c r="E35" s="156"/>
      <c r="F35" s="362"/>
    </row>
    <row r="36" spans="1:6" ht="12.5" x14ac:dyDescent="0.3">
      <c r="A36" s="257" t="s">
        <v>205</v>
      </c>
      <c r="B36" s="164">
        <f>ROUNDDOWN(B28*(1-B25)*B30*B24*B22,0)</f>
        <v>565</v>
      </c>
      <c r="C36" s="164">
        <f>ROUNDDOWN(C28*(1-C25)*C30*C24*C22,0)</f>
        <v>334</v>
      </c>
      <c r="D36" s="169" t="s">
        <v>207</v>
      </c>
      <c r="E36" s="156" t="s">
        <v>42</v>
      </c>
      <c r="F36" s="362"/>
    </row>
    <row r="37" spans="1:6" ht="12.5" x14ac:dyDescent="0.3">
      <c r="A37" s="257"/>
      <c r="B37" s="401">
        <f>B36+C36</f>
        <v>899</v>
      </c>
      <c r="C37" s="401"/>
      <c r="D37" s="169" t="s">
        <v>207</v>
      </c>
      <c r="E37" s="156"/>
      <c r="F37" s="362"/>
    </row>
    <row r="38" spans="1:6" ht="13" thickBot="1" x14ac:dyDescent="0.35">
      <c r="A38" s="258" t="s">
        <v>206</v>
      </c>
      <c r="B38" s="398">
        <f>B31*44/28*1/1000*(B33+B35+B37)</f>
        <v>2670.14</v>
      </c>
      <c r="C38" s="399"/>
      <c r="D38" s="259" t="s">
        <v>208</v>
      </c>
      <c r="E38" s="364" t="s">
        <v>42</v>
      </c>
      <c r="F38" s="365"/>
    </row>
    <row r="39" spans="1:6" x14ac:dyDescent="0.25">
      <c r="A39" s="165"/>
      <c r="B39" s="166"/>
      <c r="C39" s="166"/>
      <c r="D39" s="6"/>
      <c r="E39" s="6"/>
    </row>
    <row r="40" spans="1:6" x14ac:dyDescent="0.25">
      <c r="A40" s="165"/>
      <c r="B40" s="166"/>
      <c r="C40" s="166"/>
      <c r="D40" s="6"/>
      <c r="E40" s="6"/>
    </row>
    <row r="41" spans="1:6" x14ac:dyDescent="0.25">
      <c r="A41" s="165"/>
      <c r="B41" s="166"/>
      <c r="C41" s="166"/>
      <c r="D41" s="167"/>
      <c r="E41" s="6"/>
    </row>
    <row r="42" spans="1:6" x14ac:dyDescent="0.25">
      <c r="A42" s="165"/>
      <c r="B42" s="166"/>
      <c r="C42" s="166"/>
      <c r="D42" s="167"/>
      <c r="E42" s="6"/>
    </row>
    <row r="43" spans="1:6" x14ac:dyDescent="0.25">
      <c r="A43" s="165"/>
      <c r="B43" s="166"/>
      <c r="C43" s="166"/>
      <c r="D43" s="167"/>
      <c r="E43" s="6"/>
    </row>
    <row r="44" spans="1:6" x14ac:dyDescent="0.25">
      <c r="A44" s="165"/>
      <c r="B44" s="166"/>
      <c r="C44" s="166"/>
      <c r="D44" s="167"/>
      <c r="E44" s="6"/>
    </row>
    <row r="45" spans="1:6" x14ac:dyDescent="0.25">
      <c r="A45" s="165"/>
      <c r="B45" s="166"/>
      <c r="C45" s="166"/>
      <c r="D45" s="167"/>
      <c r="E45" s="6"/>
    </row>
    <row r="46" spans="1:6" x14ac:dyDescent="0.25">
      <c r="A46" s="165"/>
      <c r="B46" s="166"/>
      <c r="C46" s="166"/>
      <c r="D46" s="167"/>
      <c r="E46" s="6"/>
    </row>
    <row r="47" spans="1:6" x14ac:dyDescent="0.25">
      <c r="A47" s="165"/>
      <c r="B47" s="166"/>
      <c r="C47" s="166"/>
      <c r="D47" s="167"/>
      <c r="E47" s="6"/>
    </row>
    <row r="48" spans="1:6" x14ac:dyDescent="0.25">
      <c r="A48" s="165"/>
      <c r="B48" s="166"/>
      <c r="C48" s="166"/>
      <c r="D48" s="167"/>
      <c r="E48" s="6"/>
    </row>
    <row r="49" spans="1:5" x14ac:dyDescent="0.25">
      <c r="A49" s="165"/>
      <c r="B49" s="166"/>
      <c r="C49" s="166"/>
      <c r="D49" s="167"/>
      <c r="E49" s="6"/>
    </row>
    <row r="50" spans="1:5" x14ac:dyDescent="0.25">
      <c r="A50" s="165"/>
      <c r="B50" s="166"/>
      <c r="C50" s="166"/>
      <c r="D50" s="167"/>
      <c r="E50" s="6"/>
    </row>
    <row r="51" spans="1:5" x14ac:dyDescent="0.25">
      <c r="A51" s="165"/>
      <c r="B51" s="166"/>
      <c r="C51" s="166"/>
      <c r="D51" s="167"/>
      <c r="E51" s="6"/>
    </row>
    <row r="52" spans="1:5" x14ac:dyDescent="0.25">
      <c r="A52" s="165"/>
      <c r="B52" s="166"/>
      <c r="C52" s="166"/>
      <c r="D52" s="167"/>
      <c r="E52" s="6"/>
    </row>
    <row r="53" spans="1:5" x14ac:dyDescent="0.25">
      <c r="A53" s="165"/>
      <c r="B53" s="166"/>
      <c r="C53" s="166"/>
      <c r="D53" s="167"/>
      <c r="E53" s="6"/>
    </row>
    <row r="54" spans="1:5" x14ac:dyDescent="0.25">
      <c r="A54" s="165"/>
      <c r="B54" s="166"/>
      <c r="C54" s="166"/>
      <c r="D54" s="6"/>
      <c r="E54" s="6"/>
    </row>
    <row r="55" spans="1:5" x14ac:dyDescent="0.25">
      <c r="A55" s="168" t="s">
        <v>1</v>
      </c>
      <c r="B55" s="168" t="s">
        <v>40</v>
      </c>
      <c r="C55" s="168"/>
      <c r="D55" s="168" t="s">
        <v>3</v>
      </c>
      <c r="E55" s="168" t="s">
        <v>4</v>
      </c>
    </row>
    <row r="56" spans="1:5" x14ac:dyDescent="0.25">
      <c r="A56" s="168"/>
      <c r="B56" s="168" t="s">
        <v>5</v>
      </c>
      <c r="C56" s="168" t="s">
        <v>6</v>
      </c>
      <c r="D56" s="168"/>
      <c r="E56" s="168"/>
    </row>
    <row r="57" spans="1:5" ht="12.5" x14ac:dyDescent="0.25">
      <c r="A57" s="150" t="s">
        <v>210</v>
      </c>
      <c r="B57" s="151">
        <f>'Baseline Emission'!B15</f>
        <v>139800</v>
      </c>
      <c r="C57" s="151">
        <f>'Baseline Emission'!C15</f>
        <v>97470</v>
      </c>
      <c r="D57" s="152" t="s">
        <v>14</v>
      </c>
      <c r="E57" s="153" t="s">
        <v>76</v>
      </c>
    </row>
    <row r="58" spans="1:5" ht="12.5" x14ac:dyDescent="0.25">
      <c r="A58" s="150" t="s">
        <v>179</v>
      </c>
      <c r="B58" s="157">
        <f>B24</f>
        <v>10.117799999999999</v>
      </c>
      <c r="C58" s="157">
        <f>C24</f>
        <v>8.5847999999999995</v>
      </c>
      <c r="D58" s="152" t="s">
        <v>28</v>
      </c>
      <c r="E58" s="156" t="s">
        <v>62</v>
      </c>
    </row>
    <row r="59" spans="1:5" ht="21.5" customHeight="1" x14ac:dyDescent="0.25">
      <c r="A59" s="150" t="s">
        <v>251</v>
      </c>
      <c r="B59" s="158">
        <v>0.25</v>
      </c>
      <c r="C59" s="158">
        <f>B59</f>
        <v>0.25</v>
      </c>
      <c r="D59" s="152" t="s">
        <v>7</v>
      </c>
      <c r="E59" s="159" t="s">
        <v>77</v>
      </c>
    </row>
    <row r="60" spans="1:5" ht="12.5" x14ac:dyDescent="0.25">
      <c r="A60" s="150" t="s">
        <v>251</v>
      </c>
      <c r="B60" s="158">
        <v>0.05</v>
      </c>
      <c r="C60" s="158">
        <v>0.05</v>
      </c>
      <c r="D60" s="152" t="s">
        <v>98</v>
      </c>
      <c r="E60" s="159"/>
    </row>
    <row r="61" spans="1:5" x14ac:dyDescent="0.25">
      <c r="A61" s="150" t="s">
        <v>64</v>
      </c>
      <c r="B61" s="150">
        <v>0.01</v>
      </c>
      <c r="C61" s="150">
        <v>0.01</v>
      </c>
      <c r="D61" s="152" t="s">
        <v>65</v>
      </c>
      <c r="E61" s="156" t="s">
        <v>66</v>
      </c>
    </row>
    <row r="62" spans="1:5" x14ac:dyDescent="0.25">
      <c r="A62" s="150" t="s">
        <v>68</v>
      </c>
      <c r="B62" s="150">
        <v>7.4999999999999997E-3</v>
      </c>
      <c r="C62" s="150">
        <v>7.4999999999999997E-3</v>
      </c>
      <c r="D62" s="152" t="s">
        <v>65</v>
      </c>
      <c r="E62" s="156" t="s">
        <v>69</v>
      </c>
    </row>
    <row r="63" spans="1:5" x14ac:dyDescent="0.25">
      <c r="A63" s="150" t="s">
        <v>70</v>
      </c>
      <c r="B63" s="150">
        <v>0.01</v>
      </c>
      <c r="C63" s="150">
        <v>0.01</v>
      </c>
      <c r="D63" s="152" t="s">
        <v>65</v>
      </c>
      <c r="E63" s="156" t="s">
        <v>69</v>
      </c>
    </row>
    <row r="64" spans="1:5" x14ac:dyDescent="0.25">
      <c r="A64" s="150" t="s">
        <v>72</v>
      </c>
      <c r="B64" s="150">
        <v>0.3</v>
      </c>
      <c r="C64" s="150">
        <v>0.3</v>
      </c>
      <c r="D64" s="152" t="s">
        <v>101</v>
      </c>
      <c r="E64" s="156" t="s">
        <v>69</v>
      </c>
    </row>
    <row r="65" spans="1:5" ht="27" customHeight="1" x14ac:dyDescent="0.25">
      <c r="A65" s="150" t="s">
        <v>31</v>
      </c>
      <c r="B65" s="150">
        <v>0.2</v>
      </c>
      <c r="C65" s="150">
        <v>0.2</v>
      </c>
      <c r="D65" s="152" t="s">
        <v>73</v>
      </c>
      <c r="E65" s="159" t="s">
        <v>78</v>
      </c>
    </row>
    <row r="66" spans="1:5" ht="12.5" x14ac:dyDescent="0.25">
      <c r="A66" s="255" t="s">
        <v>202</v>
      </c>
      <c r="B66" s="150">
        <f>B31</f>
        <v>265</v>
      </c>
      <c r="C66" s="150">
        <f>C31</f>
        <v>265</v>
      </c>
      <c r="D66" s="150" t="str">
        <f>D31</f>
        <v>tCO2/tN2O</v>
      </c>
      <c r="E66" s="160" t="str">
        <f>E31</f>
        <v>IPCC AR5</v>
      </c>
    </row>
    <row r="67" spans="1:5" ht="12.5" x14ac:dyDescent="0.3">
      <c r="A67" s="257" t="s">
        <v>203</v>
      </c>
      <c r="B67" s="164">
        <f>ROUNDUP(B61*(1-B59)*(1-B60)*B58*B57,0)</f>
        <v>10079</v>
      </c>
      <c r="C67" s="164">
        <f>ROUNDUP(C61*(1-C59)*(1-C60)*C58*C57,0)</f>
        <v>5962</v>
      </c>
      <c r="D67" s="169" t="s">
        <v>207</v>
      </c>
      <c r="E67" s="156" t="s">
        <v>42</v>
      </c>
    </row>
    <row r="68" spans="1:5" ht="12.5" x14ac:dyDescent="0.3">
      <c r="A68" s="257"/>
      <c r="B68" s="401">
        <f>B67+C67</f>
        <v>16041</v>
      </c>
      <c r="C68" s="401"/>
      <c r="D68" s="169" t="s">
        <v>207</v>
      </c>
      <c r="E68" s="156" t="s">
        <v>42</v>
      </c>
    </row>
    <row r="69" spans="1:5" ht="12.5" x14ac:dyDescent="0.3">
      <c r="A69" s="257" t="s">
        <v>204</v>
      </c>
      <c r="B69" s="170">
        <f>ROUNDUP(B62*B64*(1-B59)*(1-B60)*B58*B57,0)</f>
        <v>2268</v>
      </c>
      <c r="C69" s="170">
        <f>ROUNDUP(C62*C64*(1-C59)*(1-C60)*C58*C57,0)</f>
        <v>1342</v>
      </c>
      <c r="D69" s="169" t="s">
        <v>207</v>
      </c>
      <c r="E69" s="156" t="s">
        <v>42</v>
      </c>
    </row>
    <row r="70" spans="1:5" ht="12.5" x14ac:dyDescent="0.3">
      <c r="A70" s="257"/>
      <c r="B70" s="401">
        <f>B69+C69</f>
        <v>3610</v>
      </c>
      <c r="C70" s="401"/>
      <c r="D70" s="169" t="s">
        <v>207</v>
      </c>
      <c r="E70" s="156" t="s">
        <v>42</v>
      </c>
    </row>
    <row r="71" spans="1:5" ht="12.5" x14ac:dyDescent="0.3">
      <c r="A71" s="257" t="s">
        <v>205</v>
      </c>
      <c r="B71" s="164">
        <f>ROUNDUP(B63*(1-B59)*(1-B60)*B65*B58*B57,0)</f>
        <v>2016</v>
      </c>
      <c r="C71" s="164">
        <f>ROUNDUP(C63*(1-C59)*(1-C60)*C65*C58*C57,0)</f>
        <v>1193</v>
      </c>
      <c r="D71" s="169" t="s">
        <v>207</v>
      </c>
      <c r="E71" s="156" t="s">
        <v>42</v>
      </c>
    </row>
    <row r="72" spans="1:5" ht="12.5" x14ac:dyDescent="0.3">
      <c r="A72" s="257"/>
      <c r="B72" s="401">
        <f>B71+C71</f>
        <v>3209</v>
      </c>
      <c r="C72" s="401"/>
      <c r="D72" s="169" t="s">
        <v>207</v>
      </c>
      <c r="E72" s="156" t="s">
        <v>42</v>
      </c>
    </row>
    <row r="73" spans="1:5" ht="13" thickBot="1" x14ac:dyDescent="0.35">
      <c r="A73" s="163" t="s">
        <v>211</v>
      </c>
      <c r="B73" s="398">
        <f>B66*44/28*1/1000*(B68+B70+B72)</f>
        <v>9519.557142857142</v>
      </c>
      <c r="C73" s="399"/>
      <c r="D73" s="169" t="s">
        <v>165</v>
      </c>
      <c r="E73" s="156" t="s">
        <v>42</v>
      </c>
    </row>
    <row r="74" spans="1:5" x14ac:dyDescent="0.25">
      <c r="A74" s="165"/>
      <c r="B74" s="166"/>
      <c r="C74" s="166"/>
      <c r="D74" s="6"/>
      <c r="E74" s="6"/>
    </row>
    <row r="75" spans="1:5" x14ac:dyDescent="0.25">
      <c r="A75" s="165"/>
      <c r="B75" s="166"/>
      <c r="C75" s="166"/>
      <c r="D75" s="6"/>
      <c r="E75" s="6"/>
    </row>
    <row r="77" spans="1:5" x14ac:dyDescent="0.25">
      <c r="A77" s="8" t="s">
        <v>79</v>
      </c>
    </row>
    <row r="79" spans="1:5" x14ac:dyDescent="0.25">
      <c r="E79" s="144"/>
    </row>
    <row r="80" spans="1:5" x14ac:dyDescent="0.25">
      <c r="E80" s="144"/>
    </row>
    <row r="81" spans="1:5" x14ac:dyDescent="0.25">
      <c r="E81" s="144"/>
    </row>
    <row r="82" spans="1:5" x14ac:dyDescent="0.25">
      <c r="E82" s="144"/>
    </row>
    <row r="83" spans="1:5" ht="12" thickBot="1" x14ac:dyDescent="0.3">
      <c r="A83" s="7"/>
    </row>
    <row r="84" spans="1:5" x14ac:dyDescent="0.25">
      <c r="A84" s="171" t="s">
        <v>1</v>
      </c>
      <c r="B84" s="149" t="s">
        <v>40</v>
      </c>
      <c r="C84" s="149"/>
      <c r="D84" s="149" t="s">
        <v>3</v>
      </c>
      <c r="E84" s="172" t="s">
        <v>4</v>
      </c>
    </row>
    <row r="85" spans="1:5" x14ac:dyDescent="0.25">
      <c r="A85" s="173"/>
      <c r="B85" s="168" t="str">
        <f>B56</f>
        <v>Market Swine</v>
      </c>
      <c r="C85" s="168" t="str">
        <f>C56</f>
        <v>Breeding Swine</v>
      </c>
      <c r="D85" s="168"/>
      <c r="E85" s="174"/>
    </row>
    <row r="86" spans="1:5" ht="12.5" x14ac:dyDescent="0.3">
      <c r="A86" s="260" t="s">
        <v>212</v>
      </c>
      <c r="B86" s="161">
        <v>28</v>
      </c>
      <c r="C86" s="161">
        <v>28</v>
      </c>
      <c r="D86" s="152" t="s">
        <v>245</v>
      </c>
      <c r="E86" s="175" t="s">
        <v>177</v>
      </c>
    </row>
    <row r="87" spans="1:5" ht="12.5" x14ac:dyDescent="0.3">
      <c r="A87" s="260" t="s">
        <v>213</v>
      </c>
      <c r="B87" s="161">
        <v>6.7000000000000002E-4</v>
      </c>
      <c r="C87" s="161">
        <v>6.7000000000000002E-4</v>
      </c>
      <c r="D87" s="152" t="s">
        <v>105</v>
      </c>
      <c r="E87" s="176" t="s">
        <v>127</v>
      </c>
    </row>
    <row r="88" spans="1:5" ht="12.5" x14ac:dyDescent="0.25">
      <c r="A88" s="261" t="s">
        <v>214</v>
      </c>
      <c r="B88" s="177">
        <v>1</v>
      </c>
      <c r="C88" s="177">
        <v>1</v>
      </c>
      <c r="D88" s="168" t="s">
        <v>98</v>
      </c>
      <c r="E88" s="176" t="s">
        <v>127</v>
      </c>
    </row>
    <row r="89" spans="1:5" ht="12.5" x14ac:dyDescent="0.25">
      <c r="A89" s="253" t="s">
        <v>215</v>
      </c>
      <c r="B89" s="178">
        <f>'Baseline Emission'!B19</f>
        <v>258.10714285714289</v>
      </c>
      <c r="C89" s="178">
        <f>'Baseline Emission'!C19</f>
        <v>383.25</v>
      </c>
      <c r="D89" s="152" t="str">
        <f>'Baseline Emission'!D19</f>
        <v>kg/hd/y</v>
      </c>
      <c r="E89" s="179" t="s">
        <v>118</v>
      </c>
    </row>
    <row r="90" spans="1:5" ht="12.5" x14ac:dyDescent="0.25">
      <c r="A90" s="253" t="s">
        <v>193</v>
      </c>
      <c r="B90" s="151">
        <f>'Baseline Emission'!B15</f>
        <v>139800</v>
      </c>
      <c r="C90" s="151">
        <f>'Baseline Emission'!C15</f>
        <v>97470</v>
      </c>
      <c r="D90" s="151" t="str">
        <f>'Baseline Emission'!D15</f>
        <v>No of heads</v>
      </c>
      <c r="E90" s="180" t="str">
        <f>'Baseline Emission'!E15</f>
        <v>project evaluation report</v>
      </c>
    </row>
    <row r="91" spans="1:5" ht="12.5" x14ac:dyDescent="0.25">
      <c r="A91" s="253" t="s">
        <v>216</v>
      </c>
      <c r="B91" s="181">
        <f>'Baseline Emission'!B14</f>
        <v>0.28999999999999998</v>
      </c>
      <c r="C91" s="177">
        <f>'Baseline Emission'!C14</f>
        <v>0.28999999999999998</v>
      </c>
      <c r="D91" s="152" t="s">
        <v>82</v>
      </c>
      <c r="E91" s="176" t="s">
        <v>83</v>
      </c>
    </row>
    <row r="92" spans="1:5" s="154" customFormat="1" ht="23" x14ac:dyDescent="0.25">
      <c r="A92" s="262" t="s">
        <v>217</v>
      </c>
      <c r="B92" s="158">
        <v>0.85</v>
      </c>
      <c r="C92" s="158">
        <v>0.85</v>
      </c>
      <c r="D92" s="182" t="s">
        <v>98</v>
      </c>
      <c r="E92" s="256" t="s">
        <v>252</v>
      </c>
    </row>
    <row r="93" spans="1:5" ht="12.5" x14ac:dyDescent="0.25">
      <c r="A93" s="261" t="s">
        <v>218</v>
      </c>
      <c r="B93" s="183">
        <v>1</v>
      </c>
      <c r="C93" s="183">
        <f>B93</f>
        <v>1</v>
      </c>
      <c r="D93" s="182" t="s">
        <v>98</v>
      </c>
      <c r="E93" s="184" t="s">
        <v>20</v>
      </c>
    </row>
    <row r="94" spans="1:5" ht="12.5" x14ac:dyDescent="0.3">
      <c r="A94" s="263" t="s">
        <v>219</v>
      </c>
      <c r="B94" s="185">
        <f>ROUNDDOWN(B86*B87*B88*(1-B92)*(B91*B90*B89*B93),0)</f>
        <v>29446</v>
      </c>
      <c r="C94" s="185">
        <f>ROUNDDOWN(C86*C87*C88*(1-C92)*(C91*C90*C89*C93),0)</f>
        <v>30484</v>
      </c>
      <c r="D94" s="168" t="s">
        <v>84</v>
      </c>
      <c r="E94" s="186" t="s">
        <v>62</v>
      </c>
    </row>
    <row r="95" spans="1:5" ht="12" thickBot="1" x14ac:dyDescent="0.3">
      <c r="A95" s="187"/>
      <c r="B95" s="400">
        <f>B94+C94</f>
        <v>59930</v>
      </c>
      <c r="C95" s="400"/>
      <c r="D95" s="188"/>
      <c r="E95" s="189"/>
    </row>
    <row r="96" spans="1:5" x14ac:dyDescent="0.25">
      <c r="A96" s="7"/>
    </row>
    <row r="97" spans="1:5" x14ac:dyDescent="0.25">
      <c r="A97" s="7"/>
    </row>
    <row r="98" spans="1:5" x14ac:dyDescent="0.25">
      <c r="A98" s="7"/>
    </row>
    <row r="99" spans="1:5" ht="12" thickBot="1" x14ac:dyDescent="0.3">
      <c r="A99" s="7"/>
    </row>
    <row r="100" spans="1:5" x14ac:dyDescent="0.25">
      <c r="A100" s="171" t="s">
        <v>1</v>
      </c>
      <c r="B100" s="149" t="s">
        <v>40</v>
      </c>
      <c r="C100" s="149"/>
      <c r="D100" s="149" t="s">
        <v>3</v>
      </c>
      <c r="E100" s="172" t="s">
        <v>4</v>
      </c>
    </row>
    <row r="101" spans="1:5" x14ac:dyDescent="0.25">
      <c r="A101" s="173"/>
      <c r="B101" s="168" t="str">
        <f>B85</f>
        <v>Market Swine</v>
      </c>
      <c r="C101" s="168" t="str">
        <f>C85</f>
        <v>Breeding Swine</v>
      </c>
      <c r="D101" s="168"/>
      <c r="E101" s="174"/>
    </row>
    <row r="102" spans="1:5" ht="12.5" x14ac:dyDescent="0.3">
      <c r="A102" s="260" t="s">
        <v>212</v>
      </c>
      <c r="B102" s="161">
        <f>B86</f>
        <v>28</v>
      </c>
      <c r="C102" s="161">
        <f>C86</f>
        <v>28</v>
      </c>
      <c r="D102" s="152" t="s">
        <v>245</v>
      </c>
      <c r="E102" s="175" t="str">
        <f>E86</f>
        <v>IPCC AR5</v>
      </c>
    </row>
    <row r="103" spans="1:5" ht="12.5" x14ac:dyDescent="0.3">
      <c r="A103" s="260" t="s">
        <v>213</v>
      </c>
      <c r="B103" s="161">
        <v>6.7000000000000002E-4</v>
      </c>
      <c r="C103" s="161">
        <v>6.7000000000000002E-4</v>
      </c>
      <c r="D103" s="152" t="str">
        <f>D87</f>
        <v>t/m3</v>
      </c>
      <c r="E103" s="176" t="s">
        <v>127</v>
      </c>
    </row>
    <row r="104" spans="1:5" x14ac:dyDescent="0.25">
      <c r="A104" s="261" t="s">
        <v>80</v>
      </c>
      <c r="B104" s="177">
        <v>1</v>
      </c>
      <c r="C104" s="177">
        <v>1</v>
      </c>
      <c r="D104" s="168" t="s">
        <v>98</v>
      </c>
      <c r="E104" s="176" t="s">
        <v>127</v>
      </c>
    </row>
    <row r="105" spans="1:5" ht="12.5" x14ac:dyDescent="0.25">
      <c r="A105" s="253" t="s">
        <v>215</v>
      </c>
      <c r="B105" s="178">
        <f>B89</f>
        <v>258.10714285714289</v>
      </c>
      <c r="C105" s="178">
        <f>C89</f>
        <v>383.25</v>
      </c>
      <c r="D105" s="152" t="str">
        <f>D89</f>
        <v>kg/hd/y</v>
      </c>
      <c r="E105" s="179" t="str">
        <f>E89</f>
        <v>Calculated</v>
      </c>
    </row>
    <row r="106" spans="1:5" ht="12.5" x14ac:dyDescent="0.25">
      <c r="A106" s="253" t="s">
        <v>193</v>
      </c>
      <c r="B106" s="151">
        <f>'Baseline Emission'!B15</f>
        <v>139800</v>
      </c>
      <c r="C106" s="151">
        <f>'Baseline Emission'!C15</f>
        <v>97470</v>
      </c>
      <c r="D106" s="182" t="str">
        <f>D90</f>
        <v>No of heads</v>
      </c>
      <c r="E106" s="179" t="s">
        <v>76</v>
      </c>
    </row>
    <row r="107" spans="1:5" ht="12.5" x14ac:dyDescent="0.25">
      <c r="A107" s="253" t="s">
        <v>220</v>
      </c>
      <c r="B107" s="181">
        <f>'Baseline Emission'!B14</f>
        <v>0.28999999999999998</v>
      </c>
      <c r="C107" s="177">
        <f>'Baseline Emission'!C14</f>
        <v>0.28999999999999998</v>
      </c>
      <c r="D107" s="152" t="s">
        <v>82</v>
      </c>
      <c r="E107" s="176" t="s">
        <v>83</v>
      </c>
    </row>
    <row r="108" spans="1:5" ht="12.5" x14ac:dyDescent="0.25">
      <c r="A108" s="262" t="s">
        <v>221</v>
      </c>
      <c r="B108" s="158">
        <v>0.8</v>
      </c>
      <c r="C108" s="190">
        <f>B108</f>
        <v>0.8</v>
      </c>
      <c r="D108" s="152" t="s">
        <v>98</v>
      </c>
      <c r="E108" s="176" t="s">
        <v>95</v>
      </c>
    </row>
    <row r="109" spans="1:5" ht="12.5" x14ac:dyDescent="0.25">
      <c r="A109" s="262" t="s">
        <v>221</v>
      </c>
      <c r="B109" s="158">
        <v>0.2</v>
      </c>
      <c r="C109" s="190">
        <v>0.2</v>
      </c>
      <c r="D109" s="152" t="s">
        <v>98</v>
      </c>
      <c r="E109" s="176" t="s">
        <v>96</v>
      </c>
    </row>
    <row r="110" spans="1:5" ht="12.5" x14ac:dyDescent="0.25">
      <c r="A110" s="262" t="s">
        <v>218</v>
      </c>
      <c r="B110" s="158">
        <v>1</v>
      </c>
      <c r="C110" s="158">
        <v>1</v>
      </c>
      <c r="D110" s="182" t="s">
        <v>98</v>
      </c>
      <c r="E110" s="176"/>
    </row>
    <row r="111" spans="1:5" ht="12.5" x14ac:dyDescent="0.3">
      <c r="A111" s="263" t="s">
        <v>222</v>
      </c>
      <c r="B111" s="185">
        <f>ROUNDUP(B102*B103*B104*(1-B108)*(1-B109)*B107*B106*B105*B110,0)</f>
        <v>31410</v>
      </c>
      <c r="C111" s="185">
        <f>ROUNDUP(C102*C103*C104*(1-C108)*(1-C109)*C107*C106*C105*C110,0)</f>
        <v>32517</v>
      </c>
      <c r="D111" s="168" t="s">
        <v>223</v>
      </c>
      <c r="E111" s="186" t="s">
        <v>62</v>
      </c>
    </row>
    <row r="112" spans="1:5" ht="12" thickBot="1" x14ac:dyDescent="0.3">
      <c r="A112" s="187"/>
      <c r="B112" s="400">
        <f>B111+C111</f>
        <v>63927</v>
      </c>
      <c r="C112" s="400"/>
      <c r="D112" s="188"/>
      <c r="E112" s="189"/>
    </row>
    <row r="113" spans="1:5" x14ac:dyDescent="0.25">
      <c r="A113" s="7"/>
    </row>
    <row r="114" spans="1:5" x14ac:dyDescent="0.25">
      <c r="D114" s="191"/>
    </row>
    <row r="115" spans="1:5" ht="12.5" x14ac:dyDescent="0.3">
      <c r="A115" s="192" t="s">
        <v>224</v>
      </c>
      <c r="B115" s="193">
        <f>B95</f>
        <v>59930</v>
      </c>
      <c r="C115" s="272" t="s">
        <v>223</v>
      </c>
      <c r="D115" s="195"/>
    </row>
    <row r="116" spans="1:5" ht="12.5" x14ac:dyDescent="0.3">
      <c r="A116" s="192" t="s">
        <v>225</v>
      </c>
      <c r="B116" s="193">
        <f>B112</f>
        <v>63927</v>
      </c>
      <c r="C116" s="272" t="s">
        <v>223</v>
      </c>
      <c r="D116" s="195"/>
    </row>
    <row r="117" spans="1:5" ht="12.5" x14ac:dyDescent="0.3">
      <c r="A117" s="192" t="s">
        <v>226</v>
      </c>
      <c r="B117" s="193">
        <f>B38</f>
        <v>2670.14</v>
      </c>
      <c r="C117" s="272" t="s">
        <v>223</v>
      </c>
      <c r="D117" s="195"/>
      <c r="E117" s="196"/>
    </row>
    <row r="118" spans="1:5" ht="12.5" x14ac:dyDescent="0.3">
      <c r="A118" s="192" t="s">
        <v>227</v>
      </c>
      <c r="B118" s="193">
        <f>B73</f>
        <v>9519.557142857142</v>
      </c>
      <c r="C118" s="272" t="s">
        <v>223</v>
      </c>
    </row>
    <row r="119" spans="1:5" x14ac:dyDescent="0.25">
      <c r="A119" s="5"/>
      <c r="B119" s="197"/>
      <c r="C119" s="194"/>
    </row>
    <row r="121" spans="1:5" ht="12.5" x14ac:dyDescent="0.25">
      <c r="A121" s="7" t="s">
        <v>85</v>
      </c>
      <c r="B121" s="198">
        <f>ROUNDUP(B118-B117+B116-B115,0)</f>
        <v>10847</v>
      </c>
      <c r="C121" s="273" t="s">
        <v>223</v>
      </c>
    </row>
    <row r="122" spans="1:5" x14ac:dyDescent="0.25">
      <c r="A122" s="7"/>
      <c r="B122" s="200"/>
      <c r="C122" s="199"/>
    </row>
    <row r="123" spans="1:5" x14ac:dyDescent="0.25">
      <c r="A123" s="7"/>
      <c r="B123" s="200"/>
    </row>
    <row r="124" spans="1:5" x14ac:dyDescent="0.25">
      <c r="A124" s="7"/>
      <c r="B124" s="200"/>
    </row>
    <row r="125" spans="1:5" x14ac:dyDescent="0.25">
      <c r="A125" s="7"/>
      <c r="B125" s="200"/>
    </row>
    <row r="126" spans="1:5" x14ac:dyDescent="0.25">
      <c r="A126" s="7"/>
      <c r="B126" s="200"/>
    </row>
    <row r="127" spans="1:5" x14ac:dyDescent="0.25">
      <c r="A127" s="7"/>
      <c r="B127" s="201"/>
    </row>
    <row r="128" spans="1:5" x14ac:dyDescent="0.25">
      <c r="A128" s="7"/>
      <c r="B128" s="200"/>
      <c r="C128" s="199"/>
    </row>
    <row r="129" spans="1:6" x14ac:dyDescent="0.25">
      <c r="E129" s="202"/>
      <c r="F129" s="202"/>
    </row>
    <row r="131" spans="1:6" x14ac:dyDescent="0.25">
      <c r="C131" s="203"/>
    </row>
    <row r="136" spans="1:6" x14ac:dyDescent="0.25">
      <c r="A136" s="204" t="s">
        <v>166</v>
      </c>
      <c r="B136" s="205"/>
      <c r="C136" s="205"/>
      <c r="D136" s="205"/>
      <c r="E136" s="205"/>
    </row>
    <row r="137" spans="1:6" x14ac:dyDescent="0.25">
      <c r="A137" s="206" t="s">
        <v>1</v>
      </c>
      <c r="B137" s="206" t="s">
        <v>40</v>
      </c>
      <c r="C137" s="206"/>
      <c r="D137" s="206" t="s">
        <v>3</v>
      </c>
      <c r="E137" s="206" t="s">
        <v>4</v>
      </c>
    </row>
    <row r="138" spans="1:6" x14ac:dyDescent="0.25">
      <c r="A138" s="206"/>
      <c r="B138" s="206" t="s">
        <v>5</v>
      </c>
      <c r="C138" s="206" t="s">
        <v>6</v>
      </c>
      <c r="D138" s="206"/>
      <c r="E138" s="206"/>
    </row>
    <row r="139" spans="1:6" x14ac:dyDescent="0.25">
      <c r="A139" s="207" t="s">
        <v>167</v>
      </c>
      <c r="B139" s="208">
        <v>0.01</v>
      </c>
      <c r="C139" s="209">
        <v>0.02</v>
      </c>
      <c r="D139" s="210" t="s">
        <v>81</v>
      </c>
      <c r="E139" s="211" t="s">
        <v>83</v>
      </c>
    </row>
    <row r="140" spans="1:6" ht="12.5" x14ac:dyDescent="0.25">
      <c r="A140" s="207" t="s">
        <v>168</v>
      </c>
      <c r="B140" s="212">
        <v>640000</v>
      </c>
      <c r="C140" s="212">
        <v>44000</v>
      </c>
      <c r="D140" s="210" t="s">
        <v>61</v>
      </c>
      <c r="E140" s="205" t="s">
        <v>76</v>
      </c>
    </row>
    <row r="141" spans="1:6" x14ac:dyDescent="0.25">
      <c r="A141" s="213" t="s">
        <v>80</v>
      </c>
      <c r="B141" s="214">
        <v>1</v>
      </c>
      <c r="C141" s="212">
        <v>1</v>
      </c>
      <c r="D141" s="210"/>
      <c r="E141" s="205" t="s">
        <v>83</v>
      </c>
    </row>
    <row r="142" spans="1:6" x14ac:dyDescent="0.25">
      <c r="A142" s="213" t="s">
        <v>169</v>
      </c>
      <c r="B142" s="215">
        <v>0.36</v>
      </c>
      <c r="C142" s="209">
        <v>0.39</v>
      </c>
      <c r="D142" s="210" t="s">
        <v>82</v>
      </c>
      <c r="E142" s="205" t="s">
        <v>83</v>
      </c>
    </row>
    <row r="143" spans="1:6" x14ac:dyDescent="0.25">
      <c r="A143" s="213" t="s">
        <v>86</v>
      </c>
      <c r="B143" s="216">
        <v>0.7</v>
      </c>
      <c r="C143" s="216">
        <v>0.7</v>
      </c>
      <c r="D143" s="210"/>
      <c r="E143" s="205" t="s">
        <v>87</v>
      </c>
    </row>
    <row r="144" spans="1:6" x14ac:dyDescent="0.25">
      <c r="A144" s="217" t="s">
        <v>88</v>
      </c>
      <c r="B144" s="218">
        <f>21*0.00067*365*B139*B140*B142*(1-B143)</f>
        <v>3549.692160000001</v>
      </c>
      <c r="C144" s="218">
        <f>21*0.00067*365*C139*C140*C142*(1-C143)</f>
        <v>528.75622800000019</v>
      </c>
      <c r="D144" s="204"/>
      <c r="E144" s="204" t="s">
        <v>62</v>
      </c>
    </row>
    <row r="145" spans="1:5" x14ac:dyDescent="0.25">
      <c r="A145" s="204" t="s">
        <v>89</v>
      </c>
      <c r="B145" s="219">
        <f>ROUND(B144+C144,0)</f>
        <v>4078</v>
      </c>
      <c r="C145" s="204"/>
      <c r="D145" s="204"/>
      <c r="E145" s="204"/>
    </row>
  </sheetData>
  <customSheetViews>
    <customSheetView guid="{2C071143-29D6-4036-A926-BF7E54293313}" hiddenRows="1" showRuler="0" topLeftCell="A123">
      <selection activeCell="B81" sqref="B81"/>
      <pageMargins left="0.75" right="0.75" top="1" bottom="1" header="0.5" footer="0.5"/>
      <pageSetup paperSize="9" orientation="portrait" horizontalDpi="300" verticalDpi="300"/>
      <headerFooter alignWithMargins="0"/>
    </customSheetView>
  </customSheetViews>
  <mergeCells count="10">
    <mergeCell ref="B73:C73"/>
    <mergeCell ref="B95:C95"/>
    <mergeCell ref="B112:C112"/>
    <mergeCell ref="B33:C33"/>
    <mergeCell ref="B35:C35"/>
    <mergeCell ref="B37:C37"/>
    <mergeCell ref="B68:C68"/>
    <mergeCell ref="B70:C70"/>
    <mergeCell ref="B72:C72"/>
    <mergeCell ref="B38:C38"/>
  </mergeCells>
  <phoneticPr fontId="5" type="noConversion"/>
  <pageMargins left="0.75" right="0.75" top="1" bottom="1" header="0.5" footer="0.5"/>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9"/>
  <sheetViews>
    <sheetView topLeftCell="B1" zoomScale="120" zoomScaleNormal="120" workbookViewId="0">
      <selection activeCell="E23" sqref="E23"/>
    </sheetView>
  </sheetViews>
  <sheetFormatPr defaultColWidth="11.453125" defaultRowHeight="11.5" x14ac:dyDescent="0.25"/>
  <cols>
    <col min="1" max="1" width="11.453125" style="3"/>
    <col min="2" max="2" width="33.54296875" style="3" customWidth="1"/>
    <col min="3" max="3" width="22.81640625" style="3" customWidth="1"/>
    <col min="4" max="4" width="23.1796875" style="3" customWidth="1"/>
    <col min="5" max="5" width="23" style="3" customWidth="1"/>
    <col min="6" max="6" width="22.81640625" style="3" customWidth="1"/>
    <col min="7" max="7" width="11.7265625" style="3" bestFit="1" customWidth="1"/>
    <col min="8" max="16384" width="11.453125" style="3"/>
  </cols>
  <sheetData>
    <row r="2" spans="2:8" ht="12" thickBot="1" x14ac:dyDescent="0.3"/>
    <row r="3" spans="2:8" x14ac:dyDescent="0.25">
      <c r="B3" s="403" t="s">
        <v>90</v>
      </c>
      <c r="C3" s="220" t="s">
        <v>91</v>
      </c>
      <c r="D3" s="220" t="s">
        <v>91</v>
      </c>
      <c r="E3" s="220" t="s">
        <v>91</v>
      </c>
      <c r="F3" s="221" t="s">
        <v>91</v>
      </c>
    </row>
    <row r="4" spans="2:8" ht="27" customHeight="1" x14ac:dyDescent="0.25">
      <c r="B4" s="404"/>
      <c r="C4" s="222" t="s">
        <v>92</v>
      </c>
      <c r="D4" s="223" t="s">
        <v>93</v>
      </c>
      <c r="E4" s="223" t="s">
        <v>234</v>
      </c>
      <c r="F4" s="224" t="s">
        <v>94</v>
      </c>
    </row>
    <row r="5" spans="2:8" ht="12.5" x14ac:dyDescent="0.3">
      <c r="B5" s="404"/>
      <c r="C5" s="223" t="s">
        <v>170</v>
      </c>
      <c r="D5" s="223" t="s">
        <v>170</v>
      </c>
      <c r="E5" s="223" t="s">
        <v>170</v>
      </c>
      <c r="F5" s="224" t="s">
        <v>170</v>
      </c>
    </row>
    <row r="6" spans="2:8" x14ac:dyDescent="0.25">
      <c r="B6" s="225" t="s">
        <v>228</v>
      </c>
      <c r="C6" s="226">
        <f>'Baseline Emission'!E68/365*12</f>
        <v>9754.1589041095885</v>
      </c>
      <c r="D6" s="227">
        <f>'PROJECT EMISSION'!B121/365*12</f>
        <v>1542.8712328767124</v>
      </c>
      <c r="E6" s="226">
        <f>LEAKAGE!B121/365*12</f>
        <v>356.61369863013698</v>
      </c>
      <c r="F6" s="228">
        <f t="shared" ref="F6:F11" si="0">C6-D6-E6</f>
        <v>7854.673972602739</v>
      </c>
      <c r="G6" s="229"/>
    </row>
    <row r="7" spans="2:8" x14ac:dyDescent="0.25">
      <c r="B7" s="225" t="s">
        <v>229</v>
      </c>
      <c r="C7" s="230">
        <f>'Baseline Emission'!$E$68</f>
        <v>296689</v>
      </c>
      <c r="D7" s="227">
        <f>'PROJECT EMISSION'!$B$121</f>
        <v>46929</v>
      </c>
      <c r="E7" s="226">
        <f>LEAKAGE!$B$121</f>
        <v>10847</v>
      </c>
      <c r="F7" s="228">
        <f t="shared" si="0"/>
        <v>238913</v>
      </c>
    </row>
    <row r="8" spans="2:8" x14ac:dyDescent="0.25">
      <c r="B8" s="225" t="s">
        <v>230</v>
      </c>
      <c r="C8" s="230">
        <f>'Baseline Emission'!$E$68</f>
        <v>296689</v>
      </c>
      <c r="D8" s="227">
        <f>'PROJECT EMISSION'!$B$121</f>
        <v>46929</v>
      </c>
      <c r="E8" s="226">
        <f>LEAKAGE!$B$121</f>
        <v>10847</v>
      </c>
      <c r="F8" s="228">
        <f t="shared" si="0"/>
        <v>238913</v>
      </c>
    </row>
    <row r="9" spans="2:8" x14ac:dyDescent="0.25">
      <c r="B9" s="225" t="s">
        <v>231</v>
      </c>
      <c r="C9" s="230">
        <f>'Baseline Emission'!$E$68</f>
        <v>296689</v>
      </c>
      <c r="D9" s="227">
        <f>'PROJECT EMISSION'!$B$121</f>
        <v>46929</v>
      </c>
      <c r="E9" s="226">
        <f>LEAKAGE!$B$121</f>
        <v>10847</v>
      </c>
      <c r="F9" s="228">
        <f t="shared" si="0"/>
        <v>238913</v>
      </c>
    </row>
    <row r="10" spans="2:8" x14ac:dyDescent="0.25">
      <c r="B10" s="225" t="s">
        <v>232</v>
      </c>
      <c r="C10" s="230">
        <f>'Baseline Emission'!$E$68</f>
        <v>296689</v>
      </c>
      <c r="D10" s="227">
        <f>'PROJECT EMISSION'!$B$121</f>
        <v>46929</v>
      </c>
      <c r="E10" s="226">
        <f>LEAKAGE!$B$121</f>
        <v>10847</v>
      </c>
      <c r="F10" s="228">
        <f t="shared" si="0"/>
        <v>238913</v>
      </c>
    </row>
    <row r="11" spans="2:8" ht="12" thickBot="1" x14ac:dyDescent="0.3">
      <c r="B11" s="231" t="s">
        <v>233</v>
      </c>
      <c r="C11" s="230">
        <f>'Baseline Emission'!$E$68/365*353</f>
        <v>286934.84109589038</v>
      </c>
      <c r="D11" s="227">
        <f>'PROJECT EMISSION'!$B$121/365*353</f>
        <v>45386.128767123286</v>
      </c>
      <c r="E11" s="226">
        <f>LEAKAGE!$B$121/365*353</f>
        <v>10490.386301369863</v>
      </c>
      <c r="F11" s="228">
        <f t="shared" si="0"/>
        <v>231058.32602739724</v>
      </c>
    </row>
    <row r="12" spans="2:8" ht="12.5" x14ac:dyDescent="0.3">
      <c r="B12" s="232" t="s">
        <v>171</v>
      </c>
      <c r="C12" s="233">
        <f>SUM(C6:C11)</f>
        <v>1483445</v>
      </c>
      <c r="D12" s="233">
        <f>SUM(D6:D11)</f>
        <v>234645</v>
      </c>
      <c r="E12" s="233">
        <f>SUM(E6:E11)</f>
        <v>54235</v>
      </c>
      <c r="F12" s="234">
        <f>SUM(F6:F11)</f>
        <v>1194565</v>
      </c>
    </row>
    <row r="13" spans="2:8" ht="12" thickBot="1" x14ac:dyDescent="0.3">
      <c r="B13" s="235" t="s">
        <v>129</v>
      </c>
      <c r="C13" s="236">
        <f>C12/5</f>
        <v>296689</v>
      </c>
      <c r="D13" s="236">
        <f>D12/5</f>
        <v>46929</v>
      </c>
      <c r="E13" s="236">
        <f>E12/5</f>
        <v>10847</v>
      </c>
      <c r="F13" s="274">
        <f>F12/5</f>
        <v>238913</v>
      </c>
      <c r="G13" s="229"/>
      <c r="H13" s="237"/>
    </row>
    <row r="14" spans="2:8" x14ac:dyDescent="0.25">
      <c r="C14" s="238"/>
      <c r="D14" s="238"/>
      <c r="E14" s="238"/>
      <c r="F14" s="238"/>
    </row>
    <row r="15" spans="2:8" x14ac:dyDescent="0.25">
      <c r="F15" s="229"/>
    </row>
    <row r="16" spans="2:8" x14ac:dyDescent="0.25">
      <c r="B16" s="264"/>
      <c r="F16" s="252"/>
    </row>
    <row r="17" spans="2:2" x14ac:dyDescent="0.25">
      <c r="B17" s="264"/>
    </row>
    <row r="18" spans="2:2" x14ac:dyDescent="0.25">
      <c r="B18" s="264"/>
    </row>
    <row r="19" spans="2:2" x14ac:dyDescent="0.25">
      <c r="B19" s="264"/>
    </row>
  </sheetData>
  <customSheetViews>
    <customSheetView guid="{2C071143-29D6-4036-A926-BF7E54293313}" showRuler="0" topLeftCell="A11">
      <selection activeCell="B35" sqref="B35"/>
      <pageMargins left="0.75" right="0.75" top="1" bottom="1" header="0.4921259845" footer="0.4921259845"/>
      <pageSetup paperSize="9" orientation="portrait" horizontalDpi="300" verticalDpi="0" copies="0"/>
      <headerFooter alignWithMargins="0"/>
    </customSheetView>
  </customSheetViews>
  <mergeCells count="1">
    <mergeCell ref="B3:B5"/>
  </mergeCells>
  <phoneticPr fontId="5" type="noConversion"/>
  <pageMargins left="0.75" right="0.75" top="1" bottom="1" header="0.4921259845" footer="0.492125984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1</vt:i4>
      </vt:variant>
    </vt:vector>
  </HeadingPairs>
  <TitlesOfParts>
    <vt:vector size="7" baseType="lpstr">
      <vt:lpstr>Cover Page</vt:lpstr>
      <vt:lpstr>Result of SDGs</vt:lpstr>
      <vt:lpstr>Baseline Emission</vt:lpstr>
      <vt:lpstr>PROJECT EMISSION</vt:lpstr>
      <vt:lpstr>LEAKAGE</vt:lpstr>
      <vt:lpstr>EMISSION REDUCTIONS</vt:lpstr>
      <vt:lpstr>'EMISSION REDUCTIONS'!Print_Area</vt:lpstr>
    </vt:vector>
  </TitlesOfParts>
  <Manager>ywert.visser@carbonvietnam.com</Manager>
  <Company>INTRACO Co., Ltd Carbon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dc:creator>
  <cp:lastModifiedBy>Joy Sun</cp:lastModifiedBy>
  <cp:lastPrinted>2011-01-07T02:59:39Z</cp:lastPrinted>
  <dcterms:created xsi:type="dcterms:W3CDTF">2006-12-11T01:48:55Z</dcterms:created>
  <dcterms:modified xsi:type="dcterms:W3CDTF">2022-06-30T07:58:30Z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Ywert Visser</vt:lpwstr>
  </property>
  <property fmtid="{D5CDD505-2E9C-101B-9397-08002B2CF9AE}" pid="3" name="ICV">
    <vt:lpwstr>7227DCFAC30C4C368C58515CA9A5666A</vt:lpwstr>
  </property>
  <property fmtid="{D5CDD505-2E9C-101B-9397-08002B2CF9AE}" pid="4" name="KSOProductBuildVer">
    <vt:lpwstr>2052-11.1.0.10578</vt:lpwstr>
  </property>
</Properties>
</file>