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D:\Project\畜禽粪便项目\双胞胎安徽\GS11338-Shuangbaotai Anhui\3. VVB Document\e. Process Files\20221017 To CTI\"/>
    </mc:Choice>
  </mc:AlternateContent>
  <xr:revisionPtr revIDLastSave="0" documentId="13_ncr:1_{FAC75D1A-3C09-49D9-8FD1-BE81CF932DB2}" xr6:coauthVersionLast="47" xr6:coauthVersionMax="47" xr10:uidLastSave="{00000000-0000-0000-0000-000000000000}"/>
  <bookViews>
    <workbookView xWindow="-24720" yWindow="2604" windowWidth="19176" windowHeight="10056" tabRatio="720" xr2:uid="{00000000-000D-0000-FFFF-FFFF00000000}"/>
  </bookViews>
  <sheets>
    <sheet name="Cover page" sheetId="6" r:id="rId1"/>
    <sheet name="SDG Outcomes" sheetId="20" r:id="rId2"/>
    <sheet name="Baseline emission" sheetId="21" r:id="rId3"/>
    <sheet name="Project emission" sheetId="23" r:id="rId4"/>
    <sheet name="Leakage" sheetId="24" r:id="rId5"/>
    <sheet name="Emission Reduction" sheetId="25" r:id="rId6"/>
    <sheet name="monitoring results" sheetId="8" r:id="rId7"/>
    <sheet name="Reliability Check" sheetId="43" r:id="rId8"/>
    <sheet name="2020.12" sheetId="44" r:id="rId9"/>
    <sheet name="2021.01" sheetId="45" r:id="rId10"/>
    <sheet name="2021.02" sheetId="49" r:id="rId11"/>
    <sheet name="2021.03" sheetId="50" r:id="rId12"/>
    <sheet name="2021.04" sheetId="51" r:id="rId13"/>
    <sheet name="2021.05" sheetId="52" r:id="rId14"/>
    <sheet name="2021.06" sheetId="53" r:id="rId15"/>
    <sheet name="2021.07" sheetId="54" r:id="rId16"/>
    <sheet name="2021.08" sheetId="55" r:id="rId17"/>
    <sheet name="2021.09" sheetId="56" r:id="rId18"/>
    <sheet name="2021.10" sheetId="57" r:id="rId19"/>
    <sheet name="2021.11" sheetId="58" r:id="rId20"/>
    <sheet name="2021.12" sheetId="59" r:id="rId21"/>
    <sheet name="2022.01" sheetId="60" r:id="rId22"/>
    <sheet name="2022.02" sheetId="61" r:id="rId23"/>
    <sheet name="2022.03" sheetId="62" r:id="rId24"/>
    <sheet name="2022.04" sheetId="63" r:id="rId25"/>
    <sheet name="2022.05" sheetId="64" r:id="rId26"/>
    <sheet name="2022.06" sheetId="65" r:id="rId27"/>
  </sheets>
  <externalReferences>
    <externalReference r:id="rId28"/>
    <externalReference r:id="rId29"/>
  </externalReferences>
  <definedNames>
    <definedName name="BE_" localSheetId="7">[1]ER!$B$2</definedName>
    <definedName name="BE_">[2]ER!$B$2</definedName>
    <definedName name="ER" localSheetId="7">[1]ER!$B$1</definedName>
    <definedName name="ER">[2]ER!$B$1</definedName>
    <definedName name="LE" localSheetId="7">[1]ER!$B$17</definedName>
    <definedName name="LE">[2]ER!$B$17</definedName>
    <definedName name="PE" localSheetId="7">[1]ER!$B$8</definedName>
    <definedName name="PE">[2]ER!$B$8</definedName>
  </definedNames>
  <calcPr calcId="191029"/>
  <customWorkbookViews>
    <customWorkbookView name="HIEU - Personal View" guid="{2C071143-29D6-4036-A926-BF7E54293313}" mergeInterval="0" personalView="1" maximized="1" windowWidth="1020" windowHeight="57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20" l="1"/>
  <c r="A42" i="43"/>
  <c r="B100" i="23" l="1"/>
  <c r="B101" i="23"/>
  <c r="B102" i="23"/>
  <c r="B103" i="23"/>
  <c r="B104" i="23"/>
  <c r="D72" i="8"/>
  <c r="CI22" i="43"/>
  <c r="CI21" i="43"/>
  <c r="CI20" i="43"/>
  <c r="CI19" i="43"/>
  <c r="CI18" i="43"/>
  <c r="CI17" i="43"/>
  <c r="CI16" i="43"/>
  <c r="CI15" i="43"/>
  <c r="CI14" i="43"/>
  <c r="CI13" i="43"/>
  <c r="CI12" i="43"/>
  <c r="CI11" i="43"/>
  <c r="CI10" i="43"/>
  <c r="CI9" i="43"/>
  <c r="CI8" i="43"/>
  <c r="CI7" i="43"/>
  <c r="CI6" i="43"/>
  <c r="CI5" i="43"/>
  <c r="CI4" i="43"/>
  <c r="CH4" i="43"/>
  <c r="CH5" i="43" s="1"/>
  <c r="CH6" i="43" s="1"/>
  <c r="CH7" i="43" s="1"/>
  <c r="CH8" i="43" s="1"/>
  <c r="CH9" i="43" s="1"/>
  <c r="CH10" i="43" s="1"/>
  <c r="CH11" i="43" s="1"/>
  <c r="CH12" i="43" s="1"/>
  <c r="CH13" i="43" s="1"/>
  <c r="CH14" i="43" s="1"/>
  <c r="CH15" i="43" s="1"/>
  <c r="CH16" i="43" s="1"/>
  <c r="CH17" i="43" s="1"/>
  <c r="CH18" i="43" s="1"/>
  <c r="CH19" i="43" s="1"/>
  <c r="CG22" i="43"/>
  <c r="CG21" i="43"/>
  <c r="CG20" i="43"/>
  <c r="CG19" i="43"/>
  <c r="CG18" i="43"/>
  <c r="CG17" i="43"/>
  <c r="CG16" i="43"/>
  <c r="CG15" i="43"/>
  <c r="CG14" i="43"/>
  <c r="CG13" i="43"/>
  <c r="CG12" i="43"/>
  <c r="CG11" i="43"/>
  <c r="CG10" i="43"/>
  <c r="CG9" i="43"/>
  <c r="CG8" i="43"/>
  <c r="CG7" i="43"/>
  <c r="CG6" i="43"/>
  <c r="CG5" i="43"/>
  <c r="CG4" i="43"/>
  <c r="CF22" i="43"/>
  <c r="CF21" i="43"/>
  <c r="CF20" i="43"/>
  <c r="CF19" i="43"/>
  <c r="CF18" i="43"/>
  <c r="CF17" i="43"/>
  <c r="CF16" i="43"/>
  <c r="CF15" i="43"/>
  <c r="CF14" i="43"/>
  <c r="CF13" i="43"/>
  <c r="CF12" i="43"/>
  <c r="CF11" i="43"/>
  <c r="CF10" i="43"/>
  <c r="CF9" i="43"/>
  <c r="CF8" i="43"/>
  <c r="CF7" i="43"/>
  <c r="CF6" i="43"/>
  <c r="CF5" i="43"/>
  <c r="CF4" i="43"/>
  <c r="BZ22" i="43"/>
  <c r="BZ21" i="43"/>
  <c r="BZ20" i="43"/>
  <c r="BZ19" i="43"/>
  <c r="BZ18" i="43"/>
  <c r="BZ17" i="43"/>
  <c r="BZ16" i="43"/>
  <c r="BZ15" i="43"/>
  <c r="BZ14" i="43"/>
  <c r="BZ13" i="43"/>
  <c r="BZ12" i="43"/>
  <c r="BZ11" i="43"/>
  <c r="BZ10" i="43"/>
  <c r="BZ9" i="43"/>
  <c r="BZ8" i="43"/>
  <c r="BZ7" i="43"/>
  <c r="BZ6" i="43"/>
  <c r="BZ5" i="43"/>
  <c r="BZ4" i="43"/>
  <c r="BY4" i="43"/>
  <c r="BY5" i="43" s="1"/>
  <c r="BY6" i="43" s="1"/>
  <c r="BY7" i="43" s="1"/>
  <c r="BY8" i="43" s="1"/>
  <c r="BY9" i="43" s="1"/>
  <c r="BY10" i="43" s="1"/>
  <c r="BY11" i="43" s="1"/>
  <c r="BY12" i="43" s="1"/>
  <c r="BY13" i="43" s="1"/>
  <c r="BY14" i="43" s="1"/>
  <c r="BY15" i="43" s="1"/>
  <c r="BY16" i="43" s="1"/>
  <c r="BY17" i="43" s="1"/>
  <c r="BY18" i="43" s="1"/>
  <c r="BY19" i="43" s="1"/>
  <c r="BY20" i="43" s="1"/>
  <c r="BY21" i="43" s="1"/>
  <c r="BY22" i="43" s="1"/>
  <c r="BX22" i="43"/>
  <c r="BX21" i="43"/>
  <c r="BX20" i="43"/>
  <c r="BX19" i="43"/>
  <c r="BX18" i="43"/>
  <c r="BX17" i="43"/>
  <c r="BX16" i="43"/>
  <c r="BX15" i="43"/>
  <c r="BX14" i="43"/>
  <c r="BX13" i="43"/>
  <c r="BX12" i="43"/>
  <c r="BX11" i="43"/>
  <c r="BX10" i="43"/>
  <c r="BX9" i="43"/>
  <c r="BX8" i="43"/>
  <c r="BX7" i="43"/>
  <c r="BX6" i="43"/>
  <c r="BX5" i="43"/>
  <c r="BX4" i="43"/>
  <c r="BW22" i="43"/>
  <c r="BW21" i="43"/>
  <c r="BW20" i="43"/>
  <c r="BW19" i="43"/>
  <c r="BW18" i="43"/>
  <c r="BW17" i="43"/>
  <c r="BW16" i="43"/>
  <c r="BW15" i="43"/>
  <c r="BW14" i="43"/>
  <c r="BW13" i="43"/>
  <c r="BW12" i="43"/>
  <c r="BW11" i="43"/>
  <c r="BW10" i="43"/>
  <c r="BW9" i="43"/>
  <c r="BW8" i="43"/>
  <c r="BW7" i="43"/>
  <c r="BW6" i="43"/>
  <c r="BW5" i="43"/>
  <c r="BW4" i="43"/>
  <c r="BQ22" i="43"/>
  <c r="BQ21" i="43"/>
  <c r="BQ20" i="43"/>
  <c r="BQ19" i="43"/>
  <c r="BQ18" i="43"/>
  <c r="BQ17" i="43"/>
  <c r="BQ16" i="43"/>
  <c r="BQ15" i="43"/>
  <c r="BQ14" i="43"/>
  <c r="BQ13" i="43"/>
  <c r="BQ12" i="43"/>
  <c r="BQ11" i="43"/>
  <c r="BQ10" i="43"/>
  <c r="BQ9" i="43"/>
  <c r="BQ8" i="43"/>
  <c r="BQ7" i="43"/>
  <c r="BQ6" i="43"/>
  <c r="BQ5" i="43"/>
  <c r="BQ4" i="43"/>
  <c r="BP4" i="43"/>
  <c r="BP5" i="43" s="1"/>
  <c r="BP6" i="43" s="1"/>
  <c r="BP7" i="43" s="1"/>
  <c r="BP8" i="43" s="1"/>
  <c r="BP9" i="43" s="1"/>
  <c r="BP10" i="43" s="1"/>
  <c r="BP11" i="43" s="1"/>
  <c r="BP12" i="43" s="1"/>
  <c r="BP13" i="43" s="1"/>
  <c r="BP14" i="43" s="1"/>
  <c r="BP15" i="43" s="1"/>
  <c r="BP16" i="43" s="1"/>
  <c r="BP17" i="43" s="1"/>
  <c r="BP18" i="43" s="1"/>
  <c r="BP19" i="43" s="1"/>
  <c r="BO22" i="43"/>
  <c r="BO21" i="43"/>
  <c r="BO20" i="43"/>
  <c r="BO19" i="43"/>
  <c r="BO18" i="43"/>
  <c r="BO17" i="43"/>
  <c r="BO16" i="43"/>
  <c r="BO15" i="43"/>
  <c r="BO14" i="43"/>
  <c r="BO13" i="43"/>
  <c r="BO12" i="43"/>
  <c r="BO11" i="43"/>
  <c r="BO10" i="43"/>
  <c r="BO9" i="43"/>
  <c r="BO8" i="43"/>
  <c r="BO7" i="43"/>
  <c r="BO6" i="43"/>
  <c r="BO5" i="43"/>
  <c r="BO4" i="43"/>
  <c r="BN22" i="43"/>
  <c r="BN21" i="43"/>
  <c r="BN20" i="43"/>
  <c r="BN19" i="43"/>
  <c r="BN18" i="43"/>
  <c r="BN17" i="43"/>
  <c r="BN16" i="43"/>
  <c r="BN15" i="43"/>
  <c r="BN14" i="43"/>
  <c r="BN13" i="43"/>
  <c r="BN12" i="43"/>
  <c r="BN11" i="43"/>
  <c r="BN10" i="43"/>
  <c r="BN9" i="43"/>
  <c r="BN8" i="43"/>
  <c r="BN7" i="43"/>
  <c r="BN6" i="43"/>
  <c r="BN5" i="43"/>
  <c r="BN4" i="43"/>
  <c r="BH22" i="43"/>
  <c r="BH21" i="43"/>
  <c r="BH20" i="43"/>
  <c r="BH19" i="43"/>
  <c r="BH18" i="43"/>
  <c r="BH17" i="43"/>
  <c r="BH16" i="43"/>
  <c r="BH15" i="43"/>
  <c r="BH14" i="43"/>
  <c r="BH13" i="43"/>
  <c r="BH12" i="43"/>
  <c r="BH11" i="43"/>
  <c r="BH10" i="43"/>
  <c r="BH9" i="43"/>
  <c r="BH8" i="43"/>
  <c r="BH7" i="43"/>
  <c r="BH6" i="43"/>
  <c r="BH5" i="43"/>
  <c r="BH4" i="43"/>
  <c r="BG4" i="43"/>
  <c r="BG5" i="43" s="1"/>
  <c r="BG6" i="43" s="1"/>
  <c r="BG7" i="43" s="1"/>
  <c r="BG8" i="43" s="1"/>
  <c r="BG9" i="43" s="1"/>
  <c r="BG10" i="43" s="1"/>
  <c r="BG11" i="43" s="1"/>
  <c r="BG12" i="43" s="1"/>
  <c r="BG13" i="43" s="1"/>
  <c r="BG14" i="43" s="1"/>
  <c r="BG15" i="43" s="1"/>
  <c r="BG16" i="43" s="1"/>
  <c r="BG17" i="43" s="1"/>
  <c r="BG18" i="43" s="1"/>
  <c r="BG19" i="43" s="1"/>
  <c r="BF22" i="43"/>
  <c r="BF21" i="43"/>
  <c r="BF20" i="43"/>
  <c r="BF19" i="43"/>
  <c r="BF18" i="43"/>
  <c r="BF17" i="43"/>
  <c r="BF16" i="43"/>
  <c r="BF15" i="43"/>
  <c r="BF14" i="43"/>
  <c r="BF13" i="43"/>
  <c r="BF12" i="43"/>
  <c r="BF11" i="43"/>
  <c r="BF10" i="43"/>
  <c r="BF9" i="43"/>
  <c r="BF8" i="43"/>
  <c r="BF7" i="43"/>
  <c r="BF6" i="43"/>
  <c r="BF5" i="43"/>
  <c r="BF4" i="43"/>
  <c r="BE22" i="43"/>
  <c r="BE21" i="43"/>
  <c r="BE20" i="43"/>
  <c r="BE19" i="43"/>
  <c r="BE18" i="43"/>
  <c r="BE17" i="43"/>
  <c r="BE16" i="43"/>
  <c r="BE15" i="43"/>
  <c r="BE14" i="43"/>
  <c r="BE13" i="43"/>
  <c r="BE12" i="43"/>
  <c r="BE11" i="43"/>
  <c r="BE10" i="43"/>
  <c r="BE9" i="43"/>
  <c r="BE8" i="43"/>
  <c r="BE7" i="43"/>
  <c r="BE6" i="43"/>
  <c r="BE5" i="43"/>
  <c r="BE4" i="43"/>
  <c r="AY22" i="43"/>
  <c r="AY21" i="43"/>
  <c r="AY20" i="43"/>
  <c r="AY19" i="43"/>
  <c r="AY18" i="43"/>
  <c r="AY17" i="43"/>
  <c r="AY16" i="43"/>
  <c r="AY15" i="43"/>
  <c r="AY14" i="43"/>
  <c r="AY13" i="43"/>
  <c r="AY12" i="43"/>
  <c r="AY11" i="43"/>
  <c r="AY10" i="43"/>
  <c r="AY9" i="43"/>
  <c r="AY8" i="43"/>
  <c r="AY7" i="43"/>
  <c r="AY6" i="43"/>
  <c r="AY5" i="43"/>
  <c r="AY4" i="43"/>
  <c r="AX4" i="43"/>
  <c r="AX5" i="43" s="1"/>
  <c r="AX6" i="43" s="1"/>
  <c r="AX7" i="43" s="1"/>
  <c r="AX8" i="43" s="1"/>
  <c r="AX9" i="43" s="1"/>
  <c r="AX10" i="43" s="1"/>
  <c r="AX11" i="43" s="1"/>
  <c r="AX12" i="43" s="1"/>
  <c r="AX13" i="43" s="1"/>
  <c r="AX14" i="43" s="1"/>
  <c r="AX15" i="43" s="1"/>
  <c r="AX16" i="43" s="1"/>
  <c r="AX17" i="43" s="1"/>
  <c r="AX18" i="43" s="1"/>
  <c r="AX19" i="43" s="1"/>
  <c r="AW22" i="43"/>
  <c r="AW21" i="43"/>
  <c r="AW20" i="43"/>
  <c r="AW19" i="43"/>
  <c r="AW18" i="43"/>
  <c r="AW17" i="43"/>
  <c r="AW16" i="43"/>
  <c r="AW15" i="43"/>
  <c r="AW14" i="43"/>
  <c r="AW13" i="43"/>
  <c r="AW12" i="43"/>
  <c r="AW11" i="43"/>
  <c r="AW10" i="43"/>
  <c r="AW9" i="43"/>
  <c r="AW8" i="43"/>
  <c r="AW7" i="43"/>
  <c r="AW6" i="43"/>
  <c r="AW5" i="43"/>
  <c r="AW4" i="43"/>
  <c r="AV22" i="43"/>
  <c r="AV21" i="43"/>
  <c r="AV20" i="43"/>
  <c r="AV19" i="43"/>
  <c r="AV18" i="43"/>
  <c r="AV17" i="43"/>
  <c r="AV16" i="43"/>
  <c r="AV15" i="43"/>
  <c r="AV14" i="43"/>
  <c r="AV13" i="43"/>
  <c r="AV12" i="43"/>
  <c r="AV11" i="43"/>
  <c r="AV10" i="43"/>
  <c r="AV9" i="43"/>
  <c r="AV8" i="43"/>
  <c r="AV7" i="43"/>
  <c r="AV6" i="43"/>
  <c r="AV5" i="43"/>
  <c r="AV4" i="43"/>
  <c r="AP22" i="43"/>
  <c r="AP21" i="43"/>
  <c r="AP20" i="43"/>
  <c r="AP19" i="43"/>
  <c r="AP18" i="43"/>
  <c r="AP17" i="43"/>
  <c r="AP16" i="43"/>
  <c r="AP15" i="43"/>
  <c r="AP14" i="43"/>
  <c r="AP13" i="43"/>
  <c r="AP12" i="43"/>
  <c r="AP11" i="43"/>
  <c r="AP10" i="43"/>
  <c r="AP9" i="43"/>
  <c r="AP8" i="43"/>
  <c r="AP7" i="43"/>
  <c r="AP6" i="43"/>
  <c r="AP5" i="43"/>
  <c r="AP4" i="43"/>
  <c r="AO4" i="43"/>
  <c r="AN22" i="43"/>
  <c r="AN21" i="43"/>
  <c r="AN20" i="43"/>
  <c r="AN19" i="43"/>
  <c r="AN18" i="43"/>
  <c r="AN17" i="43"/>
  <c r="AN16" i="43"/>
  <c r="AN15" i="43"/>
  <c r="AN14" i="43"/>
  <c r="AN13" i="43"/>
  <c r="AN12" i="43"/>
  <c r="AN11" i="43"/>
  <c r="AN10" i="43"/>
  <c r="AN9" i="43"/>
  <c r="AN8" i="43"/>
  <c r="AN7" i="43"/>
  <c r="AN6" i="43"/>
  <c r="AN5" i="43"/>
  <c r="AN4" i="43"/>
  <c r="AM22" i="43"/>
  <c r="AM21" i="43"/>
  <c r="AM20" i="43"/>
  <c r="AM19" i="43"/>
  <c r="AM18" i="43"/>
  <c r="AM17" i="43"/>
  <c r="AM16" i="43"/>
  <c r="AM15" i="43"/>
  <c r="AM14" i="43"/>
  <c r="AM13" i="43"/>
  <c r="AM12" i="43"/>
  <c r="AM11" i="43"/>
  <c r="AM10" i="43"/>
  <c r="AM9" i="43"/>
  <c r="AM8" i="43"/>
  <c r="AM7" i="43"/>
  <c r="AM6" i="43"/>
  <c r="AM5" i="43"/>
  <c r="AM4" i="43"/>
  <c r="AG22" i="43"/>
  <c r="AG21" i="43"/>
  <c r="AG20" i="43"/>
  <c r="AG19" i="43"/>
  <c r="AG18" i="43"/>
  <c r="AG17" i="43"/>
  <c r="AG16" i="43"/>
  <c r="AG15" i="43"/>
  <c r="AG14" i="43"/>
  <c r="AG13" i="43"/>
  <c r="AG12" i="43"/>
  <c r="AG11" i="43"/>
  <c r="AG10" i="43"/>
  <c r="AG9" i="43"/>
  <c r="AG8" i="43"/>
  <c r="AG7" i="43"/>
  <c r="AG6" i="43"/>
  <c r="AG5" i="43"/>
  <c r="AG4" i="43"/>
  <c r="AD5" i="43"/>
  <c r="AF4" i="43"/>
  <c r="AE22" i="43"/>
  <c r="AE21" i="43"/>
  <c r="AE20" i="43"/>
  <c r="AE19" i="43"/>
  <c r="AE18" i="43"/>
  <c r="AE17" i="43"/>
  <c r="AE16" i="43"/>
  <c r="AE15" i="43"/>
  <c r="AE14" i="43"/>
  <c r="AE13" i="43"/>
  <c r="AE12" i="43"/>
  <c r="AE11" i="43"/>
  <c r="AE10" i="43"/>
  <c r="AE9" i="43"/>
  <c r="AE8" i="43"/>
  <c r="AE7" i="43"/>
  <c r="AE6" i="43"/>
  <c r="AE5" i="43"/>
  <c r="AE4" i="43"/>
  <c r="AD22" i="43"/>
  <c r="AD21" i="43"/>
  <c r="AD20" i="43"/>
  <c r="AD19" i="43"/>
  <c r="AD18" i="43"/>
  <c r="AD17" i="43"/>
  <c r="AD16" i="43"/>
  <c r="AD15" i="43"/>
  <c r="AD14" i="43"/>
  <c r="AD13" i="43"/>
  <c r="AD12" i="43"/>
  <c r="AD11" i="43"/>
  <c r="AD10" i="43"/>
  <c r="AD9" i="43"/>
  <c r="AD8" i="43"/>
  <c r="AD7" i="43"/>
  <c r="AD6" i="43"/>
  <c r="AD4" i="43"/>
  <c r="X4" i="43"/>
  <c r="X22" i="43"/>
  <c r="X21" i="43"/>
  <c r="X20" i="43"/>
  <c r="X19" i="43"/>
  <c r="X18" i="43"/>
  <c r="X17" i="43"/>
  <c r="X16" i="43"/>
  <c r="X15" i="43"/>
  <c r="X14" i="43"/>
  <c r="X13" i="43"/>
  <c r="X12" i="43"/>
  <c r="X11" i="43"/>
  <c r="X10" i="43"/>
  <c r="X9" i="43"/>
  <c r="X8" i="43"/>
  <c r="X7" i="43"/>
  <c r="X6" i="43"/>
  <c r="X5" i="43"/>
  <c r="W4" i="43"/>
  <c r="V4" i="43"/>
  <c r="V22" i="43"/>
  <c r="V21" i="43"/>
  <c r="V20" i="43"/>
  <c r="V19" i="43"/>
  <c r="V18" i="43"/>
  <c r="V17" i="43"/>
  <c r="V16" i="43"/>
  <c r="V15" i="43"/>
  <c r="V14" i="43"/>
  <c r="V13" i="43"/>
  <c r="V12" i="43"/>
  <c r="V11" i="43"/>
  <c r="V10" i="43"/>
  <c r="V9" i="43"/>
  <c r="V8" i="43"/>
  <c r="V7" i="43"/>
  <c r="V6" i="43"/>
  <c r="V5" i="43"/>
  <c r="M22" i="43"/>
  <c r="L22" i="43"/>
  <c r="M21" i="43"/>
  <c r="L21" i="43"/>
  <c r="M20" i="43"/>
  <c r="L20" i="43"/>
  <c r="M19" i="43"/>
  <c r="L19" i="43"/>
  <c r="M18" i="43"/>
  <c r="L18" i="43"/>
  <c r="M17" i="43"/>
  <c r="L17" i="43"/>
  <c r="M16" i="43"/>
  <c r="L16" i="43"/>
  <c r="M15" i="43"/>
  <c r="L15" i="43"/>
  <c r="M14" i="43"/>
  <c r="L14" i="43"/>
  <c r="M13" i="43"/>
  <c r="L13" i="43"/>
  <c r="M12" i="43"/>
  <c r="L12" i="43"/>
  <c r="M11" i="43"/>
  <c r="L11" i="43"/>
  <c r="M10" i="43"/>
  <c r="L10" i="43"/>
  <c r="M9" i="43"/>
  <c r="L9" i="43"/>
  <c r="M8" i="43"/>
  <c r="L8" i="43"/>
  <c r="M7" i="43"/>
  <c r="L7" i="43"/>
  <c r="M6" i="43"/>
  <c r="L6" i="43"/>
  <c r="M5" i="43"/>
  <c r="L5" i="43"/>
  <c r="N4" i="43"/>
  <c r="N5" i="43" s="1"/>
  <c r="N6" i="43" s="1"/>
  <c r="N7" i="43" s="1"/>
  <c r="N8" i="43" s="1"/>
  <c r="N9" i="43" s="1"/>
  <c r="N10" i="43" s="1"/>
  <c r="N11" i="43" s="1"/>
  <c r="N12" i="43" s="1"/>
  <c r="N13" i="43" s="1"/>
  <c r="N14" i="43" s="1"/>
  <c r="N15" i="43" s="1"/>
  <c r="N16" i="43" s="1"/>
  <c r="N17" i="43" s="1"/>
  <c r="N18" i="43" s="1"/>
  <c r="N19" i="43" s="1"/>
  <c r="N20" i="43" s="1"/>
  <c r="N21" i="43" s="1"/>
  <c r="N22" i="43" s="1"/>
  <c r="M4" i="43"/>
  <c r="L4" i="43"/>
  <c r="U22" i="43"/>
  <c r="U21" i="43"/>
  <c r="U20" i="43"/>
  <c r="U19" i="43"/>
  <c r="U18" i="43"/>
  <c r="U17" i="43"/>
  <c r="U16" i="43"/>
  <c r="U15" i="43"/>
  <c r="U14" i="43"/>
  <c r="U13" i="43"/>
  <c r="U12" i="43"/>
  <c r="U11" i="43"/>
  <c r="U10" i="43"/>
  <c r="U9" i="43"/>
  <c r="U8" i="43"/>
  <c r="U7" i="43"/>
  <c r="U6" i="43"/>
  <c r="U5" i="43"/>
  <c r="U4" i="43"/>
  <c r="O22" i="43"/>
  <c r="O21" i="43"/>
  <c r="O20" i="43"/>
  <c r="O19" i="43"/>
  <c r="O18" i="43"/>
  <c r="O17" i="43"/>
  <c r="O16" i="43"/>
  <c r="O15" i="43"/>
  <c r="O14" i="43"/>
  <c r="O13" i="43"/>
  <c r="O12" i="43"/>
  <c r="O11" i="43"/>
  <c r="O10" i="43"/>
  <c r="O9" i="43"/>
  <c r="O8" i="43"/>
  <c r="O7" i="43"/>
  <c r="O6" i="43"/>
  <c r="O5" i="43"/>
  <c r="O4" i="43"/>
  <c r="F22" i="43"/>
  <c r="F21" i="43"/>
  <c r="F20" i="43"/>
  <c r="F19" i="43"/>
  <c r="F18" i="43"/>
  <c r="D22" i="43"/>
  <c r="D21" i="43"/>
  <c r="D20" i="43"/>
  <c r="D19" i="43"/>
  <c r="D18" i="43"/>
  <c r="F17" i="43"/>
  <c r="F16" i="43"/>
  <c r="F15" i="43"/>
  <c r="F14" i="43"/>
  <c r="F13" i="43"/>
  <c r="F12" i="43"/>
  <c r="F11" i="43"/>
  <c r="F10" i="43"/>
  <c r="F9" i="43"/>
  <c r="F8" i="43"/>
  <c r="F7" i="43"/>
  <c r="F6" i="43"/>
  <c r="D17" i="43"/>
  <c r="D16" i="43"/>
  <c r="D15" i="43"/>
  <c r="D14" i="43"/>
  <c r="D13" i="43"/>
  <c r="D12" i="43"/>
  <c r="D11" i="43"/>
  <c r="D10" i="43"/>
  <c r="D9" i="43"/>
  <c r="D8" i="43"/>
  <c r="D7" i="43"/>
  <c r="D6" i="43"/>
  <c r="B6" i="43" l="1"/>
  <c r="B18" i="43"/>
  <c r="B8" i="43"/>
  <c r="B10" i="43"/>
  <c r="B21" i="43"/>
  <c r="B11" i="43"/>
  <c r="B22" i="43"/>
  <c r="B12" i="43"/>
  <c r="B19" i="43"/>
  <c r="B20" i="43"/>
  <c r="B13" i="43"/>
  <c r="B14" i="43"/>
  <c r="B7" i="43"/>
  <c r="B15" i="43"/>
  <c r="B16" i="43"/>
  <c r="B9" i="43"/>
  <c r="B17" i="43"/>
  <c r="BL19" i="43"/>
  <c r="CL19" i="43"/>
  <c r="CM19" i="43"/>
  <c r="CH20" i="43"/>
  <c r="CC20" i="43"/>
  <c r="CD20" i="43"/>
  <c r="CD19" i="43"/>
  <c r="CC19" i="43"/>
  <c r="BP20" i="43"/>
  <c r="BT19" i="43"/>
  <c r="BU19" i="43"/>
  <c r="BT20" i="43"/>
  <c r="BG20" i="43"/>
  <c r="BK19" i="43"/>
  <c r="BK20" i="43"/>
  <c r="BC19" i="43"/>
  <c r="AX20" i="43"/>
  <c r="AX21" i="43" s="1"/>
  <c r="AX22" i="43" s="1"/>
  <c r="BB19" i="43"/>
  <c r="S19" i="43"/>
  <c r="R19" i="43"/>
  <c r="BB20" i="43" l="1"/>
  <c r="BC20" i="43"/>
  <c r="CH21" i="43"/>
  <c r="CM21" i="43" s="1"/>
  <c r="CL20" i="43"/>
  <c r="CM20" i="43"/>
  <c r="CC21" i="43"/>
  <c r="CD21" i="43"/>
  <c r="BP21" i="43"/>
  <c r="BP22" i="43" s="1"/>
  <c r="BU20" i="43"/>
  <c r="BT21" i="43"/>
  <c r="BU21" i="43"/>
  <c r="BG21" i="43"/>
  <c r="BG22" i="43" s="1"/>
  <c r="BL20" i="43"/>
  <c r="BK21" i="43"/>
  <c r="BL21" i="43"/>
  <c r="BB21" i="43"/>
  <c r="BC21" i="43"/>
  <c r="R20" i="43"/>
  <c r="S20" i="43"/>
  <c r="CH22" i="43" l="1"/>
  <c r="CL21" i="43"/>
  <c r="BT22" i="43"/>
  <c r="BU22" i="43"/>
  <c r="BK22" i="43"/>
  <c r="BL22" i="43"/>
  <c r="BB22" i="43"/>
  <c r="BC22" i="43"/>
  <c r="S21" i="43"/>
  <c r="R21" i="43"/>
  <c r="F4" i="43" l="1"/>
  <c r="B4" i="43" s="1"/>
  <c r="F5" i="43"/>
  <c r="B5" i="43" s="1"/>
  <c r="D5" i="43"/>
  <c r="E4" i="43"/>
  <c r="E5" i="43" s="1"/>
  <c r="E6" i="43" s="1"/>
  <c r="E7" i="43" s="1"/>
  <c r="E8" i="43" s="1"/>
  <c r="E9" i="43" s="1"/>
  <c r="E10" i="43" s="1"/>
  <c r="E11" i="43" s="1"/>
  <c r="E12" i="43" s="1"/>
  <c r="E13" i="43" s="1"/>
  <c r="E14" i="43" s="1"/>
  <c r="E15" i="43" s="1"/>
  <c r="E16" i="43" s="1"/>
  <c r="E17" i="43" s="1"/>
  <c r="E18" i="43" s="1"/>
  <c r="E19" i="43" s="1"/>
  <c r="D4" i="43"/>
  <c r="C22" i="43"/>
  <c r="C21" i="43"/>
  <c r="C20" i="43"/>
  <c r="C19" i="43"/>
  <c r="C18" i="43"/>
  <c r="C17" i="43"/>
  <c r="C16" i="43"/>
  <c r="C15" i="43"/>
  <c r="C14" i="43"/>
  <c r="C13" i="43"/>
  <c r="C12" i="43"/>
  <c r="C11" i="43"/>
  <c r="C10" i="43"/>
  <c r="C9" i="43"/>
  <c r="C8" i="43"/>
  <c r="C7" i="43"/>
  <c r="C6" i="43"/>
  <c r="C5" i="43"/>
  <c r="C4" i="43"/>
  <c r="J19" i="43" l="1"/>
  <c r="I19" i="43"/>
  <c r="E20" i="43"/>
  <c r="A22" i="43"/>
  <c r="A67" i="43" s="1"/>
  <c r="A20" i="43"/>
  <c r="A65" i="43" s="1"/>
  <c r="A21" i="43"/>
  <c r="A66" i="43" s="1"/>
  <c r="A19" i="43"/>
  <c r="A64" i="43" s="1"/>
  <c r="E153" i="65"/>
  <c r="D153" i="65"/>
  <c r="C152" i="65"/>
  <c r="G152" i="65" s="1"/>
  <c r="B152" i="65"/>
  <c r="F152" i="65" s="1"/>
  <c r="C151" i="65"/>
  <c r="G151" i="65" s="1"/>
  <c r="B151" i="65"/>
  <c r="F151" i="65" s="1"/>
  <c r="C150" i="65"/>
  <c r="G150" i="65" s="1"/>
  <c r="B150" i="65"/>
  <c r="F150" i="65" s="1"/>
  <c r="C149" i="65"/>
  <c r="G149" i="65" s="1"/>
  <c r="B149" i="65"/>
  <c r="F149" i="65" s="1"/>
  <c r="C148" i="65"/>
  <c r="G148" i="65" s="1"/>
  <c r="B148" i="65"/>
  <c r="F148" i="65" s="1"/>
  <c r="C147" i="65"/>
  <c r="G147" i="65" s="1"/>
  <c r="B147" i="65"/>
  <c r="F147" i="65" s="1"/>
  <c r="C146" i="65"/>
  <c r="G146" i="65" s="1"/>
  <c r="B146" i="65"/>
  <c r="F146" i="65" s="1"/>
  <c r="C145" i="65"/>
  <c r="G145" i="65" s="1"/>
  <c r="B145" i="65"/>
  <c r="F145" i="65" s="1"/>
  <c r="C144" i="65"/>
  <c r="G144" i="65" s="1"/>
  <c r="B144" i="65"/>
  <c r="F144" i="65" s="1"/>
  <c r="C143" i="65"/>
  <c r="G143" i="65" s="1"/>
  <c r="B143" i="65"/>
  <c r="F143" i="65" s="1"/>
  <c r="E153" i="64"/>
  <c r="D153" i="64"/>
  <c r="C152" i="64"/>
  <c r="G152" i="64" s="1"/>
  <c r="B152" i="64"/>
  <c r="F152" i="64" s="1"/>
  <c r="C151" i="64"/>
  <c r="G151" i="64" s="1"/>
  <c r="B151" i="64"/>
  <c r="F151" i="64" s="1"/>
  <c r="C150" i="64"/>
  <c r="G150" i="64" s="1"/>
  <c r="B150" i="64"/>
  <c r="F150" i="64" s="1"/>
  <c r="C149" i="64"/>
  <c r="G149" i="64" s="1"/>
  <c r="B149" i="64"/>
  <c r="F149" i="64" s="1"/>
  <c r="C148" i="64"/>
  <c r="G148" i="64" s="1"/>
  <c r="B148" i="64"/>
  <c r="F148" i="64" s="1"/>
  <c r="C147" i="64"/>
  <c r="G147" i="64" s="1"/>
  <c r="B147" i="64"/>
  <c r="F147" i="64" s="1"/>
  <c r="C146" i="64"/>
  <c r="G146" i="64" s="1"/>
  <c r="B146" i="64"/>
  <c r="F146" i="64" s="1"/>
  <c r="C145" i="64"/>
  <c r="G145" i="64" s="1"/>
  <c r="B145" i="64"/>
  <c r="F145" i="64" s="1"/>
  <c r="C144" i="64"/>
  <c r="G144" i="64" s="1"/>
  <c r="B144" i="64"/>
  <c r="F144" i="64" s="1"/>
  <c r="C143" i="64"/>
  <c r="G143" i="64" s="1"/>
  <c r="B143" i="64"/>
  <c r="F143" i="64" s="1"/>
  <c r="E153" i="63"/>
  <c r="D153" i="63"/>
  <c r="C152" i="63"/>
  <c r="G152" i="63" s="1"/>
  <c r="B152" i="63"/>
  <c r="F152" i="63" s="1"/>
  <c r="C151" i="63"/>
  <c r="G151" i="63" s="1"/>
  <c r="B151" i="63"/>
  <c r="F151" i="63" s="1"/>
  <c r="C150" i="63"/>
  <c r="G150" i="63" s="1"/>
  <c r="B150" i="63"/>
  <c r="F150" i="63" s="1"/>
  <c r="C149" i="63"/>
  <c r="G149" i="63" s="1"/>
  <c r="B149" i="63"/>
  <c r="F149" i="63" s="1"/>
  <c r="C148" i="63"/>
  <c r="G148" i="63" s="1"/>
  <c r="B148" i="63"/>
  <c r="F148" i="63" s="1"/>
  <c r="C147" i="63"/>
  <c r="G147" i="63" s="1"/>
  <c r="B147" i="63"/>
  <c r="F147" i="63" s="1"/>
  <c r="C146" i="63"/>
  <c r="G146" i="63" s="1"/>
  <c r="B146" i="63"/>
  <c r="F146" i="63" s="1"/>
  <c r="C145" i="63"/>
  <c r="G145" i="63" s="1"/>
  <c r="B145" i="63"/>
  <c r="F145" i="63" s="1"/>
  <c r="C144" i="63"/>
  <c r="G144" i="63" s="1"/>
  <c r="B144" i="63"/>
  <c r="F144" i="63" s="1"/>
  <c r="C143" i="63"/>
  <c r="G143" i="63" s="1"/>
  <c r="B143" i="63"/>
  <c r="F143" i="63" s="1"/>
  <c r="E153" i="62"/>
  <c r="D153" i="62"/>
  <c r="C152" i="62"/>
  <c r="G152" i="62" s="1"/>
  <c r="B152" i="62"/>
  <c r="F152" i="62" s="1"/>
  <c r="C151" i="62"/>
  <c r="G151" i="62" s="1"/>
  <c r="B151" i="62"/>
  <c r="F151" i="62" s="1"/>
  <c r="C150" i="62"/>
  <c r="G150" i="62" s="1"/>
  <c r="B150" i="62"/>
  <c r="F150" i="62" s="1"/>
  <c r="C149" i="62"/>
  <c r="G149" i="62" s="1"/>
  <c r="B149" i="62"/>
  <c r="F149" i="62" s="1"/>
  <c r="C148" i="62"/>
  <c r="G148" i="62" s="1"/>
  <c r="B148" i="62"/>
  <c r="F148" i="62" s="1"/>
  <c r="C147" i="62"/>
  <c r="G147" i="62" s="1"/>
  <c r="B147" i="62"/>
  <c r="F147" i="62" s="1"/>
  <c r="C146" i="62"/>
  <c r="G146" i="62" s="1"/>
  <c r="B146" i="62"/>
  <c r="F146" i="62" s="1"/>
  <c r="C145" i="62"/>
  <c r="G145" i="62" s="1"/>
  <c r="B145" i="62"/>
  <c r="F145" i="62" s="1"/>
  <c r="C144" i="62"/>
  <c r="G144" i="62" s="1"/>
  <c r="B144" i="62"/>
  <c r="F144" i="62" s="1"/>
  <c r="C143" i="62"/>
  <c r="G143" i="62" s="1"/>
  <c r="B143" i="62"/>
  <c r="F143" i="62" s="1"/>
  <c r="E153" i="61"/>
  <c r="D153" i="61"/>
  <c r="C152" i="61"/>
  <c r="G152" i="61" s="1"/>
  <c r="B152" i="61"/>
  <c r="F152" i="61" s="1"/>
  <c r="C151" i="61"/>
  <c r="G151" i="61" s="1"/>
  <c r="B151" i="61"/>
  <c r="F151" i="61" s="1"/>
  <c r="C150" i="61"/>
  <c r="G150" i="61" s="1"/>
  <c r="B150" i="61"/>
  <c r="F150" i="61" s="1"/>
  <c r="C149" i="61"/>
  <c r="G149" i="61" s="1"/>
  <c r="B149" i="61"/>
  <c r="F149" i="61" s="1"/>
  <c r="C148" i="61"/>
  <c r="G148" i="61" s="1"/>
  <c r="B148" i="61"/>
  <c r="F148" i="61" s="1"/>
  <c r="C147" i="61"/>
  <c r="G147" i="61" s="1"/>
  <c r="B147" i="61"/>
  <c r="F147" i="61" s="1"/>
  <c r="C146" i="61"/>
  <c r="G146" i="61" s="1"/>
  <c r="B146" i="61"/>
  <c r="F146" i="61" s="1"/>
  <c r="C145" i="61"/>
  <c r="G145" i="61" s="1"/>
  <c r="B145" i="61"/>
  <c r="F145" i="61" s="1"/>
  <c r="C144" i="61"/>
  <c r="G144" i="61" s="1"/>
  <c r="B144" i="61"/>
  <c r="F144" i="61" s="1"/>
  <c r="C143" i="61"/>
  <c r="G143" i="61" s="1"/>
  <c r="B143" i="61"/>
  <c r="F143" i="61" s="1"/>
  <c r="E153" i="60"/>
  <c r="D153" i="60"/>
  <c r="C152" i="60"/>
  <c r="G152" i="60" s="1"/>
  <c r="B152" i="60"/>
  <c r="F152" i="60" s="1"/>
  <c r="C151" i="60"/>
  <c r="G151" i="60" s="1"/>
  <c r="B151" i="60"/>
  <c r="F151" i="60" s="1"/>
  <c r="C150" i="60"/>
  <c r="G150" i="60" s="1"/>
  <c r="B150" i="60"/>
  <c r="F150" i="60" s="1"/>
  <c r="C149" i="60"/>
  <c r="G149" i="60" s="1"/>
  <c r="B149" i="60"/>
  <c r="F149" i="60" s="1"/>
  <c r="C148" i="60"/>
  <c r="G148" i="60" s="1"/>
  <c r="B148" i="60"/>
  <c r="F148" i="60" s="1"/>
  <c r="C147" i="60"/>
  <c r="G147" i="60" s="1"/>
  <c r="B147" i="60"/>
  <c r="F147" i="60" s="1"/>
  <c r="C146" i="60"/>
  <c r="G146" i="60" s="1"/>
  <c r="B146" i="60"/>
  <c r="F146" i="60" s="1"/>
  <c r="C145" i="60"/>
  <c r="G145" i="60" s="1"/>
  <c r="B145" i="60"/>
  <c r="F145" i="60" s="1"/>
  <c r="C144" i="60"/>
  <c r="G144" i="60" s="1"/>
  <c r="B144" i="60"/>
  <c r="F144" i="60" s="1"/>
  <c r="C143" i="60"/>
  <c r="G143" i="60" s="1"/>
  <c r="B143" i="60"/>
  <c r="F143" i="60" s="1"/>
  <c r="E153" i="59"/>
  <c r="D153" i="59"/>
  <c r="C152" i="59"/>
  <c r="G152" i="59" s="1"/>
  <c r="B152" i="59"/>
  <c r="F152" i="59" s="1"/>
  <c r="C151" i="59"/>
  <c r="G151" i="59" s="1"/>
  <c r="B151" i="59"/>
  <c r="F151" i="59" s="1"/>
  <c r="C150" i="59"/>
  <c r="G150" i="59" s="1"/>
  <c r="B150" i="59"/>
  <c r="F150" i="59" s="1"/>
  <c r="C149" i="59"/>
  <c r="G149" i="59" s="1"/>
  <c r="B149" i="59"/>
  <c r="F149" i="59" s="1"/>
  <c r="C148" i="59"/>
  <c r="G148" i="59" s="1"/>
  <c r="B148" i="59"/>
  <c r="F148" i="59" s="1"/>
  <c r="C147" i="59"/>
  <c r="G147" i="59" s="1"/>
  <c r="B147" i="59"/>
  <c r="F147" i="59" s="1"/>
  <c r="C146" i="59"/>
  <c r="G146" i="59" s="1"/>
  <c r="B146" i="59"/>
  <c r="F146" i="59" s="1"/>
  <c r="C145" i="59"/>
  <c r="G145" i="59" s="1"/>
  <c r="B145" i="59"/>
  <c r="F145" i="59" s="1"/>
  <c r="C144" i="59"/>
  <c r="G144" i="59" s="1"/>
  <c r="B144" i="59"/>
  <c r="F144" i="59" s="1"/>
  <c r="C143" i="59"/>
  <c r="G143" i="59" s="1"/>
  <c r="B143" i="59"/>
  <c r="F143" i="59" s="1"/>
  <c r="E153" i="58"/>
  <c r="D153" i="58"/>
  <c r="C152" i="58"/>
  <c r="G152" i="58" s="1"/>
  <c r="B152" i="58"/>
  <c r="F152" i="58" s="1"/>
  <c r="C151" i="58"/>
  <c r="G151" i="58" s="1"/>
  <c r="B151" i="58"/>
  <c r="F151" i="58" s="1"/>
  <c r="C150" i="58"/>
  <c r="G150" i="58" s="1"/>
  <c r="B150" i="58"/>
  <c r="F150" i="58" s="1"/>
  <c r="C149" i="58"/>
  <c r="G149" i="58" s="1"/>
  <c r="B149" i="58"/>
  <c r="F149" i="58" s="1"/>
  <c r="C148" i="58"/>
  <c r="G148" i="58" s="1"/>
  <c r="B148" i="58"/>
  <c r="F148" i="58" s="1"/>
  <c r="C147" i="58"/>
  <c r="G147" i="58" s="1"/>
  <c r="B147" i="58"/>
  <c r="F147" i="58" s="1"/>
  <c r="C146" i="58"/>
  <c r="G146" i="58" s="1"/>
  <c r="B146" i="58"/>
  <c r="F146" i="58" s="1"/>
  <c r="C145" i="58"/>
  <c r="G145" i="58" s="1"/>
  <c r="B145" i="58"/>
  <c r="F145" i="58" s="1"/>
  <c r="C144" i="58"/>
  <c r="G144" i="58" s="1"/>
  <c r="B144" i="58"/>
  <c r="F144" i="58" s="1"/>
  <c r="C143" i="58"/>
  <c r="G143" i="58" s="1"/>
  <c r="B143" i="58"/>
  <c r="F143" i="58" s="1"/>
  <c r="E153" i="57"/>
  <c r="D153" i="57"/>
  <c r="C152" i="57"/>
  <c r="G152" i="57" s="1"/>
  <c r="B152" i="57"/>
  <c r="F152" i="57" s="1"/>
  <c r="C151" i="57"/>
  <c r="G151" i="57" s="1"/>
  <c r="B151" i="57"/>
  <c r="F151" i="57" s="1"/>
  <c r="C150" i="57"/>
  <c r="G150" i="57" s="1"/>
  <c r="B150" i="57"/>
  <c r="F150" i="57" s="1"/>
  <c r="C149" i="57"/>
  <c r="G149" i="57" s="1"/>
  <c r="B149" i="57"/>
  <c r="F149" i="57" s="1"/>
  <c r="C148" i="57"/>
  <c r="G148" i="57" s="1"/>
  <c r="B148" i="57"/>
  <c r="F148" i="57" s="1"/>
  <c r="C147" i="57"/>
  <c r="G147" i="57" s="1"/>
  <c r="B147" i="57"/>
  <c r="F147" i="57" s="1"/>
  <c r="C146" i="57"/>
  <c r="G146" i="57" s="1"/>
  <c r="B146" i="57"/>
  <c r="F146" i="57" s="1"/>
  <c r="C145" i="57"/>
  <c r="G145" i="57" s="1"/>
  <c r="B145" i="57"/>
  <c r="F145" i="57" s="1"/>
  <c r="C144" i="57"/>
  <c r="G144" i="57" s="1"/>
  <c r="B144" i="57"/>
  <c r="F144" i="57" s="1"/>
  <c r="C143" i="57"/>
  <c r="G143" i="57" s="1"/>
  <c r="B143" i="57"/>
  <c r="F143" i="57" s="1"/>
  <c r="E153" i="56"/>
  <c r="D153" i="56"/>
  <c r="C152" i="56"/>
  <c r="G152" i="56" s="1"/>
  <c r="B152" i="56"/>
  <c r="F152" i="56" s="1"/>
  <c r="C151" i="56"/>
  <c r="G151" i="56" s="1"/>
  <c r="B151" i="56"/>
  <c r="F151" i="56" s="1"/>
  <c r="C150" i="56"/>
  <c r="G150" i="56" s="1"/>
  <c r="B150" i="56"/>
  <c r="F150" i="56" s="1"/>
  <c r="C149" i="56"/>
  <c r="G149" i="56" s="1"/>
  <c r="B149" i="56"/>
  <c r="F149" i="56" s="1"/>
  <c r="C148" i="56"/>
  <c r="G148" i="56" s="1"/>
  <c r="B148" i="56"/>
  <c r="F148" i="56" s="1"/>
  <c r="C147" i="56"/>
  <c r="G147" i="56" s="1"/>
  <c r="B147" i="56"/>
  <c r="F147" i="56" s="1"/>
  <c r="C146" i="56"/>
  <c r="G146" i="56" s="1"/>
  <c r="B146" i="56"/>
  <c r="F146" i="56" s="1"/>
  <c r="C145" i="56"/>
  <c r="G145" i="56" s="1"/>
  <c r="B145" i="56"/>
  <c r="F145" i="56" s="1"/>
  <c r="C144" i="56"/>
  <c r="G144" i="56" s="1"/>
  <c r="B144" i="56"/>
  <c r="F144" i="56" s="1"/>
  <c r="C143" i="56"/>
  <c r="G143" i="56" s="1"/>
  <c r="B143" i="56"/>
  <c r="F143" i="56" s="1"/>
  <c r="E153" i="55"/>
  <c r="D153" i="55"/>
  <c r="C152" i="55"/>
  <c r="G152" i="55" s="1"/>
  <c r="B152" i="55"/>
  <c r="F152" i="55" s="1"/>
  <c r="C151" i="55"/>
  <c r="G151" i="55" s="1"/>
  <c r="B151" i="55"/>
  <c r="F151" i="55" s="1"/>
  <c r="C150" i="55"/>
  <c r="G150" i="55" s="1"/>
  <c r="B150" i="55"/>
  <c r="F150" i="55" s="1"/>
  <c r="C149" i="55"/>
  <c r="G149" i="55" s="1"/>
  <c r="B149" i="55"/>
  <c r="F149" i="55" s="1"/>
  <c r="C148" i="55"/>
  <c r="G148" i="55" s="1"/>
  <c r="B148" i="55"/>
  <c r="F148" i="55" s="1"/>
  <c r="C147" i="55"/>
  <c r="G147" i="55" s="1"/>
  <c r="B147" i="55"/>
  <c r="F147" i="55" s="1"/>
  <c r="C146" i="55"/>
  <c r="G146" i="55" s="1"/>
  <c r="B146" i="55"/>
  <c r="F146" i="55" s="1"/>
  <c r="C145" i="55"/>
  <c r="G145" i="55" s="1"/>
  <c r="B145" i="55"/>
  <c r="F145" i="55" s="1"/>
  <c r="C144" i="55"/>
  <c r="G144" i="55" s="1"/>
  <c r="B144" i="55"/>
  <c r="F144" i="55" s="1"/>
  <c r="C143" i="55"/>
  <c r="G143" i="55" s="1"/>
  <c r="B143" i="55"/>
  <c r="F143" i="55" s="1"/>
  <c r="E153" i="54"/>
  <c r="D153" i="54"/>
  <c r="C152" i="54"/>
  <c r="G152" i="54" s="1"/>
  <c r="B152" i="54"/>
  <c r="F152" i="54" s="1"/>
  <c r="C151" i="54"/>
  <c r="G151" i="54" s="1"/>
  <c r="B151" i="54"/>
  <c r="F151" i="54" s="1"/>
  <c r="C150" i="54"/>
  <c r="G150" i="54" s="1"/>
  <c r="B150" i="54"/>
  <c r="F150" i="54" s="1"/>
  <c r="C149" i="54"/>
  <c r="G149" i="54" s="1"/>
  <c r="B149" i="54"/>
  <c r="F149" i="54" s="1"/>
  <c r="C148" i="54"/>
  <c r="G148" i="54" s="1"/>
  <c r="B148" i="54"/>
  <c r="F148" i="54" s="1"/>
  <c r="C147" i="54"/>
  <c r="G147" i="54" s="1"/>
  <c r="B147" i="54"/>
  <c r="F147" i="54" s="1"/>
  <c r="C146" i="54"/>
  <c r="G146" i="54" s="1"/>
  <c r="B146" i="54"/>
  <c r="F146" i="54" s="1"/>
  <c r="C145" i="54"/>
  <c r="G145" i="54" s="1"/>
  <c r="B145" i="54"/>
  <c r="F145" i="54" s="1"/>
  <c r="C144" i="54"/>
  <c r="G144" i="54" s="1"/>
  <c r="B144" i="54"/>
  <c r="F144" i="54" s="1"/>
  <c r="C143" i="54"/>
  <c r="G143" i="54" s="1"/>
  <c r="B143" i="54"/>
  <c r="F143" i="54" s="1"/>
  <c r="E153" i="53"/>
  <c r="D153" i="53"/>
  <c r="C152" i="53"/>
  <c r="G152" i="53" s="1"/>
  <c r="B152" i="53"/>
  <c r="F152" i="53" s="1"/>
  <c r="C151" i="53"/>
  <c r="G151" i="53" s="1"/>
  <c r="B151" i="53"/>
  <c r="F151" i="53" s="1"/>
  <c r="C150" i="53"/>
  <c r="G150" i="53" s="1"/>
  <c r="B150" i="53"/>
  <c r="F150" i="53" s="1"/>
  <c r="C149" i="53"/>
  <c r="G149" i="53" s="1"/>
  <c r="B149" i="53"/>
  <c r="F149" i="53" s="1"/>
  <c r="C148" i="53"/>
  <c r="G148" i="53" s="1"/>
  <c r="B148" i="53"/>
  <c r="F148" i="53" s="1"/>
  <c r="C147" i="53"/>
  <c r="G147" i="53" s="1"/>
  <c r="B147" i="53"/>
  <c r="F147" i="53" s="1"/>
  <c r="C146" i="53"/>
  <c r="G146" i="53" s="1"/>
  <c r="B146" i="53"/>
  <c r="F146" i="53" s="1"/>
  <c r="C145" i="53"/>
  <c r="G145" i="53" s="1"/>
  <c r="B145" i="53"/>
  <c r="F145" i="53" s="1"/>
  <c r="C144" i="53"/>
  <c r="G144" i="53" s="1"/>
  <c r="B144" i="53"/>
  <c r="F144" i="53" s="1"/>
  <c r="C143" i="53"/>
  <c r="G143" i="53" s="1"/>
  <c r="B143" i="53"/>
  <c r="F143" i="53" s="1"/>
  <c r="E153" i="52"/>
  <c r="D153" i="52"/>
  <c r="C152" i="52"/>
  <c r="G152" i="52" s="1"/>
  <c r="B152" i="52"/>
  <c r="F152" i="52" s="1"/>
  <c r="C151" i="52"/>
  <c r="G151" i="52" s="1"/>
  <c r="B151" i="52"/>
  <c r="F151" i="52" s="1"/>
  <c r="C150" i="52"/>
  <c r="G150" i="52" s="1"/>
  <c r="B150" i="52"/>
  <c r="F150" i="52" s="1"/>
  <c r="C149" i="52"/>
  <c r="G149" i="52" s="1"/>
  <c r="B149" i="52"/>
  <c r="F149" i="52" s="1"/>
  <c r="C148" i="52"/>
  <c r="G148" i="52" s="1"/>
  <c r="B148" i="52"/>
  <c r="F148" i="52" s="1"/>
  <c r="C147" i="52"/>
  <c r="G147" i="52" s="1"/>
  <c r="B147" i="52"/>
  <c r="F147" i="52" s="1"/>
  <c r="C146" i="52"/>
  <c r="G146" i="52" s="1"/>
  <c r="B146" i="52"/>
  <c r="F146" i="52" s="1"/>
  <c r="C145" i="52"/>
  <c r="G145" i="52" s="1"/>
  <c r="B145" i="52"/>
  <c r="F145" i="52" s="1"/>
  <c r="C144" i="52"/>
  <c r="G144" i="52" s="1"/>
  <c r="B144" i="52"/>
  <c r="F144" i="52" s="1"/>
  <c r="C143" i="52"/>
  <c r="G143" i="52" s="1"/>
  <c r="B143" i="52"/>
  <c r="F143" i="52" s="1"/>
  <c r="E153" i="51"/>
  <c r="D153" i="51"/>
  <c r="C152" i="51"/>
  <c r="G152" i="51" s="1"/>
  <c r="B152" i="51"/>
  <c r="F152" i="51" s="1"/>
  <c r="C151" i="51"/>
  <c r="G151" i="51" s="1"/>
  <c r="B151" i="51"/>
  <c r="F151" i="51" s="1"/>
  <c r="C150" i="51"/>
  <c r="G150" i="51" s="1"/>
  <c r="B150" i="51"/>
  <c r="F150" i="51" s="1"/>
  <c r="C149" i="51"/>
  <c r="G149" i="51" s="1"/>
  <c r="B149" i="51"/>
  <c r="F149" i="51" s="1"/>
  <c r="C148" i="51"/>
  <c r="G148" i="51" s="1"/>
  <c r="B148" i="51"/>
  <c r="F148" i="51" s="1"/>
  <c r="C147" i="51"/>
  <c r="G147" i="51" s="1"/>
  <c r="B147" i="51"/>
  <c r="F147" i="51" s="1"/>
  <c r="C146" i="51"/>
  <c r="G146" i="51" s="1"/>
  <c r="B146" i="51"/>
  <c r="F146" i="51" s="1"/>
  <c r="C145" i="51"/>
  <c r="G145" i="51" s="1"/>
  <c r="B145" i="51"/>
  <c r="F145" i="51" s="1"/>
  <c r="C144" i="51"/>
  <c r="G144" i="51" s="1"/>
  <c r="B144" i="51"/>
  <c r="F144" i="51" s="1"/>
  <c r="C143" i="51"/>
  <c r="G143" i="51" s="1"/>
  <c r="B143" i="51"/>
  <c r="F143" i="51" s="1"/>
  <c r="E153" i="50"/>
  <c r="D153" i="50"/>
  <c r="C152" i="50"/>
  <c r="G152" i="50" s="1"/>
  <c r="B152" i="50"/>
  <c r="F152" i="50" s="1"/>
  <c r="C151" i="50"/>
  <c r="G151" i="50" s="1"/>
  <c r="B151" i="50"/>
  <c r="F151" i="50" s="1"/>
  <c r="C150" i="50"/>
  <c r="G150" i="50" s="1"/>
  <c r="B150" i="50"/>
  <c r="F150" i="50" s="1"/>
  <c r="C149" i="50"/>
  <c r="G149" i="50" s="1"/>
  <c r="B149" i="50"/>
  <c r="F149" i="50" s="1"/>
  <c r="C148" i="50"/>
  <c r="G148" i="50" s="1"/>
  <c r="B148" i="50"/>
  <c r="F148" i="50" s="1"/>
  <c r="C147" i="50"/>
  <c r="G147" i="50" s="1"/>
  <c r="B147" i="50"/>
  <c r="F147" i="50" s="1"/>
  <c r="C146" i="50"/>
  <c r="G146" i="50" s="1"/>
  <c r="B146" i="50"/>
  <c r="F146" i="50" s="1"/>
  <c r="C145" i="50"/>
  <c r="G145" i="50" s="1"/>
  <c r="B145" i="50"/>
  <c r="F145" i="50" s="1"/>
  <c r="C144" i="50"/>
  <c r="G144" i="50" s="1"/>
  <c r="B144" i="50"/>
  <c r="F144" i="50" s="1"/>
  <c r="C143" i="50"/>
  <c r="G143" i="50" s="1"/>
  <c r="B143" i="50"/>
  <c r="F143" i="50" s="1"/>
  <c r="E153" i="49"/>
  <c r="D153" i="49"/>
  <c r="C152" i="49"/>
  <c r="G152" i="49" s="1"/>
  <c r="B152" i="49"/>
  <c r="F152" i="49" s="1"/>
  <c r="C151" i="49"/>
  <c r="G151" i="49" s="1"/>
  <c r="B151" i="49"/>
  <c r="F151" i="49" s="1"/>
  <c r="C150" i="49"/>
  <c r="G150" i="49" s="1"/>
  <c r="B150" i="49"/>
  <c r="F150" i="49" s="1"/>
  <c r="C149" i="49"/>
  <c r="G149" i="49" s="1"/>
  <c r="B149" i="49"/>
  <c r="F149" i="49" s="1"/>
  <c r="C148" i="49"/>
  <c r="G148" i="49" s="1"/>
  <c r="B148" i="49"/>
  <c r="F148" i="49" s="1"/>
  <c r="C147" i="49"/>
  <c r="G147" i="49" s="1"/>
  <c r="B147" i="49"/>
  <c r="F147" i="49" s="1"/>
  <c r="C146" i="49"/>
  <c r="G146" i="49" s="1"/>
  <c r="B146" i="49"/>
  <c r="F146" i="49" s="1"/>
  <c r="C145" i="49"/>
  <c r="G145" i="49" s="1"/>
  <c r="B145" i="49"/>
  <c r="F145" i="49" s="1"/>
  <c r="C144" i="49"/>
  <c r="G144" i="49" s="1"/>
  <c r="B144" i="49"/>
  <c r="F144" i="49" s="1"/>
  <c r="C143" i="49"/>
  <c r="G143" i="49" s="1"/>
  <c r="B143" i="49"/>
  <c r="F143" i="49" s="1"/>
  <c r="E153" i="45"/>
  <c r="D153" i="45"/>
  <c r="C152" i="45"/>
  <c r="G152" i="45" s="1"/>
  <c r="B152" i="45"/>
  <c r="F152" i="45" s="1"/>
  <c r="C151" i="45"/>
  <c r="G151" i="45" s="1"/>
  <c r="B151" i="45"/>
  <c r="F151" i="45" s="1"/>
  <c r="C150" i="45"/>
  <c r="G150" i="45" s="1"/>
  <c r="B150" i="45"/>
  <c r="F150" i="45" s="1"/>
  <c r="C149" i="45"/>
  <c r="G149" i="45" s="1"/>
  <c r="B149" i="45"/>
  <c r="F149" i="45" s="1"/>
  <c r="C148" i="45"/>
  <c r="G148" i="45" s="1"/>
  <c r="B148" i="45"/>
  <c r="F148" i="45" s="1"/>
  <c r="C147" i="45"/>
  <c r="G147" i="45" s="1"/>
  <c r="B147" i="45"/>
  <c r="F147" i="45" s="1"/>
  <c r="C146" i="45"/>
  <c r="G146" i="45" s="1"/>
  <c r="B146" i="45"/>
  <c r="F146" i="45" s="1"/>
  <c r="C145" i="45"/>
  <c r="G145" i="45" s="1"/>
  <c r="B145" i="45"/>
  <c r="F145" i="45" s="1"/>
  <c r="C144" i="45"/>
  <c r="G144" i="45" s="1"/>
  <c r="B144" i="45"/>
  <c r="F144" i="45" s="1"/>
  <c r="C143" i="45"/>
  <c r="G143" i="45" s="1"/>
  <c r="B143" i="45"/>
  <c r="F143" i="45" s="1"/>
  <c r="E153" i="44"/>
  <c r="D153" i="44"/>
  <c r="B152" i="44"/>
  <c r="F152" i="44" s="1"/>
  <c r="B150" i="44"/>
  <c r="F150" i="44" s="1"/>
  <c r="B144" i="44"/>
  <c r="F144" i="44" s="1"/>
  <c r="B143" i="44"/>
  <c r="F143" i="44" s="1"/>
  <c r="F153" i="57" l="1"/>
  <c r="C158" i="57" s="1"/>
  <c r="D14" i="8" s="1"/>
  <c r="B50" i="21" s="1"/>
  <c r="E21" i="43"/>
  <c r="J20" i="43"/>
  <c r="I20" i="43"/>
  <c r="CK21" i="43"/>
  <c r="CJ21" i="43"/>
  <c r="CN21" i="43" s="1"/>
  <c r="CA21" i="43"/>
  <c r="CE21" i="43" s="1"/>
  <c r="CB21" i="43"/>
  <c r="CJ20" i="43"/>
  <c r="CN20" i="43" s="1"/>
  <c r="CK20" i="43"/>
  <c r="CA20" i="43"/>
  <c r="CE20" i="43" s="1"/>
  <c r="CB20" i="43"/>
  <c r="BR21" i="43"/>
  <c r="BV21" i="43" s="1"/>
  <c r="BS21" i="43"/>
  <c r="BS20" i="43"/>
  <c r="BR20" i="43"/>
  <c r="BV20" i="43" s="1"/>
  <c r="BI21" i="43"/>
  <c r="BM21" i="43" s="1"/>
  <c r="BJ21" i="43"/>
  <c r="BI20" i="43"/>
  <c r="BM20" i="43" s="1"/>
  <c r="BJ20" i="43"/>
  <c r="AQ21" i="43"/>
  <c r="BA21" i="43"/>
  <c r="AZ21" i="43"/>
  <c r="BD21" i="43" s="1"/>
  <c r="AQ20" i="43"/>
  <c r="BA20" i="43"/>
  <c r="AZ20" i="43"/>
  <c r="BD20" i="43" s="1"/>
  <c r="AH21" i="43"/>
  <c r="AI21" i="43"/>
  <c r="AH20" i="43"/>
  <c r="AI20" i="43"/>
  <c r="Z21" i="43"/>
  <c r="Z20" i="43"/>
  <c r="H21" i="43"/>
  <c r="G21" i="43"/>
  <c r="P21" i="43"/>
  <c r="T21" i="43" s="1"/>
  <c r="Q21" i="43"/>
  <c r="H20" i="43"/>
  <c r="G20" i="43"/>
  <c r="P20" i="43"/>
  <c r="T20" i="43" s="1"/>
  <c r="Q20" i="43"/>
  <c r="F153" i="65"/>
  <c r="C158" i="65" s="1"/>
  <c r="D22" i="8" s="1"/>
  <c r="B58" i="21" s="1"/>
  <c r="G153" i="65"/>
  <c r="D158" i="65" s="1"/>
  <c r="E22" i="8" s="1"/>
  <c r="C58" i="21" s="1"/>
  <c r="F153" i="64"/>
  <c r="C158" i="64" s="1"/>
  <c r="D21" i="8" s="1"/>
  <c r="B57" i="21" s="1"/>
  <c r="G153" i="64"/>
  <c r="D158" i="64" s="1"/>
  <c r="E21" i="8" s="1"/>
  <c r="C57" i="21" s="1"/>
  <c r="F153" i="63"/>
  <c r="C158" i="63" s="1"/>
  <c r="D20" i="8" s="1"/>
  <c r="B56" i="21" s="1"/>
  <c r="G153" i="63"/>
  <c r="D158" i="63" s="1"/>
  <c r="E20" i="8" s="1"/>
  <c r="C56" i="21" s="1"/>
  <c r="F153" i="62"/>
  <c r="C158" i="62" s="1"/>
  <c r="D19" i="8" s="1"/>
  <c r="B55" i="21" s="1"/>
  <c r="G153" i="62"/>
  <c r="D158" i="62" s="1"/>
  <c r="E19" i="8" s="1"/>
  <c r="C55" i="21" s="1"/>
  <c r="F153" i="61"/>
  <c r="C158" i="61" s="1"/>
  <c r="D18" i="8" s="1"/>
  <c r="B54" i="21" s="1"/>
  <c r="G153" i="61"/>
  <c r="D158" i="61" s="1"/>
  <c r="E18" i="8" s="1"/>
  <c r="C54" i="21" s="1"/>
  <c r="F153" i="60"/>
  <c r="C158" i="60" s="1"/>
  <c r="D17" i="8" s="1"/>
  <c r="B53" i="21" s="1"/>
  <c r="G153" i="60"/>
  <c r="D158" i="60" s="1"/>
  <c r="E17" i="8" s="1"/>
  <c r="C53" i="21" s="1"/>
  <c r="F153" i="59"/>
  <c r="C158" i="59" s="1"/>
  <c r="D16" i="8" s="1"/>
  <c r="B52" i="21" s="1"/>
  <c r="G153" i="59"/>
  <c r="D158" i="59" s="1"/>
  <c r="E16" i="8" s="1"/>
  <c r="C52" i="21" s="1"/>
  <c r="G153" i="58"/>
  <c r="D158" i="58" s="1"/>
  <c r="E15" i="8" s="1"/>
  <c r="C51" i="21" s="1"/>
  <c r="F153" i="58"/>
  <c r="C158" i="58" s="1"/>
  <c r="D15" i="8" s="1"/>
  <c r="B51" i="21" s="1"/>
  <c r="G153" i="57"/>
  <c r="D158" i="57" s="1"/>
  <c r="E14" i="8" s="1"/>
  <c r="C50" i="21" s="1"/>
  <c r="F153" i="56"/>
  <c r="C158" i="56" s="1"/>
  <c r="D13" i="8" s="1"/>
  <c r="B49" i="21" s="1"/>
  <c r="G153" i="56"/>
  <c r="D158" i="56" s="1"/>
  <c r="E13" i="8" s="1"/>
  <c r="C49" i="21" s="1"/>
  <c r="G153" i="55"/>
  <c r="D158" i="55" s="1"/>
  <c r="E12" i="8" s="1"/>
  <c r="C48" i="21" s="1"/>
  <c r="F153" i="55"/>
  <c r="C158" i="55" s="1"/>
  <c r="D12" i="8" s="1"/>
  <c r="B48" i="21" s="1"/>
  <c r="F153" i="54"/>
  <c r="C158" i="54" s="1"/>
  <c r="D11" i="8" s="1"/>
  <c r="B47" i="21" s="1"/>
  <c r="G153" i="54"/>
  <c r="D158" i="54" s="1"/>
  <c r="E11" i="8" s="1"/>
  <c r="C47" i="21" s="1"/>
  <c r="G153" i="53"/>
  <c r="D158" i="53" s="1"/>
  <c r="E10" i="8" s="1"/>
  <c r="C46" i="21" s="1"/>
  <c r="F153" i="53"/>
  <c r="C158" i="53" s="1"/>
  <c r="D10" i="8" s="1"/>
  <c r="B46" i="21" s="1"/>
  <c r="G153" i="52"/>
  <c r="D158" i="52" s="1"/>
  <c r="E9" i="8" s="1"/>
  <c r="C45" i="21" s="1"/>
  <c r="F153" i="52"/>
  <c r="C158" i="52" s="1"/>
  <c r="D9" i="8" s="1"/>
  <c r="B45" i="21" s="1"/>
  <c r="F153" i="51"/>
  <c r="C158" i="51" s="1"/>
  <c r="D8" i="8" s="1"/>
  <c r="B44" i="21" s="1"/>
  <c r="G153" i="51"/>
  <c r="D158" i="51" s="1"/>
  <c r="E8" i="8" s="1"/>
  <c r="C44" i="21" s="1"/>
  <c r="F153" i="50"/>
  <c r="C158" i="50" s="1"/>
  <c r="D7" i="8" s="1"/>
  <c r="B43" i="21" s="1"/>
  <c r="G153" i="50"/>
  <c r="D158" i="50" s="1"/>
  <c r="E7" i="8" s="1"/>
  <c r="C43" i="21" s="1"/>
  <c r="F153" i="49"/>
  <c r="C158" i="49" s="1"/>
  <c r="D6" i="8" s="1"/>
  <c r="B42" i="21" s="1"/>
  <c r="G153" i="49"/>
  <c r="D158" i="49" s="1"/>
  <c r="E6" i="8" s="1"/>
  <c r="C42" i="21" s="1"/>
  <c r="F153" i="45"/>
  <c r="C158" i="45" s="1"/>
  <c r="D5" i="8" s="1"/>
  <c r="B41" i="21" s="1"/>
  <c r="G153" i="45"/>
  <c r="D158" i="45" s="1"/>
  <c r="E5" i="8" s="1"/>
  <c r="C41" i="21" s="1"/>
  <c r="B148" i="44"/>
  <c r="F148" i="44" s="1"/>
  <c r="C149" i="44"/>
  <c r="G149" i="44" s="1"/>
  <c r="C144" i="44"/>
  <c r="G144" i="44" s="1"/>
  <c r="B145" i="44"/>
  <c r="F145" i="44" s="1"/>
  <c r="C146" i="44"/>
  <c r="G146" i="44" s="1"/>
  <c r="C143" i="44"/>
  <c r="G143" i="44" s="1"/>
  <c r="C148" i="44"/>
  <c r="G148" i="44" s="1"/>
  <c r="B151" i="44"/>
  <c r="F151" i="44" s="1"/>
  <c r="C145" i="44"/>
  <c r="G145" i="44" s="1"/>
  <c r="C150" i="44"/>
  <c r="G150" i="44" s="1"/>
  <c r="C151" i="44"/>
  <c r="G151" i="44" s="1"/>
  <c r="B147" i="44"/>
  <c r="F147" i="44" s="1"/>
  <c r="C152" i="44"/>
  <c r="G152" i="44" s="1"/>
  <c r="C147" i="44"/>
  <c r="G147" i="44" s="1"/>
  <c r="B146" i="44"/>
  <c r="F146" i="44" s="1"/>
  <c r="B149" i="44"/>
  <c r="F149" i="44" s="1"/>
  <c r="K20" i="43" l="1"/>
  <c r="B178" i="21"/>
  <c r="B179" i="21"/>
  <c r="C180" i="21"/>
  <c r="B180" i="21"/>
  <c r="C181" i="21"/>
  <c r="C178" i="21"/>
  <c r="C179" i="21"/>
  <c r="B181" i="21"/>
  <c r="I21" i="43"/>
  <c r="J21" i="43"/>
  <c r="E22" i="43"/>
  <c r="G153" i="44"/>
  <c r="D158" i="44" s="1"/>
  <c r="F153" i="44"/>
  <c r="C158" i="44" s="1"/>
  <c r="D4" i="8" s="1"/>
  <c r="B40" i="21" s="1"/>
  <c r="D23" i="8" l="1"/>
  <c r="K21" i="43"/>
  <c r="J22" i="43"/>
  <c r="I22" i="43"/>
  <c r="E4" i="8"/>
  <c r="C40" i="21" s="1"/>
  <c r="C98" i="21"/>
  <c r="C158" i="21" s="1"/>
  <c r="C200" i="21" s="1"/>
  <c r="C99" i="21"/>
  <c r="C159" i="21" s="1"/>
  <c r="C201" i="21" s="1"/>
  <c r="C100" i="21"/>
  <c r="C160" i="21" s="1"/>
  <c r="C202" i="21" s="1"/>
  <c r="C101" i="21"/>
  <c r="C161" i="21" s="1"/>
  <c r="C203" i="21" s="1"/>
  <c r="A37" i="21"/>
  <c r="A57" i="21" s="1"/>
  <c r="A79" i="21" s="1"/>
  <c r="A100" i="21" s="1"/>
  <c r="A120" i="21" s="1"/>
  <c r="A160" i="21" s="1"/>
  <c r="A180" i="21" s="1"/>
  <c r="A202" i="21" s="1"/>
  <c r="A222" i="21" s="1"/>
  <c r="A243" i="21" s="1"/>
  <c r="A277" i="21" s="1"/>
  <c r="A297" i="21" s="1"/>
  <c r="A321" i="21" s="1"/>
  <c r="A32" i="23" s="1"/>
  <c r="A38" i="21"/>
  <c r="A58" i="21" s="1"/>
  <c r="A80" i="21" s="1"/>
  <c r="A101" i="21" s="1"/>
  <c r="A121" i="21" s="1"/>
  <c r="A161" i="21" s="1"/>
  <c r="A181" i="21" s="1"/>
  <c r="A203" i="21" s="1"/>
  <c r="A223" i="21" s="1"/>
  <c r="A244" i="21" s="1"/>
  <c r="A278" i="21" s="1"/>
  <c r="A298" i="21" s="1"/>
  <c r="A322" i="21" s="1"/>
  <c r="A33" i="23" s="1"/>
  <c r="A36" i="21"/>
  <c r="A56" i="21" s="1"/>
  <c r="A78" i="21" s="1"/>
  <c r="A99" i="21" s="1"/>
  <c r="A119" i="21" s="1"/>
  <c r="A159" i="21" s="1"/>
  <c r="A179" i="21" s="1"/>
  <c r="A201" i="21" s="1"/>
  <c r="A221" i="21" s="1"/>
  <c r="A242" i="21" s="1"/>
  <c r="A276" i="21" s="1"/>
  <c r="A296" i="21" s="1"/>
  <c r="A320" i="21" s="1"/>
  <c r="A31" i="23" s="1"/>
  <c r="F69" i="8"/>
  <c r="F70" i="8"/>
  <c r="F71" i="8"/>
  <c r="G69" i="8"/>
  <c r="G70" i="8"/>
  <c r="G71" i="8"/>
  <c r="J70" i="8" l="1"/>
  <c r="J69" i="8"/>
  <c r="E23" i="8"/>
  <c r="J71" i="8"/>
  <c r="C62" i="24"/>
  <c r="C230" i="23"/>
  <c r="A67" i="23"/>
  <c r="A102" i="23" s="1"/>
  <c r="A150" i="23" s="1"/>
  <c r="A170" i="23" s="1"/>
  <c r="A191" i="23" s="1"/>
  <c r="A228" i="23" s="1"/>
  <c r="A249" i="23" s="1"/>
  <c r="A275" i="23" s="1"/>
  <c r="A308" i="23" s="1"/>
  <c r="A340" i="23" s="1"/>
  <c r="A40" i="24"/>
  <c r="A60" i="24" s="1"/>
  <c r="A88" i="24" s="1"/>
  <c r="A112" i="24" s="1"/>
  <c r="A136" i="24" s="1"/>
  <c r="A188" i="24" s="1"/>
  <c r="A212" i="24" s="1"/>
  <c r="A236" i="24" s="1"/>
  <c r="A282" i="24" s="1"/>
  <c r="A305" i="24" s="1"/>
  <c r="A340" i="24" s="1"/>
  <c r="C229" i="23"/>
  <c r="C61" i="24"/>
  <c r="A69" i="23"/>
  <c r="A104" i="23" s="1"/>
  <c r="A152" i="23" s="1"/>
  <c r="A172" i="23" s="1"/>
  <c r="A193" i="23" s="1"/>
  <c r="A230" i="23" s="1"/>
  <c r="A251" i="23" s="1"/>
  <c r="A277" i="23" s="1"/>
  <c r="A310" i="23" s="1"/>
  <c r="A342" i="23" s="1"/>
  <c r="A42" i="24"/>
  <c r="A62" i="24" s="1"/>
  <c r="A90" i="24" s="1"/>
  <c r="A114" i="24" s="1"/>
  <c r="A138" i="24" s="1"/>
  <c r="A190" i="24" s="1"/>
  <c r="A214" i="24" s="1"/>
  <c r="A238" i="24" s="1"/>
  <c r="A284" i="24" s="1"/>
  <c r="A307" i="24" s="1"/>
  <c r="A342" i="24" s="1"/>
  <c r="C227" i="23"/>
  <c r="C59" i="24"/>
  <c r="A68" i="23"/>
  <c r="A103" i="23" s="1"/>
  <c r="A151" i="23" s="1"/>
  <c r="A171" i="23" s="1"/>
  <c r="A192" i="23" s="1"/>
  <c r="A229" i="23" s="1"/>
  <c r="A250" i="23" s="1"/>
  <c r="A276" i="23" s="1"/>
  <c r="A309" i="23" s="1"/>
  <c r="A341" i="23" s="1"/>
  <c r="A41" i="24"/>
  <c r="A61" i="24" s="1"/>
  <c r="A89" i="24" s="1"/>
  <c r="A113" i="24" s="1"/>
  <c r="A137" i="24" s="1"/>
  <c r="A189" i="24" s="1"/>
  <c r="A213" i="24" s="1"/>
  <c r="A237" i="24" s="1"/>
  <c r="A283" i="24" s="1"/>
  <c r="A306" i="24" s="1"/>
  <c r="A341" i="24" s="1"/>
  <c r="C228" i="23"/>
  <c r="C60" i="24"/>
  <c r="C276" i="21"/>
  <c r="C278" i="21"/>
  <c r="C277" i="21"/>
  <c r="C275" i="21"/>
  <c r="CA19" i="43"/>
  <c r="CE19" i="43" s="1"/>
  <c r="CB19" i="43"/>
  <c r="CJ19" i="43"/>
  <c r="CN19" i="43" s="1"/>
  <c r="CK19" i="43"/>
  <c r="BR19" i="43"/>
  <c r="BV19" i="43" s="1"/>
  <c r="BS19" i="43"/>
  <c r="BI19" i="43"/>
  <c r="BM19" i="43" s="1"/>
  <c r="BJ19" i="43"/>
  <c r="AQ19" i="43"/>
  <c r="AZ19" i="43"/>
  <c r="BD19" i="43" s="1"/>
  <c r="BA19" i="43"/>
  <c r="AH19" i="43"/>
  <c r="AI19" i="43"/>
  <c r="Z19" i="43"/>
  <c r="H19" i="43"/>
  <c r="G19" i="43"/>
  <c r="K19" i="43" s="1"/>
  <c r="P19" i="43"/>
  <c r="T19" i="43" s="1"/>
  <c r="Q19" i="43"/>
  <c r="C37" i="21" l="1"/>
  <c r="C41" i="24"/>
  <c r="C151" i="23"/>
  <c r="C222" i="21"/>
  <c r="C297" i="21" s="1"/>
  <c r="C38" i="21"/>
  <c r="C152" i="23"/>
  <c r="C42" i="24"/>
  <c r="C223" i="21"/>
  <c r="C298" i="21" s="1"/>
  <c r="C36" i="21"/>
  <c r="C150" i="23"/>
  <c r="C221" i="21"/>
  <c r="C296" i="21" s="1"/>
  <c r="C40" i="24"/>
  <c r="C220" i="21"/>
  <c r="C295" i="21" s="1"/>
  <c r="C39" i="24"/>
  <c r="C149" i="23"/>
  <c r="C38" i="24"/>
  <c r="C148" i="23"/>
  <c r="B38" i="21" l="1"/>
  <c r="B152" i="23"/>
  <c r="B42" i="24"/>
  <c r="B223" i="21"/>
  <c r="B298" i="21" s="1"/>
  <c r="B37" i="21"/>
  <c r="B41" i="24"/>
  <c r="B151" i="23"/>
  <c r="B222" i="21"/>
  <c r="B297" i="21" s="1"/>
  <c r="C135" i="24"/>
  <c r="C111" i="24"/>
  <c r="C87" i="24"/>
  <c r="C274" i="23"/>
  <c r="C136" i="24"/>
  <c r="C88" i="24"/>
  <c r="C112" i="24"/>
  <c r="B220" i="21"/>
  <c r="B295" i="21" s="1"/>
  <c r="B39" i="24"/>
  <c r="B149" i="23"/>
  <c r="C277" i="23"/>
  <c r="C276" i="23"/>
  <c r="C275" i="23"/>
  <c r="C114" i="24"/>
  <c r="C138" i="24"/>
  <c r="C90" i="24"/>
  <c r="B36" i="21"/>
  <c r="B221" i="21"/>
  <c r="B296" i="21" s="1"/>
  <c r="B40" i="24"/>
  <c r="B150" i="23"/>
  <c r="B38" i="24"/>
  <c r="B148" i="23"/>
  <c r="C113" i="24"/>
  <c r="C137" i="24"/>
  <c r="C89" i="24"/>
  <c r="B66" i="43" l="1"/>
  <c r="B67" i="43"/>
  <c r="B65" i="43"/>
  <c r="B64" i="43"/>
  <c r="BS22" i="43"/>
  <c r="BR22" i="43"/>
  <c r="BV22" i="43" s="1"/>
  <c r="BI22" i="43"/>
  <c r="BM22" i="43" s="1"/>
  <c r="BJ22" i="43"/>
  <c r="AQ22" i="43"/>
  <c r="AZ22" i="43"/>
  <c r="BD22" i="43" s="1"/>
  <c r="BA22" i="43"/>
  <c r="AR22" i="43"/>
  <c r="AR20" i="43"/>
  <c r="CO20" i="43" s="1"/>
  <c r="C65" i="43" s="1"/>
  <c r="AR19" i="43"/>
  <c r="CO19" i="43" s="1"/>
  <c r="C64" i="43" s="1"/>
  <c r="AR21" i="43"/>
  <c r="CO21" i="43" s="1"/>
  <c r="C66" i="43" s="1"/>
  <c r="AH22" i="43"/>
  <c r="AI22" i="43"/>
  <c r="Z22" i="43"/>
  <c r="Y20" i="43"/>
  <c r="Y22" i="43"/>
  <c r="Y19" i="43"/>
  <c r="Y21" i="43"/>
  <c r="H22" i="43"/>
  <c r="P22" i="43"/>
  <c r="G22" i="43"/>
  <c r="K22" i="43" s="1"/>
  <c r="Q22" i="43"/>
  <c r="BA4" i="43"/>
  <c r="CK4" i="43"/>
  <c r="BI4" i="43"/>
  <c r="CJ4" i="43"/>
  <c r="CB4" i="43"/>
  <c r="CA4" i="43"/>
  <c r="BR4" i="43"/>
  <c r="BS4" i="43"/>
  <c r="BJ4" i="43"/>
  <c r="BU4" i="43"/>
  <c r="CL4" i="43"/>
  <c r="CM4" i="43"/>
  <c r="CD4" i="43"/>
  <c r="CC4" i="43"/>
  <c r="BL4" i="43"/>
  <c r="BT4" i="43"/>
  <c r="BK4" i="43"/>
  <c r="CN4" i="43" l="1"/>
  <c r="CL5" i="43"/>
  <c r="CM5" i="43"/>
  <c r="CE4" i="43"/>
  <c r="CC5" i="43"/>
  <c r="CD5" i="43"/>
  <c r="BT5" i="43"/>
  <c r="BU5" i="43"/>
  <c r="BV4" i="43"/>
  <c r="BM4" i="43"/>
  <c r="BK5" i="43"/>
  <c r="BL5" i="43"/>
  <c r="CL6" i="43" l="1"/>
  <c r="CM6" i="43"/>
  <c r="CC6" i="43"/>
  <c r="CD6" i="43"/>
  <c r="BT6" i="43"/>
  <c r="BU6" i="43"/>
  <c r="BK6" i="43"/>
  <c r="BL6" i="43"/>
  <c r="CM7" i="43" l="1"/>
  <c r="CL7" i="43"/>
  <c r="CD7" i="43"/>
  <c r="CC7" i="43"/>
  <c r="BU7" i="43"/>
  <c r="BT7" i="43"/>
  <c r="BL7" i="43"/>
  <c r="BK7" i="43"/>
  <c r="CL8" i="43" l="1"/>
  <c r="CM8" i="43"/>
  <c r="CC8" i="43"/>
  <c r="CD8" i="43"/>
  <c r="BU8" i="43"/>
  <c r="BT8" i="43"/>
  <c r="BL8" i="43"/>
  <c r="BK8" i="43"/>
  <c r="CL9" i="43" l="1"/>
  <c r="CM9" i="43"/>
  <c r="CC9" i="43"/>
  <c r="CD9" i="43"/>
  <c r="BT9" i="43"/>
  <c r="BU9" i="43"/>
  <c r="BK9" i="43"/>
  <c r="BL9" i="43"/>
  <c r="CL10" i="43" l="1"/>
  <c r="CM10" i="43"/>
  <c r="CC10" i="43"/>
  <c r="CD10" i="43"/>
  <c r="BT10" i="43"/>
  <c r="BU10" i="43"/>
  <c r="BK10" i="43"/>
  <c r="BL10" i="43"/>
  <c r="CL11" i="43" l="1"/>
  <c r="CM11" i="43"/>
  <c r="CC11" i="43"/>
  <c r="CD11" i="43"/>
  <c r="BT11" i="43"/>
  <c r="BU11" i="43"/>
  <c r="BK11" i="43"/>
  <c r="BL11" i="43"/>
  <c r="CL12" i="43" l="1"/>
  <c r="CM12" i="43"/>
  <c r="CD12" i="43"/>
  <c r="CC12" i="43"/>
  <c r="BU12" i="43"/>
  <c r="BT12" i="43"/>
  <c r="BL12" i="43"/>
  <c r="BK12" i="43"/>
  <c r="CL13" i="43" l="1"/>
  <c r="CM13" i="43"/>
  <c r="CC13" i="43"/>
  <c r="CD13" i="43"/>
  <c r="BT13" i="43"/>
  <c r="BU13" i="43"/>
  <c r="BK13" i="43"/>
  <c r="BL13" i="43"/>
  <c r="CL14" i="43" l="1"/>
  <c r="CM14" i="43"/>
  <c r="CC14" i="43"/>
  <c r="CD14" i="43"/>
  <c r="BT14" i="43"/>
  <c r="BU14" i="43"/>
  <c r="BK14" i="43"/>
  <c r="BL14" i="43"/>
  <c r="CM15" i="43" l="1"/>
  <c r="CL15" i="43"/>
  <c r="CD15" i="43"/>
  <c r="CC15" i="43"/>
  <c r="BU15" i="43"/>
  <c r="BT15" i="43"/>
  <c r="BL15" i="43"/>
  <c r="BK15" i="43"/>
  <c r="CL16" i="43" l="1"/>
  <c r="CM16" i="43"/>
  <c r="CC16" i="43"/>
  <c r="CD16" i="43"/>
  <c r="BT16" i="43"/>
  <c r="BU16" i="43"/>
  <c r="BL16" i="43"/>
  <c r="BK16" i="43"/>
  <c r="CL17" i="43" l="1"/>
  <c r="CM17" i="43"/>
  <c r="CC17" i="43"/>
  <c r="CD17" i="43"/>
  <c r="BT17" i="43"/>
  <c r="BU17" i="43"/>
  <c r="BK17" i="43"/>
  <c r="BL17" i="43"/>
  <c r="CL18" i="43" l="1"/>
  <c r="CM18" i="43"/>
  <c r="CC18" i="43"/>
  <c r="CD18" i="43"/>
  <c r="BT18" i="43"/>
  <c r="BU18" i="43"/>
  <c r="BK18" i="43"/>
  <c r="BL18" i="43"/>
  <c r="CL22" i="43" l="1"/>
  <c r="CM22" i="43"/>
  <c r="CC22" i="43"/>
  <c r="CD22" i="43"/>
  <c r="B87" i="23" l="1"/>
  <c r="B88" i="23"/>
  <c r="B89" i="23"/>
  <c r="B90" i="23"/>
  <c r="B91" i="23"/>
  <c r="B92" i="23"/>
  <c r="B93" i="23"/>
  <c r="B94" i="23"/>
  <c r="B95" i="23"/>
  <c r="B96" i="23"/>
  <c r="B97" i="23"/>
  <c r="B98" i="23"/>
  <c r="B99" i="23"/>
  <c r="B86" i="23"/>
  <c r="C21" i="21" l="1"/>
  <c r="C22" i="21"/>
  <c r="C23" i="21"/>
  <c r="C24" i="21"/>
  <c r="C25" i="21"/>
  <c r="C26" i="21"/>
  <c r="C27" i="21"/>
  <c r="C28" i="21"/>
  <c r="C29" i="21"/>
  <c r="C30" i="21"/>
  <c r="C31" i="21"/>
  <c r="C32" i="21"/>
  <c r="C33" i="21"/>
  <c r="C34" i="21"/>
  <c r="C35" i="21"/>
  <c r="C20" i="21"/>
  <c r="D12" i="20" l="1"/>
  <c r="D86" i="23" l="1"/>
  <c r="BC4" i="43" l="1"/>
  <c r="AT4" i="43"/>
  <c r="AF5" i="43"/>
  <c r="W5" i="43"/>
  <c r="AB4" i="43"/>
  <c r="S4" i="43"/>
  <c r="J4" i="43"/>
  <c r="A5" i="43"/>
  <c r="A50" i="43" s="1"/>
  <c r="A6" i="43"/>
  <c r="A51" i="43" s="1"/>
  <c r="A7" i="43"/>
  <c r="A52" i="43" s="1"/>
  <c r="A8" i="43"/>
  <c r="A53" i="43" s="1"/>
  <c r="A9" i="43"/>
  <c r="A54" i="43" s="1"/>
  <c r="A10" i="43"/>
  <c r="A55" i="43" s="1"/>
  <c r="A11" i="43"/>
  <c r="A56" i="43" s="1"/>
  <c r="A12" i="43"/>
  <c r="A57" i="43" s="1"/>
  <c r="A13" i="43"/>
  <c r="A58" i="43" s="1"/>
  <c r="A14" i="43"/>
  <c r="A59" i="43" s="1"/>
  <c r="A15" i="43"/>
  <c r="A16" i="43"/>
  <c r="A61" i="43" s="1"/>
  <c r="A17" i="43"/>
  <c r="A62" i="43" s="1"/>
  <c r="A18" i="43"/>
  <c r="A63" i="43" s="1"/>
  <c r="A4" i="43"/>
  <c r="A49" i="43" s="1"/>
  <c r="AK4" i="43"/>
  <c r="B57" i="43"/>
  <c r="A60" i="43"/>
  <c r="S5" i="43" l="1"/>
  <c r="J6" i="43"/>
  <c r="R5" i="43"/>
  <c r="BB4" i="43"/>
  <c r="AJ5" i="43"/>
  <c r="AJ4" i="43"/>
  <c r="I4" i="43"/>
  <c r="R4" i="43"/>
  <c r="AF6" i="43"/>
  <c r="AK5" i="43"/>
  <c r="S7" i="43"/>
  <c r="S6" i="43"/>
  <c r="BC5" i="43"/>
  <c r="W6" i="43"/>
  <c r="W7" i="43" s="1"/>
  <c r="AB5" i="43"/>
  <c r="AO5" i="43"/>
  <c r="J5" i="43"/>
  <c r="B52" i="43"/>
  <c r="B60" i="43"/>
  <c r="B56" i="43"/>
  <c r="B55" i="43"/>
  <c r="B51" i="43"/>
  <c r="B59" i="43"/>
  <c r="B63" i="43"/>
  <c r="B54" i="43"/>
  <c r="B50" i="43"/>
  <c r="B58" i="43"/>
  <c r="B62" i="43"/>
  <c r="B53" i="43"/>
  <c r="B49" i="43"/>
  <c r="B61" i="43"/>
  <c r="AA6" i="43" l="1"/>
  <c r="AA4" i="43"/>
  <c r="J7" i="43"/>
  <c r="AA5" i="43"/>
  <c r="AS4" i="43"/>
  <c r="AJ6" i="43"/>
  <c r="BB5" i="43"/>
  <c r="AS5" i="43"/>
  <c r="W8" i="43"/>
  <c r="AB7" i="43"/>
  <c r="AF7" i="43"/>
  <c r="AK6" i="43"/>
  <c r="AT5" i="43"/>
  <c r="AO6" i="43"/>
  <c r="AB6" i="43"/>
  <c r="BC6" i="43"/>
  <c r="S8" i="43"/>
  <c r="CK5" i="43" l="1"/>
  <c r="CJ5" i="43"/>
  <c r="CN5" i="43" s="1"/>
  <c r="CB5" i="43"/>
  <c r="BJ5" i="43"/>
  <c r="BS5" i="43"/>
  <c r="BR5" i="43"/>
  <c r="BV5" i="43" s="1"/>
  <c r="BI5" i="43"/>
  <c r="BM5" i="43" s="1"/>
  <c r="CA5" i="43"/>
  <c r="CE5" i="43" s="1"/>
  <c r="Z4" i="43"/>
  <c r="AI4" i="43"/>
  <c r="AH4" i="43"/>
  <c r="AL4" i="43" s="1"/>
  <c r="J8" i="43"/>
  <c r="Y7" i="43"/>
  <c r="Y4" i="43"/>
  <c r="AC4" i="43" s="1"/>
  <c r="P4" i="43"/>
  <c r="T4" i="43" s="1"/>
  <c r="Q4" i="43"/>
  <c r="AZ4" i="43"/>
  <c r="BD4" i="43" s="1"/>
  <c r="H4" i="43"/>
  <c r="Y6" i="43"/>
  <c r="AC6" i="43" s="1"/>
  <c r="Y5" i="43"/>
  <c r="AC5" i="43" s="1"/>
  <c r="G4" i="43"/>
  <c r="K4" i="43" s="1"/>
  <c r="AR4" i="43"/>
  <c r="AQ4" i="43"/>
  <c r="AU4" i="43" s="1"/>
  <c r="AR5" i="43"/>
  <c r="R6" i="43"/>
  <c r="AJ7" i="43"/>
  <c r="I5" i="43"/>
  <c r="AS6" i="43"/>
  <c r="BC7" i="43"/>
  <c r="AO7" i="43"/>
  <c r="AT6" i="43"/>
  <c r="AK7" i="43"/>
  <c r="AF8" i="43"/>
  <c r="AB8" i="43"/>
  <c r="W9" i="43"/>
  <c r="S9" i="43"/>
  <c r="CP4" i="43" l="1"/>
  <c r="CO4" i="43"/>
  <c r="C49" i="43"/>
  <c r="D49" i="43"/>
  <c r="E49" i="43" s="1"/>
  <c r="CB6" i="43"/>
  <c r="BJ6" i="43"/>
  <c r="BI6" i="43"/>
  <c r="BM6" i="43" s="1"/>
  <c r="BR6" i="43"/>
  <c r="BV6" i="43" s="1"/>
  <c r="BS6" i="43"/>
  <c r="CJ6" i="43"/>
  <c r="CN6" i="43" s="1"/>
  <c r="CA6" i="43"/>
  <c r="CE6" i="43" s="1"/>
  <c r="CK6" i="43"/>
  <c r="AA7" i="43"/>
  <c r="AC7" i="43" s="1"/>
  <c r="J9" i="43"/>
  <c r="R7" i="43"/>
  <c r="AR6" i="43"/>
  <c r="H6" i="43"/>
  <c r="I6" i="43"/>
  <c r="BB6" i="43"/>
  <c r="Q5" i="43"/>
  <c r="P5" i="43"/>
  <c r="T5" i="43" s="1"/>
  <c r="AI5" i="43"/>
  <c r="G5" i="43"/>
  <c r="K5" i="43" s="1"/>
  <c r="AQ5" i="43"/>
  <c r="AU5" i="43" s="1"/>
  <c r="BA5" i="43"/>
  <c r="AZ5" i="43"/>
  <c r="BD5" i="43" s="1"/>
  <c r="Z5" i="43"/>
  <c r="AH5" i="43"/>
  <c r="AL5" i="43" s="1"/>
  <c r="H5" i="43"/>
  <c r="AF9" i="43"/>
  <c r="AK8" i="43"/>
  <c r="AB9" i="43"/>
  <c r="W10" i="43"/>
  <c r="BC8" i="43"/>
  <c r="AO8" i="43"/>
  <c r="AT7" i="43"/>
  <c r="S10" i="43"/>
  <c r="CO5" i="43" l="1"/>
  <c r="CP5" i="43"/>
  <c r="C50" i="43"/>
  <c r="CK7" i="43"/>
  <c r="BJ7" i="43"/>
  <c r="BI7" i="43"/>
  <c r="BM7" i="43" s="1"/>
  <c r="BS7" i="43"/>
  <c r="BR7" i="43"/>
  <c r="BV7" i="43" s="1"/>
  <c r="CB7" i="43"/>
  <c r="CJ7" i="43"/>
  <c r="CN7" i="43" s="1"/>
  <c r="CA7" i="43"/>
  <c r="CE7" i="43" s="1"/>
  <c r="D50" i="43"/>
  <c r="E50" i="43" s="1"/>
  <c r="AA8" i="43"/>
  <c r="Y8" i="43"/>
  <c r="F49" i="43"/>
  <c r="G6" i="43"/>
  <c r="K6" i="43" s="1"/>
  <c r="CP6" i="43" s="1"/>
  <c r="AQ6" i="43"/>
  <c r="AU6" i="43" s="1"/>
  <c r="BA6" i="43"/>
  <c r="J10" i="43"/>
  <c r="AS8" i="43"/>
  <c r="AR7" i="43"/>
  <c r="AI6" i="43"/>
  <c r="Z6" i="43"/>
  <c r="Q6" i="43"/>
  <c r="CO6" i="43" s="1"/>
  <c r="AH6" i="43"/>
  <c r="AL6" i="43" s="1"/>
  <c r="P6" i="43"/>
  <c r="T6" i="43" s="1"/>
  <c r="AZ6" i="43"/>
  <c r="BD6" i="43" s="1"/>
  <c r="R8" i="43"/>
  <c r="AJ8" i="43"/>
  <c r="AS7" i="43"/>
  <c r="BB7" i="43"/>
  <c r="BA7" i="43"/>
  <c r="I7" i="43"/>
  <c r="AO9" i="43"/>
  <c r="AT8" i="43"/>
  <c r="BC9" i="43"/>
  <c r="AB10" i="43"/>
  <c r="W11" i="43"/>
  <c r="AK9" i="43"/>
  <c r="AF10" i="43"/>
  <c r="AJ9" i="43"/>
  <c r="S11" i="43"/>
  <c r="AC8" i="43" l="1"/>
  <c r="C51" i="43"/>
  <c r="D51" i="43"/>
  <c r="E51" i="43" s="1"/>
  <c r="CJ8" i="43"/>
  <c r="CN8" i="43" s="1"/>
  <c r="CA8" i="43"/>
  <c r="CE8" i="43" s="1"/>
  <c r="CK8" i="43"/>
  <c r="BR8" i="43"/>
  <c r="BV8" i="43" s="1"/>
  <c r="BJ8" i="43"/>
  <c r="BI8" i="43"/>
  <c r="BM8" i="43" s="1"/>
  <c r="BS8" i="43"/>
  <c r="CB8" i="43"/>
  <c r="Y9" i="43"/>
  <c r="AA9" i="43"/>
  <c r="J11" i="43"/>
  <c r="F50" i="43"/>
  <c r="H7" i="43"/>
  <c r="CO7" i="43" s="1"/>
  <c r="BB8" i="43"/>
  <c r="AQ7" i="43"/>
  <c r="AU7" i="43" s="1"/>
  <c r="AR8" i="43"/>
  <c r="Z7" i="43"/>
  <c r="AH7" i="43"/>
  <c r="AL7" i="43" s="1"/>
  <c r="Q7" i="43"/>
  <c r="AI7" i="43"/>
  <c r="P7" i="43"/>
  <c r="T7" i="43" s="1"/>
  <c r="AZ7" i="43"/>
  <c r="BD7" i="43" s="1"/>
  <c r="R9" i="43"/>
  <c r="AQ8" i="43"/>
  <c r="AU8" i="43" s="1"/>
  <c r="I8" i="43"/>
  <c r="G7" i="43"/>
  <c r="K7" i="43" s="1"/>
  <c r="W12" i="43"/>
  <c r="AB11" i="43"/>
  <c r="BC10" i="43"/>
  <c r="AO10" i="43"/>
  <c r="AT9" i="43"/>
  <c r="AS9" i="43"/>
  <c r="AK10" i="43"/>
  <c r="AF11" i="43"/>
  <c r="S12" i="43"/>
  <c r="CP7" i="43" l="1"/>
  <c r="D52" i="43" s="1"/>
  <c r="E52" i="43" s="1"/>
  <c r="C52" i="43"/>
  <c r="CB9" i="43"/>
  <c r="CJ9" i="43"/>
  <c r="CN9" i="43" s="1"/>
  <c r="CA9" i="43"/>
  <c r="CE9" i="43" s="1"/>
  <c r="CK9" i="43"/>
  <c r="BJ9" i="43"/>
  <c r="BI9" i="43"/>
  <c r="BM9" i="43" s="1"/>
  <c r="BS9" i="43"/>
  <c r="BR9" i="43"/>
  <c r="BV9" i="43" s="1"/>
  <c r="AC9" i="43"/>
  <c r="Y10" i="43"/>
  <c r="AA10" i="43"/>
  <c r="J12" i="43"/>
  <c r="F51" i="43"/>
  <c r="AJ11" i="43"/>
  <c r="Z8" i="43"/>
  <c r="Q8" i="43"/>
  <c r="P8" i="43"/>
  <c r="T8" i="43" s="1"/>
  <c r="AI8" i="43"/>
  <c r="AH8" i="43"/>
  <c r="AL8" i="43" s="1"/>
  <c r="BB9" i="43"/>
  <c r="AS10" i="43"/>
  <c r="AR9" i="43"/>
  <c r="R10" i="43"/>
  <c r="BA8" i="43"/>
  <c r="H8" i="43"/>
  <c r="AZ8" i="43"/>
  <c r="BD8" i="43" s="1"/>
  <c r="AJ10" i="43"/>
  <c r="G8" i="43"/>
  <c r="K8" i="43" s="1"/>
  <c r="CP8" i="43" s="1"/>
  <c r="I9" i="43"/>
  <c r="AQ9" i="43"/>
  <c r="AU9" i="43" s="1"/>
  <c r="W13" i="43"/>
  <c r="AB12" i="43"/>
  <c r="AK11" i="43"/>
  <c r="AF12" i="43"/>
  <c r="BC11" i="43"/>
  <c r="AT10" i="43"/>
  <c r="AO11" i="43"/>
  <c r="S13" i="43"/>
  <c r="CO8" i="43" l="1"/>
  <c r="D53" i="43"/>
  <c r="E53" i="43" s="1"/>
  <c r="BS10" i="43"/>
  <c r="CB10" i="43"/>
  <c r="BJ10" i="43"/>
  <c r="CJ10" i="43"/>
  <c r="CN10" i="43" s="1"/>
  <c r="CA10" i="43"/>
  <c r="CE10" i="43" s="1"/>
  <c r="CK10" i="43"/>
  <c r="BR10" i="43"/>
  <c r="BV10" i="43" s="1"/>
  <c r="BI10" i="43"/>
  <c r="BM10" i="43" s="1"/>
  <c r="C53" i="43"/>
  <c r="AC10" i="43"/>
  <c r="Y11" i="43"/>
  <c r="AA11" i="43"/>
  <c r="J13" i="43"/>
  <c r="G9" i="43"/>
  <c r="K9" i="43" s="1"/>
  <c r="F52" i="43"/>
  <c r="BA10" i="43"/>
  <c r="I10" i="43"/>
  <c r="BB10" i="43"/>
  <c r="AI9" i="43"/>
  <c r="Z9" i="43"/>
  <c r="Q9" i="43"/>
  <c r="P9" i="43"/>
  <c r="T9" i="43" s="1"/>
  <c r="AH9" i="43"/>
  <c r="AL9" i="43" s="1"/>
  <c r="AS11" i="43"/>
  <c r="AR10" i="43"/>
  <c r="H9" i="43"/>
  <c r="R11" i="43"/>
  <c r="AZ9" i="43"/>
  <c r="BD9" i="43" s="1"/>
  <c r="BA9" i="43"/>
  <c r="BC12" i="43"/>
  <c r="AK12" i="43"/>
  <c r="AF13" i="43"/>
  <c r="W14" i="43"/>
  <c r="AB13" i="43"/>
  <c r="AT11" i="43"/>
  <c r="AO12" i="43"/>
  <c r="S14" i="43"/>
  <c r="CP9" i="43" l="1"/>
  <c r="D54" i="43" s="1"/>
  <c r="E54" i="43" s="1"/>
  <c r="CO9" i="43"/>
  <c r="BR11" i="43"/>
  <c r="BV11" i="43" s="1"/>
  <c r="BJ11" i="43"/>
  <c r="BS11" i="43"/>
  <c r="BI11" i="43"/>
  <c r="BM11" i="43" s="1"/>
  <c r="CB11" i="43"/>
  <c r="CJ11" i="43"/>
  <c r="CN11" i="43" s="1"/>
  <c r="CA11" i="43"/>
  <c r="CE11" i="43" s="1"/>
  <c r="CK11" i="43"/>
  <c r="C54" i="43"/>
  <c r="AC11" i="43"/>
  <c r="Y12" i="43"/>
  <c r="AA12" i="43"/>
  <c r="J14" i="43"/>
  <c r="G10" i="43"/>
  <c r="K10" i="43" s="1"/>
  <c r="H10" i="43"/>
  <c r="AQ10" i="43"/>
  <c r="AU10" i="43" s="1"/>
  <c r="AZ10" i="43"/>
  <c r="BD10" i="43" s="1"/>
  <c r="F53" i="43"/>
  <c r="AZ11" i="43"/>
  <c r="I11" i="43"/>
  <c r="R12" i="43"/>
  <c r="BB11" i="43"/>
  <c r="AJ13" i="43"/>
  <c r="Z10" i="43"/>
  <c r="AI10" i="43"/>
  <c r="AH10" i="43"/>
  <c r="AL10" i="43" s="1"/>
  <c r="P10" i="43"/>
  <c r="T10" i="43" s="1"/>
  <c r="Q10" i="43"/>
  <c r="AJ12" i="43"/>
  <c r="AR11" i="43"/>
  <c r="AF14" i="43"/>
  <c r="AK13" i="43"/>
  <c r="W15" i="43"/>
  <c r="AB14" i="43"/>
  <c r="BC13" i="43"/>
  <c r="AO13" i="43"/>
  <c r="AT12" i="43"/>
  <c r="S15" i="43"/>
  <c r="CP10" i="43" l="1"/>
  <c r="CO10" i="43"/>
  <c r="D55" i="43"/>
  <c r="E55" i="43" s="1"/>
  <c r="BR12" i="43"/>
  <c r="BV12" i="43" s="1"/>
  <c r="BS12" i="43"/>
  <c r="CK12" i="43"/>
  <c r="CB12" i="43"/>
  <c r="CJ12" i="43"/>
  <c r="CN12" i="43" s="1"/>
  <c r="CA12" i="43"/>
  <c r="CE12" i="43" s="1"/>
  <c r="BJ12" i="43"/>
  <c r="BI12" i="43"/>
  <c r="BM12" i="43" s="1"/>
  <c r="Y13" i="43"/>
  <c r="AA13" i="43"/>
  <c r="AC12" i="43"/>
  <c r="J15" i="43"/>
  <c r="F54" i="43"/>
  <c r="G11" i="43"/>
  <c r="K11" i="43" s="1"/>
  <c r="H11" i="43"/>
  <c r="BA11" i="43"/>
  <c r="C55" i="43"/>
  <c r="AS13" i="43"/>
  <c r="AR12" i="43"/>
  <c r="P11" i="43"/>
  <c r="T11" i="43" s="1"/>
  <c r="Z11" i="43"/>
  <c r="AI11" i="43"/>
  <c r="AH11" i="43"/>
  <c r="AL11" i="43" s="1"/>
  <c r="Q11" i="43"/>
  <c r="AS12" i="43"/>
  <c r="BD11" i="43"/>
  <c r="BB12" i="43"/>
  <c r="AJ14" i="43"/>
  <c r="AQ12" i="43"/>
  <c r="I12" i="43"/>
  <c r="R13" i="43"/>
  <c r="AQ11" i="43"/>
  <c r="AU11" i="43" s="1"/>
  <c r="AB15" i="43"/>
  <c r="W16" i="43"/>
  <c r="AT13" i="43"/>
  <c r="AO14" i="43"/>
  <c r="BC14" i="43"/>
  <c r="AF15" i="43"/>
  <c r="AK14" i="43"/>
  <c r="S16" i="43"/>
  <c r="CP11" i="43" l="1"/>
  <c r="CO11" i="43"/>
  <c r="C56" i="43" s="1"/>
  <c r="D56" i="43"/>
  <c r="E56" i="43" s="1"/>
  <c r="BJ13" i="43"/>
  <c r="BI13" i="43"/>
  <c r="BM13" i="43" s="1"/>
  <c r="CJ13" i="43"/>
  <c r="CN13" i="43" s="1"/>
  <c r="BR13" i="43"/>
  <c r="BV13" i="43" s="1"/>
  <c r="CA13" i="43"/>
  <c r="CE13" i="43" s="1"/>
  <c r="BS13" i="43"/>
  <c r="CB13" i="43"/>
  <c r="CK13" i="43"/>
  <c r="Y14" i="43"/>
  <c r="AA14" i="43"/>
  <c r="AC13" i="43"/>
  <c r="J16" i="43"/>
  <c r="F55" i="43"/>
  <c r="G12" i="43"/>
  <c r="K12" i="43" s="1"/>
  <c r="AZ12" i="43"/>
  <c r="BD12" i="43" s="1"/>
  <c r="H12" i="43"/>
  <c r="G13" i="43"/>
  <c r="I13" i="43"/>
  <c r="AJ15" i="43"/>
  <c r="BB13" i="43"/>
  <c r="AU12" i="43"/>
  <c r="Z12" i="43"/>
  <c r="Q12" i="43"/>
  <c r="P12" i="43"/>
  <c r="T12" i="43" s="1"/>
  <c r="AH12" i="43"/>
  <c r="AL12" i="43" s="1"/>
  <c r="AI12" i="43"/>
  <c r="R14" i="43"/>
  <c r="BA12" i="43"/>
  <c r="AR13" i="43"/>
  <c r="AO15" i="43"/>
  <c r="AT14" i="43"/>
  <c r="AF16" i="43"/>
  <c r="AK15" i="43"/>
  <c r="BC15" i="43"/>
  <c r="W17" i="43"/>
  <c r="AB16" i="43"/>
  <c r="S17" i="43"/>
  <c r="CO12" i="43" l="1"/>
  <c r="CP12" i="43"/>
  <c r="D57" i="43" s="1"/>
  <c r="E57" i="43" s="1"/>
  <c r="BJ14" i="43"/>
  <c r="BI14" i="43"/>
  <c r="BM14" i="43" s="1"/>
  <c r="BR14" i="43"/>
  <c r="BV14" i="43" s="1"/>
  <c r="BS14" i="43"/>
  <c r="CJ14" i="43"/>
  <c r="CN14" i="43" s="1"/>
  <c r="CA14" i="43"/>
  <c r="CE14" i="43" s="1"/>
  <c r="CK14" i="43"/>
  <c r="CB14" i="43"/>
  <c r="AC14" i="43"/>
  <c r="Y15" i="43"/>
  <c r="AA15" i="43"/>
  <c r="F56" i="43"/>
  <c r="AZ13" i="43"/>
  <c r="BD13" i="43" s="1"/>
  <c r="J17" i="43"/>
  <c r="AQ13" i="43"/>
  <c r="AU13" i="43" s="1"/>
  <c r="H13" i="43"/>
  <c r="K13" i="43"/>
  <c r="BB14" i="43"/>
  <c r="R15" i="43"/>
  <c r="Z13" i="43"/>
  <c r="Q13" i="43"/>
  <c r="P13" i="43"/>
  <c r="T13" i="43" s="1"/>
  <c r="AH13" i="43"/>
  <c r="AL13" i="43" s="1"/>
  <c r="AI13" i="43"/>
  <c r="AS15" i="43"/>
  <c r="AR14" i="43"/>
  <c r="AS14" i="43"/>
  <c r="BA13" i="43"/>
  <c r="C57" i="43"/>
  <c r="G14" i="43"/>
  <c r="I14" i="43"/>
  <c r="BC16" i="43"/>
  <c r="W18" i="43"/>
  <c r="W19" i="43" s="1"/>
  <c r="AB17" i="43"/>
  <c r="AF17" i="43"/>
  <c r="AK16" i="43"/>
  <c r="AO16" i="43"/>
  <c r="AT15" i="43"/>
  <c r="S18" i="43"/>
  <c r="CP13" i="43" l="1"/>
  <c r="CO13" i="43"/>
  <c r="AA19" i="43"/>
  <c r="AB19" i="43"/>
  <c r="W20" i="43"/>
  <c r="R22" i="43"/>
  <c r="S22" i="43"/>
  <c r="C58" i="43"/>
  <c r="CK15" i="43"/>
  <c r="BJ15" i="43"/>
  <c r="BI15" i="43"/>
  <c r="BM15" i="43" s="1"/>
  <c r="BR15" i="43"/>
  <c r="BV15" i="43" s="1"/>
  <c r="CB15" i="43"/>
  <c r="CJ15" i="43"/>
  <c r="CN15" i="43" s="1"/>
  <c r="CA15" i="43"/>
  <c r="CE15" i="43" s="1"/>
  <c r="BS15" i="43"/>
  <c r="D58" i="43"/>
  <c r="E58" i="43" s="1"/>
  <c r="AC15" i="43"/>
  <c r="Y16" i="43"/>
  <c r="AA16" i="43"/>
  <c r="F57" i="43"/>
  <c r="J18" i="43"/>
  <c r="K14" i="43"/>
  <c r="Z14" i="43"/>
  <c r="P14" i="43"/>
  <c r="T14" i="43" s="1"/>
  <c r="Q14" i="43"/>
  <c r="AI14" i="43"/>
  <c r="AH14" i="43"/>
  <c r="AL14" i="43" s="1"/>
  <c r="BB15" i="43"/>
  <c r="AQ14" i="43"/>
  <c r="AU14" i="43" s="1"/>
  <c r="H15" i="43"/>
  <c r="I15" i="43"/>
  <c r="AZ14" i="43"/>
  <c r="BD14" i="43" s="1"/>
  <c r="BA14" i="43"/>
  <c r="H14" i="43"/>
  <c r="AS16" i="43"/>
  <c r="AR15" i="43"/>
  <c r="AB18" i="43"/>
  <c r="AT16" i="43"/>
  <c r="AO17" i="43"/>
  <c r="AF18" i="43"/>
  <c r="AF19" i="43" s="1"/>
  <c r="AK17" i="43"/>
  <c r="BC17" i="43"/>
  <c r="R16" i="43"/>
  <c r="AJ16" i="43"/>
  <c r="I16" i="43"/>
  <c r="CO14" i="43" l="1"/>
  <c r="CP14" i="43"/>
  <c r="D59" i="43" s="1"/>
  <c r="E59" i="43" s="1"/>
  <c r="AA20" i="43"/>
  <c r="W21" i="43"/>
  <c r="AB20" i="43"/>
  <c r="AC19" i="43"/>
  <c r="AF20" i="43"/>
  <c r="AJ19" i="43"/>
  <c r="AK19" i="43"/>
  <c r="T22" i="43"/>
  <c r="C59" i="43"/>
  <c r="CJ16" i="43"/>
  <c r="CN16" i="43" s="1"/>
  <c r="CA16" i="43"/>
  <c r="CE16" i="43" s="1"/>
  <c r="BR16" i="43"/>
  <c r="BV16" i="43" s="1"/>
  <c r="CK16" i="43"/>
  <c r="BJ16" i="43"/>
  <c r="BI16" i="43"/>
  <c r="BM16" i="43" s="1"/>
  <c r="BS16" i="43"/>
  <c r="CB16" i="43"/>
  <c r="AC16" i="43"/>
  <c r="Y17" i="43"/>
  <c r="AA17" i="43"/>
  <c r="F58" i="43"/>
  <c r="Z15" i="43"/>
  <c r="Q15" i="43"/>
  <c r="AI15" i="43"/>
  <c r="P15" i="43"/>
  <c r="T15" i="43" s="1"/>
  <c r="AH15" i="43"/>
  <c r="AL15" i="43" s="1"/>
  <c r="AQ15" i="43"/>
  <c r="AU15" i="43" s="1"/>
  <c r="AR16" i="43"/>
  <c r="BA15" i="43"/>
  <c r="G15" i="43"/>
  <c r="K15" i="43" s="1"/>
  <c r="AZ15" i="43"/>
  <c r="BD15" i="43" s="1"/>
  <c r="BC18" i="43"/>
  <c r="AT17" i="43"/>
  <c r="AS17" i="43"/>
  <c r="AO18" i="43"/>
  <c r="AO19" i="43" s="1"/>
  <c r="AK18" i="43"/>
  <c r="I17" i="43"/>
  <c r="R17" i="43"/>
  <c r="AJ17" i="43"/>
  <c r="BB16" i="43"/>
  <c r="CO15" i="43" l="1"/>
  <c r="CP15" i="43"/>
  <c r="AB21" i="43"/>
  <c r="W22" i="43"/>
  <c r="AA21" i="43"/>
  <c r="AC21" i="43" s="1"/>
  <c r="AC20" i="43"/>
  <c r="AS19" i="43"/>
  <c r="AO20" i="43"/>
  <c r="AT19" i="43"/>
  <c r="AL19" i="43"/>
  <c r="AF21" i="43"/>
  <c r="AJ20" i="43"/>
  <c r="AK20" i="43"/>
  <c r="C60" i="43"/>
  <c r="CB17" i="43"/>
  <c r="CJ17" i="43"/>
  <c r="CN17" i="43" s="1"/>
  <c r="CA17" i="43"/>
  <c r="CE17" i="43" s="1"/>
  <c r="CK17" i="43"/>
  <c r="BR17" i="43"/>
  <c r="BV17" i="43" s="1"/>
  <c r="BJ17" i="43"/>
  <c r="BI17" i="43"/>
  <c r="BM17" i="43" s="1"/>
  <c r="BS17" i="43"/>
  <c r="D60" i="43"/>
  <c r="E60" i="43" s="1"/>
  <c r="Y18" i="43"/>
  <c r="AA18" i="43"/>
  <c r="AC17" i="43"/>
  <c r="F59" i="43"/>
  <c r="AQ16" i="43"/>
  <c r="AU16" i="43" s="1"/>
  <c r="AS18" i="43"/>
  <c r="AR17" i="43"/>
  <c r="AT18" i="43"/>
  <c r="AJ18" i="43"/>
  <c r="BB17" i="43"/>
  <c r="R18" i="43"/>
  <c r="I18" i="43"/>
  <c r="AL20" i="43" l="1"/>
  <c r="AA22" i="43"/>
  <c r="AB22" i="43"/>
  <c r="AS20" i="43"/>
  <c r="AO21" i="43"/>
  <c r="AT20" i="43"/>
  <c r="AU19" i="43"/>
  <c r="CP19" i="43" s="1"/>
  <c r="D64" i="43" s="1"/>
  <c r="E64" i="43" s="1"/>
  <c r="F64" i="43" s="1"/>
  <c r="AJ21" i="43"/>
  <c r="AK21" i="43"/>
  <c r="AF22" i="43"/>
  <c r="CK18" i="43"/>
  <c r="BR18" i="43"/>
  <c r="BV18" i="43" s="1"/>
  <c r="BJ18" i="43"/>
  <c r="CJ18" i="43"/>
  <c r="CN18" i="43" s="1"/>
  <c r="CA18" i="43"/>
  <c r="CE18" i="43" s="1"/>
  <c r="BS18" i="43"/>
  <c r="CB18" i="43"/>
  <c r="BI18" i="43"/>
  <c r="BM18" i="43" s="1"/>
  <c r="AC18" i="43"/>
  <c r="F60" i="43"/>
  <c r="Z16" i="43"/>
  <c r="H16" i="43"/>
  <c r="AH16" i="43"/>
  <c r="AL16" i="43" s="1"/>
  <c r="AZ16" i="43"/>
  <c r="BD16" i="43" s="1"/>
  <c r="BA16" i="43"/>
  <c r="AI16" i="43"/>
  <c r="Q16" i="43"/>
  <c r="G16" i="43"/>
  <c r="K16" i="43" s="1"/>
  <c r="P16" i="43"/>
  <c r="T16" i="43" s="1"/>
  <c r="AQ17" i="43"/>
  <c r="AU17" i="43" s="1"/>
  <c r="AR18" i="43"/>
  <c r="BB18" i="43"/>
  <c r="CP16" i="43" l="1"/>
  <c r="CO16" i="43"/>
  <c r="C61" i="43" s="1"/>
  <c r="AC22" i="43"/>
  <c r="AO22" i="43"/>
  <c r="AT21" i="43"/>
  <c r="AS21" i="43"/>
  <c r="AU20" i="43"/>
  <c r="CP20" i="43" s="1"/>
  <c r="D65" i="43" s="1"/>
  <c r="E65" i="43" s="1"/>
  <c r="F65" i="43" s="1"/>
  <c r="AL21" i="43"/>
  <c r="AK22" i="43"/>
  <c r="AJ22" i="43"/>
  <c r="D61" i="43"/>
  <c r="E61" i="43" s="1"/>
  <c r="CK22" i="43"/>
  <c r="CA22" i="43"/>
  <c r="CE22" i="43" s="1"/>
  <c r="CJ22" i="43"/>
  <c r="CN22" i="43" s="1"/>
  <c r="CB22" i="43"/>
  <c r="CO22" i="43" s="1"/>
  <c r="C67" i="43" s="1"/>
  <c r="AH17" i="43"/>
  <c r="AL17" i="43" s="1"/>
  <c r="Z17" i="43"/>
  <c r="P17" i="43"/>
  <c r="T17" i="43" s="1"/>
  <c r="Q17" i="43"/>
  <c r="G17" i="43"/>
  <c r="K17" i="43" s="1"/>
  <c r="BA17" i="43"/>
  <c r="AZ17" i="43"/>
  <c r="BD17" i="43" s="1"/>
  <c r="H17" i="43"/>
  <c r="AI17" i="43"/>
  <c r="AQ18" i="43"/>
  <c r="AU18" i="43" s="1"/>
  <c r="AL22" i="43" l="1"/>
  <c r="CP17" i="43"/>
  <c r="CO17" i="43"/>
  <c r="AU21" i="43"/>
  <c r="CP21" i="43" s="1"/>
  <c r="D66" i="43" s="1"/>
  <c r="E66" i="43" s="1"/>
  <c r="F66" i="43" s="1"/>
  <c r="AS22" i="43"/>
  <c r="AT22" i="43"/>
  <c r="C62" i="43"/>
  <c r="D62" i="43"/>
  <c r="E62" i="43" s="1"/>
  <c r="F61" i="43"/>
  <c r="H18" i="43"/>
  <c r="BA18" i="43"/>
  <c r="Z18" i="43"/>
  <c r="P18" i="43"/>
  <c r="T18" i="43" s="1"/>
  <c r="AZ18" i="43"/>
  <c r="BD18" i="43" s="1"/>
  <c r="AH18" i="43"/>
  <c r="AL18" i="43" s="1"/>
  <c r="AI18" i="43"/>
  <c r="G18" i="43"/>
  <c r="K18" i="43" s="1"/>
  <c r="Q18" i="43"/>
  <c r="CP18" i="43" l="1"/>
  <c r="D63" i="43" s="1"/>
  <c r="E63" i="43" s="1"/>
  <c r="CO18" i="43"/>
  <c r="AU22" i="43"/>
  <c r="CP22" i="43" s="1"/>
  <c r="D67" i="43" s="1"/>
  <c r="E67" i="43" s="1"/>
  <c r="F67" i="43" s="1"/>
  <c r="C63" i="43"/>
  <c r="F62" i="43"/>
  <c r="F63" i="43" l="1"/>
  <c r="C25" i="24"/>
  <c r="C26" i="24"/>
  <c r="C27" i="24"/>
  <c r="C28" i="24"/>
  <c r="C29" i="24"/>
  <c r="C30" i="24"/>
  <c r="C31" i="24"/>
  <c r="C32" i="24"/>
  <c r="C33" i="24"/>
  <c r="C34" i="24"/>
  <c r="C35" i="24"/>
  <c r="C36" i="24"/>
  <c r="C37" i="24"/>
  <c r="C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24" i="24"/>
  <c r="C320" i="23"/>
  <c r="C290" i="23"/>
  <c r="B135" i="23"/>
  <c r="C135" i="23"/>
  <c r="B136" i="23"/>
  <c r="C136" i="23"/>
  <c r="B137" i="23"/>
  <c r="C137" i="23"/>
  <c r="B138" i="23"/>
  <c r="C138" i="23"/>
  <c r="B139" i="23"/>
  <c r="C139" i="23"/>
  <c r="B140" i="23"/>
  <c r="C140" i="23"/>
  <c r="B141" i="23"/>
  <c r="C141" i="23"/>
  <c r="B142" i="23"/>
  <c r="C142" i="23"/>
  <c r="B143" i="23"/>
  <c r="C143" i="23"/>
  <c r="B144" i="23"/>
  <c r="C144" i="23"/>
  <c r="B145" i="23"/>
  <c r="C145" i="23"/>
  <c r="B146" i="23"/>
  <c r="C146" i="23"/>
  <c r="B147" i="23"/>
  <c r="C147" i="23"/>
  <c r="C134" i="23"/>
  <c r="B134" i="23"/>
  <c r="D5" i="25"/>
  <c r="G54" i="8" l="1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F54" i="8"/>
  <c r="J54" i="8" s="1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J67" i="8" l="1"/>
  <c r="J60" i="8"/>
  <c r="J64" i="8"/>
  <c r="J59" i="8"/>
  <c r="J66" i="8"/>
  <c r="J57" i="8"/>
  <c r="J65" i="8"/>
  <c r="J61" i="8"/>
  <c r="J62" i="8"/>
  <c r="J63" i="8"/>
  <c r="J58" i="8"/>
  <c r="J56" i="8"/>
  <c r="J55" i="8"/>
  <c r="A246" i="21" l="1"/>
  <c r="A247" i="21"/>
  <c r="A245" i="21"/>
  <c r="C219" i="21"/>
  <c r="C294" i="21" s="1"/>
  <c r="C206" i="21"/>
  <c r="C281" i="21" s="1"/>
  <c r="C207" i="21"/>
  <c r="C282" i="21" s="1"/>
  <c r="C208" i="21"/>
  <c r="C283" i="21" s="1"/>
  <c r="C209" i="21"/>
  <c r="C284" i="21" s="1"/>
  <c r="C210" i="21"/>
  <c r="C285" i="21" s="1"/>
  <c r="C211" i="21"/>
  <c r="C286" i="21" s="1"/>
  <c r="C212" i="21"/>
  <c r="C287" i="21" s="1"/>
  <c r="C213" i="21"/>
  <c r="C288" i="21" s="1"/>
  <c r="C214" i="21"/>
  <c r="C289" i="21" s="1"/>
  <c r="C215" i="21"/>
  <c r="C290" i="21" s="1"/>
  <c r="C216" i="21"/>
  <c r="C291" i="21" s="1"/>
  <c r="C217" i="21"/>
  <c r="C292" i="21" s="1"/>
  <c r="C218" i="21"/>
  <c r="C293" i="21" s="1"/>
  <c r="C205" i="21"/>
  <c r="C280" i="21" s="1"/>
  <c r="B206" i="21"/>
  <c r="B281" i="21" s="1"/>
  <c r="B207" i="21"/>
  <c r="B282" i="21" s="1"/>
  <c r="B208" i="21"/>
  <c r="B283" i="21" s="1"/>
  <c r="B209" i="21"/>
  <c r="B284" i="21" s="1"/>
  <c r="B210" i="21"/>
  <c r="B285" i="21" s="1"/>
  <c r="B211" i="21"/>
  <c r="B286" i="21" s="1"/>
  <c r="B212" i="21"/>
  <c r="B287" i="21" s="1"/>
  <c r="B213" i="21"/>
  <c r="B288" i="21" s="1"/>
  <c r="B214" i="21"/>
  <c r="B289" i="21" s="1"/>
  <c r="B215" i="21"/>
  <c r="B290" i="21" s="1"/>
  <c r="B216" i="21"/>
  <c r="B291" i="21" s="1"/>
  <c r="B217" i="21"/>
  <c r="B292" i="21" s="1"/>
  <c r="B218" i="21"/>
  <c r="B293" i="21" s="1"/>
  <c r="B219" i="21"/>
  <c r="B294" i="21" s="1"/>
  <c r="B205" i="21"/>
  <c r="B280" i="21" s="1"/>
  <c r="C164" i="21"/>
  <c r="C165" i="21"/>
  <c r="C166" i="21"/>
  <c r="C167" i="21"/>
  <c r="C168" i="21"/>
  <c r="C169" i="21"/>
  <c r="C170" i="21"/>
  <c r="C171" i="21"/>
  <c r="C172" i="21"/>
  <c r="C173" i="21"/>
  <c r="C174" i="21"/>
  <c r="C175" i="21"/>
  <c r="C176" i="21"/>
  <c r="C177" i="21"/>
  <c r="C163" i="21"/>
  <c r="B164" i="21"/>
  <c r="B165" i="21"/>
  <c r="B166" i="21"/>
  <c r="B167" i="21"/>
  <c r="B168" i="21"/>
  <c r="B169" i="21"/>
  <c r="B170" i="21"/>
  <c r="B171" i="21"/>
  <c r="B172" i="21"/>
  <c r="B173" i="21"/>
  <c r="B174" i="21"/>
  <c r="B175" i="21"/>
  <c r="B176" i="21"/>
  <c r="B177" i="21"/>
  <c r="B163" i="21"/>
  <c r="C84" i="21"/>
  <c r="C144" i="21" s="1"/>
  <c r="C85" i="21"/>
  <c r="C145" i="21" s="1"/>
  <c r="C86" i="21"/>
  <c r="C146" i="21" s="1"/>
  <c r="C87" i="21"/>
  <c r="C147" i="21" s="1"/>
  <c r="C88" i="21"/>
  <c r="C148" i="21" s="1"/>
  <c r="C89" i="21"/>
  <c r="C149" i="21" s="1"/>
  <c r="C90" i="21"/>
  <c r="C150" i="21" s="1"/>
  <c r="C91" i="21"/>
  <c r="C151" i="21" s="1"/>
  <c r="C92" i="21"/>
  <c r="C152" i="21" s="1"/>
  <c r="C93" i="21"/>
  <c r="C153" i="21" s="1"/>
  <c r="C94" i="21"/>
  <c r="C154" i="21" s="1"/>
  <c r="C95" i="21"/>
  <c r="C155" i="21" s="1"/>
  <c r="C96" i="21"/>
  <c r="C156" i="21" s="1"/>
  <c r="C97" i="21"/>
  <c r="C157" i="21" s="1"/>
  <c r="C83" i="21"/>
  <c r="C143" i="21" s="1"/>
  <c r="A323" i="21" l="1"/>
  <c r="A37" i="23" s="1"/>
  <c r="A71" i="23" s="1"/>
  <c r="A107" i="23" s="1"/>
  <c r="A111" i="23" s="1"/>
  <c r="A194" i="23" s="1"/>
  <c r="A252" i="23" s="1"/>
  <c r="A278" i="23" s="1"/>
  <c r="A311" i="23" s="1"/>
  <c r="A343" i="23" s="1"/>
  <c r="A349" i="23" s="1"/>
  <c r="A356" i="23" s="1"/>
  <c r="A325" i="21"/>
  <c r="A331" i="21" s="1"/>
  <c r="A337" i="21" s="1"/>
  <c r="A324" i="21"/>
  <c r="A330" i="21" s="1"/>
  <c r="A336" i="21" s="1"/>
  <c r="A329" i="21"/>
  <c r="A335" i="21" s="1"/>
  <c r="C185" i="21"/>
  <c r="C192" i="21"/>
  <c r="C267" i="21" s="1"/>
  <c r="C199" i="21"/>
  <c r="C191" i="21"/>
  <c r="C266" i="21" s="1"/>
  <c r="C198" i="21"/>
  <c r="C273" i="21" s="1"/>
  <c r="C190" i="21"/>
  <c r="C265" i="21" s="1"/>
  <c r="C197" i="21"/>
  <c r="C272" i="21" s="1"/>
  <c r="C189" i="21"/>
  <c r="C264" i="21" s="1"/>
  <c r="C196" i="21"/>
  <c r="C271" i="21" s="1"/>
  <c r="C188" i="21"/>
  <c r="C263" i="21" s="1"/>
  <c r="C195" i="21"/>
  <c r="C270" i="21" s="1"/>
  <c r="C187" i="21"/>
  <c r="C262" i="21" s="1"/>
  <c r="C194" i="21"/>
  <c r="C269" i="21" s="1"/>
  <c r="C186" i="21"/>
  <c r="C261" i="21" s="1"/>
  <c r="C193" i="21"/>
  <c r="C268" i="21" s="1"/>
  <c r="A39" i="23" l="1"/>
  <c r="C274" i="21"/>
  <c r="C58" i="24"/>
  <c r="C226" i="23"/>
  <c r="A91" i="24"/>
  <c r="A115" i="24" s="1"/>
  <c r="A139" i="24" s="1"/>
  <c r="A191" i="24" s="1"/>
  <c r="A215" i="24" s="1"/>
  <c r="A239" i="24" s="1"/>
  <c r="A243" i="24" s="1"/>
  <c r="A308" i="24" s="1"/>
  <c r="A343" i="24" s="1"/>
  <c r="A350" i="24" s="1"/>
  <c r="A38" i="23"/>
  <c r="A72" i="23" s="1"/>
  <c r="A108" i="23" s="1"/>
  <c r="A112" i="23" s="1"/>
  <c r="A195" i="23" s="1"/>
  <c r="A253" i="23" s="1"/>
  <c r="A279" i="23" s="1"/>
  <c r="A312" i="23" s="1"/>
  <c r="A344" i="23" s="1"/>
  <c r="A350" i="23" s="1"/>
  <c r="A357" i="23" s="1"/>
  <c r="A73" i="23"/>
  <c r="A109" i="23" s="1"/>
  <c r="A113" i="23" s="1"/>
  <c r="A196" i="23" s="1"/>
  <c r="A254" i="23" s="1"/>
  <c r="A280" i="23" s="1"/>
  <c r="A313" i="23" s="1"/>
  <c r="A345" i="23" s="1"/>
  <c r="A351" i="23" s="1"/>
  <c r="A358" i="23" s="1"/>
  <c r="A93" i="24"/>
  <c r="A117" i="24" s="1"/>
  <c r="A141" i="24" s="1"/>
  <c r="C45" i="24"/>
  <c r="C213" i="23"/>
  <c r="C260" i="23" s="1"/>
  <c r="C221" i="23"/>
  <c r="C268" i="23" s="1"/>
  <c r="C53" i="24"/>
  <c r="C218" i="23"/>
  <c r="C265" i="23" s="1"/>
  <c r="C50" i="24"/>
  <c r="C48" i="24"/>
  <c r="C124" i="24" s="1"/>
  <c r="C216" i="23"/>
  <c r="C263" i="23" s="1"/>
  <c r="C217" i="23"/>
  <c r="C264" i="23" s="1"/>
  <c r="C49" i="24"/>
  <c r="C225" i="23"/>
  <c r="C272" i="23" s="1"/>
  <c r="C57" i="24"/>
  <c r="C214" i="23"/>
  <c r="C261" i="23" s="1"/>
  <c r="C46" i="24"/>
  <c r="C222" i="23"/>
  <c r="C269" i="23" s="1"/>
  <c r="C54" i="24"/>
  <c r="C47" i="24"/>
  <c r="C215" i="23"/>
  <c r="C262" i="23" s="1"/>
  <c r="C51" i="24"/>
  <c r="C219" i="23"/>
  <c r="C266" i="23" s="1"/>
  <c r="C55" i="24"/>
  <c r="C107" i="24" s="1"/>
  <c r="C223" i="23"/>
  <c r="C270" i="23" s="1"/>
  <c r="C260" i="21"/>
  <c r="C44" i="24"/>
  <c r="C212" i="23"/>
  <c r="C220" i="23"/>
  <c r="C267" i="23" s="1"/>
  <c r="C52" i="24"/>
  <c r="C56" i="24"/>
  <c r="C84" i="24" s="1"/>
  <c r="C224" i="23"/>
  <c r="C271" i="23" s="1"/>
  <c r="B21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34" i="21"/>
  <c r="B35" i="21"/>
  <c r="B20" i="21"/>
  <c r="A32" i="21"/>
  <c r="A52" i="21" s="1"/>
  <c r="A74" i="21" s="1"/>
  <c r="A95" i="21" s="1"/>
  <c r="A115" i="21" s="1"/>
  <c r="A155" i="21" s="1"/>
  <c r="A175" i="21" s="1"/>
  <c r="A197" i="21" s="1"/>
  <c r="A217" i="21" s="1"/>
  <c r="A238" i="21" s="1"/>
  <c r="A33" i="21"/>
  <c r="A53" i="21" s="1"/>
  <c r="A75" i="21" s="1"/>
  <c r="A96" i="21" s="1"/>
  <c r="A116" i="21" s="1"/>
  <c r="A156" i="21" s="1"/>
  <c r="A176" i="21" s="1"/>
  <c r="A198" i="21" s="1"/>
  <c r="A218" i="21" s="1"/>
  <c r="A239" i="21" s="1"/>
  <c r="A34" i="21"/>
  <c r="A54" i="21" s="1"/>
  <c r="A76" i="21" s="1"/>
  <c r="A97" i="21" s="1"/>
  <c r="A117" i="21" s="1"/>
  <c r="A157" i="21" s="1"/>
  <c r="A177" i="21" s="1"/>
  <c r="A199" i="21" s="1"/>
  <c r="A219" i="21" s="1"/>
  <c r="A240" i="21" s="1"/>
  <c r="A35" i="21"/>
  <c r="A21" i="21"/>
  <c r="A41" i="21" s="1"/>
  <c r="A63" i="21" s="1"/>
  <c r="A84" i="21" s="1"/>
  <c r="A104" i="21" s="1"/>
  <c r="A144" i="21" s="1"/>
  <c r="A164" i="21" s="1"/>
  <c r="A186" i="21" s="1"/>
  <c r="A206" i="21" s="1"/>
  <c r="A227" i="21" s="1"/>
  <c r="A22" i="21"/>
  <c r="A42" i="21" s="1"/>
  <c r="A64" i="21" s="1"/>
  <c r="A85" i="21" s="1"/>
  <c r="A105" i="21" s="1"/>
  <c r="A145" i="21" s="1"/>
  <c r="A165" i="21" s="1"/>
  <c r="A187" i="21" s="1"/>
  <c r="A207" i="21" s="1"/>
  <c r="A228" i="21" s="1"/>
  <c r="A23" i="21"/>
  <c r="A43" i="21" s="1"/>
  <c r="A65" i="21" s="1"/>
  <c r="A86" i="21" s="1"/>
  <c r="A106" i="21" s="1"/>
  <c r="A146" i="21" s="1"/>
  <c r="A166" i="21" s="1"/>
  <c r="A188" i="21" s="1"/>
  <c r="A208" i="21" s="1"/>
  <c r="A229" i="21" s="1"/>
  <c r="A24" i="21"/>
  <c r="A44" i="21" s="1"/>
  <c r="A66" i="21" s="1"/>
  <c r="A87" i="21" s="1"/>
  <c r="A107" i="21" s="1"/>
  <c r="A147" i="21" s="1"/>
  <c r="A167" i="21" s="1"/>
  <c r="A189" i="21" s="1"/>
  <c r="A209" i="21" s="1"/>
  <c r="A230" i="21" s="1"/>
  <c r="A25" i="21"/>
  <c r="A45" i="21" s="1"/>
  <c r="A67" i="21" s="1"/>
  <c r="A88" i="21" s="1"/>
  <c r="A108" i="21" s="1"/>
  <c r="A148" i="21" s="1"/>
  <c r="A168" i="21" s="1"/>
  <c r="A190" i="21" s="1"/>
  <c r="A210" i="21" s="1"/>
  <c r="A231" i="21" s="1"/>
  <c r="A26" i="21"/>
  <c r="A46" i="21" s="1"/>
  <c r="A68" i="21" s="1"/>
  <c r="A89" i="21" s="1"/>
  <c r="A109" i="21" s="1"/>
  <c r="A149" i="21" s="1"/>
  <c r="A169" i="21" s="1"/>
  <c r="A191" i="21" s="1"/>
  <c r="A211" i="21" s="1"/>
  <c r="A232" i="21" s="1"/>
  <c r="A27" i="21"/>
  <c r="A47" i="21" s="1"/>
  <c r="A69" i="21" s="1"/>
  <c r="A90" i="21" s="1"/>
  <c r="A110" i="21" s="1"/>
  <c r="A150" i="21" s="1"/>
  <c r="A170" i="21" s="1"/>
  <c r="A192" i="21" s="1"/>
  <c r="A212" i="21" s="1"/>
  <c r="A233" i="21" s="1"/>
  <c r="A28" i="21"/>
  <c r="A48" i="21" s="1"/>
  <c r="A70" i="21" s="1"/>
  <c r="A91" i="21" s="1"/>
  <c r="A111" i="21" s="1"/>
  <c r="A151" i="21" s="1"/>
  <c r="A171" i="21" s="1"/>
  <c r="A193" i="21" s="1"/>
  <c r="A213" i="21" s="1"/>
  <c r="A234" i="21" s="1"/>
  <c r="A29" i="21"/>
  <c r="A49" i="21" s="1"/>
  <c r="A71" i="21" s="1"/>
  <c r="A92" i="21" s="1"/>
  <c r="A112" i="21" s="1"/>
  <c r="A152" i="21" s="1"/>
  <c r="A172" i="21" s="1"/>
  <c r="A194" i="21" s="1"/>
  <c r="A214" i="21" s="1"/>
  <c r="A235" i="21" s="1"/>
  <c r="A30" i="21"/>
  <c r="A50" i="21" s="1"/>
  <c r="A72" i="21" s="1"/>
  <c r="A93" i="21" s="1"/>
  <c r="A113" i="21" s="1"/>
  <c r="A153" i="21" s="1"/>
  <c r="A173" i="21" s="1"/>
  <c r="A195" i="21" s="1"/>
  <c r="A215" i="21" s="1"/>
  <c r="A236" i="21" s="1"/>
  <c r="A31" i="21"/>
  <c r="A51" i="21" s="1"/>
  <c r="A73" i="21" s="1"/>
  <c r="A94" i="21" s="1"/>
  <c r="A114" i="21" s="1"/>
  <c r="A154" i="21" s="1"/>
  <c r="A174" i="21" s="1"/>
  <c r="A196" i="21" s="1"/>
  <c r="A216" i="21" s="1"/>
  <c r="A237" i="21" s="1"/>
  <c r="A20" i="21"/>
  <c r="A40" i="21" s="1"/>
  <c r="A62" i="21" s="1"/>
  <c r="A83" i="21" s="1"/>
  <c r="A103" i="21" s="1"/>
  <c r="A143" i="21" s="1"/>
  <c r="A163" i="21" s="1"/>
  <c r="A185" i="21" s="1"/>
  <c r="A205" i="21" s="1"/>
  <c r="A226" i="21" s="1"/>
  <c r="A260" i="21" s="1"/>
  <c r="A280" i="21" s="1"/>
  <c r="A304" i="21" s="1"/>
  <c r="A15" i="23" s="1"/>
  <c r="C273" i="23" l="1"/>
  <c r="C110" i="24"/>
  <c r="C134" i="24"/>
  <c r="C86" i="24"/>
  <c r="A143" i="24"/>
  <c r="A266" i="21"/>
  <c r="A286" i="21" s="1"/>
  <c r="A310" i="21" s="1"/>
  <c r="A21" i="23" s="1"/>
  <c r="A261" i="21"/>
  <c r="A281" i="21" s="1"/>
  <c r="A305" i="21" s="1"/>
  <c r="A16" i="23" s="1"/>
  <c r="A264" i="21"/>
  <c r="A284" i="21" s="1"/>
  <c r="A308" i="21" s="1"/>
  <c r="A19" i="23" s="1"/>
  <c r="A274" i="21"/>
  <c r="A265" i="21"/>
  <c r="A285" i="21" s="1"/>
  <c r="A309" i="21" s="1"/>
  <c r="A20" i="23" s="1"/>
  <c r="A273" i="21"/>
  <c r="A293" i="21" s="1"/>
  <c r="A317" i="21" s="1"/>
  <c r="A28" i="23" s="1"/>
  <c r="A64" i="23" s="1"/>
  <c r="A99" i="23" s="1"/>
  <c r="A147" i="23" s="1"/>
  <c r="A167" i="23" s="1"/>
  <c r="A188" i="23" s="1"/>
  <c r="A225" i="23" s="1"/>
  <c r="A246" i="23" s="1"/>
  <c r="A272" i="23" s="1"/>
  <c r="A305" i="23" s="1"/>
  <c r="A337" i="23" s="1"/>
  <c r="A263" i="21"/>
  <c r="A283" i="21" s="1"/>
  <c r="A307" i="21" s="1"/>
  <c r="A18" i="23" s="1"/>
  <c r="A272" i="21"/>
  <c r="A292" i="21" s="1"/>
  <c r="A316" i="21" s="1"/>
  <c r="A27" i="23" s="1"/>
  <c r="A270" i="21"/>
  <c r="A290" i="21" s="1"/>
  <c r="A314" i="21" s="1"/>
  <c r="A25" i="23" s="1"/>
  <c r="A271" i="21"/>
  <c r="A291" i="21" s="1"/>
  <c r="A315" i="21" s="1"/>
  <c r="A26" i="23" s="1"/>
  <c r="A269" i="21"/>
  <c r="A289" i="21" s="1"/>
  <c r="A313" i="21" s="1"/>
  <c r="A24" i="23" s="1"/>
  <c r="A262" i="21"/>
  <c r="A282" i="21" s="1"/>
  <c r="A306" i="21" s="1"/>
  <c r="A17" i="23" s="1"/>
  <c r="A268" i="21"/>
  <c r="A288" i="21" s="1"/>
  <c r="A312" i="21" s="1"/>
  <c r="A23" i="23" s="1"/>
  <c r="A267" i="21"/>
  <c r="A287" i="21" s="1"/>
  <c r="A311" i="21" s="1"/>
  <c r="A22" i="23" s="1"/>
  <c r="A92" i="24"/>
  <c r="A116" i="24" s="1"/>
  <c r="A140" i="24" s="1"/>
  <c r="A144" i="24" s="1"/>
  <c r="A55" i="21"/>
  <c r="A77" i="21" s="1"/>
  <c r="A98" i="21" s="1"/>
  <c r="A118" i="21" s="1"/>
  <c r="A158" i="21" s="1"/>
  <c r="A178" i="21" s="1"/>
  <c r="A200" i="21" s="1"/>
  <c r="A220" i="21" s="1"/>
  <c r="A241" i="21" s="1"/>
  <c r="A275" i="21" s="1"/>
  <c r="A295" i="21" s="1"/>
  <c r="A319" i="21" s="1"/>
  <c r="A30" i="23" s="1"/>
  <c r="A145" i="24"/>
  <c r="A193" i="24"/>
  <c r="A217" i="24" s="1"/>
  <c r="A241" i="24" s="1"/>
  <c r="A245" i="24" s="1"/>
  <c r="A310" i="24" s="1"/>
  <c r="A345" i="24" s="1"/>
  <c r="A352" i="24" s="1"/>
  <c r="C259" i="23"/>
  <c r="C72" i="24"/>
  <c r="C96" i="24"/>
  <c r="A358" i="24"/>
  <c r="A362" i="24" s="1"/>
  <c r="A371" i="24" s="1"/>
  <c r="A354" i="24"/>
  <c r="A51" i="23"/>
  <c r="A86" i="23" s="1"/>
  <c r="A134" i="23" s="1"/>
  <c r="A154" i="23" s="1"/>
  <c r="A175" i="23" s="1"/>
  <c r="A212" i="23" s="1"/>
  <c r="A233" i="23" s="1"/>
  <c r="A259" i="23" s="1"/>
  <c r="A292" i="23" s="1"/>
  <c r="A324" i="23" s="1"/>
  <c r="A24" i="24"/>
  <c r="A44" i="24" s="1"/>
  <c r="A72" i="24" s="1"/>
  <c r="A96" i="24" s="1"/>
  <c r="A120" i="24" s="1"/>
  <c r="A172" i="24" s="1"/>
  <c r="A196" i="24" s="1"/>
  <c r="A220" i="24" s="1"/>
  <c r="A266" i="24" s="1"/>
  <c r="A289" i="24" s="1"/>
  <c r="A324" i="24" s="1"/>
  <c r="C127" i="24"/>
  <c r="C103" i="24"/>
  <c r="C79" i="24"/>
  <c r="C106" i="24"/>
  <c r="C82" i="24"/>
  <c r="C130" i="24"/>
  <c r="C108" i="24"/>
  <c r="C132" i="24"/>
  <c r="C77" i="24"/>
  <c r="C125" i="24"/>
  <c r="C101" i="24"/>
  <c r="C129" i="24"/>
  <c r="C81" i="24"/>
  <c r="C105" i="24"/>
  <c r="C128" i="24"/>
  <c r="C80" i="24"/>
  <c r="C104" i="24"/>
  <c r="C131" i="24"/>
  <c r="C83" i="24"/>
  <c r="C100" i="24"/>
  <c r="C76" i="24"/>
  <c r="C98" i="24"/>
  <c r="C74" i="24"/>
  <c r="C122" i="24"/>
  <c r="C109" i="24"/>
  <c r="C133" i="24"/>
  <c r="C85" i="24"/>
  <c r="C121" i="24"/>
  <c r="C97" i="24"/>
  <c r="C73" i="24"/>
  <c r="C123" i="24"/>
  <c r="C75" i="24"/>
  <c r="C99" i="24"/>
  <c r="C120" i="24"/>
  <c r="C102" i="24"/>
  <c r="C78" i="24"/>
  <c r="C126" i="24"/>
  <c r="A52" i="8"/>
  <c r="A34" i="8"/>
  <c r="A59" i="8" s="1"/>
  <c r="A35" i="8"/>
  <c r="A60" i="8" s="1"/>
  <c r="A36" i="8"/>
  <c r="A61" i="8" s="1"/>
  <c r="A37" i="8"/>
  <c r="A62" i="8" s="1"/>
  <c r="A38" i="8"/>
  <c r="A63" i="8" s="1"/>
  <c r="A39" i="8"/>
  <c r="A64" i="8" s="1"/>
  <c r="A40" i="8"/>
  <c r="A65" i="8" s="1"/>
  <c r="A41" i="8"/>
  <c r="A66" i="8" s="1"/>
  <c r="A42" i="8"/>
  <c r="A67" i="8" s="1"/>
  <c r="A43" i="8"/>
  <c r="A68" i="8" s="1"/>
  <c r="A29" i="8"/>
  <c r="A54" i="8" s="1"/>
  <c r="A30" i="8"/>
  <c r="A55" i="8" s="1"/>
  <c r="A31" i="8"/>
  <c r="A56" i="8" s="1"/>
  <c r="A32" i="8"/>
  <c r="A57" i="8" s="1"/>
  <c r="A33" i="8"/>
  <c r="A58" i="8" s="1"/>
  <c r="A28" i="8"/>
  <c r="A53" i="8" s="1"/>
  <c r="C12" i="20"/>
  <c r="C20" i="20" s="1"/>
  <c r="C13" i="20"/>
  <c r="C21" i="20" s="1"/>
  <c r="C14" i="20"/>
  <c r="C22" i="20" s="1"/>
  <c r="C11" i="20"/>
  <c r="C19" i="20" s="1"/>
  <c r="B84" i="23"/>
  <c r="B83" i="23"/>
  <c r="B107" i="23" s="1"/>
  <c r="B48" i="23"/>
  <c r="B47" i="23"/>
  <c r="C131" i="23"/>
  <c r="B131" i="23"/>
  <c r="B262" i="24"/>
  <c r="B261" i="24"/>
  <c r="C70" i="24"/>
  <c r="B70" i="24"/>
  <c r="B69" i="24"/>
  <c r="B322" i="23"/>
  <c r="B321" i="23"/>
  <c r="B127" i="23"/>
  <c r="B126" i="23"/>
  <c r="C287" i="24"/>
  <c r="C164" i="24"/>
  <c r="C318" i="23"/>
  <c r="C288" i="23"/>
  <c r="C287" i="23"/>
  <c r="B287" i="23"/>
  <c r="C231" i="23"/>
  <c r="C302" i="21"/>
  <c r="B302" i="21"/>
  <c r="D224" i="21"/>
  <c r="D299" i="21" s="1"/>
  <c r="C224" i="21"/>
  <c r="B224" i="21"/>
  <c r="E204" i="21"/>
  <c r="E279" i="21" s="1"/>
  <c r="D204" i="21"/>
  <c r="D279" i="21" s="1"/>
  <c r="E162" i="21"/>
  <c r="B141" i="21"/>
  <c r="C139" i="21"/>
  <c r="C256" i="21" s="1"/>
  <c r="B139" i="21"/>
  <c r="B256" i="21" s="1"/>
  <c r="E60" i="21"/>
  <c r="C59" i="21"/>
  <c r="B59" i="21"/>
  <c r="B17" i="21"/>
  <c r="C17" i="21"/>
  <c r="F53" i="8"/>
  <c r="G53" i="8"/>
  <c r="C342" i="23" l="1"/>
  <c r="C341" i="23"/>
  <c r="C340" i="23"/>
  <c r="C339" i="23"/>
  <c r="C338" i="23"/>
  <c r="A66" i="23"/>
  <c r="A101" i="23" s="1"/>
  <c r="A149" i="23" s="1"/>
  <c r="A169" i="23" s="1"/>
  <c r="A190" i="23" s="1"/>
  <c r="A227" i="23" s="1"/>
  <c r="A248" i="23" s="1"/>
  <c r="A274" i="23" s="1"/>
  <c r="A307" i="23" s="1"/>
  <c r="A339" i="23" s="1"/>
  <c r="A39" i="24"/>
  <c r="A59" i="24" s="1"/>
  <c r="A87" i="24" s="1"/>
  <c r="A111" i="24" s="1"/>
  <c r="A135" i="24" s="1"/>
  <c r="A187" i="24" s="1"/>
  <c r="A211" i="24" s="1"/>
  <c r="A235" i="24" s="1"/>
  <c r="A281" i="24" s="1"/>
  <c r="A304" i="24" s="1"/>
  <c r="A339" i="24" s="1"/>
  <c r="C234" i="24"/>
  <c r="C235" i="24"/>
  <c r="C236" i="24"/>
  <c r="C237" i="24"/>
  <c r="C238" i="24"/>
  <c r="C210" i="24"/>
  <c r="C211" i="24"/>
  <c r="C212" i="24"/>
  <c r="C213" i="24"/>
  <c r="C214" i="24"/>
  <c r="C186" i="24"/>
  <c r="C187" i="24"/>
  <c r="C188" i="24"/>
  <c r="C189" i="24"/>
  <c r="C190" i="24"/>
  <c r="C306" i="23"/>
  <c r="C307" i="23"/>
  <c r="C308" i="23"/>
  <c r="C309" i="23"/>
  <c r="C310" i="23"/>
  <c r="C233" i="23"/>
  <c r="C249" i="23"/>
  <c r="C250" i="23"/>
  <c r="C248" i="23"/>
  <c r="C251" i="23"/>
  <c r="C247" i="23"/>
  <c r="A294" i="21"/>
  <c r="A318" i="21" s="1"/>
  <c r="A29" i="23" s="1"/>
  <c r="A26" i="24"/>
  <c r="A46" i="24" s="1"/>
  <c r="A74" i="24" s="1"/>
  <c r="A98" i="24" s="1"/>
  <c r="A122" i="24" s="1"/>
  <c r="A174" i="24" s="1"/>
  <c r="A198" i="24" s="1"/>
  <c r="A222" i="24" s="1"/>
  <c r="A268" i="24" s="1"/>
  <c r="A291" i="24" s="1"/>
  <c r="A326" i="24" s="1"/>
  <c r="A53" i="23"/>
  <c r="A88" i="23" s="1"/>
  <c r="A136" i="23" s="1"/>
  <c r="A156" i="23" s="1"/>
  <c r="A177" i="23" s="1"/>
  <c r="A214" i="23" s="1"/>
  <c r="A235" i="23" s="1"/>
  <c r="A261" i="23" s="1"/>
  <c r="A294" i="23" s="1"/>
  <c r="A326" i="23" s="1"/>
  <c r="A31" i="24"/>
  <c r="A51" i="24" s="1"/>
  <c r="A79" i="24" s="1"/>
  <c r="A103" i="24" s="1"/>
  <c r="A127" i="24" s="1"/>
  <c r="A179" i="24" s="1"/>
  <c r="A203" i="24" s="1"/>
  <c r="A227" i="24" s="1"/>
  <c r="A273" i="24" s="1"/>
  <c r="A296" i="24" s="1"/>
  <c r="A331" i="24" s="1"/>
  <c r="A58" i="23"/>
  <c r="A93" i="23" s="1"/>
  <c r="A141" i="23" s="1"/>
  <c r="A161" i="23" s="1"/>
  <c r="A182" i="23" s="1"/>
  <c r="A219" i="23" s="1"/>
  <c r="A240" i="23" s="1"/>
  <c r="A266" i="23" s="1"/>
  <c r="A299" i="23" s="1"/>
  <c r="A331" i="23" s="1"/>
  <c r="A61" i="23"/>
  <c r="A96" i="23" s="1"/>
  <c r="A144" i="23" s="1"/>
  <c r="A164" i="23" s="1"/>
  <c r="A185" i="23" s="1"/>
  <c r="A222" i="23" s="1"/>
  <c r="A243" i="23" s="1"/>
  <c r="A269" i="23" s="1"/>
  <c r="A302" i="23" s="1"/>
  <c r="A334" i="23" s="1"/>
  <c r="A34" i="24"/>
  <c r="A54" i="24" s="1"/>
  <c r="A82" i="24" s="1"/>
  <c r="A106" i="24" s="1"/>
  <c r="A130" i="24" s="1"/>
  <c r="A182" i="24" s="1"/>
  <c r="A206" i="24" s="1"/>
  <c r="A230" i="24" s="1"/>
  <c r="A276" i="24" s="1"/>
  <c r="A299" i="24" s="1"/>
  <c r="A334" i="24" s="1"/>
  <c r="A57" i="23"/>
  <c r="A92" i="23" s="1"/>
  <c r="A140" i="23" s="1"/>
  <c r="A160" i="23" s="1"/>
  <c r="A181" i="23" s="1"/>
  <c r="A218" i="23" s="1"/>
  <c r="A239" i="23" s="1"/>
  <c r="A265" i="23" s="1"/>
  <c r="A298" i="23" s="1"/>
  <c r="A330" i="23" s="1"/>
  <c r="A30" i="24"/>
  <c r="A50" i="24" s="1"/>
  <c r="A78" i="24" s="1"/>
  <c r="A102" i="24" s="1"/>
  <c r="A126" i="24" s="1"/>
  <c r="A178" i="24" s="1"/>
  <c r="A202" i="24" s="1"/>
  <c r="A226" i="24" s="1"/>
  <c r="A272" i="24" s="1"/>
  <c r="A295" i="24" s="1"/>
  <c r="A330" i="24" s="1"/>
  <c r="A63" i="23"/>
  <c r="A98" i="23" s="1"/>
  <c r="A146" i="23" s="1"/>
  <c r="A166" i="23" s="1"/>
  <c r="A187" i="23" s="1"/>
  <c r="A224" i="23" s="1"/>
  <c r="A245" i="23" s="1"/>
  <c r="A271" i="23" s="1"/>
  <c r="A304" i="23" s="1"/>
  <c r="A336" i="23" s="1"/>
  <c r="A36" i="24"/>
  <c r="A56" i="24" s="1"/>
  <c r="A84" i="24" s="1"/>
  <c r="A108" i="24" s="1"/>
  <c r="A132" i="24" s="1"/>
  <c r="A184" i="24" s="1"/>
  <c r="A208" i="24" s="1"/>
  <c r="A232" i="24" s="1"/>
  <c r="A278" i="24" s="1"/>
  <c r="A301" i="24" s="1"/>
  <c r="A336" i="24" s="1"/>
  <c r="A27" i="24"/>
  <c r="A47" i="24" s="1"/>
  <c r="A75" i="24" s="1"/>
  <c r="A99" i="24" s="1"/>
  <c r="A123" i="24" s="1"/>
  <c r="A175" i="24" s="1"/>
  <c r="A199" i="24" s="1"/>
  <c r="A223" i="24" s="1"/>
  <c r="A269" i="24" s="1"/>
  <c r="A292" i="24" s="1"/>
  <c r="A327" i="24" s="1"/>
  <c r="A54" i="23"/>
  <c r="A89" i="23" s="1"/>
  <c r="A137" i="23" s="1"/>
  <c r="A157" i="23" s="1"/>
  <c r="A178" i="23" s="1"/>
  <c r="A215" i="23" s="1"/>
  <c r="A236" i="23" s="1"/>
  <c r="A262" i="23" s="1"/>
  <c r="A295" i="23" s="1"/>
  <c r="A327" i="23" s="1"/>
  <c r="A33" i="24"/>
  <c r="A53" i="24" s="1"/>
  <c r="A81" i="24" s="1"/>
  <c r="A105" i="24" s="1"/>
  <c r="A129" i="24" s="1"/>
  <c r="A181" i="24" s="1"/>
  <c r="A205" i="24" s="1"/>
  <c r="A229" i="24" s="1"/>
  <c r="A275" i="24" s="1"/>
  <c r="A298" i="24" s="1"/>
  <c r="A333" i="24" s="1"/>
  <c r="A60" i="23"/>
  <c r="A95" i="23" s="1"/>
  <c r="A143" i="23" s="1"/>
  <c r="A163" i="23" s="1"/>
  <c r="A184" i="23" s="1"/>
  <c r="A221" i="23" s="1"/>
  <c r="A242" i="23" s="1"/>
  <c r="A268" i="23" s="1"/>
  <c r="A301" i="23" s="1"/>
  <c r="A333" i="23" s="1"/>
  <c r="A56" i="23"/>
  <c r="A91" i="23" s="1"/>
  <c r="A139" i="23" s="1"/>
  <c r="A159" i="23" s="1"/>
  <c r="A180" i="23" s="1"/>
  <c r="A217" i="23" s="1"/>
  <c r="A238" i="23" s="1"/>
  <c r="A264" i="23" s="1"/>
  <c r="A297" i="23" s="1"/>
  <c r="A329" i="23" s="1"/>
  <c r="A29" i="24"/>
  <c r="A49" i="24" s="1"/>
  <c r="A77" i="24" s="1"/>
  <c r="A101" i="24" s="1"/>
  <c r="A125" i="24" s="1"/>
  <c r="A177" i="24" s="1"/>
  <c r="A201" i="24" s="1"/>
  <c r="A225" i="24" s="1"/>
  <c r="A271" i="24" s="1"/>
  <c r="A294" i="24" s="1"/>
  <c r="A329" i="24" s="1"/>
  <c r="A55" i="23"/>
  <c r="A90" i="23" s="1"/>
  <c r="A138" i="23" s="1"/>
  <c r="A158" i="23" s="1"/>
  <c r="A179" i="23" s="1"/>
  <c r="A216" i="23" s="1"/>
  <c r="A237" i="23" s="1"/>
  <c r="A263" i="23" s="1"/>
  <c r="A296" i="23" s="1"/>
  <c r="A328" i="23" s="1"/>
  <c r="A28" i="24"/>
  <c r="A48" i="24" s="1"/>
  <c r="A76" i="24" s="1"/>
  <c r="A100" i="24" s="1"/>
  <c r="A124" i="24" s="1"/>
  <c r="A176" i="24" s="1"/>
  <c r="A200" i="24" s="1"/>
  <c r="A224" i="24" s="1"/>
  <c r="A270" i="24" s="1"/>
  <c r="A293" i="24" s="1"/>
  <c r="A328" i="24" s="1"/>
  <c r="A25" i="24"/>
  <c r="A45" i="24" s="1"/>
  <c r="A73" i="24" s="1"/>
  <c r="A97" i="24" s="1"/>
  <c r="A121" i="24" s="1"/>
  <c r="A173" i="24" s="1"/>
  <c r="A197" i="24" s="1"/>
  <c r="A221" i="24" s="1"/>
  <c r="A267" i="24" s="1"/>
  <c r="A290" i="24" s="1"/>
  <c r="A325" i="24" s="1"/>
  <c r="A52" i="23"/>
  <c r="A87" i="23" s="1"/>
  <c r="A135" i="23" s="1"/>
  <c r="A155" i="23" s="1"/>
  <c r="A176" i="23" s="1"/>
  <c r="A213" i="23" s="1"/>
  <c r="A234" i="23" s="1"/>
  <c r="A260" i="23" s="1"/>
  <c r="A293" i="23" s="1"/>
  <c r="A325" i="23" s="1"/>
  <c r="A32" i="24"/>
  <c r="A52" i="24" s="1"/>
  <c r="A80" i="24" s="1"/>
  <c r="A104" i="24" s="1"/>
  <c r="A128" i="24" s="1"/>
  <c r="A180" i="24" s="1"/>
  <c r="A204" i="24" s="1"/>
  <c r="A228" i="24" s="1"/>
  <c r="A274" i="24" s="1"/>
  <c r="A297" i="24" s="1"/>
  <c r="A332" i="24" s="1"/>
  <c r="A59" i="23"/>
  <c r="A94" i="23" s="1"/>
  <c r="A142" i="23" s="1"/>
  <c r="A162" i="23" s="1"/>
  <c r="A183" i="23" s="1"/>
  <c r="A220" i="23" s="1"/>
  <c r="A241" i="23" s="1"/>
  <c r="A267" i="23" s="1"/>
  <c r="A300" i="23" s="1"/>
  <c r="A332" i="23" s="1"/>
  <c r="A35" i="24"/>
  <c r="A55" i="24" s="1"/>
  <c r="A83" i="24" s="1"/>
  <c r="A107" i="24" s="1"/>
  <c r="A131" i="24" s="1"/>
  <c r="A183" i="24" s="1"/>
  <c r="A207" i="24" s="1"/>
  <c r="A231" i="24" s="1"/>
  <c r="A277" i="24" s="1"/>
  <c r="A300" i="24" s="1"/>
  <c r="A335" i="24" s="1"/>
  <c r="A62" i="23"/>
  <c r="A97" i="23" s="1"/>
  <c r="A145" i="23" s="1"/>
  <c r="A165" i="23" s="1"/>
  <c r="A186" i="23" s="1"/>
  <c r="A223" i="23" s="1"/>
  <c r="A244" i="23" s="1"/>
  <c r="A270" i="23" s="1"/>
  <c r="A303" i="23" s="1"/>
  <c r="A335" i="23" s="1"/>
  <c r="A37" i="24"/>
  <c r="A57" i="24" s="1"/>
  <c r="A85" i="24" s="1"/>
  <c r="A109" i="24" s="1"/>
  <c r="A133" i="24" s="1"/>
  <c r="A185" i="24" s="1"/>
  <c r="A209" i="24" s="1"/>
  <c r="A233" i="24" s="1"/>
  <c r="A279" i="24" s="1"/>
  <c r="A302" i="24" s="1"/>
  <c r="A337" i="24" s="1"/>
  <c r="C242" i="21"/>
  <c r="C244" i="21"/>
  <c r="C243" i="21"/>
  <c r="C241" i="21"/>
  <c r="A192" i="24"/>
  <c r="A216" i="24" s="1"/>
  <c r="A240" i="24" s="1"/>
  <c r="A244" i="24" s="1"/>
  <c r="A309" i="24" s="1"/>
  <c r="A344" i="24" s="1"/>
  <c r="A351" i="24" s="1"/>
  <c r="A359" i="24" s="1"/>
  <c r="A363" i="24" s="1"/>
  <c r="A372" i="24" s="1"/>
  <c r="B143" i="21"/>
  <c r="B185" i="21" s="1"/>
  <c r="B158" i="21"/>
  <c r="B200" i="21" s="1"/>
  <c r="B159" i="21"/>
  <c r="B201" i="21" s="1"/>
  <c r="B161" i="21"/>
  <c r="B203" i="21" s="1"/>
  <c r="B160" i="21"/>
  <c r="B202" i="21" s="1"/>
  <c r="C79" i="21"/>
  <c r="C78" i="21"/>
  <c r="C80" i="21"/>
  <c r="C77" i="21"/>
  <c r="B79" i="21"/>
  <c r="B80" i="21"/>
  <c r="B78" i="21"/>
  <c r="B77" i="21"/>
  <c r="B64" i="21"/>
  <c r="B105" i="21" s="1"/>
  <c r="C292" i="23"/>
  <c r="C298" i="23"/>
  <c r="C293" i="23"/>
  <c r="C72" i="21"/>
  <c r="C276" i="24" s="1"/>
  <c r="C62" i="21"/>
  <c r="C266" i="24" s="1"/>
  <c r="C299" i="21"/>
  <c r="C239" i="21"/>
  <c r="C237" i="21"/>
  <c r="C233" i="21"/>
  <c r="C231" i="21"/>
  <c r="C226" i="21"/>
  <c r="C230" i="21"/>
  <c r="C229" i="21"/>
  <c r="C232" i="21"/>
  <c r="C234" i="21"/>
  <c r="C236" i="21"/>
  <c r="C228" i="21"/>
  <c r="C238" i="21"/>
  <c r="C240" i="21"/>
  <c r="C227" i="21"/>
  <c r="C235" i="21"/>
  <c r="B108" i="23"/>
  <c r="B109" i="23"/>
  <c r="C324" i="23"/>
  <c r="C328" i="23"/>
  <c r="C332" i="23"/>
  <c r="C220" i="24"/>
  <c r="C196" i="24"/>
  <c r="C185" i="24"/>
  <c r="C176" i="24"/>
  <c r="C206" i="24"/>
  <c r="C223" i="24"/>
  <c r="A356" i="24"/>
  <c r="A360" i="24"/>
  <c r="A364" i="24" s="1"/>
  <c r="A373" i="24" s="1"/>
  <c r="D14" i="20"/>
  <c r="D13" i="20"/>
  <c r="J53" i="8"/>
  <c r="B315" i="24"/>
  <c r="C262" i="24"/>
  <c r="C224" i="24"/>
  <c r="C232" i="24"/>
  <c r="C222" i="24"/>
  <c r="C225" i="24"/>
  <c r="C233" i="24"/>
  <c r="C226" i="24"/>
  <c r="C229" i="24"/>
  <c r="C230" i="24"/>
  <c r="C227" i="24"/>
  <c r="C228" i="24"/>
  <c r="C221" i="24"/>
  <c r="C231" i="24"/>
  <c r="C177" i="24"/>
  <c r="C201" i="24"/>
  <c r="C209" i="24"/>
  <c r="C178" i="24"/>
  <c r="C202" i="24"/>
  <c r="C179" i="24"/>
  <c r="C203" i="24"/>
  <c r="C180" i="24"/>
  <c r="C172" i="24"/>
  <c r="C204" i="24"/>
  <c r="C173" i="24"/>
  <c r="C181" i="24"/>
  <c r="C197" i="24"/>
  <c r="C205" i="24"/>
  <c r="C174" i="24"/>
  <c r="C182" i="24"/>
  <c r="C198" i="24"/>
  <c r="C175" i="24"/>
  <c r="C183" i="24"/>
  <c r="C199" i="24"/>
  <c r="C207" i="24"/>
  <c r="C184" i="24"/>
  <c r="C200" i="24"/>
  <c r="C208" i="24"/>
  <c r="C69" i="24"/>
  <c r="C322" i="23"/>
  <c r="C321" i="23"/>
  <c r="C237" i="23"/>
  <c r="C245" i="23"/>
  <c r="C246" i="23"/>
  <c r="C236" i="23"/>
  <c r="C242" i="23"/>
  <c r="C240" i="23"/>
  <c r="C238" i="23"/>
  <c r="C244" i="23"/>
  <c r="C234" i="23"/>
  <c r="C243" i="23"/>
  <c r="C241" i="23"/>
  <c r="C235" i="23"/>
  <c r="C239" i="23"/>
  <c r="C300" i="23"/>
  <c r="C299" i="23"/>
  <c r="C301" i="23"/>
  <c r="C294" i="23"/>
  <c r="C302" i="23"/>
  <c r="C295" i="23"/>
  <c r="C303" i="23"/>
  <c r="C296" i="23"/>
  <c r="C304" i="23"/>
  <c r="C297" i="23"/>
  <c r="C305" i="23"/>
  <c r="C325" i="23"/>
  <c r="C333" i="23"/>
  <c r="C326" i="23"/>
  <c r="C334" i="23"/>
  <c r="C327" i="23"/>
  <c r="C335" i="23"/>
  <c r="C336" i="23"/>
  <c r="C329" i="23"/>
  <c r="C337" i="23"/>
  <c r="C330" i="23"/>
  <c r="C331" i="23"/>
  <c r="C127" i="23"/>
  <c r="B299" i="21"/>
  <c r="B62" i="21"/>
  <c r="B103" i="21" s="1"/>
  <c r="B144" i="21"/>
  <c r="B186" i="21" s="1"/>
  <c r="B261" i="21" s="1"/>
  <c r="B152" i="21"/>
  <c r="B194" i="21" s="1"/>
  <c r="B269" i="21" s="1"/>
  <c r="B145" i="21"/>
  <c r="B187" i="21" s="1"/>
  <c r="B262" i="21" s="1"/>
  <c r="B153" i="21"/>
  <c r="B195" i="21" s="1"/>
  <c r="B270" i="21" s="1"/>
  <c r="B157" i="21"/>
  <c r="B199" i="21" s="1"/>
  <c r="B146" i="21"/>
  <c r="B188" i="21" s="1"/>
  <c r="B263" i="21" s="1"/>
  <c r="B154" i="21"/>
  <c r="B196" i="21" s="1"/>
  <c r="B271" i="21" s="1"/>
  <c r="B149" i="21"/>
  <c r="B191" i="21" s="1"/>
  <c r="B266" i="21" s="1"/>
  <c r="B151" i="21"/>
  <c r="B193" i="21" s="1"/>
  <c r="B268" i="21" s="1"/>
  <c r="B147" i="21"/>
  <c r="B189" i="21" s="1"/>
  <c r="B264" i="21" s="1"/>
  <c r="B155" i="21"/>
  <c r="B197" i="21" s="1"/>
  <c r="B272" i="21" s="1"/>
  <c r="B148" i="21"/>
  <c r="B190" i="21" s="1"/>
  <c r="B265" i="21" s="1"/>
  <c r="B156" i="21"/>
  <c r="B198" i="21" s="1"/>
  <c r="B273" i="21" s="1"/>
  <c r="B150" i="21"/>
  <c r="B192" i="21" s="1"/>
  <c r="B267" i="21" s="1"/>
  <c r="C261" i="24"/>
  <c r="C68" i="21"/>
  <c r="C109" i="21" s="1"/>
  <c r="C63" i="21"/>
  <c r="C104" i="21" s="1"/>
  <c r="B63" i="21"/>
  <c r="B72" i="21"/>
  <c r="C67" i="21"/>
  <c r="C108" i="21" s="1"/>
  <c r="B69" i="21"/>
  <c r="C71" i="21"/>
  <c r="C112" i="21" s="1"/>
  <c r="B66" i="21"/>
  <c r="C76" i="21"/>
  <c r="B74" i="21"/>
  <c r="B71" i="21"/>
  <c r="C65" i="21"/>
  <c r="C106" i="21" s="1"/>
  <c r="B68" i="21"/>
  <c r="B67" i="21"/>
  <c r="C74" i="21"/>
  <c r="C115" i="21" s="1"/>
  <c r="C73" i="21"/>
  <c r="C114" i="21" s="1"/>
  <c r="B76" i="21"/>
  <c r="C70" i="21"/>
  <c r="C111" i="21" s="1"/>
  <c r="C64" i="21"/>
  <c r="C105" i="21" s="1"/>
  <c r="B65" i="21"/>
  <c r="B75" i="21"/>
  <c r="B70" i="21"/>
  <c r="B73" i="21"/>
  <c r="C69" i="21"/>
  <c r="C110" i="21" s="1"/>
  <c r="C75" i="21"/>
  <c r="C279" i="24" s="1"/>
  <c r="C66" i="21"/>
  <c r="C107" i="21" s="1"/>
  <c r="B316" i="24"/>
  <c r="J68" i="8"/>
  <c r="C126" i="23"/>
  <c r="C320" i="21" l="1"/>
  <c r="C321" i="21"/>
  <c r="C322" i="21"/>
  <c r="C319" i="21"/>
  <c r="C318" i="21"/>
  <c r="B228" i="23"/>
  <c r="B60" i="24"/>
  <c r="B227" i="23"/>
  <c r="B59" i="24"/>
  <c r="A65" i="23"/>
  <c r="A100" i="23" s="1"/>
  <c r="A148" i="23" s="1"/>
  <c r="A168" i="23" s="1"/>
  <c r="A189" i="23" s="1"/>
  <c r="A226" i="23" s="1"/>
  <c r="A247" i="23" s="1"/>
  <c r="A273" i="23" s="1"/>
  <c r="A306" i="23" s="1"/>
  <c r="A338" i="23" s="1"/>
  <c r="A38" i="24"/>
  <c r="A58" i="24" s="1"/>
  <c r="A86" i="24" s="1"/>
  <c r="A110" i="24" s="1"/>
  <c r="A134" i="24" s="1"/>
  <c r="A186" i="24" s="1"/>
  <c r="A210" i="24" s="1"/>
  <c r="A234" i="24" s="1"/>
  <c r="A280" i="24" s="1"/>
  <c r="A303" i="24" s="1"/>
  <c r="A338" i="24" s="1"/>
  <c r="C117" i="21"/>
  <c r="C280" i="24"/>
  <c r="C168" i="23"/>
  <c r="C189" i="23" s="1"/>
  <c r="B230" i="23"/>
  <c r="B62" i="24"/>
  <c r="B229" i="23"/>
  <c r="B61" i="24"/>
  <c r="C118" i="21"/>
  <c r="C281" i="24"/>
  <c r="C169" i="23"/>
  <c r="C190" i="23" s="1"/>
  <c r="B274" i="21"/>
  <c r="B318" i="21" s="1"/>
  <c r="B58" i="24"/>
  <c r="B226" i="23"/>
  <c r="C119" i="21"/>
  <c r="C282" i="24"/>
  <c r="C305" i="24" s="1"/>
  <c r="C170" i="23"/>
  <c r="C191" i="23" s="1"/>
  <c r="C172" i="23"/>
  <c r="C193" i="23" s="1"/>
  <c r="C284" i="24"/>
  <c r="C283" i="24"/>
  <c r="C171" i="23"/>
  <c r="C192" i="23" s="1"/>
  <c r="B172" i="23"/>
  <c r="B193" i="23" s="1"/>
  <c r="B284" i="24"/>
  <c r="B118" i="21"/>
  <c r="B169" i="23"/>
  <c r="B190" i="23" s="1"/>
  <c r="B281" i="24"/>
  <c r="B171" i="23"/>
  <c r="B192" i="23" s="1"/>
  <c r="B283" i="24"/>
  <c r="B119" i="21"/>
  <c r="B170" i="23"/>
  <c r="B191" i="23" s="1"/>
  <c r="B282" i="24"/>
  <c r="B280" i="24"/>
  <c r="B168" i="23"/>
  <c r="B189" i="23" s="1"/>
  <c r="A355" i="24"/>
  <c r="B244" i="21"/>
  <c r="B278" i="21"/>
  <c r="B322" i="21" s="1"/>
  <c r="C121" i="21"/>
  <c r="B276" i="21"/>
  <c r="B320" i="21" s="1"/>
  <c r="B242" i="21"/>
  <c r="B241" i="21"/>
  <c r="B275" i="21"/>
  <c r="B319" i="21" s="1"/>
  <c r="B277" i="21"/>
  <c r="B321" i="21" s="1"/>
  <c r="B243" i="21"/>
  <c r="B156" i="23"/>
  <c r="B177" i="23" s="1"/>
  <c r="B120" i="21"/>
  <c r="B268" i="24"/>
  <c r="B291" i="24" s="1"/>
  <c r="C164" i="23"/>
  <c r="C185" i="23" s="1"/>
  <c r="C113" i="21"/>
  <c r="C116" i="21"/>
  <c r="C317" i="21"/>
  <c r="C310" i="21"/>
  <c r="C311" i="21"/>
  <c r="C314" i="21"/>
  <c r="C316" i="21"/>
  <c r="C309" i="21"/>
  <c r="C308" i="21"/>
  <c r="C307" i="21"/>
  <c r="C313" i="21"/>
  <c r="C312" i="21"/>
  <c r="C304" i="21"/>
  <c r="C306" i="21"/>
  <c r="C315" i="21"/>
  <c r="C305" i="21"/>
  <c r="C103" i="21"/>
  <c r="C302" i="24"/>
  <c r="C167" i="23"/>
  <c r="C188" i="23" s="1"/>
  <c r="C269" i="24"/>
  <c r="C292" i="24" s="1"/>
  <c r="C157" i="23"/>
  <c r="C178" i="23" s="1"/>
  <c r="B195" i="23" s="1"/>
  <c r="C289" i="24"/>
  <c r="C154" i="23"/>
  <c r="C175" i="23" s="1"/>
  <c r="C268" i="24"/>
  <c r="C291" i="24" s="1"/>
  <c r="C156" i="23"/>
  <c r="C177" i="23" s="1"/>
  <c r="C158" i="23"/>
  <c r="C179" i="23" s="1"/>
  <c r="C270" i="24"/>
  <c r="C293" i="24" s="1"/>
  <c r="C155" i="23"/>
  <c r="C176" i="23" s="1"/>
  <c r="C267" i="24"/>
  <c r="C290" i="24" s="1"/>
  <c r="C165" i="23"/>
  <c r="C186" i="23" s="1"/>
  <c r="C277" i="24"/>
  <c r="C300" i="24" s="1"/>
  <c r="C272" i="24"/>
  <c r="C295" i="24" s="1"/>
  <c r="C160" i="23"/>
  <c r="C181" i="23" s="1"/>
  <c r="C166" i="23"/>
  <c r="C187" i="23" s="1"/>
  <c r="C278" i="24"/>
  <c r="C301" i="24" s="1"/>
  <c r="C163" i="23"/>
  <c r="C184" i="23" s="1"/>
  <c r="C275" i="24"/>
  <c r="C298" i="24" s="1"/>
  <c r="C162" i="23"/>
  <c r="C183" i="23" s="1"/>
  <c r="C274" i="24"/>
  <c r="C297" i="24" s="1"/>
  <c r="C273" i="24"/>
  <c r="C296" i="24" s="1"/>
  <c r="C161" i="23"/>
  <c r="C182" i="23" s="1"/>
  <c r="C159" i="23"/>
  <c r="C180" i="23" s="1"/>
  <c r="C271" i="24"/>
  <c r="C294" i="24" s="1"/>
  <c r="B114" i="21"/>
  <c r="B277" i="24"/>
  <c r="B300" i="24" s="1"/>
  <c r="B165" i="23"/>
  <c r="B186" i="23" s="1"/>
  <c r="B222" i="23"/>
  <c r="B54" i="24"/>
  <c r="B216" i="23"/>
  <c r="B48" i="24"/>
  <c r="B116" i="21"/>
  <c r="B167" i="23"/>
  <c r="B188" i="23" s="1"/>
  <c r="B279" i="24"/>
  <c r="B302" i="24" s="1"/>
  <c r="B272" i="24"/>
  <c r="B295" i="24" s="1"/>
  <c r="B160" i="23"/>
  <c r="B181" i="23" s="1"/>
  <c r="B220" i="23"/>
  <c r="B52" i="24"/>
  <c r="B221" i="23"/>
  <c r="B53" i="24"/>
  <c r="B224" i="23"/>
  <c r="B56" i="24"/>
  <c r="B159" i="23"/>
  <c r="B180" i="23" s="1"/>
  <c r="B271" i="24"/>
  <c r="B294" i="24" s="1"/>
  <c r="B214" i="23"/>
  <c r="B46" i="24"/>
  <c r="B218" i="23"/>
  <c r="B50" i="24"/>
  <c r="B213" i="23"/>
  <c r="B260" i="23" s="1"/>
  <c r="B45" i="24"/>
  <c r="B55" i="24"/>
  <c r="B223" i="23"/>
  <c r="B111" i="21"/>
  <c r="B274" i="24"/>
  <c r="B297" i="24" s="1"/>
  <c r="B162" i="23"/>
  <c r="B183" i="23" s="1"/>
  <c r="B113" i="21"/>
  <c r="B276" i="24"/>
  <c r="B299" i="24" s="1"/>
  <c r="B164" i="23"/>
  <c r="B185" i="23" s="1"/>
  <c r="B115" i="21"/>
  <c r="B166" i="23"/>
  <c r="B187" i="23" s="1"/>
  <c r="B278" i="24"/>
  <c r="B301" i="24" s="1"/>
  <c r="B219" i="23"/>
  <c r="B51" i="24"/>
  <c r="B47" i="24"/>
  <c r="B215" i="23"/>
  <c r="B273" i="24"/>
  <c r="B296" i="24" s="1"/>
  <c r="B161" i="23"/>
  <c r="B182" i="23" s="1"/>
  <c r="B269" i="24"/>
  <c r="B292" i="24" s="1"/>
  <c r="B157" i="23"/>
  <c r="B178" i="23" s="1"/>
  <c r="B112" i="21"/>
  <c r="B275" i="24"/>
  <c r="B298" i="24" s="1"/>
  <c r="B163" i="23"/>
  <c r="B184" i="23" s="1"/>
  <c r="B266" i="24"/>
  <c r="B154" i="23"/>
  <c r="B175" i="23" s="1"/>
  <c r="B194" i="23" s="1"/>
  <c r="B117" i="21"/>
  <c r="B57" i="24"/>
  <c r="B225" i="23"/>
  <c r="B212" i="23"/>
  <c r="B44" i="24"/>
  <c r="B220" i="24" s="1"/>
  <c r="B239" i="24" s="1"/>
  <c r="B267" i="24"/>
  <c r="B290" i="24" s="1"/>
  <c r="B155" i="23"/>
  <c r="B176" i="23" s="1"/>
  <c r="B107" i="21"/>
  <c r="B158" i="23"/>
  <c r="B179" i="23" s="1"/>
  <c r="B270" i="24"/>
  <c r="B293" i="24" s="1"/>
  <c r="B49" i="24"/>
  <c r="B217" i="23"/>
  <c r="C315" i="24"/>
  <c r="C316" i="24"/>
  <c r="C299" i="24"/>
  <c r="B238" i="21"/>
  <c r="B316" i="21"/>
  <c r="B236" i="21"/>
  <c r="B314" i="21"/>
  <c r="B230" i="21"/>
  <c r="B308" i="21"/>
  <c r="B228" i="21"/>
  <c r="B306" i="21"/>
  <c r="B234" i="21"/>
  <c r="B312" i="21"/>
  <c r="B235" i="21"/>
  <c r="B313" i="21"/>
  <c r="B232" i="21"/>
  <c r="B310" i="21"/>
  <c r="B227" i="21"/>
  <c r="B305" i="21"/>
  <c r="B237" i="21"/>
  <c r="B315" i="21"/>
  <c r="B233" i="21"/>
  <c r="B311" i="21"/>
  <c r="B229" i="21"/>
  <c r="B307" i="21"/>
  <c r="B239" i="21"/>
  <c r="B317" i="21"/>
  <c r="B325" i="21" s="1"/>
  <c r="B226" i="21"/>
  <c r="B245" i="21" s="1"/>
  <c r="B260" i="21"/>
  <c r="B304" i="21" s="1"/>
  <c r="B323" i="21" s="1"/>
  <c r="B231" i="21"/>
  <c r="B309" i="21"/>
  <c r="B240" i="21"/>
  <c r="B104" i="21"/>
  <c r="B121" i="21" s="1"/>
  <c r="B108" i="21"/>
  <c r="B109" i="21"/>
  <c r="B106" i="21"/>
  <c r="B110" i="21"/>
  <c r="B324" i="23" l="1"/>
  <c r="B343" i="23" s="1"/>
  <c r="B259" i="23"/>
  <c r="B278" i="23" s="1"/>
  <c r="B324" i="21"/>
  <c r="C341" i="24"/>
  <c r="C342" i="24"/>
  <c r="C338" i="24"/>
  <c r="C340" i="24"/>
  <c r="C339" i="24"/>
  <c r="C307" i="24"/>
  <c r="C306" i="24"/>
  <c r="C303" i="24"/>
  <c r="B250" i="23"/>
  <c r="B309" i="23"/>
  <c r="B341" i="23"/>
  <c r="B276" i="23"/>
  <c r="B238" i="24"/>
  <c r="B214" i="24"/>
  <c r="B190" i="24"/>
  <c r="B138" i="24"/>
  <c r="B90" i="24"/>
  <c r="B114" i="24"/>
  <c r="C304" i="24"/>
  <c r="B310" i="23"/>
  <c r="B342" i="23"/>
  <c r="B251" i="23"/>
  <c r="B277" i="23"/>
  <c r="B137" i="24"/>
  <c r="B237" i="24"/>
  <c r="B189" i="24"/>
  <c r="B213" i="24"/>
  <c r="B113" i="24"/>
  <c r="B89" i="24"/>
  <c r="B235" i="24"/>
  <c r="B87" i="24"/>
  <c r="B111" i="24"/>
  <c r="B211" i="24"/>
  <c r="B187" i="24"/>
  <c r="B135" i="24"/>
  <c r="B338" i="23"/>
  <c r="B306" i="23"/>
  <c r="B247" i="23"/>
  <c r="B273" i="23"/>
  <c r="B248" i="23"/>
  <c r="B274" i="23"/>
  <c r="B339" i="23"/>
  <c r="B307" i="23"/>
  <c r="B86" i="24"/>
  <c r="B110" i="24"/>
  <c r="B186" i="24"/>
  <c r="B234" i="24"/>
  <c r="B134" i="24"/>
  <c r="B210" i="24"/>
  <c r="B236" i="24"/>
  <c r="B136" i="24"/>
  <c r="B88" i="24"/>
  <c r="B112" i="24"/>
  <c r="B212" i="24"/>
  <c r="B188" i="24"/>
  <c r="B275" i="23"/>
  <c r="B340" i="23"/>
  <c r="B308" i="23"/>
  <c r="B249" i="23"/>
  <c r="B340" i="24"/>
  <c r="B305" i="24"/>
  <c r="B338" i="24"/>
  <c r="B303" i="24"/>
  <c r="B341" i="24"/>
  <c r="B306" i="24"/>
  <c r="B339" i="24"/>
  <c r="B304" i="24"/>
  <c r="B342" i="24"/>
  <c r="B307" i="24"/>
  <c r="B326" i="24"/>
  <c r="B122" i="21"/>
  <c r="C120" i="21"/>
  <c r="B124" i="21" s="1"/>
  <c r="B329" i="21"/>
  <c r="C334" i="24"/>
  <c r="C329" i="24"/>
  <c r="B123" i="21"/>
  <c r="B289" i="24"/>
  <c r="B308" i="24" s="1"/>
  <c r="B350" i="24" s="1"/>
  <c r="B324" i="24"/>
  <c r="B120" i="24"/>
  <c r="B139" i="24" s="1"/>
  <c r="B172" i="24"/>
  <c r="B191" i="24" s="1"/>
  <c r="B72" i="24"/>
  <c r="B91" i="24" s="1"/>
  <c r="B96" i="24"/>
  <c r="B115" i="24" s="1"/>
  <c r="B336" i="24"/>
  <c r="C324" i="24"/>
  <c r="B332" i="24"/>
  <c r="B329" i="24"/>
  <c r="B331" i="24"/>
  <c r="B196" i="23"/>
  <c r="B333" i="24"/>
  <c r="B325" i="24"/>
  <c r="B328" i="24"/>
  <c r="B330" i="24"/>
  <c r="B335" i="24"/>
  <c r="B239" i="23"/>
  <c r="B265" i="23"/>
  <c r="B330" i="23"/>
  <c r="B298" i="23"/>
  <c r="B242" i="23"/>
  <c r="B301" i="23"/>
  <c r="B268" i="23"/>
  <c r="B333" i="23"/>
  <c r="B327" i="23"/>
  <c r="B262" i="23"/>
  <c r="B236" i="23"/>
  <c r="B295" i="23"/>
  <c r="B122" i="24"/>
  <c r="B198" i="24"/>
  <c r="B74" i="24"/>
  <c r="B98" i="24"/>
  <c r="B174" i="24"/>
  <c r="B222" i="24"/>
  <c r="B104" i="24"/>
  <c r="B204" i="24"/>
  <c r="B80" i="24"/>
  <c r="B228" i="24"/>
  <c r="B128" i="24"/>
  <c r="B180" i="24"/>
  <c r="B224" i="24"/>
  <c r="B76" i="24"/>
  <c r="B200" i="24"/>
  <c r="B100" i="24"/>
  <c r="B124" i="24"/>
  <c r="B176" i="24"/>
  <c r="B223" i="24"/>
  <c r="B175" i="24"/>
  <c r="B199" i="24"/>
  <c r="B123" i="24"/>
  <c r="B75" i="24"/>
  <c r="B99" i="24"/>
  <c r="B303" i="23"/>
  <c r="B335" i="23"/>
  <c r="B244" i="23"/>
  <c r="B270" i="23"/>
  <c r="B326" i="23"/>
  <c r="B261" i="23"/>
  <c r="B235" i="23"/>
  <c r="B294" i="23"/>
  <c r="B300" i="23"/>
  <c r="B241" i="23"/>
  <c r="B332" i="23"/>
  <c r="B267" i="23"/>
  <c r="B263" i="23"/>
  <c r="B328" i="23"/>
  <c r="B237" i="23"/>
  <c r="B296" i="23"/>
  <c r="B327" i="24"/>
  <c r="B264" i="23"/>
  <c r="B329" i="23"/>
  <c r="B297" i="23"/>
  <c r="B238" i="23"/>
  <c r="B196" i="24"/>
  <c r="B215" i="24" s="1"/>
  <c r="B299" i="23"/>
  <c r="B331" i="23"/>
  <c r="B266" i="23"/>
  <c r="B240" i="23"/>
  <c r="B243" i="23"/>
  <c r="B334" i="23"/>
  <c r="B269" i="23"/>
  <c r="B302" i="23"/>
  <c r="B179" i="24"/>
  <c r="B127" i="24"/>
  <c r="B79" i="24"/>
  <c r="B227" i="24"/>
  <c r="B203" i="24"/>
  <c r="B103" i="24"/>
  <c r="B334" i="24"/>
  <c r="B221" i="24"/>
  <c r="B73" i="24"/>
  <c r="B97" i="24"/>
  <c r="B197" i="24"/>
  <c r="B173" i="24"/>
  <c r="B121" i="24"/>
  <c r="B108" i="24"/>
  <c r="B208" i="24"/>
  <c r="B84" i="24"/>
  <c r="B184" i="24"/>
  <c r="B232" i="24"/>
  <c r="B132" i="24"/>
  <c r="B272" i="23"/>
  <c r="B305" i="23"/>
  <c r="B246" i="23"/>
  <c r="B337" i="23"/>
  <c r="B345" i="23" s="1"/>
  <c r="B293" i="23"/>
  <c r="B234" i="23"/>
  <c r="B325" i="23"/>
  <c r="B245" i="23"/>
  <c r="B271" i="23"/>
  <c r="B304" i="23"/>
  <c r="B336" i="23"/>
  <c r="B183" i="24"/>
  <c r="B107" i="24"/>
  <c r="B131" i="24"/>
  <c r="B231" i="24"/>
  <c r="B207" i="24"/>
  <c r="B83" i="24"/>
  <c r="B130" i="24"/>
  <c r="B82" i="24"/>
  <c r="B106" i="24"/>
  <c r="B206" i="24"/>
  <c r="B230" i="24"/>
  <c r="B182" i="24"/>
  <c r="B201" i="24"/>
  <c r="B125" i="24"/>
  <c r="B77" i="24"/>
  <c r="B101" i="24"/>
  <c r="B225" i="24"/>
  <c r="B177" i="24"/>
  <c r="B292" i="23"/>
  <c r="B311" i="23" s="1"/>
  <c r="B233" i="23"/>
  <c r="B252" i="23" s="1"/>
  <c r="B337" i="24"/>
  <c r="B209" i="24"/>
  <c r="B185" i="24"/>
  <c r="B233" i="24"/>
  <c r="B85" i="24"/>
  <c r="B109" i="24"/>
  <c r="B133" i="24"/>
  <c r="B102" i="24"/>
  <c r="B178" i="24"/>
  <c r="B78" i="24"/>
  <c r="B226" i="24"/>
  <c r="B126" i="24"/>
  <c r="B202" i="24"/>
  <c r="B229" i="24"/>
  <c r="B105" i="24"/>
  <c r="B81" i="24"/>
  <c r="B205" i="24"/>
  <c r="B181" i="24"/>
  <c r="B129" i="24"/>
  <c r="C326" i="24"/>
  <c r="C327" i="24"/>
  <c r="C335" i="24"/>
  <c r="C328" i="24"/>
  <c r="C336" i="24"/>
  <c r="C337" i="24"/>
  <c r="C330" i="24"/>
  <c r="C331" i="24"/>
  <c r="C332" i="24"/>
  <c r="C325" i="24"/>
  <c r="C333" i="24"/>
  <c r="B309" i="24"/>
  <c r="B351" i="24" s="1"/>
  <c r="B247" i="21"/>
  <c r="B246" i="21"/>
  <c r="B344" i="23" l="1"/>
  <c r="B346" i="23"/>
  <c r="B335" i="21"/>
  <c r="B310" i="24"/>
  <c r="B352" i="24" s="1"/>
  <c r="B349" i="24" s="1"/>
  <c r="B349" i="23"/>
  <c r="B240" i="24"/>
  <c r="B344" i="24"/>
  <c r="B355" i="24" s="1"/>
  <c r="B343" i="24"/>
  <c r="B354" i="24" s="1"/>
  <c r="B345" i="24"/>
  <c r="B356" i="24" s="1"/>
  <c r="B330" i="21"/>
  <c r="B336" i="21" s="1"/>
  <c r="B331" i="21"/>
  <c r="B337" i="21" s="1"/>
  <c r="E7" i="25" s="1"/>
  <c r="B243" i="24"/>
  <c r="B362" i="24" s="1"/>
  <c r="B143" i="24"/>
  <c r="B358" i="24" s="1"/>
  <c r="B313" i="23"/>
  <c r="B197" i="23"/>
  <c r="B217" i="24"/>
  <c r="B140" i="24"/>
  <c r="B241" i="24"/>
  <c r="B279" i="23"/>
  <c r="B312" i="23"/>
  <c r="B254" i="23"/>
  <c r="B117" i="24"/>
  <c r="B280" i="23"/>
  <c r="B192" i="24"/>
  <c r="B141" i="24"/>
  <c r="B92" i="24"/>
  <c r="B125" i="21"/>
  <c r="B216" i="24"/>
  <c r="B93" i="24"/>
  <c r="B193" i="24"/>
  <c r="B253" i="23"/>
  <c r="B116" i="24"/>
  <c r="B326" i="21"/>
  <c r="B248" i="21"/>
  <c r="B311" i="24" l="1"/>
  <c r="E5" i="25"/>
  <c r="E333" i="21"/>
  <c r="B371" i="24"/>
  <c r="G5" i="25" s="1"/>
  <c r="B144" i="24"/>
  <c r="B359" i="24" s="1"/>
  <c r="B351" i="23"/>
  <c r="B350" i="23"/>
  <c r="B242" i="24"/>
  <c r="B142" i="24"/>
  <c r="B281" i="23"/>
  <c r="B118" i="24"/>
  <c r="B314" i="23"/>
  <c r="B245" i="24"/>
  <c r="B364" i="24" s="1"/>
  <c r="B353" i="24"/>
  <c r="B244" i="24"/>
  <c r="B194" i="24"/>
  <c r="E6" i="25"/>
  <c r="B94" i="24"/>
  <c r="B145" i="24"/>
  <c r="B360" i="24" s="1"/>
  <c r="B218" i="24"/>
  <c r="B346" i="24"/>
  <c r="E328" i="21"/>
  <c r="C348" i="23" l="1"/>
  <c r="E8" i="25"/>
  <c r="B146" i="24"/>
  <c r="B363" i="24"/>
  <c r="B246" i="24"/>
  <c r="B357" i="24"/>
  <c r="B373" i="24"/>
  <c r="G7" i="25" s="1"/>
  <c r="B255" i="23"/>
  <c r="B361" i="24" l="1"/>
  <c r="B372" i="24"/>
  <c r="G6" i="25" l="1"/>
  <c r="B370" i="24"/>
  <c r="G8" i="25" l="1"/>
  <c r="L69" i="8" l="1"/>
  <c r="L66" i="8"/>
  <c r="L58" i="8"/>
  <c r="L60" i="8"/>
  <c r="L64" i="8"/>
  <c r="L55" i="8"/>
  <c r="L59" i="8"/>
  <c r="L70" i="8"/>
  <c r="L68" i="8"/>
  <c r="L63" i="8"/>
  <c r="L54" i="8"/>
  <c r="L67" i="8"/>
  <c r="L56" i="8"/>
  <c r="L62" i="8"/>
  <c r="L65" i="8"/>
  <c r="L57" i="8"/>
  <c r="L61" i="8"/>
  <c r="L71" i="8"/>
  <c r="M70" i="8" l="1"/>
  <c r="B68" i="23" s="1"/>
  <c r="N70" i="8"/>
  <c r="M59" i="8"/>
  <c r="B57" i="23" s="1"/>
  <c r="N59" i="8"/>
  <c r="M62" i="8"/>
  <c r="B60" i="23" s="1"/>
  <c r="N62" i="8"/>
  <c r="N55" i="8"/>
  <c r="M55" i="8"/>
  <c r="B53" i="23" s="1"/>
  <c r="N71" i="8"/>
  <c r="M71" i="8"/>
  <c r="B69" i="23" s="1"/>
  <c r="M65" i="8"/>
  <c r="B63" i="23" s="1"/>
  <c r="N65" i="8"/>
  <c r="M67" i="8"/>
  <c r="B65" i="23" s="1"/>
  <c r="N67" i="8"/>
  <c r="M58" i="8"/>
  <c r="B56" i="23" s="1"/>
  <c r="N58" i="8"/>
  <c r="M61" i="8"/>
  <c r="B59" i="23" s="1"/>
  <c r="N61" i="8"/>
  <c r="M57" i="8"/>
  <c r="B55" i="23" s="1"/>
  <c r="N57" i="8"/>
  <c r="N60" i="8"/>
  <c r="M60" i="8"/>
  <c r="B58" i="23" s="1"/>
  <c r="N68" i="8"/>
  <c r="M68" i="8"/>
  <c r="B66" i="23" s="1"/>
  <c r="M54" i="8"/>
  <c r="B52" i="23" s="1"/>
  <c r="N54" i="8"/>
  <c r="N69" i="8"/>
  <c r="M69" i="8"/>
  <c r="B67" i="23" s="1"/>
  <c r="N56" i="8"/>
  <c r="M56" i="8"/>
  <c r="B54" i="23" s="1"/>
  <c r="M64" i="8"/>
  <c r="B62" i="23" s="1"/>
  <c r="N64" i="8"/>
  <c r="N63" i="8"/>
  <c r="M63" i="8"/>
  <c r="B61" i="23" s="1"/>
  <c r="N66" i="8"/>
  <c r="M66" i="8"/>
  <c r="B64" i="23" s="1"/>
  <c r="B72" i="23" l="1"/>
  <c r="B73" i="23"/>
  <c r="B72" i="8"/>
  <c r="L53" i="8"/>
  <c r="L72" i="8" l="1"/>
  <c r="M53" i="8"/>
  <c r="N53" i="8"/>
  <c r="N72" i="8" s="1"/>
  <c r="B51" i="23" l="1"/>
  <c r="B71" i="23" s="1"/>
  <c r="B70" i="23" s="1"/>
  <c r="M72" i="8"/>
  <c r="C72" i="8" l="1"/>
  <c r="B21" i="23" l="1"/>
  <c r="B19" i="23"/>
  <c r="B23" i="23"/>
  <c r="B22" i="23"/>
  <c r="B16" i="23"/>
  <c r="B20" i="23"/>
  <c r="B25" i="23"/>
  <c r="B18" i="23"/>
  <c r="B33" i="23"/>
  <c r="B17" i="23"/>
  <c r="B27" i="23"/>
  <c r="B32" i="23"/>
  <c r="B31" i="23"/>
  <c r="B30" i="23"/>
  <c r="B26" i="23"/>
  <c r="B29" i="23"/>
  <c r="B24" i="23"/>
  <c r="B28" i="23"/>
  <c r="B38" i="23" l="1"/>
  <c r="B39" i="23"/>
  <c r="B47" i="8"/>
  <c r="B112" i="23"/>
  <c r="B357" i="23" s="1"/>
  <c r="F6" i="25" s="1"/>
  <c r="H6" i="25" s="1"/>
  <c r="D20" i="20" s="1"/>
  <c r="B15" i="23"/>
  <c r="B37" i="23" s="1"/>
  <c r="B111" i="23" s="1"/>
  <c r="B356" i="23" l="1"/>
  <c r="B113" i="23"/>
  <c r="B358" i="23" s="1"/>
  <c r="F7" i="25" s="1"/>
  <c r="H7" i="25" s="1"/>
  <c r="D21" i="20" s="1"/>
  <c r="B36" i="23" l="1"/>
  <c r="B110" i="23"/>
  <c r="F5" i="25"/>
  <c r="B355" i="23"/>
  <c r="H5" i="25" l="1"/>
  <c r="F8" i="25"/>
  <c r="D19" i="20" l="1"/>
  <c r="H8" i="25"/>
  <c r="D22" i="20" s="1"/>
</calcChain>
</file>

<file path=xl/sharedStrings.xml><?xml version="1.0" encoding="utf-8"?>
<sst xmlns="http://schemas.openxmlformats.org/spreadsheetml/2006/main" count="3127" uniqueCount="404">
  <si>
    <t>-</t>
  </si>
  <si>
    <t>%</t>
  </si>
  <si>
    <t>Unit</t>
  </si>
  <si>
    <t>Parameter</t>
  </si>
  <si>
    <t>Source</t>
  </si>
  <si>
    <t>kg</t>
  </si>
  <si>
    <t>kg-dm/day</t>
  </si>
  <si>
    <t xml:space="preserve">2006 IPCC guideline, volume 4, chapter 10 </t>
  </si>
  <si>
    <t>Direct N2O Emissions</t>
  </si>
  <si>
    <t xml:space="preserve">                               Value</t>
  </si>
  <si>
    <t xml:space="preserve">                              Value </t>
  </si>
  <si>
    <t>Indirect N2O Emissions</t>
  </si>
  <si>
    <t>EF4</t>
  </si>
  <si>
    <t>EF1</t>
  </si>
  <si>
    <t>EF5</t>
  </si>
  <si>
    <t>m3 CH4/kg-VS</t>
  </si>
  <si>
    <t xml:space="preserve">                                      Value </t>
  </si>
  <si>
    <t xml:space="preserve">A) Phase I: Anaerobic digester </t>
  </si>
  <si>
    <t xml:space="preserve">Total CH4 emissions </t>
  </si>
  <si>
    <t>B) PHASE II: Aerobic treatment</t>
  </si>
  <si>
    <t>LEAKEAGE</t>
  </si>
  <si>
    <t>MCFd</t>
  </si>
  <si>
    <t>Rvs,n</t>
  </si>
  <si>
    <t>from Land Application(tCO2e)</t>
  </si>
  <si>
    <t>at the project site</t>
  </si>
  <si>
    <t>Fraction of manure handled in system j</t>
  </si>
  <si>
    <t>calculated</t>
  </si>
  <si>
    <t xml:space="preserve">calculated </t>
  </si>
  <si>
    <t>Annex 1, ACM0010</t>
  </si>
  <si>
    <t>table 11.3, chapter 11, volume 4, 2006 IPCC</t>
  </si>
  <si>
    <t>Market Swine</t>
  </si>
  <si>
    <t>Breeding Swine</t>
  </si>
  <si>
    <t xml:space="preserve">BASELINE EMISSIONS </t>
  </si>
  <si>
    <t>i) CH4 emissions</t>
  </si>
  <si>
    <t>ii) N2O emissions</t>
  </si>
  <si>
    <t>2006 IPCC default value, vol. 4, ch. 10, tbl. 10.21</t>
  </si>
  <si>
    <t>2006 IPCC default value, vol. 4, ch. 10, tbl. 11.3</t>
  </si>
  <si>
    <t>Conservative Factor</t>
  </si>
  <si>
    <t xml:space="preserve">i) Methane emissions from AWMS where gas is captured (PEAD, y): </t>
  </si>
  <si>
    <t>iii) N2O emissions from manure management</t>
  </si>
  <si>
    <t>MS%j</t>
  </si>
  <si>
    <t xml:space="preserve">PROJECT EMISSION </t>
  </si>
  <si>
    <t xml:space="preserve">i) Estimation of N2O emissions: </t>
  </si>
  <si>
    <t>ii)Methane emissions from disposal of treated manure</t>
  </si>
  <si>
    <t>table 11.1, chapter 11, volume 4, 2006 IPCC</t>
  </si>
  <si>
    <t>2006 IPCC default value, vol. 4, ch. 10, tbl. 10A-7,8</t>
  </si>
  <si>
    <t>kg/animal-yr</t>
  </si>
  <si>
    <t>Calulated</t>
  </si>
  <si>
    <t>Ndy</t>
  </si>
  <si>
    <t>kg N/1000kg animal mass/day</t>
  </si>
  <si>
    <t>2006 IPCC guideline, volume 4, chapter 10, tbl. 10A-7</t>
  </si>
  <si>
    <t>Calculated</t>
  </si>
  <si>
    <t>Default value ACM0010</t>
  </si>
  <si>
    <t>days</t>
  </si>
  <si>
    <t>MCF with cons. Factor</t>
  </si>
  <si>
    <t xml:space="preserve">Calculated  </t>
  </si>
  <si>
    <t>2006 IPCC Guidelines, volume 4, chapter 11, table 11.3</t>
  </si>
  <si>
    <t>ACM0010 Version 5, page 10</t>
  </si>
  <si>
    <t>2006 IPCC default value, vol. 4, ch. 10, tbl.10.22 (According to Chapter 8.2 in US-EPA (2001), "a covered lagoon will not lose NH3-N to the atmosphere")</t>
  </si>
  <si>
    <t>2006 IPCC default value, vol. 4, ch. 11, tbl.11.3 (According to Chapter 8.2 in US-EPA (2001), "a covered lagoon will not lose NH3-N to the atmosphere")</t>
    <phoneticPr fontId="0" type="noConversion"/>
  </si>
  <si>
    <t>Unit</t>
    <phoneticPr fontId="0" type="noConversion"/>
  </si>
  <si>
    <t>Source</t>
    <phoneticPr fontId="0" type="noConversion"/>
  </si>
  <si>
    <t xml:space="preserve">Value </t>
    <phoneticPr fontId="0" type="noConversion"/>
  </si>
  <si>
    <t>Parameter</t>
    <phoneticPr fontId="0" type="noConversion"/>
  </si>
  <si>
    <t xml:space="preserve">calculated </t>
    <phoneticPr fontId="0" type="noConversion"/>
  </si>
  <si>
    <t>2006 IPCC default value, vol. 4, ch. 10, tbl. 10.21 Anaerobic digester</t>
    <phoneticPr fontId="0" type="noConversion"/>
  </si>
  <si>
    <t xml:space="preserve">2006 IPCC default value, vol. 4, ch. 11, tbl.11.3 </t>
    <phoneticPr fontId="0" type="noConversion"/>
  </si>
  <si>
    <t>TAM</t>
  </si>
  <si>
    <t>2006 IPCC default value, vol. 4, ch. 10, tbl. 10.19</t>
    <phoneticPr fontId="0" type="noConversion"/>
  </si>
  <si>
    <t xml:space="preserve">2006 IPCC default value, vol. 4, ch. 10, tbl.10.22 </t>
    <phoneticPr fontId="0" type="noConversion"/>
  </si>
  <si>
    <t>kg N/animal/year</t>
    <phoneticPr fontId="0" type="noConversion"/>
  </si>
  <si>
    <t>No of heads</t>
    <phoneticPr fontId="0" type="noConversion"/>
  </si>
  <si>
    <t>total</t>
  </si>
  <si>
    <t>Title of the project activity</t>
  </si>
  <si>
    <t>GS ID of the project activity</t>
    <phoneticPr fontId="11" type="noConversion"/>
  </si>
  <si>
    <t>Version number of this calculation sheet</t>
    <phoneticPr fontId="11" type="noConversion"/>
  </si>
  <si>
    <t>Date</t>
    <phoneticPr fontId="11" type="noConversion"/>
  </si>
  <si>
    <t>Duration of this monitoring period</t>
  </si>
  <si>
    <t>Market Swine</t>
    <phoneticPr fontId="0" type="noConversion"/>
  </si>
  <si>
    <t>Breeding Swine</t>
    <phoneticPr fontId="0" type="noConversion"/>
  </si>
  <si>
    <t>1. Mean value and standard deviations for strata</t>
    <phoneticPr fontId="11" type="noConversion"/>
  </si>
  <si>
    <t xml:space="preserve"> Population total</t>
    <phoneticPr fontId="11" type="noConversion"/>
  </si>
  <si>
    <t xml:space="preserve">(N)  </t>
    <phoneticPr fontId="11" type="noConversion"/>
  </si>
  <si>
    <t>2. The stratified estimated overall mean:</t>
    <phoneticPr fontId="11" type="noConversion"/>
  </si>
  <si>
    <t xml:space="preserve"> The stratified estimated overall mean  </t>
  </si>
  <si>
    <t xml:space="preserve"> N  </t>
  </si>
  <si>
    <t>3. The standard error of the stratified estimated overall mean:</t>
    <phoneticPr fontId="11" type="noConversion"/>
  </si>
  <si>
    <t xml:space="preserve"> Standard error of the stratified estimated overall mean</t>
    <phoneticPr fontId="11" type="noConversion"/>
  </si>
  <si>
    <t>4. t-value</t>
    <phoneticPr fontId="11" type="noConversion"/>
  </si>
  <si>
    <t>5. Precision</t>
    <phoneticPr fontId="11" type="noConversion"/>
  </si>
  <si>
    <t xml:space="preserve">Precision   </t>
    <phoneticPr fontId="11" type="noConversion"/>
  </si>
  <si>
    <t>6. Calculation results</t>
    <phoneticPr fontId="11" type="noConversion"/>
  </si>
  <si>
    <t>t-value</t>
    <phoneticPr fontId="11" type="noConversion"/>
  </si>
  <si>
    <t>Relative Precision</t>
    <phoneticPr fontId="11" type="noConversion"/>
  </si>
  <si>
    <t>-</t>
    <phoneticPr fontId="0" type="noConversion"/>
  </si>
  <si>
    <t>BASELINE EMISSIONS       BEy =</t>
    <phoneticPr fontId="0" type="noConversion"/>
  </si>
  <si>
    <t>kg-dm/ animal/year</t>
    <phoneticPr fontId="0" type="noConversion"/>
  </si>
  <si>
    <t>Page 12 of tool 14: Project and leakage emissions from anaerobic digesters</t>
    <phoneticPr fontId="0" type="noConversion"/>
  </si>
  <si>
    <t>ACM0010 Version 5, page 8</t>
    <phoneticPr fontId="0" type="noConversion"/>
  </si>
  <si>
    <t>2006 IPCC guideline, volume 4, chapter 10, tbl. 10A-7</t>
    <phoneticPr fontId="0" type="noConversion"/>
  </si>
  <si>
    <t>Tt(k)</t>
    <phoneticPr fontId="11" type="noConversion"/>
  </si>
  <si>
    <t>MMi(kg/kmol)</t>
    <phoneticPr fontId="11" type="noConversion"/>
  </si>
  <si>
    <t>Ru(Pa.m3/kmol.K))</t>
    <phoneticPr fontId="11" type="noConversion"/>
  </si>
  <si>
    <t>t CH4</t>
    <phoneticPr fontId="0" type="noConversion"/>
  </si>
  <si>
    <t>Vf3(m3)</t>
    <phoneticPr fontId="11" type="noConversion"/>
  </si>
  <si>
    <t>Breeding Swine</t>
    <phoneticPr fontId="11" type="noConversion"/>
  </si>
  <si>
    <t>average</t>
    <phoneticPr fontId="11" type="noConversion"/>
  </si>
  <si>
    <t>kg</t>
    <phoneticPr fontId="0" type="noConversion"/>
  </si>
  <si>
    <t>Calculated</t>
    <phoneticPr fontId="0" type="noConversion"/>
  </si>
  <si>
    <t>Fraction of manure handled in system j</t>
    <phoneticPr fontId="0" type="noConversion"/>
  </si>
  <si>
    <t>MWh</t>
    <phoneticPr fontId="0" type="noConversion"/>
  </si>
  <si>
    <t>calculated</t>
    <phoneticPr fontId="0" type="noConversion"/>
  </si>
  <si>
    <t>calcualted</t>
    <phoneticPr fontId="0" type="noConversion"/>
  </si>
  <si>
    <t>%</t>
    <phoneticPr fontId="0" type="noConversion"/>
  </si>
  <si>
    <t>LEy =</t>
    <phoneticPr fontId="0" type="noConversion"/>
  </si>
  <si>
    <t xml:space="preserve"> Value </t>
    <phoneticPr fontId="0" type="noConversion"/>
  </si>
  <si>
    <t>t CH4</t>
  </si>
  <si>
    <t>Tool to determine project emissions from flaring gases containing methane</t>
    <phoneticPr fontId="0" type="noConversion"/>
  </si>
  <si>
    <t>monthly electricity consumption</t>
    <phoneticPr fontId="11" type="noConversion"/>
  </si>
  <si>
    <t>Time</t>
    <phoneticPr fontId="11" type="noConversion"/>
  </si>
  <si>
    <t>SDG8</t>
    <phoneticPr fontId="11" type="noConversion"/>
  </si>
  <si>
    <t>SDG13</t>
    <phoneticPr fontId="11" type="noConversion"/>
  </si>
  <si>
    <t>IPCC AR5</t>
  </si>
  <si>
    <t>t/m3</t>
  </si>
  <si>
    <t>ACM0010 Version 5, page 8</t>
  </si>
  <si>
    <t>kgN/animal/yr</t>
    <phoneticPr fontId="0" type="noConversion"/>
  </si>
  <si>
    <t>Ministry of Ecology and Environment of the People's Republic of China</t>
    <phoneticPr fontId="0" type="noConversion"/>
  </si>
  <si>
    <t>Tool 05:Baseline, project and/or leakage emissions from electricity consumption and monitoring of electricity generation</t>
    <phoneticPr fontId="0" type="noConversion"/>
  </si>
  <si>
    <t>No fossil fuel comsumed during this MP, therefore,Project emissions from fossil fuel consumption associated with the anaerobic digester is not be taken into account</t>
    <phoneticPr fontId="0" type="noConversion"/>
  </si>
  <si>
    <t xml:space="preserve">                                      Value </t>
    <phoneticPr fontId="0" type="noConversion"/>
  </si>
  <si>
    <t>IPCC AR5</t>
    <phoneticPr fontId="0" type="noConversion"/>
  </si>
  <si>
    <t>PDD</t>
    <phoneticPr fontId="0" type="noConversion"/>
  </si>
  <si>
    <t>kg/animal/yr</t>
    <phoneticPr fontId="0" type="noConversion"/>
  </si>
  <si>
    <t xml:space="preserve"> Table 8-10 provided in Appendix 1 of ACM0010 </t>
    <phoneticPr fontId="0" type="noConversion"/>
  </si>
  <si>
    <t xml:space="preserve"> Table 8-10 provided in Appendix 1 of ACM0010 </t>
    <phoneticPr fontId="11" type="noConversion"/>
  </si>
  <si>
    <t>IPCC AR4</t>
    <phoneticPr fontId="11" type="noConversion"/>
  </si>
  <si>
    <t>IPCC AR4</t>
    <phoneticPr fontId="0" type="noConversion"/>
  </si>
  <si>
    <t>2006 IPCC guideline, volume 4, chapter 10, Tbl. 10.17</t>
    <phoneticPr fontId="11" type="noConversion"/>
  </si>
  <si>
    <t>SDG7</t>
    <phoneticPr fontId="11" type="noConversion"/>
  </si>
  <si>
    <t>Total number of jobs</t>
    <phoneticPr fontId="11" type="noConversion"/>
  </si>
  <si>
    <t>Time interval</t>
    <phoneticPr fontId="11" type="noConversion"/>
  </si>
  <si>
    <t>01/01/2021-31/01/2021</t>
    <phoneticPr fontId="11" type="noConversion"/>
  </si>
  <si>
    <t>01/02/1021-28/02/2021</t>
    <phoneticPr fontId="11" type="noConversion"/>
  </si>
  <si>
    <t>01/03/2021-31/03/3021</t>
    <phoneticPr fontId="11" type="noConversion"/>
  </si>
  <si>
    <t>01/04/2021-30/04/2021</t>
    <phoneticPr fontId="11" type="noConversion"/>
  </si>
  <si>
    <t>01/05/2021-31/05/2021</t>
    <phoneticPr fontId="11" type="noConversion"/>
  </si>
  <si>
    <t>01/06/2021-30/06/2021</t>
    <phoneticPr fontId="11" type="noConversion"/>
  </si>
  <si>
    <t>01/08/2021-31/08/2021</t>
    <phoneticPr fontId="11" type="noConversion"/>
  </si>
  <si>
    <t>01/07/2021-31/07/2021</t>
    <phoneticPr fontId="11" type="noConversion"/>
  </si>
  <si>
    <t>01/09/2021-30/09/2021</t>
    <phoneticPr fontId="11" type="noConversion"/>
  </si>
  <si>
    <t>01/10/2021-31/10/2021</t>
    <phoneticPr fontId="11" type="noConversion"/>
  </si>
  <si>
    <t>01/11/2021-30/11/2021</t>
    <phoneticPr fontId="11" type="noConversion"/>
  </si>
  <si>
    <t>01/12/2021-31/12/2021</t>
    <phoneticPr fontId="11" type="noConversion"/>
  </si>
  <si>
    <t>01/02/2022-28/02/2022</t>
    <phoneticPr fontId="11" type="noConversion"/>
  </si>
  <si>
    <t>01/03/2022-31/03/2022</t>
    <phoneticPr fontId="11" type="noConversion"/>
  </si>
  <si>
    <t>01/01/2021-31/12/2021</t>
    <phoneticPr fontId="0" type="noConversion"/>
  </si>
  <si>
    <t>01/01/2022-31/01/2022</t>
    <phoneticPr fontId="11" type="noConversion"/>
  </si>
  <si>
    <t>01/01/2021-31/12/2021</t>
    <phoneticPr fontId="11" type="noConversion"/>
  </si>
  <si>
    <t>total</t>
    <phoneticPr fontId="11" type="noConversion"/>
  </si>
  <si>
    <t xml:space="preserve">kg N2O-N/year </t>
    <phoneticPr fontId="0" type="noConversion"/>
  </si>
  <si>
    <t>Swine Farm</t>
    <phoneticPr fontId="19" type="noConversion"/>
  </si>
  <si>
    <t>Wsite-Arithmetic mean</t>
    <phoneticPr fontId="19" type="noConversion"/>
  </si>
  <si>
    <t>NLT</t>
    <phoneticPr fontId="19" type="noConversion"/>
  </si>
  <si>
    <t>Wsite-Arithmetic mean*NLT</t>
    <phoneticPr fontId="19" type="noConversion"/>
  </si>
  <si>
    <t>Market</t>
    <phoneticPr fontId="19" type="noConversion"/>
  </si>
  <si>
    <t>Breeding</t>
    <phoneticPr fontId="19" type="noConversion"/>
  </si>
  <si>
    <t>total</t>
    <phoneticPr fontId="19" type="noConversion"/>
  </si>
  <si>
    <t>Wsite-Weighted average</t>
    <phoneticPr fontId="19" type="noConversion"/>
  </si>
  <si>
    <t>time</t>
    <phoneticPr fontId="11" type="noConversion"/>
  </si>
  <si>
    <t>Daily operation record</t>
    <phoneticPr fontId="0" type="noConversion"/>
  </si>
  <si>
    <r>
      <t>GWP</t>
    </r>
    <r>
      <rPr>
        <i/>
        <vertAlign val="subscript"/>
        <sz val="10"/>
        <color indexed="8"/>
        <rFont val="Arial"/>
        <family val="2"/>
      </rPr>
      <t>CH4</t>
    </r>
  </si>
  <si>
    <r>
      <t>tCO</t>
    </r>
    <r>
      <rPr>
        <vertAlign val="subscript"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>/tCH</t>
    </r>
    <r>
      <rPr>
        <vertAlign val="subscript"/>
        <sz val="10"/>
        <color indexed="8"/>
        <rFont val="Arial"/>
        <family val="2"/>
      </rPr>
      <t>4</t>
    </r>
    <phoneticPr fontId="11" type="noConversion"/>
  </si>
  <si>
    <r>
      <t>D</t>
    </r>
    <r>
      <rPr>
        <i/>
        <vertAlign val="subscript"/>
        <sz val="10"/>
        <color indexed="8"/>
        <rFont val="Arial"/>
        <family val="2"/>
      </rPr>
      <t>CH4</t>
    </r>
  </si>
  <si>
    <r>
      <t>MCF</t>
    </r>
    <r>
      <rPr>
        <vertAlign val="subscript"/>
        <sz val="10"/>
        <color indexed="8"/>
        <rFont val="Arial"/>
        <family val="2"/>
      </rPr>
      <t>j</t>
    </r>
    <phoneticPr fontId="0" type="noConversion"/>
  </si>
  <si>
    <r>
      <t>B</t>
    </r>
    <r>
      <rPr>
        <i/>
        <vertAlign val="subscript"/>
        <sz val="8"/>
        <color indexed="8"/>
        <rFont val="Arial"/>
        <family val="2"/>
      </rPr>
      <t>o,LT</t>
    </r>
    <phoneticPr fontId="0" type="noConversion"/>
  </si>
  <si>
    <r>
      <t>m</t>
    </r>
    <r>
      <rPr>
        <vertAlign val="superscript"/>
        <sz val="10"/>
        <color indexed="8"/>
        <rFont val="Arial"/>
        <family val="2"/>
      </rPr>
      <t>3</t>
    </r>
    <r>
      <rPr>
        <sz val="10"/>
        <color indexed="8"/>
        <rFont val="Arial"/>
        <family val="2"/>
      </rPr>
      <t xml:space="preserve"> CH</t>
    </r>
    <r>
      <rPr>
        <vertAlign val="subscript"/>
        <sz val="10"/>
        <color indexed="8"/>
        <rFont val="Arial"/>
        <family val="2"/>
      </rPr>
      <t>4</t>
    </r>
    <r>
      <rPr>
        <sz val="10"/>
        <color indexed="8"/>
        <rFont val="Arial"/>
        <family val="2"/>
      </rPr>
      <t xml:space="preserve"> /kg-dm</t>
    </r>
    <phoneticPr fontId="11" type="noConversion"/>
  </si>
  <si>
    <r>
      <t>N</t>
    </r>
    <r>
      <rPr>
        <vertAlign val="subscript"/>
        <sz val="8"/>
        <color indexed="8"/>
        <rFont val="Arial"/>
        <family val="2"/>
      </rPr>
      <t>LT</t>
    </r>
    <phoneticPr fontId="0" type="noConversion"/>
  </si>
  <si>
    <r>
      <t>calculated as equatoin 5 in MR, of which N</t>
    </r>
    <r>
      <rPr>
        <vertAlign val="subscript"/>
        <sz val="10"/>
        <color indexed="8"/>
        <rFont val="Arial"/>
        <family val="2"/>
      </rPr>
      <t>LT</t>
    </r>
    <r>
      <rPr>
        <sz val="10"/>
        <color indexed="8"/>
        <rFont val="Arial"/>
        <family val="2"/>
      </rPr>
      <t xml:space="preserve"> for marke swine and breeding swine is sourced from  "market swine production record" and " Breeding Pig stock record"</t>
    </r>
    <phoneticPr fontId="0" type="noConversion"/>
  </si>
  <si>
    <r>
      <t>W</t>
    </r>
    <r>
      <rPr>
        <i/>
        <vertAlign val="subscript"/>
        <sz val="8"/>
        <rFont val="Arial"/>
        <family val="2"/>
      </rPr>
      <t>site</t>
    </r>
    <phoneticPr fontId="0" type="noConversion"/>
  </si>
  <si>
    <r>
      <t>W</t>
    </r>
    <r>
      <rPr>
        <vertAlign val="subscript"/>
        <sz val="10"/>
        <color indexed="8"/>
        <rFont val="Arial"/>
        <family val="2"/>
      </rPr>
      <t>default</t>
    </r>
    <phoneticPr fontId="0" type="noConversion"/>
  </si>
  <si>
    <r>
      <t>VS</t>
    </r>
    <r>
      <rPr>
        <sz val="8"/>
        <color indexed="8"/>
        <rFont val="Arial"/>
        <family val="2"/>
      </rPr>
      <t>default</t>
    </r>
  </si>
  <si>
    <r>
      <t>VS</t>
    </r>
    <r>
      <rPr>
        <vertAlign val="subscript"/>
        <sz val="8"/>
        <color indexed="8"/>
        <rFont val="Arial"/>
        <family val="2"/>
      </rPr>
      <t>LT,y</t>
    </r>
    <phoneticPr fontId="0" type="noConversion"/>
  </si>
  <si>
    <r>
      <t>MS%</t>
    </r>
    <r>
      <rPr>
        <vertAlign val="subscript"/>
        <sz val="8"/>
        <color indexed="8"/>
        <rFont val="Arial"/>
        <family val="2"/>
      </rPr>
      <t>Bl,j</t>
    </r>
    <phoneticPr fontId="0" type="noConversion"/>
  </si>
  <si>
    <r>
      <t>BE</t>
    </r>
    <r>
      <rPr>
        <vertAlign val="subscript"/>
        <sz val="10"/>
        <color rgb="FF000000"/>
        <rFont val="Arial"/>
        <family val="2"/>
      </rPr>
      <t>CH4</t>
    </r>
    <r>
      <rPr>
        <sz val="10"/>
        <color indexed="8"/>
        <rFont val="Arial"/>
        <family val="2"/>
      </rPr>
      <t>-monthy</t>
    </r>
    <phoneticPr fontId="11" type="noConversion"/>
  </si>
  <si>
    <r>
      <t>tCO</t>
    </r>
    <r>
      <rPr>
        <vertAlign val="subscript"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>e</t>
    </r>
    <phoneticPr fontId="0" type="noConversion"/>
  </si>
  <si>
    <r>
      <t>BE</t>
    </r>
    <r>
      <rPr>
        <b/>
        <sz val="8"/>
        <color indexed="8"/>
        <rFont val="Arial"/>
        <family val="2"/>
      </rPr>
      <t xml:space="preserve">CH4,y </t>
    </r>
    <phoneticPr fontId="0" type="noConversion"/>
  </si>
  <si>
    <r>
      <t>EF</t>
    </r>
    <r>
      <rPr>
        <i/>
        <vertAlign val="subscript"/>
        <sz val="10"/>
        <rFont val="Arial"/>
        <family val="2"/>
      </rPr>
      <t>N2O,D,j</t>
    </r>
  </si>
  <si>
    <r>
      <t>kg N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O-N/kg N</t>
    </r>
    <phoneticPr fontId="0" type="noConversion"/>
  </si>
  <si>
    <r>
      <t>N</t>
    </r>
    <r>
      <rPr>
        <i/>
        <vertAlign val="subscript"/>
        <sz val="10"/>
        <rFont val="Arial"/>
        <family val="2"/>
      </rPr>
      <t>rate(T)</t>
    </r>
    <phoneticPr fontId="0" type="noConversion"/>
  </si>
  <si>
    <r>
      <t>NEX</t>
    </r>
    <r>
      <rPr>
        <i/>
        <vertAlign val="subscript"/>
        <sz val="8"/>
        <rFont val="Arial"/>
        <family val="2"/>
      </rPr>
      <t>IPCCdefault</t>
    </r>
    <phoneticPr fontId="0" type="noConversion"/>
  </si>
  <si>
    <r>
      <t>W</t>
    </r>
    <r>
      <rPr>
        <i/>
        <vertAlign val="subscript"/>
        <sz val="8"/>
        <rFont val="Arial"/>
        <family val="2"/>
      </rPr>
      <t>default</t>
    </r>
    <phoneticPr fontId="0" type="noConversion"/>
  </si>
  <si>
    <r>
      <t>NEX</t>
    </r>
    <r>
      <rPr>
        <i/>
        <vertAlign val="subscript"/>
        <sz val="10"/>
        <rFont val="Arial"/>
        <family val="2"/>
      </rPr>
      <t>LT,y</t>
    </r>
    <phoneticPr fontId="0" type="noConversion"/>
  </si>
  <si>
    <r>
      <t>N</t>
    </r>
    <r>
      <rPr>
        <i/>
        <vertAlign val="subscript"/>
        <sz val="8"/>
        <rFont val="Arial"/>
        <family val="2"/>
      </rPr>
      <t>LT</t>
    </r>
    <phoneticPr fontId="0" type="noConversion"/>
  </si>
  <si>
    <r>
      <t>E</t>
    </r>
    <r>
      <rPr>
        <b/>
        <vertAlign val="subscript"/>
        <sz val="10"/>
        <rFont val="Arial"/>
        <family val="2"/>
      </rPr>
      <t>N2O,D,y</t>
    </r>
    <r>
      <rPr>
        <b/>
        <sz val="10"/>
        <rFont val="Arial"/>
        <family val="2"/>
      </rPr>
      <t>-monthly</t>
    </r>
    <phoneticPr fontId="11" type="noConversion"/>
  </si>
  <si>
    <r>
      <t>kg N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O-N/year</t>
    </r>
    <phoneticPr fontId="11" type="noConversion"/>
  </si>
  <si>
    <r>
      <t>E</t>
    </r>
    <r>
      <rPr>
        <b/>
        <vertAlign val="subscript"/>
        <sz val="10"/>
        <rFont val="Arial"/>
        <family val="2"/>
      </rPr>
      <t>N2O,D,y</t>
    </r>
    <phoneticPr fontId="0" type="noConversion"/>
  </si>
  <si>
    <r>
      <t>kg N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O-N/year</t>
    </r>
    <phoneticPr fontId="0" type="noConversion"/>
  </si>
  <si>
    <r>
      <t>EF</t>
    </r>
    <r>
      <rPr>
        <i/>
        <vertAlign val="subscript"/>
        <sz val="10"/>
        <rFont val="Arial"/>
        <family val="2"/>
      </rPr>
      <t>N2O,ID,j</t>
    </r>
    <phoneticPr fontId="0" type="noConversion"/>
  </si>
  <si>
    <r>
      <t>kg N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O/kg N</t>
    </r>
    <phoneticPr fontId="0" type="noConversion"/>
  </si>
  <si>
    <r>
      <t>F</t>
    </r>
    <r>
      <rPr>
        <i/>
        <vertAlign val="subscript"/>
        <sz val="10"/>
        <rFont val="Arial"/>
        <family val="2"/>
      </rPr>
      <t>gasMS,j,LT</t>
    </r>
    <phoneticPr fontId="0" type="noConversion"/>
  </si>
  <si>
    <r>
      <t>NEX</t>
    </r>
    <r>
      <rPr>
        <vertAlign val="subscript"/>
        <sz val="8"/>
        <rFont val="Arial"/>
        <family val="2"/>
      </rPr>
      <t>LT</t>
    </r>
    <r>
      <rPr>
        <vertAlign val="subscript"/>
        <sz val="10"/>
        <rFont val="Arial"/>
        <family val="2"/>
      </rPr>
      <t>,y</t>
    </r>
    <phoneticPr fontId="0" type="noConversion"/>
  </si>
  <si>
    <r>
      <t>GWP</t>
    </r>
    <r>
      <rPr>
        <vertAlign val="subscript"/>
        <sz val="10"/>
        <rFont val="Arial"/>
        <family val="2"/>
      </rPr>
      <t>N2O</t>
    </r>
    <phoneticPr fontId="0" type="noConversion"/>
  </si>
  <si>
    <r>
      <t>tCO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/t N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  <phoneticPr fontId="11" type="noConversion"/>
  </si>
  <si>
    <r>
      <t>CF</t>
    </r>
    <r>
      <rPr>
        <vertAlign val="subscript"/>
        <sz val="10"/>
        <rFont val="Arial"/>
        <family val="2"/>
      </rPr>
      <t>N20,N-N</t>
    </r>
    <phoneticPr fontId="0" type="noConversion"/>
  </si>
  <si>
    <r>
      <t>Conversion Factor N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O-N to N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  <phoneticPr fontId="0" type="noConversion"/>
  </si>
  <si>
    <r>
      <t>E</t>
    </r>
    <r>
      <rPr>
        <b/>
        <vertAlign val="subscript"/>
        <sz val="10"/>
        <rFont val="Arial"/>
        <family val="2"/>
      </rPr>
      <t>N2O,ID,y</t>
    </r>
    <phoneticPr fontId="0" type="noConversion"/>
  </si>
  <si>
    <r>
      <t>BE</t>
    </r>
    <r>
      <rPr>
        <i/>
        <vertAlign val="subscript"/>
        <sz val="8"/>
        <rFont val="Arial"/>
        <family val="2"/>
      </rPr>
      <t>N2O,y</t>
    </r>
    <r>
      <rPr>
        <i/>
        <sz val="8"/>
        <rFont val="Arial"/>
        <family val="2"/>
      </rPr>
      <t xml:space="preserve"> </t>
    </r>
    <r>
      <rPr>
        <b/>
        <sz val="10"/>
        <rFont val="Arial"/>
        <family val="2"/>
      </rPr>
      <t>= GWP</t>
    </r>
    <r>
      <rPr>
        <b/>
        <vertAlign val="subscript"/>
        <sz val="8"/>
        <rFont val="Arial"/>
        <family val="2"/>
      </rPr>
      <t>N2O</t>
    </r>
    <r>
      <rPr>
        <b/>
        <sz val="10"/>
        <rFont val="Arial"/>
        <family val="2"/>
      </rPr>
      <t>*CF</t>
    </r>
    <r>
      <rPr>
        <b/>
        <vertAlign val="subscript"/>
        <sz val="8"/>
        <rFont val="Arial"/>
        <family val="2"/>
      </rPr>
      <t>N2O-N,N</t>
    </r>
    <r>
      <rPr>
        <b/>
        <sz val="10"/>
        <rFont val="Arial"/>
        <family val="2"/>
      </rPr>
      <t>* 1/1000*(E</t>
    </r>
    <r>
      <rPr>
        <b/>
        <vertAlign val="subscript"/>
        <sz val="8"/>
        <rFont val="Arial"/>
        <family val="2"/>
      </rPr>
      <t>N2O,D,y</t>
    </r>
    <r>
      <rPr>
        <b/>
        <sz val="10"/>
        <rFont val="Arial"/>
        <family val="2"/>
      </rPr>
      <t xml:space="preserve"> + E</t>
    </r>
    <r>
      <rPr>
        <b/>
        <vertAlign val="subscript"/>
        <sz val="8"/>
        <rFont val="Arial"/>
        <family val="2"/>
      </rPr>
      <t>N2O,ID,y</t>
    </r>
    <r>
      <rPr>
        <b/>
        <sz val="10"/>
        <rFont val="Arial"/>
        <family val="2"/>
      </rPr>
      <t>) =</t>
    </r>
    <phoneticPr fontId="0" type="noConversion"/>
  </si>
  <si>
    <r>
      <t xml:space="preserve"> BE</t>
    </r>
    <r>
      <rPr>
        <b/>
        <sz val="8"/>
        <rFont val="Arial"/>
        <family val="2"/>
      </rPr>
      <t xml:space="preserve">CH4,y </t>
    </r>
    <r>
      <rPr>
        <b/>
        <sz val="10"/>
        <rFont val="Arial"/>
        <family val="2"/>
      </rPr>
      <t>+ BE</t>
    </r>
    <r>
      <rPr>
        <b/>
        <sz val="8"/>
        <rFont val="Arial"/>
        <family val="2"/>
      </rPr>
      <t>N2O</t>
    </r>
    <r>
      <rPr>
        <b/>
        <sz val="10"/>
        <rFont val="Arial"/>
        <family val="2"/>
      </rPr>
      <t xml:space="preserve"> </t>
    </r>
    <r>
      <rPr>
        <b/>
        <sz val="8"/>
        <rFont val="Arial"/>
        <family val="2"/>
      </rPr>
      <t xml:space="preserve"> =</t>
    </r>
    <phoneticPr fontId="0" type="noConversion"/>
  </si>
  <si>
    <t>Weight record</t>
    <phoneticPr fontId="11" type="noConversion"/>
  </si>
  <si>
    <r>
      <t>E</t>
    </r>
    <r>
      <rPr>
        <vertAlign val="subscript"/>
        <sz val="10"/>
        <rFont val="Arial"/>
        <family val="2"/>
      </rPr>
      <t>N2O,ID,y</t>
    </r>
    <r>
      <rPr>
        <sz val="10"/>
        <rFont val="Arial"/>
        <family val="2"/>
      </rPr>
      <t>-monthly</t>
    </r>
    <phoneticPr fontId="11" type="noConversion"/>
  </si>
  <si>
    <r>
      <t>Average swine population used in both baseline and project case emission reductions (N</t>
    </r>
    <r>
      <rPr>
        <vertAlign val="subscript"/>
        <sz val="10"/>
        <rFont val="Arial"/>
        <family val="2"/>
      </rPr>
      <t>L,T</t>
    </r>
    <r>
      <rPr>
        <sz val="10"/>
        <rFont val="Arial"/>
        <family val="2"/>
      </rPr>
      <t>) and Weight of swine (W</t>
    </r>
    <r>
      <rPr>
        <vertAlign val="subscript"/>
        <sz val="10"/>
        <rFont val="Arial"/>
        <family val="2"/>
      </rPr>
      <t>site</t>
    </r>
    <r>
      <rPr>
        <sz val="10"/>
        <rFont val="Arial"/>
        <family val="2"/>
      </rPr>
      <t>)</t>
    </r>
    <phoneticPr fontId="11" type="noConversion"/>
  </si>
  <si>
    <r>
      <t>N</t>
    </r>
    <r>
      <rPr>
        <vertAlign val="subscript"/>
        <sz val="10"/>
        <rFont val="Arial"/>
        <family val="2"/>
      </rPr>
      <t>LT</t>
    </r>
    <phoneticPr fontId="11" type="noConversion"/>
  </si>
  <si>
    <r>
      <t>w</t>
    </r>
    <r>
      <rPr>
        <vertAlign val="subscript"/>
        <sz val="10"/>
        <rFont val="Arial"/>
        <family val="2"/>
      </rPr>
      <t>site</t>
    </r>
    <phoneticPr fontId="11" type="noConversion"/>
  </si>
  <si>
    <r>
      <t>EC</t>
    </r>
    <r>
      <rPr>
        <vertAlign val="subscript"/>
        <sz val="10"/>
        <rFont val="Arial"/>
        <family val="2"/>
      </rPr>
      <t>PJ,j,y</t>
    </r>
    <r>
      <rPr>
        <sz val="10"/>
        <rFont val="Arial"/>
        <family val="2"/>
      </rPr>
      <t>(MWh)</t>
    </r>
    <phoneticPr fontId="11" type="noConversion"/>
  </si>
  <si>
    <r>
      <t>Vf1(m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  <phoneticPr fontId="11" type="noConversion"/>
  </si>
  <si>
    <r>
      <t>Vf2(m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  <phoneticPr fontId="11" type="noConversion"/>
  </si>
  <si>
    <r>
      <t>T</t>
    </r>
    <r>
      <rPr>
        <vertAlign val="subscript"/>
        <sz val="11"/>
        <color indexed="63"/>
        <rFont val="Arial"/>
        <family val="2"/>
      </rPr>
      <t>t</t>
    </r>
    <r>
      <rPr>
        <sz val="11"/>
        <color indexed="63"/>
        <rFont val="Arial"/>
        <family val="2"/>
      </rPr>
      <t>(°C)</t>
    </r>
    <phoneticPr fontId="11" type="noConversion"/>
  </si>
  <si>
    <r>
      <t>P</t>
    </r>
    <r>
      <rPr>
        <vertAlign val="subscript"/>
        <sz val="11"/>
        <color indexed="63"/>
        <rFont val="Arial"/>
        <family val="2"/>
      </rPr>
      <t>t</t>
    </r>
    <r>
      <rPr>
        <sz val="11"/>
        <color indexed="63"/>
        <rFont val="Arial"/>
        <family val="2"/>
      </rPr>
      <t>(pa)</t>
    </r>
    <phoneticPr fontId="11" type="noConversion"/>
  </si>
  <si>
    <r>
      <t>ρ</t>
    </r>
    <r>
      <rPr>
        <vertAlign val="subscript"/>
        <sz val="10"/>
        <color indexed="63"/>
        <rFont val="Arial"/>
        <family val="2"/>
      </rPr>
      <t>i,n</t>
    </r>
    <r>
      <rPr>
        <sz val="10"/>
        <color indexed="63"/>
        <rFont val="Arial"/>
        <family val="2"/>
      </rPr>
      <t>(t/m3)</t>
    </r>
    <phoneticPr fontId="11" type="noConversion"/>
  </si>
  <si>
    <r>
      <t>V</t>
    </r>
    <r>
      <rPr>
        <vertAlign val="subscript"/>
        <sz val="11"/>
        <color indexed="63"/>
        <rFont val="Arial"/>
        <family val="2"/>
      </rPr>
      <t>i,t,db</t>
    </r>
    <r>
      <rPr>
        <sz val="11"/>
        <color indexed="63"/>
        <rFont val="Arial"/>
        <family val="2"/>
      </rPr>
      <t>(%)</t>
    </r>
    <phoneticPr fontId="11" type="noConversion"/>
  </si>
  <si>
    <r>
      <t>V</t>
    </r>
    <r>
      <rPr>
        <vertAlign val="subscript"/>
        <sz val="11"/>
        <color indexed="63"/>
        <rFont val="Arial"/>
        <family val="2"/>
      </rPr>
      <t>t,db</t>
    </r>
    <r>
      <rPr>
        <sz val="11"/>
        <color indexed="63"/>
        <rFont val="Arial"/>
        <family val="2"/>
      </rPr>
      <t>(m</t>
    </r>
    <r>
      <rPr>
        <vertAlign val="superscript"/>
        <sz val="11"/>
        <color indexed="63"/>
        <rFont val="Arial"/>
        <family val="2"/>
      </rPr>
      <t>3</t>
    </r>
    <r>
      <rPr>
        <sz val="11"/>
        <color indexed="63"/>
        <rFont val="Arial"/>
        <family val="2"/>
      </rPr>
      <t>/month)</t>
    </r>
    <phoneticPr fontId="11" type="noConversion"/>
  </si>
  <si>
    <r>
      <t>Fi,t(t CH</t>
    </r>
    <r>
      <rPr>
        <vertAlign val="subscript"/>
        <sz val="10"/>
        <rFont val="Arial"/>
        <family val="2"/>
      </rPr>
      <t>4</t>
    </r>
    <r>
      <rPr>
        <sz val="10"/>
        <rFont val="Arial"/>
        <family val="2"/>
      </rPr>
      <t>/month)</t>
    </r>
    <phoneticPr fontId="11" type="noConversion"/>
  </si>
  <si>
    <r>
      <t>Baseline Emission (tCO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e)</t>
    </r>
    <phoneticPr fontId="11" type="noConversion"/>
  </si>
  <si>
    <r>
      <t>Project Emisson (tCO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e)</t>
    </r>
    <phoneticPr fontId="11" type="noConversion"/>
  </si>
  <si>
    <r>
      <t>Leakage Emisson (tCO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e)</t>
    </r>
    <phoneticPr fontId="11" type="noConversion"/>
  </si>
  <si>
    <r>
      <t>Emission Reductions(tCO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e)</t>
    </r>
    <phoneticPr fontId="11" type="noConversion"/>
  </si>
  <si>
    <r>
      <t xml:space="preserve"> </t>
    </r>
    <r>
      <rPr>
        <b/>
        <sz val="10"/>
        <color indexed="8"/>
        <rFont val="Arial"/>
        <family val="2"/>
      </rPr>
      <t>m</t>
    </r>
    <r>
      <rPr>
        <b/>
        <vertAlign val="subscript"/>
        <sz val="10"/>
        <color indexed="8"/>
        <rFont val="Arial"/>
        <family val="2"/>
      </rPr>
      <t>Strat</t>
    </r>
    <phoneticPr fontId="11" type="noConversion"/>
  </si>
  <si>
    <r>
      <t>s.e. (m</t>
    </r>
    <r>
      <rPr>
        <b/>
        <vertAlign val="subscript"/>
        <sz val="10"/>
        <rFont val="Arial"/>
        <family val="2"/>
      </rPr>
      <t>Strat</t>
    </r>
    <r>
      <rPr>
        <b/>
        <sz val="10"/>
        <rFont val="Arial"/>
        <family val="2"/>
      </rPr>
      <t>)</t>
    </r>
    <phoneticPr fontId="11" type="noConversion"/>
  </si>
  <si>
    <r>
      <t>m</t>
    </r>
    <r>
      <rPr>
        <vertAlign val="subscript"/>
        <sz val="10"/>
        <rFont val="Arial"/>
        <family val="2"/>
      </rPr>
      <t>i</t>
    </r>
    <phoneticPr fontId="11" type="noConversion"/>
  </si>
  <si>
    <r>
      <t xml:space="preserve"> </t>
    </r>
    <r>
      <rPr>
        <sz val="10"/>
        <color indexed="8"/>
        <rFont val="Arial"/>
        <family val="2"/>
      </rPr>
      <t>SD</t>
    </r>
    <r>
      <rPr>
        <vertAlign val="subscript"/>
        <sz val="10"/>
        <color indexed="8"/>
        <rFont val="Arial"/>
        <family val="2"/>
      </rPr>
      <t>i</t>
    </r>
    <phoneticPr fontId="11" type="noConversion"/>
  </si>
  <si>
    <r>
      <t>n</t>
    </r>
    <r>
      <rPr>
        <vertAlign val="subscript"/>
        <sz val="10"/>
        <rFont val="Arial"/>
        <family val="2"/>
      </rPr>
      <t>i</t>
    </r>
    <phoneticPr fontId="11" type="noConversion"/>
  </si>
  <si>
    <r>
      <t>g</t>
    </r>
    <r>
      <rPr>
        <vertAlign val="subscript"/>
        <sz val="10"/>
        <rFont val="Arial"/>
        <family val="2"/>
      </rPr>
      <t>i</t>
    </r>
    <phoneticPr fontId="11" type="noConversion"/>
  </si>
  <si>
    <r>
      <t>g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/N</t>
    </r>
    <phoneticPr fontId="11" type="noConversion"/>
  </si>
  <si>
    <r>
      <t>g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*m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/N</t>
    </r>
    <phoneticPr fontId="11" type="noConversion"/>
  </si>
  <si>
    <r>
      <t>1-(n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/g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)</t>
    </r>
    <phoneticPr fontId="11" type="noConversion"/>
  </si>
  <si>
    <r>
      <t>SD</t>
    </r>
    <r>
      <rPr>
        <vertAlign val="subscript"/>
        <sz val="10"/>
        <rFont val="Arial"/>
        <family val="2"/>
      </rPr>
      <t>i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/n</t>
    </r>
    <r>
      <rPr>
        <vertAlign val="subscript"/>
        <sz val="10"/>
        <rFont val="Arial"/>
        <family val="2"/>
      </rPr>
      <t>i</t>
    </r>
    <phoneticPr fontId="11" type="noConversion"/>
  </si>
  <si>
    <r>
      <t xml:space="preserve"> m</t>
    </r>
    <r>
      <rPr>
        <b/>
        <vertAlign val="subscript"/>
        <sz val="10"/>
        <rFont val="Arial"/>
        <family val="2"/>
      </rPr>
      <t xml:space="preserve">Strat </t>
    </r>
    <r>
      <rPr>
        <b/>
        <sz val="10"/>
        <rFont val="Arial"/>
        <family val="2"/>
      </rPr>
      <t xml:space="preserve"> </t>
    </r>
    <phoneticPr fontId="11" type="noConversion"/>
  </si>
  <si>
    <r>
      <t xml:space="preserve"> g</t>
    </r>
    <r>
      <rPr>
        <b/>
        <vertAlign val="subscript"/>
        <sz val="10"/>
        <rFont val="Arial"/>
        <family val="2"/>
      </rPr>
      <t xml:space="preserve">i  </t>
    </r>
    <phoneticPr fontId="11" type="noConversion"/>
  </si>
  <si>
    <r>
      <t xml:space="preserve"> Size of the i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district where i=a,…,k  </t>
    </r>
    <phoneticPr fontId="11" type="noConversion"/>
  </si>
  <si>
    <r>
      <t xml:space="preserve"> m</t>
    </r>
    <r>
      <rPr>
        <b/>
        <vertAlign val="subscript"/>
        <sz val="10"/>
        <rFont val="Arial"/>
        <family val="2"/>
      </rPr>
      <t xml:space="preserve">i  </t>
    </r>
    <phoneticPr fontId="11" type="noConversion"/>
  </si>
  <si>
    <r>
      <t xml:space="preserve"> Mean of the i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district where i= a,…,k  </t>
    </r>
    <phoneticPr fontId="11" type="noConversion"/>
  </si>
  <si>
    <r>
      <t>s.e. (m</t>
    </r>
    <r>
      <rPr>
        <b/>
        <vertAlign val="subscript"/>
        <sz val="10"/>
        <rFont val="Arial"/>
        <family val="2"/>
      </rPr>
      <t>Strat</t>
    </r>
    <r>
      <rPr>
        <b/>
        <sz val="10"/>
        <rFont val="Arial"/>
        <family val="2"/>
      </rPr>
      <t xml:space="preserve">)   </t>
    </r>
    <phoneticPr fontId="11" type="noConversion"/>
  </si>
  <si>
    <r>
      <t xml:space="preserve"> n</t>
    </r>
    <r>
      <rPr>
        <b/>
        <vertAlign val="subscript"/>
        <sz val="10"/>
        <rFont val="Arial"/>
        <family val="2"/>
      </rPr>
      <t xml:space="preserve">i </t>
    </r>
    <r>
      <rPr>
        <b/>
        <sz val="10"/>
        <rFont val="Arial"/>
        <family val="2"/>
      </rPr>
      <t xml:space="preserve"> </t>
    </r>
    <phoneticPr fontId="11" type="noConversion"/>
  </si>
  <si>
    <r>
      <t xml:space="preserve"> Number of sampled units the i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district where i=a,…,k  </t>
    </r>
    <phoneticPr fontId="11" type="noConversion"/>
  </si>
  <si>
    <r>
      <t xml:space="preserve"> SD</t>
    </r>
    <r>
      <rPr>
        <b/>
        <vertAlign val="subscript"/>
        <sz val="10"/>
        <rFont val="Arial"/>
        <family val="2"/>
      </rPr>
      <t>i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 </t>
    </r>
    <phoneticPr fontId="11" type="noConversion"/>
  </si>
  <si>
    <r>
      <t xml:space="preserve"> Variance of the i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district where i=a,…,k </t>
    </r>
    <phoneticPr fontId="11" type="noConversion"/>
  </si>
  <si>
    <r>
      <t xml:space="preserve">The precision associated with an estimate is: 
</t>
    </r>
    <r>
      <rPr>
        <b/>
        <sz val="10"/>
        <rFont val="Arial"/>
        <family val="2"/>
      </rPr>
      <t>t-value × standard error of the mean</t>
    </r>
    <phoneticPr fontId="11" type="noConversion"/>
  </si>
  <si>
    <r>
      <t xml:space="preserve">Precision </t>
    </r>
    <r>
      <rPr>
        <b/>
        <sz val="10"/>
        <color indexed="8"/>
        <rFont val="Arial"/>
        <family val="2"/>
      </rPr>
      <t xml:space="preserve"> </t>
    </r>
    <r>
      <rPr>
        <b/>
        <sz val="10"/>
        <rFont val="Arial"/>
        <family val="2"/>
      </rPr>
      <t xml:space="preserve"> </t>
    </r>
    <phoneticPr fontId="11" type="noConversion"/>
  </si>
  <si>
    <r>
      <t>N</t>
    </r>
    <r>
      <rPr>
        <vertAlign val="subscript"/>
        <sz val="8"/>
        <rFont val="Arial"/>
        <family val="2"/>
      </rPr>
      <t>LT</t>
    </r>
    <phoneticPr fontId="0" type="noConversion"/>
  </si>
  <si>
    <r>
      <t>NEX</t>
    </r>
    <r>
      <rPr>
        <vertAlign val="subscript"/>
        <sz val="8"/>
        <rFont val="Arial"/>
        <family val="2"/>
      </rPr>
      <t>LT,y</t>
    </r>
    <phoneticPr fontId="0" type="noConversion"/>
  </si>
  <si>
    <r>
      <t>R</t>
    </r>
    <r>
      <rPr>
        <i/>
        <vertAlign val="subscript"/>
        <sz val="8"/>
        <rFont val="Arial"/>
        <family val="2"/>
      </rPr>
      <t>N,n</t>
    </r>
    <phoneticPr fontId="11" type="noConversion"/>
  </si>
  <si>
    <r>
      <t>KgN-N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O-N/kg NH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>-N+NO</t>
    </r>
    <r>
      <rPr>
        <vertAlign val="subscript"/>
        <sz val="10"/>
        <rFont val="Arial"/>
        <family val="2"/>
      </rPr>
      <t>X</t>
    </r>
    <r>
      <rPr>
        <sz val="10"/>
        <rFont val="Arial"/>
        <family val="2"/>
      </rPr>
      <t>-N</t>
    </r>
    <phoneticPr fontId="0" type="noConversion"/>
  </si>
  <si>
    <r>
      <t>F</t>
    </r>
    <r>
      <rPr>
        <vertAlign val="subscript"/>
        <sz val="10"/>
        <rFont val="Arial"/>
        <family val="2"/>
      </rPr>
      <t>leach</t>
    </r>
    <phoneticPr fontId="11" type="noConversion"/>
  </si>
  <si>
    <r>
      <t>F</t>
    </r>
    <r>
      <rPr>
        <vertAlign val="subscript"/>
        <sz val="10"/>
        <rFont val="Arial"/>
        <family val="2"/>
      </rPr>
      <t>gasm</t>
    </r>
    <phoneticPr fontId="11" type="noConversion"/>
  </si>
  <si>
    <r>
      <t>tCO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/tN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  <phoneticPr fontId="0" type="noConversion"/>
  </si>
  <si>
    <r>
      <t>LE</t>
    </r>
    <r>
      <rPr>
        <vertAlign val="subscript"/>
        <sz val="8"/>
        <rFont val="Arial"/>
        <family val="2"/>
      </rPr>
      <t>N2O,land</t>
    </r>
    <r>
      <rPr>
        <vertAlign val="subscript"/>
        <sz val="10"/>
        <rFont val="Arial"/>
        <family val="2"/>
      </rPr>
      <t>,y</t>
    </r>
    <r>
      <rPr>
        <b/>
        <sz val="10"/>
        <rFont val="Arial"/>
        <family val="2"/>
      </rPr>
      <t>-monthly</t>
    </r>
    <phoneticPr fontId="0" type="noConversion"/>
  </si>
  <si>
    <r>
      <t xml:space="preserve"> kg N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O-N/year </t>
    </r>
    <phoneticPr fontId="0" type="noConversion"/>
  </si>
  <si>
    <r>
      <t>LE</t>
    </r>
    <r>
      <rPr>
        <vertAlign val="subscript"/>
        <sz val="8"/>
        <rFont val="Arial"/>
        <family val="2"/>
      </rPr>
      <t>N2O,runoff</t>
    </r>
    <r>
      <rPr>
        <vertAlign val="subscript"/>
        <sz val="10"/>
        <rFont val="Arial"/>
        <family val="2"/>
      </rPr>
      <t>,y</t>
    </r>
    <r>
      <rPr>
        <b/>
        <sz val="10"/>
        <rFont val="Arial"/>
        <family val="2"/>
      </rPr>
      <t>-monthly</t>
    </r>
    <phoneticPr fontId="0" type="noConversion"/>
  </si>
  <si>
    <r>
      <t>kg N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O-N/year </t>
    </r>
    <phoneticPr fontId="0" type="noConversion"/>
  </si>
  <si>
    <r>
      <t>LE</t>
    </r>
    <r>
      <rPr>
        <vertAlign val="subscript"/>
        <sz val="8"/>
        <rFont val="Arial"/>
        <family val="2"/>
      </rPr>
      <t>N2O,vol</t>
    </r>
    <r>
      <rPr>
        <vertAlign val="subscript"/>
        <sz val="10"/>
        <rFont val="Arial"/>
        <family val="2"/>
      </rPr>
      <t>,y</t>
    </r>
    <r>
      <rPr>
        <b/>
        <sz val="10"/>
        <rFont val="Arial"/>
        <family val="2"/>
      </rPr>
      <t>-monthly</t>
    </r>
    <phoneticPr fontId="0" type="noConversion"/>
  </si>
  <si>
    <r>
      <t>tCO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e</t>
    </r>
    <phoneticPr fontId="0" type="noConversion"/>
  </si>
  <si>
    <r>
      <t>LE</t>
    </r>
    <r>
      <rPr>
        <b/>
        <vertAlign val="subscript"/>
        <sz val="10"/>
        <rFont val="Arial"/>
        <family val="2"/>
      </rPr>
      <t>BL,N2O,y</t>
    </r>
    <phoneticPr fontId="0" type="noConversion"/>
  </si>
  <si>
    <r>
      <t>R</t>
    </r>
    <r>
      <rPr>
        <i/>
        <sz val="8"/>
        <rFont val="Arial"/>
        <family val="2"/>
      </rPr>
      <t>N</t>
    </r>
  </si>
  <si>
    <r>
      <t>kg N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O-N/kg N</t>
    </r>
    <phoneticPr fontId="11" type="noConversion"/>
  </si>
  <si>
    <r>
      <t>LE</t>
    </r>
    <r>
      <rPr>
        <b/>
        <vertAlign val="subscript"/>
        <sz val="10"/>
        <rFont val="Arial"/>
        <family val="2"/>
      </rPr>
      <t>N2O,land,y</t>
    </r>
    <r>
      <rPr>
        <b/>
        <sz val="10"/>
        <rFont val="Arial"/>
        <family val="2"/>
      </rPr>
      <t>-monthly</t>
    </r>
    <phoneticPr fontId="0" type="noConversion"/>
  </si>
  <si>
    <r>
      <t>LE</t>
    </r>
    <r>
      <rPr>
        <b/>
        <vertAlign val="subscript"/>
        <sz val="10"/>
        <rFont val="Arial"/>
        <family val="2"/>
      </rPr>
      <t>N2O,runoff,y</t>
    </r>
    <r>
      <rPr>
        <b/>
        <sz val="10"/>
        <rFont val="Arial"/>
        <family val="2"/>
      </rPr>
      <t>-monthly</t>
    </r>
    <phoneticPr fontId="0" type="noConversion"/>
  </si>
  <si>
    <r>
      <t>LE</t>
    </r>
    <r>
      <rPr>
        <b/>
        <vertAlign val="subscript"/>
        <sz val="10"/>
        <rFont val="Arial"/>
        <family val="2"/>
      </rPr>
      <t>N2O,vol</t>
    </r>
    <r>
      <rPr>
        <b/>
        <sz val="10"/>
        <rFont val="Arial"/>
        <family val="2"/>
      </rPr>
      <t>-monthly</t>
    </r>
    <phoneticPr fontId="0" type="noConversion"/>
  </si>
  <si>
    <r>
      <t>LE</t>
    </r>
    <r>
      <rPr>
        <b/>
        <vertAlign val="subscript"/>
        <sz val="10"/>
        <rFont val="Arial"/>
        <family val="2"/>
      </rPr>
      <t>PJ,N2O,y</t>
    </r>
    <phoneticPr fontId="0" type="noConversion"/>
  </si>
  <si>
    <r>
      <t>GWP</t>
    </r>
    <r>
      <rPr>
        <sz val="8"/>
        <rFont val="Arial"/>
        <family val="2"/>
      </rPr>
      <t>CH4</t>
    </r>
  </si>
  <si>
    <r>
      <t>tCO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/t CH</t>
    </r>
    <r>
      <rPr>
        <vertAlign val="subscript"/>
        <sz val="10"/>
        <rFont val="Arial"/>
        <family val="2"/>
      </rPr>
      <t>4</t>
    </r>
    <phoneticPr fontId="0" type="noConversion"/>
  </si>
  <si>
    <r>
      <t>D</t>
    </r>
    <r>
      <rPr>
        <sz val="8"/>
        <rFont val="Arial"/>
        <family val="2"/>
      </rPr>
      <t>CH4</t>
    </r>
  </si>
  <si>
    <r>
      <t>t/m</t>
    </r>
    <r>
      <rPr>
        <vertAlign val="superscript"/>
        <sz val="10"/>
        <rFont val="Arial"/>
        <family val="2"/>
      </rPr>
      <t>3</t>
    </r>
    <phoneticPr fontId="0" type="noConversion"/>
  </si>
  <si>
    <r>
      <t>VS</t>
    </r>
    <r>
      <rPr>
        <sz val="8"/>
        <rFont val="Arial"/>
        <family val="2"/>
      </rPr>
      <t>LT,y</t>
    </r>
  </si>
  <si>
    <r>
      <t>B</t>
    </r>
    <r>
      <rPr>
        <vertAlign val="subscript"/>
        <sz val="10"/>
        <rFont val="Arial"/>
        <family val="2"/>
      </rPr>
      <t>0,LT</t>
    </r>
    <phoneticPr fontId="11" type="noConversion"/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</si>
  <si>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CH4/kg-dm</t>
    </r>
    <phoneticPr fontId="0" type="noConversion"/>
  </si>
  <si>
    <r>
      <t>R</t>
    </r>
    <r>
      <rPr>
        <vertAlign val="subscript"/>
        <sz val="10"/>
        <rFont val="Arial"/>
        <family val="2"/>
      </rPr>
      <t xml:space="preserve">VS </t>
    </r>
    <phoneticPr fontId="11" type="noConversion"/>
  </si>
  <si>
    <r>
      <t>LE</t>
    </r>
    <r>
      <rPr>
        <vertAlign val="subscript"/>
        <sz val="10"/>
        <rFont val="Arial"/>
        <family val="2"/>
      </rPr>
      <t>BL,CH4,y</t>
    </r>
    <r>
      <rPr>
        <sz val="10"/>
        <rFont val="Arial"/>
        <family val="2"/>
      </rPr>
      <t>-monthly</t>
    </r>
    <phoneticPr fontId="0" type="noConversion"/>
  </si>
  <si>
    <r>
      <t>LE</t>
    </r>
    <r>
      <rPr>
        <b/>
        <vertAlign val="subscript"/>
        <sz val="10"/>
        <rFont val="Arial"/>
        <family val="2"/>
      </rPr>
      <t>BL,CH4,y</t>
    </r>
    <phoneticPr fontId="0" type="noConversion"/>
  </si>
  <si>
    <r>
      <t>tCO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/tCH</t>
    </r>
    <r>
      <rPr>
        <vertAlign val="subscript"/>
        <sz val="10"/>
        <rFont val="Arial"/>
        <family val="2"/>
      </rPr>
      <t>4</t>
    </r>
    <phoneticPr fontId="0" type="noConversion"/>
  </si>
  <si>
    <r>
      <t>B</t>
    </r>
    <r>
      <rPr>
        <vertAlign val="subscript"/>
        <sz val="10"/>
        <rFont val="Arial"/>
        <family val="2"/>
      </rPr>
      <t>o,LT</t>
    </r>
    <phoneticPr fontId="0" type="noConversion"/>
  </si>
  <si>
    <r>
      <t>R</t>
    </r>
    <r>
      <rPr>
        <sz val="8"/>
        <rFont val="Arial"/>
        <family val="2"/>
      </rPr>
      <t>VS</t>
    </r>
  </si>
  <si>
    <r>
      <t>LE</t>
    </r>
    <r>
      <rPr>
        <vertAlign val="subscript"/>
        <sz val="10"/>
        <rFont val="Arial"/>
        <family val="2"/>
      </rPr>
      <t>PJ,CH4 ,y</t>
    </r>
    <r>
      <rPr>
        <sz val="10"/>
        <rFont val="Arial"/>
        <family val="2"/>
      </rPr>
      <t>-monthly</t>
    </r>
    <phoneticPr fontId="0" type="noConversion"/>
  </si>
  <si>
    <r>
      <t xml:space="preserve">LE </t>
    </r>
    <r>
      <rPr>
        <b/>
        <vertAlign val="subscript"/>
        <sz val="10"/>
        <rFont val="Arial"/>
        <family val="2"/>
      </rPr>
      <t>PJ,CH4 ,y</t>
    </r>
    <phoneticPr fontId="0" type="noConversion"/>
  </si>
  <si>
    <r>
      <t>LE</t>
    </r>
    <r>
      <rPr>
        <b/>
        <vertAlign val="subscript"/>
        <sz val="10"/>
        <rFont val="Arial"/>
        <family val="2"/>
      </rPr>
      <t>PJ,CH4,y</t>
    </r>
    <phoneticPr fontId="0" type="noConversion"/>
  </si>
  <si>
    <r>
      <t>B</t>
    </r>
    <r>
      <rPr>
        <i/>
        <sz val="8"/>
        <color indexed="9"/>
        <rFont val="Arial"/>
        <family val="2"/>
      </rPr>
      <t>0,LT</t>
    </r>
  </si>
  <si>
    <r>
      <t>EC</t>
    </r>
    <r>
      <rPr>
        <vertAlign val="subscript"/>
        <sz val="10"/>
        <rFont val="Arial"/>
        <family val="2"/>
      </rPr>
      <t>PJ,j,y</t>
    </r>
    <phoneticPr fontId="0" type="noConversion"/>
  </si>
  <si>
    <r>
      <t>EF</t>
    </r>
    <r>
      <rPr>
        <vertAlign val="subscript"/>
        <sz val="10"/>
        <rFont val="Arial"/>
        <family val="2"/>
      </rPr>
      <t>EF,j,y</t>
    </r>
    <phoneticPr fontId="0" type="noConversion"/>
  </si>
  <si>
    <r>
      <t>tCO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/MWh</t>
    </r>
    <phoneticPr fontId="0" type="noConversion"/>
  </si>
  <si>
    <r>
      <t>TDL</t>
    </r>
    <r>
      <rPr>
        <vertAlign val="subscript"/>
        <sz val="10"/>
        <rFont val="Arial"/>
        <family val="2"/>
      </rPr>
      <t>j,y</t>
    </r>
    <phoneticPr fontId="0" type="noConversion"/>
  </si>
  <si>
    <r>
      <t>PE</t>
    </r>
    <r>
      <rPr>
        <b/>
        <vertAlign val="subscript"/>
        <sz val="10"/>
        <rFont val="Arial"/>
        <family val="2"/>
      </rPr>
      <t>EC,y</t>
    </r>
    <phoneticPr fontId="0" type="noConversion"/>
  </si>
  <si>
    <r>
      <t>PE</t>
    </r>
    <r>
      <rPr>
        <b/>
        <vertAlign val="subscript"/>
        <sz val="10"/>
        <rFont val="Arial"/>
        <family val="2"/>
      </rPr>
      <t>FC,y</t>
    </r>
    <phoneticPr fontId="0" type="noConversion"/>
  </si>
  <si>
    <r>
      <t>GWP</t>
    </r>
    <r>
      <rPr>
        <i/>
        <vertAlign val="subscript"/>
        <sz val="10"/>
        <color indexed="8"/>
        <rFont val="Arial"/>
        <family val="2"/>
      </rPr>
      <t>CH4</t>
    </r>
    <phoneticPr fontId="0" type="noConversion"/>
  </si>
  <si>
    <r>
      <t>EF</t>
    </r>
    <r>
      <rPr>
        <i/>
        <vertAlign val="subscript"/>
        <sz val="10"/>
        <color indexed="8"/>
        <rFont val="Arial"/>
        <family val="2"/>
      </rPr>
      <t>CH4,default</t>
    </r>
    <phoneticPr fontId="0" type="noConversion"/>
  </si>
  <si>
    <r>
      <t>tCH</t>
    </r>
    <r>
      <rPr>
        <vertAlign val="subscript"/>
        <sz val="10"/>
        <rFont val="Arial"/>
        <family val="2"/>
      </rPr>
      <t>4</t>
    </r>
    <r>
      <rPr>
        <sz val="10"/>
        <rFont val="Arial"/>
        <family val="2"/>
      </rPr>
      <t xml:space="preserve"> leaked / tCH</t>
    </r>
    <r>
      <rPr>
        <vertAlign val="subscript"/>
        <sz val="10"/>
        <rFont val="Arial"/>
        <family val="2"/>
      </rPr>
      <t>4</t>
    </r>
    <r>
      <rPr>
        <sz val="10"/>
        <rFont val="Arial"/>
        <family val="2"/>
      </rPr>
      <t xml:space="preserve"> produced</t>
    </r>
    <phoneticPr fontId="0" type="noConversion"/>
  </si>
  <si>
    <r>
      <t>Q</t>
    </r>
    <r>
      <rPr>
        <vertAlign val="subscript"/>
        <sz val="10"/>
        <rFont val="Arial"/>
        <family val="2"/>
      </rPr>
      <t>CH4,y</t>
    </r>
    <phoneticPr fontId="0" type="noConversion"/>
  </si>
  <si>
    <r>
      <t>PE</t>
    </r>
    <r>
      <rPr>
        <b/>
        <vertAlign val="subscript"/>
        <sz val="10"/>
        <rFont val="Arial"/>
        <family val="2"/>
      </rPr>
      <t>CH4,y</t>
    </r>
    <phoneticPr fontId="0" type="noConversion"/>
  </si>
  <si>
    <r>
      <t>η</t>
    </r>
    <r>
      <rPr>
        <vertAlign val="subscript"/>
        <sz val="10"/>
        <color indexed="8"/>
        <rFont val="Arial"/>
        <family val="2"/>
      </rPr>
      <t>flare,m</t>
    </r>
    <phoneticPr fontId="0" type="noConversion"/>
  </si>
  <si>
    <r>
      <t>PE</t>
    </r>
    <r>
      <rPr>
        <vertAlign val="subscript"/>
        <sz val="10"/>
        <color indexed="8"/>
        <rFont val="Arial"/>
        <family val="2"/>
      </rPr>
      <t>flare,y</t>
    </r>
    <phoneticPr fontId="0" type="noConversion"/>
  </si>
  <si>
    <r>
      <t>PE</t>
    </r>
    <r>
      <rPr>
        <b/>
        <vertAlign val="subscript"/>
        <sz val="10"/>
        <rFont val="Arial"/>
        <family val="2"/>
      </rPr>
      <t>AD</t>
    </r>
    <phoneticPr fontId="0" type="noConversion"/>
  </si>
  <si>
    <r>
      <t>GWP</t>
    </r>
    <r>
      <rPr>
        <vertAlign val="subscript"/>
        <sz val="10"/>
        <rFont val="Arial"/>
        <family val="2"/>
      </rPr>
      <t>CH4</t>
    </r>
    <phoneticPr fontId="0" type="noConversion"/>
  </si>
  <si>
    <r>
      <t>D</t>
    </r>
    <r>
      <rPr>
        <vertAlign val="subscript"/>
        <sz val="10"/>
        <rFont val="Arial"/>
        <family val="2"/>
      </rPr>
      <t>CH4</t>
    </r>
    <phoneticPr fontId="0" type="noConversion"/>
  </si>
  <si>
    <r>
      <t>F</t>
    </r>
    <r>
      <rPr>
        <vertAlign val="subscript"/>
        <sz val="10"/>
        <rFont val="Arial"/>
        <family val="2"/>
      </rPr>
      <t>Aer</t>
    </r>
    <phoneticPr fontId="0" type="noConversion"/>
  </si>
  <si>
    <r>
      <t>1-R</t>
    </r>
    <r>
      <rPr>
        <vertAlign val="subscript"/>
        <sz val="10"/>
        <rFont val="Arial"/>
        <family val="2"/>
      </rPr>
      <t>vs,n</t>
    </r>
    <phoneticPr fontId="0" type="noConversion"/>
  </si>
  <si>
    <r>
      <t>B</t>
    </r>
    <r>
      <rPr>
        <vertAlign val="subscript"/>
        <sz val="10"/>
        <rFont val="Arial"/>
        <family val="2"/>
      </rPr>
      <t>0,LT</t>
    </r>
    <phoneticPr fontId="0" type="noConversion"/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</si>
  <si>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CH</t>
    </r>
    <r>
      <rPr>
        <vertAlign val="subscript"/>
        <sz val="10"/>
        <rFont val="Arial"/>
        <family val="2"/>
      </rPr>
      <t>4</t>
    </r>
    <r>
      <rPr>
        <sz val="10"/>
        <rFont val="Arial"/>
        <family val="2"/>
      </rPr>
      <t xml:space="preserve"> /kg-dm</t>
    </r>
    <phoneticPr fontId="0" type="noConversion"/>
  </si>
  <si>
    <r>
      <t>N</t>
    </r>
    <r>
      <rPr>
        <vertAlign val="subscript"/>
        <sz val="10"/>
        <rFont val="Arial"/>
        <family val="2"/>
      </rPr>
      <t>LT</t>
    </r>
    <phoneticPr fontId="0" type="noConversion"/>
  </si>
  <si>
    <r>
      <t>VS</t>
    </r>
    <r>
      <rPr>
        <vertAlign val="subscript"/>
        <sz val="10"/>
        <rFont val="Arial"/>
        <family val="2"/>
      </rPr>
      <t>LT,y</t>
    </r>
    <phoneticPr fontId="0" type="noConversion"/>
  </si>
  <si>
    <r>
      <t>MS%</t>
    </r>
    <r>
      <rPr>
        <vertAlign val="subscript"/>
        <sz val="10"/>
        <rFont val="Arial"/>
        <family val="2"/>
      </rPr>
      <t>j</t>
    </r>
    <phoneticPr fontId="0" type="noConversion"/>
  </si>
  <si>
    <r>
      <t>PE</t>
    </r>
    <r>
      <rPr>
        <vertAlign val="subscript"/>
        <sz val="10"/>
        <rFont val="Arial"/>
        <family val="2"/>
      </rPr>
      <t>Aer,y</t>
    </r>
    <r>
      <rPr>
        <sz val="10"/>
        <rFont val="Arial"/>
        <family val="2"/>
      </rPr>
      <t>-monthly</t>
    </r>
    <phoneticPr fontId="0" type="noConversion"/>
  </si>
  <si>
    <r>
      <t>PE</t>
    </r>
    <r>
      <rPr>
        <b/>
        <vertAlign val="subscript"/>
        <sz val="10"/>
        <rFont val="Arial"/>
        <family val="2"/>
      </rPr>
      <t>Aer,y</t>
    </r>
    <phoneticPr fontId="0" type="noConversion"/>
  </si>
  <si>
    <r>
      <t>PE</t>
    </r>
    <r>
      <rPr>
        <b/>
        <vertAlign val="subscript"/>
        <sz val="10"/>
        <color indexed="9"/>
        <rFont val="Arial"/>
        <family val="2"/>
      </rPr>
      <t>N2O,Y</t>
    </r>
    <r>
      <rPr>
        <b/>
        <sz val="10"/>
        <color indexed="9"/>
        <rFont val="Arial"/>
        <family val="2"/>
      </rPr>
      <t>=310*(44/28)*1/1000*EF</t>
    </r>
    <r>
      <rPr>
        <b/>
        <vertAlign val="subscript"/>
        <sz val="10"/>
        <color indexed="9"/>
        <rFont val="Arial"/>
        <family val="2"/>
      </rPr>
      <t>N2O</t>
    </r>
    <r>
      <rPr>
        <b/>
        <sz val="10"/>
        <color indexed="9"/>
        <rFont val="Arial"/>
        <family val="2"/>
      </rPr>
      <t>*NEX*N</t>
    </r>
  </si>
  <si>
    <r>
      <t>E</t>
    </r>
    <r>
      <rPr>
        <vertAlign val="subscript"/>
        <sz val="10"/>
        <rFont val="Arial"/>
        <family val="2"/>
      </rPr>
      <t>N2O,D,y</t>
    </r>
    <r>
      <rPr>
        <sz val="10"/>
        <rFont val="Arial"/>
        <family val="2"/>
      </rPr>
      <t>-monthly</t>
    </r>
    <phoneticPr fontId="11" type="noConversion"/>
  </si>
  <si>
    <r>
      <t>kg N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O-N/kg NH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>-N and NO</t>
    </r>
    <r>
      <rPr>
        <vertAlign val="subscript"/>
        <sz val="10"/>
        <rFont val="Arial"/>
        <family val="2"/>
      </rPr>
      <t>X</t>
    </r>
    <r>
      <rPr>
        <sz val="10"/>
        <rFont val="Arial"/>
        <family val="2"/>
      </rPr>
      <t>-N</t>
    </r>
    <phoneticPr fontId="0" type="noConversion"/>
  </si>
  <si>
    <r>
      <t>F</t>
    </r>
    <r>
      <rPr>
        <vertAlign val="subscript"/>
        <sz val="10"/>
        <rFont val="Arial"/>
        <family val="2"/>
      </rPr>
      <t>gasMS,j,LT</t>
    </r>
    <phoneticPr fontId="0" type="noConversion"/>
  </si>
  <si>
    <r>
      <t>tCO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/t N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  <phoneticPr fontId="0" type="noConversion"/>
  </si>
  <si>
    <r>
      <t>F</t>
    </r>
    <r>
      <rPr>
        <vertAlign val="subscript"/>
        <sz val="10"/>
        <rFont val="Arial"/>
        <family val="2"/>
      </rPr>
      <t>CH4,RG,m</t>
    </r>
    <phoneticPr fontId="11" type="noConversion"/>
  </si>
  <si>
    <r>
      <t>EF</t>
    </r>
    <r>
      <rPr>
        <vertAlign val="subscript"/>
        <sz val="10"/>
        <rFont val="Arial"/>
        <family val="2"/>
      </rPr>
      <t xml:space="preserve">N2O,D,j </t>
    </r>
    <phoneticPr fontId="11" type="noConversion"/>
  </si>
  <si>
    <r>
      <t>a) CH4 emissions: PE</t>
    </r>
    <r>
      <rPr>
        <i/>
        <sz val="10"/>
        <color indexed="9"/>
        <rFont val="Arial"/>
        <family val="2"/>
      </rPr>
      <t>Aer,y</t>
    </r>
  </si>
  <si>
    <r>
      <t>EF</t>
    </r>
    <r>
      <rPr>
        <vertAlign val="subscript"/>
        <sz val="10"/>
        <rFont val="Arial"/>
        <family val="2"/>
      </rPr>
      <t>N2O,ID</t>
    </r>
    <phoneticPr fontId="0" type="noConversion"/>
  </si>
  <si>
    <r>
      <t>PE</t>
    </r>
    <r>
      <rPr>
        <b/>
        <vertAlign val="subscript"/>
        <sz val="10"/>
        <rFont val="Arial"/>
        <family val="2"/>
      </rPr>
      <t>N2O,y</t>
    </r>
    <r>
      <rPr>
        <b/>
        <sz val="10"/>
        <rFont val="Arial"/>
        <family val="2"/>
      </rPr>
      <t>=GWP</t>
    </r>
    <r>
      <rPr>
        <b/>
        <vertAlign val="subscript"/>
        <sz val="10"/>
        <rFont val="Arial"/>
        <family val="2"/>
      </rPr>
      <t>N2O</t>
    </r>
    <r>
      <rPr>
        <b/>
        <sz val="10"/>
        <rFont val="Arial"/>
        <family val="2"/>
      </rPr>
      <t>*(44/28)*1/1000*(E</t>
    </r>
    <r>
      <rPr>
        <b/>
        <vertAlign val="subscript"/>
        <sz val="10"/>
        <rFont val="Arial"/>
        <family val="2"/>
      </rPr>
      <t>N2O,ID,y</t>
    </r>
    <r>
      <rPr>
        <b/>
        <sz val="10"/>
        <rFont val="Arial"/>
        <family val="2"/>
      </rPr>
      <t xml:space="preserve"> +E</t>
    </r>
    <r>
      <rPr>
        <b/>
        <vertAlign val="subscript"/>
        <sz val="10"/>
        <rFont val="Arial"/>
        <family val="2"/>
      </rPr>
      <t>N20,ID,y</t>
    </r>
    <r>
      <rPr>
        <b/>
        <sz val="10"/>
        <rFont val="Arial"/>
        <family val="2"/>
      </rPr>
      <t>)=</t>
    </r>
    <phoneticPr fontId="0" type="noConversion"/>
  </si>
  <si>
    <r>
      <t>PEy (tCO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e)</t>
    </r>
    <phoneticPr fontId="0" type="noConversion"/>
  </si>
  <si>
    <r>
      <t>Emission reduction from  methane production(tCO</t>
    </r>
    <r>
      <rPr>
        <vertAlign val="subscript"/>
        <sz val="11"/>
        <color rgb="FF4D4D4C"/>
        <rFont val="Arial"/>
        <family val="2"/>
      </rPr>
      <t>2</t>
    </r>
    <r>
      <rPr>
        <sz val="11"/>
        <color rgb="FF4D4D4C"/>
        <rFont val="Arial"/>
        <family val="2"/>
      </rPr>
      <t>e)</t>
    </r>
    <phoneticPr fontId="11" type="noConversion"/>
  </si>
  <si>
    <t>Monthly Statistics of the average animal weight of a defined livestock population at the project site (Wsite)</t>
    <phoneticPr fontId="11" type="noConversion"/>
  </si>
  <si>
    <r>
      <t>tCO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e</t>
    </r>
    <phoneticPr fontId="11" type="noConversion"/>
  </si>
  <si>
    <r>
      <t>tCO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</t>
    </r>
    <phoneticPr fontId="11" type="noConversion"/>
  </si>
  <si>
    <r>
      <t>NEX</t>
    </r>
    <r>
      <rPr>
        <vertAlign val="subscript"/>
        <sz val="10"/>
        <rFont val="Arial"/>
        <family val="2"/>
      </rPr>
      <t>LT,y</t>
    </r>
    <phoneticPr fontId="11" type="noConversion"/>
  </si>
  <si>
    <t>calculated as equatoin 5 in MR, of which NLT for marke swine and breeding swine is sourced from  "market swine production record" and " Breeding Pig stock record"</t>
    <phoneticPr fontId="0" type="noConversion"/>
  </si>
  <si>
    <t>calculated as equatoin 5 in MR, of which NLT for marke swine and breeding swine is sourced from  "market swine production record" and " Breeding Pig stock record"</t>
    <phoneticPr fontId="11" type="noConversion"/>
  </si>
  <si>
    <t xml:space="preserve">Electricity daily report , the electricity consumption in this monitoring period comes from the grid company. </t>
    <phoneticPr fontId="0" type="noConversion"/>
  </si>
  <si>
    <t>calculated, biogas flow, temperature and pressure is sourced from DCS system. CH4 is calculated as equation 19 in MR.</t>
    <phoneticPr fontId="0" type="noConversion"/>
  </si>
  <si>
    <r>
      <t>ii) Methane emissions from aerobic AWMS treatment (PE</t>
    </r>
    <r>
      <rPr>
        <vertAlign val="subscript"/>
        <sz val="10"/>
        <rFont val="Arial"/>
        <family val="2"/>
      </rPr>
      <t>Aer, y</t>
    </r>
    <r>
      <rPr>
        <sz val="10"/>
        <rFont val="Arial"/>
        <family val="2"/>
      </rPr>
      <t>):</t>
    </r>
    <phoneticPr fontId="11" type="noConversion"/>
  </si>
  <si>
    <t>subtotal</t>
  </si>
  <si>
    <t>subtotal</t>
    <phoneticPr fontId="0" type="noConversion"/>
  </si>
  <si>
    <t>PDD</t>
    <phoneticPr fontId="11" type="noConversion"/>
  </si>
  <si>
    <t>tCO2e</t>
  </si>
  <si>
    <t>2006 IPCC default value, vol. 4, ch. 10, tbl. 10.21</t>
    <phoneticPr fontId="11" type="noConversion"/>
  </si>
  <si>
    <r>
      <t>Amount of GHGs emission avoided or sequestered (tCO</t>
    </r>
    <r>
      <rPr>
        <b/>
        <vertAlign val="subscript"/>
        <sz val="11"/>
        <rFont val="Verdana"/>
        <family val="2"/>
      </rPr>
      <t>2</t>
    </r>
    <r>
      <rPr>
        <b/>
        <sz val="11"/>
        <rFont val="Verdana"/>
        <family val="2"/>
      </rPr>
      <t>e)</t>
    </r>
    <phoneticPr fontId="11" type="noConversion"/>
  </si>
  <si>
    <t>Shuangbaotai Animal Manure Management System GHG Mitigation Project in Anhui Province</t>
    <phoneticPr fontId="11" type="noConversion"/>
  </si>
  <si>
    <t>26/12/2020 - 30/06/2022 (both days included)</t>
    <phoneticPr fontId="15" type="noConversion"/>
  </si>
  <si>
    <t>26/12/2020-31/12/2020</t>
  </si>
  <si>
    <t>26/12/2020-31/12/2020</t>
    <phoneticPr fontId="11" type="noConversion"/>
  </si>
  <si>
    <t>01/01/2022-30/06/2022</t>
    <phoneticPr fontId="11" type="noConversion"/>
  </si>
  <si>
    <t>26/12/2020-30/06/2022</t>
    <phoneticPr fontId="11" type="noConversion"/>
  </si>
  <si>
    <r>
      <t>20 full time jobs created</t>
    </r>
    <r>
      <rPr>
        <sz val="11"/>
        <rFont val="宋体"/>
        <family val="2"/>
        <charset val="134"/>
      </rPr>
      <t>，</t>
    </r>
    <r>
      <rPr>
        <sz val="11"/>
        <rFont val="Verdana"/>
        <family val="2"/>
      </rPr>
      <t>including 10 females and 10 males</t>
    </r>
    <phoneticPr fontId="11" type="noConversion"/>
  </si>
  <si>
    <t>Nursery phase 0-60</t>
  </si>
  <si>
    <t xml:space="preserve">Growing phase 60-130days </t>
  </si>
  <si>
    <t>01/04/2022-30/04/2022</t>
  </si>
  <si>
    <t>01/04/2022-30/04/2022</t>
    <phoneticPr fontId="11" type="noConversion"/>
  </si>
  <si>
    <t>01/05/2022-31/05/2022</t>
  </si>
  <si>
    <t>01/05/2022-31/05/2022</t>
    <phoneticPr fontId="11" type="noConversion"/>
  </si>
  <si>
    <t>01/06/2022-30/06/2022</t>
  </si>
  <si>
    <t>01/06/2022-30/06/2022</t>
    <phoneticPr fontId="11" type="noConversion"/>
  </si>
  <si>
    <t>01/01/2022-30/06/2022</t>
    <phoneticPr fontId="0" type="noConversion"/>
  </si>
  <si>
    <t>Liuan Dushan GP Farm</t>
  </si>
  <si>
    <t>Susong Poliang GGP Farm</t>
  </si>
  <si>
    <t>Huainan Panji PS Farm</t>
  </si>
  <si>
    <t>Huoqiu Bailian PS Farm</t>
  </si>
  <si>
    <t>Lingbi Yuji PS Farm</t>
  </si>
  <si>
    <t>Huoqiu Panji PS Farm</t>
  </si>
  <si>
    <t>Sixian Liuxu PS Farm</t>
  </si>
  <si>
    <t>Fengyang Wudian CS Farm</t>
  </si>
  <si>
    <t>Mengcheng Chucun CS Farm</t>
  </si>
  <si>
    <t>Linquan Miaocha PS Farm</t>
  </si>
  <si>
    <t>Date Duration:Dec.2020</t>
    <phoneticPr fontId="11" type="noConversion"/>
  </si>
  <si>
    <t>Market swine</t>
  </si>
  <si>
    <t>Breeding swine</t>
  </si>
  <si>
    <t>NO.</t>
  </si>
  <si>
    <t>Mature phase 130-180days</t>
  </si>
  <si>
    <t>Nursery phase  30-70days</t>
  </si>
  <si>
    <t xml:space="preserve">Growing phase  70-220days </t>
  </si>
  <si>
    <t>Mature phase  220-310days</t>
  </si>
  <si>
    <t>Date Duration:Jan.2021</t>
    <phoneticPr fontId="11" type="noConversion"/>
  </si>
  <si>
    <t>Date Duration:Feb.2021</t>
    <phoneticPr fontId="11" type="noConversion"/>
  </si>
  <si>
    <t>Date Duration:Mar.2021</t>
    <phoneticPr fontId="11" type="noConversion"/>
  </si>
  <si>
    <t>Date Duration:May.2021</t>
    <phoneticPr fontId="11" type="noConversion"/>
  </si>
  <si>
    <t>Date Duration:Aug.2021</t>
    <phoneticPr fontId="11" type="noConversion"/>
  </si>
  <si>
    <t>Date Duration:Sep.2021</t>
    <phoneticPr fontId="11" type="noConversion"/>
  </si>
  <si>
    <t>Date Duration:Apr.2021</t>
    <phoneticPr fontId="11" type="noConversion"/>
  </si>
  <si>
    <t>Date Duration:Jun.2021</t>
    <phoneticPr fontId="11" type="noConversion"/>
  </si>
  <si>
    <t>Date Duration:Jul.2021</t>
    <phoneticPr fontId="11" type="noConversion"/>
  </si>
  <si>
    <t>Date Duration:Oct.2021</t>
    <phoneticPr fontId="11" type="noConversion"/>
  </si>
  <si>
    <t>Date Duration:Nov.2021</t>
    <phoneticPr fontId="11" type="noConversion"/>
  </si>
  <si>
    <t>Date Duration:Dec.2021</t>
    <phoneticPr fontId="11" type="noConversion"/>
  </si>
  <si>
    <t>Date Duration:Jan.2022</t>
    <phoneticPr fontId="11" type="noConversion"/>
  </si>
  <si>
    <t>Date Duration:Feb.2022</t>
    <phoneticPr fontId="11" type="noConversion"/>
  </si>
  <si>
    <t>Date Duration:Mar.2022</t>
    <phoneticPr fontId="11" type="noConversion"/>
  </si>
  <si>
    <t>Date Duration:Apr.2022</t>
    <phoneticPr fontId="11" type="noConversion"/>
  </si>
  <si>
    <t>Date Duration:May.2022</t>
    <phoneticPr fontId="11" type="noConversion"/>
  </si>
  <si>
    <t>Date Duration:Jun.2022</t>
    <phoneticPr fontId="11" type="noConversion"/>
  </si>
  <si>
    <t>Susong Poliang GGP Farm</t>
    <phoneticPr fontId="11" type="noConversion"/>
  </si>
  <si>
    <t>Huainan Panji PS Farm</t>
    <phoneticPr fontId="11" type="noConversion"/>
  </si>
  <si>
    <t>Huoqiu Bailian PS Farm</t>
    <phoneticPr fontId="11" type="noConversion"/>
  </si>
  <si>
    <t>Huoqiu Panji PS Farm</t>
    <phoneticPr fontId="11" type="noConversion"/>
  </si>
  <si>
    <t>Lingbi Yuji PS Farm</t>
    <phoneticPr fontId="11" type="noConversion"/>
  </si>
  <si>
    <t>Sixian Liuxu PS Farm</t>
    <phoneticPr fontId="11" type="noConversion"/>
  </si>
  <si>
    <t>Fengyang Wudian CS Farm</t>
    <phoneticPr fontId="11" type="noConversion"/>
  </si>
  <si>
    <t>Mengcheng Chucun CS Farm</t>
    <phoneticPr fontId="11" type="noConversion"/>
  </si>
  <si>
    <t>Linquan Miaocha PS Farm</t>
    <phoneticPr fontId="11" type="noConversion"/>
  </si>
  <si>
    <t>GS 11338</t>
    <phoneticPr fontId="15" type="noConversion"/>
  </si>
  <si>
    <t>No of heads</t>
  </si>
  <si>
    <t>t-value is depends on:
(i) the level of confidence, and
(ii) the size of the sample. 
The t-value associated with 95% confidence and the sample size of 425 is 1.9652 as derived in Microsoft Excel using the TINV
function</t>
    <phoneticPr fontId="11" type="noConversion"/>
  </si>
  <si>
    <t>Luan Dushan GP Farm</t>
    <phoneticPr fontId="11" type="noConversion"/>
  </si>
  <si>
    <t>Total electricity produced (MWh)</t>
    <phoneticPr fontId="11" type="noConversion"/>
  </si>
  <si>
    <t>17/10/2022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</si>
</sst>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* #,##0.00_);_(* \(#,##0.00\);_(* &quot;-&quot;??_);_(@_)"/>
    <numFmt numFmtId="177" formatCode="_(* #,##0_);_(* \(#,##0\);_(* &quot;-&quot;??_);_(@_)"/>
    <numFmt numFmtId="178" formatCode="0_ "/>
    <numFmt numFmtId="179" formatCode="0.00_ "/>
    <numFmt numFmtId="180" formatCode="0.0_ "/>
    <numFmt numFmtId="181" formatCode="_ * #,##0_ ;_ * \-#,##0_ ;_ * &quot;-&quot;??_ ;_ @_ "/>
    <numFmt numFmtId="182" formatCode="_-* #,##0.00\ [$€]_-;\-* #,##0.00\ [$€]_-;_-* &quot;-&quot;??\ [$€]_-;_-@_-"/>
    <numFmt numFmtId="183" formatCode="0.0"/>
    <numFmt numFmtId="184" formatCode="#,##0.000"/>
    <numFmt numFmtId="185" formatCode="0.00_);[Red]\(0.00\)"/>
    <numFmt numFmtId="186" formatCode="dd/mm/yyyy"/>
    <numFmt numFmtId="187" formatCode="0.0000_ "/>
    <numFmt numFmtId="188" formatCode="#,##0.0"/>
    <numFmt numFmtId="189" formatCode="0.000_);[Red]\(0.000\)"/>
    <numFmt numFmtId="190" formatCode="0.00000_);[Red]\(0.00000\)"/>
    <numFmt numFmtId="191" formatCode="0_);[Red]\(0\)"/>
    <numFmt numFmtId="192" formatCode="0.0000"/>
    <numFmt numFmtId="193" formatCode="0.00000"/>
    <numFmt numFmtId="194" formatCode="0.000%"/>
    <numFmt numFmtId="195" formatCode="#,##0.00_ "/>
    <numFmt numFmtId="196" formatCode="#,##0_ "/>
    <numFmt numFmtId="197" formatCode="#,##0_);[Red]\(#,##0\)"/>
    <numFmt numFmtId="198" formatCode="0.00000_ "/>
    <numFmt numFmtId="199" formatCode="#,##0.000_ "/>
    <numFmt numFmtId="200" formatCode="0.000"/>
  </numFmts>
  <fonts count="73" x14ac:knownFonts="1">
    <font>
      <sz val="10"/>
      <name val="Arial"/>
      <family val="2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rgb="FF4D4D4C"/>
      <name val="Verdana"/>
      <family val="2"/>
    </font>
    <font>
      <sz val="10"/>
      <name val="Verdana"/>
      <family val="2"/>
    </font>
    <font>
      <sz val="9"/>
      <name val="宋体"/>
      <family val="3"/>
      <charset val="134"/>
    </font>
    <font>
      <sz val="11"/>
      <name val="Verdana"/>
      <family val="2"/>
    </font>
    <font>
      <b/>
      <sz val="11"/>
      <name val="Verdana"/>
      <family val="2"/>
    </font>
    <font>
      <b/>
      <vertAlign val="subscript"/>
      <sz val="11"/>
      <name val="Verdana"/>
      <family val="2"/>
    </font>
    <font>
      <sz val="9"/>
      <name val="宋体"/>
      <family val="3"/>
      <charset val="134"/>
      <scheme val="minor"/>
    </font>
    <font>
      <sz val="11"/>
      <name val="宋体"/>
      <family val="2"/>
      <charset val="134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46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i/>
      <vertAlign val="subscript"/>
      <sz val="10"/>
      <color indexed="8"/>
      <name val="Arial"/>
      <family val="2"/>
    </font>
    <font>
      <vertAlign val="subscript"/>
      <sz val="10"/>
      <color indexed="8"/>
      <name val="Arial"/>
      <family val="2"/>
    </font>
    <font>
      <u/>
      <sz val="10"/>
      <color indexed="10"/>
      <name val="Arial"/>
      <family val="2"/>
    </font>
    <font>
      <i/>
      <vertAlign val="subscript"/>
      <sz val="8"/>
      <color indexed="8"/>
      <name val="Arial"/>
      <family val="2"/>
    </font>
    <font>
      <vertAlign val="superscript"/>
      <sz val="10"/>
      <color indexed="8"/>
      <name val="Arial"/>
      <family val="2"/>
    </font>
    <font>
      <vertAlign val="subscript"/>
      <sz val="8"/>
      <color indexed="8"/>
      <name val="Arial"/>
      <family val="2"/>
    </font>
    <font>
      <i/>
      <sz val="10"/>
      <name val="Arial"/>
      <family val="2"/>
    </font>
    <font>
      <i/>
      <vertAlign val="subscript"/>
      <sz val="8"/>
      <name val="Arial"/>
      <family val="2"/>
    </font>
    <font>
      <sz val="10"/>
      <color rgb="FF4D4D4C"/>
      <name val="Arial"/>
      <family val="2"/>
    </font>
    <font>
      <sz val="8"/>
      <color indexed="8"/>
      <name val="Arial"/>
      <family val="2"/>
    </font>
    <font>
      <vertAlign val="subscript"/>
      <sz val="10"/>
      <color rgb="FF000000"/>
      <name val="Arial"/>
      <family val="2"/>
    </font>
    <font>
      <b/>
      <sz val="8"/>
      <color indexed="8"/>
      <name val="Arial"/>
      <family val="2"/>
    </font>
    <font>
      <b/>
      <sz val="10"/>
      <color indexed="12"/>
      <name val="Arial"/>
      <family val="2"/>
    </font>
    <font>
      <b/>
      <i/>
      <sz val="10"/>
      <name val="Arial"/>
      <family val="2"/>
    </font>
    <font>
      <i/>
      <vertAlign val="subscript"/>
      <sz val="10"/>
      <name val="Arial"/>
      <family val="2"/>
    </font>
    <font>
      <vertAlign val="subscript"/>
      <sz val="10"/>
      <name val="Arial"/>
      <family val="2"/>
    </font>
    <font>
      <b/>
      <vertAlign val="subscript"/>
      <sz val="10"/>
      <name val="Arial"/>
      <family val="2"/>
    </font>
    <font>
      <b/>
      <sz val="10"/>
      <color indexed="10"/>
      <name val="Arial"/>
      <family val="2"/>
    </font>
    <font>
      <sz val="10"/>
      <color theme="1"/>
      <name val="Arial"/>
      <family val="2"/>
    </font>
    <font>
      <vertAlign val="subscript"/>
      <sz val="8"/>
      <name val="Arial"/>
      <family val="2"/>
    </font>
    <font>
      <i/>
      <sz val="8"/>
      <name val="Arial"/>
      <family val="2"/>
    </font>
    <font>
      <b/>
      <vertAlign val="subscript"/>
      <sz val="8"/>
      <name val="Arial"/>
      <family val="2"/>
    </font>
    <font>
      <b/>
      <sz val="8"/>
      <name val="Arial"/>
      <family val="2"/>
    </font>
    <font>
      <vertAlign val="superscript"/>
      <sz val="10"/>
      <name val="Arial"/>
      <family val="2"/>
    </font>
    <font>
      <sz val="11"/>
      <color rgb="FF4D4D4C"/>
      <name val="Arial"/>
      <family val="2"/>
    </font>
    <font>
      <vertAlign val="subscript"/>
      <sz val="11"/>
      <color indexed="63"/>
      <name val="Arial"/>
      <family val="2"/>
    </font>
    <font>
      <sz val="11"/>
      <color indexed="63"/>
      <name val="Arial"/>
      <family val="2"/>
    </font>
    <font>
      <vertAlign val="subscript"/>
      <sz val="10"/>
      <color indexed="63"/>
      <name val="Arial"/>
      <family val="2"/>
    </font>
    <font>
      <sz val="10"/>
      <color indexed="63"/>
      <name val="Arial"/>
      <family val="2"/>
    </font>
    <font>
      <vertAlign val="superscript"/>
      <sz val="11"/>
      <color indexed="63"/>
      <name val="Arial"/>
      <family val="2"/>
    </font>
    <font>
      <sz val="10"/>
      <color rgb="FF222222"/>
      <name val="Arial"/>
      <family val="2"/>
    </font>
    <font>
      <b/>
      <sz val="10"/>
      <color rgb="FFFF0000"/>
      <name val="Arial"/>
      <family val="2"/>
    </font>
    <font>
      <b/>
      <vertAlign val="subscript"/>
      <sz val="10"/>
      <color indexed="8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i/>
      <sz val="8"/>
      <color indexed="9"/>
      <name val="Arial"/>
      <family val="2"/>
    </font>
    <font>
      <sz val="10"/>
      <color indexed="9"/>
      <name val="Arial"/>
      <family val="2"/>
    </font>
    <font>
      <b/>
      <vertAlign val="subscript"/>
      <sz val="10"/>
      <color indexed="9"/>
      <name val="Arial"/>
      <family val="2"/>
    </font>
    <font>
      <b/>
      <sz val="10"/>
      <color theme="1"/>
      <name val="Arial"/>
      <family val="2"/>
    </font>
    <font>
      <i/>
      <sz val="10"/>
      <color indexed="9"/>
      <name val="Arial"/>
      <family val="2"/>
    </font>
    <font>
      <vertAlign val="subscript"/>
      <sz val="11"/>
      <color rgb="FF4D4D4C"/>
      <name val="Arial"/>
      <family val="2"/>
    </font>
    <font>
      <sz val="10"/>
      <name val="宋体"/>
      <family val="2"/>
      <charset val="134"/>
    </font>
    <font>
      <sz val="9"/>
      <name val="微软雅黑"/>
      <family val="2"/>
      <charset val="134"/>
    </font>
    <font>
      <sz val="10"/>
      <name val="Arial"/>
      <family val="2"/>
      <charset val="134"/>
    </font>
    <font>
      <sz val="11"/>
      <color theme="1"/>
      <name val="Arial"/>
      <family val="2"/>
    </font>
    <font>
      <sz val="10"/>
      <color theme="1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0E0E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0">
    <xf numFmtId="0" fontId="0" fillId="0" borderId="0"/>
    <xf numFmtId="182" fontId="10" fillId="0" borderId="0" applyFont="0" applyFill="0" applyBorder="0" applyAlignment="0" applyProtection="0"/>
    <xf numFmtId="0" fontId="12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" fillId="0" borderId="0"/>
    <xf numFmtId="0" fontId="8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176" fontId="4" fillId="0" borderId="0" applyFont="0" applyFill="0" applyBorder="0" applyAlignment="0" applyProtection="0"/>
    <xf numFmtId="0" fontId="3" fillId="0" borderId="0"/>
    <xf numFmtId="18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</cellStyleXfs>
  <cellXfs count="676">
    <xf numFmtId="0" fontId="0" fillId="0" borderId="0" xfId="0"/>
    <xf numFmtId="0" fontId="14" fillId="5" borderId="0" xfId="0" applyFont="1" applyFill="1" applyBorder="1" applyAlignment="1">
      <alignment horizontal="right" vertical="center"/>
    </xf>
    <xf numFmtId="0" fontId="14" fillId="5" borderId="0" xfId="0" applyFont="1" applyFill="1" applyBorder="1" applyAlignment="1">
      <alignment vertical="center"/>
    </xf>
    <xf numFmtId="0" fontId="14" fillId="0" borderId="0" xfId="0" applyFont="1" applyBorder="1"/>
    <xf numFmtId="0" fontId="14" fillId="5" borderId="0" xfId="0" applyFont="1" applyFill="1" applyBorder="1" applyAlignment="1">
      <alignment horizontal="left" vertical="center"/>
    </xf>
    <xf numFmtId="186" fontId="14" fillId="5" borderId="0" xfId="0" applyNumberFormat="1" applyFont="1" applyFill="1" applyBorder="1" applyAlignment="1">
      <alignment horizontal="left" vertical="center"/>
    </xf>
    <xf numFmtId="0" fontId="14" fillId="10" borderId="4" xfId="0" applyFont="1" applyFill="1" applyBorder="1" applyAlignment="1">
      <alignment horizontal="justify" vertical="center" wrapText="1"/>
    </xf>
    <xf numFmtId="0" fontId="14" fillId="10" borderId="3" xfId="0" applyFont="1" applyFill="1" applyBorder="1" applyAlignment="1">
      <alignment horizontal="justify" vertical="center" wrapText="1"/>
    </xf>
    <xf numFmtId="0" fontId="14" fillId="0" borderId="0" xfId="0" applyFont="1" applyBorder="1" applyAlignment="1">
      <alignment vertical="center"/>
    </xf>
    <xf numFmtId="0" fontId="14" fillId="10" borderId="12" xfId="0" applyFont="1" applyFill="1" applyBorder="1" applyAlignment="1">
      <alignment horizontal="justify" vertical="center" wrapText="1"/>
    </xf>
    <xf numFmtId="14" fontId="14" fillId="0" borderId="0" xfId="0" applyNumberFormat="1" applyFont="1" applyBorder="1" applyAlignment="1">
      <alignment vertical="center"/>
    </xf>
    <xf numFmtId="3" fontId="14" fillId="0" borderId="0" xfId="0" applyNumberFormat="1" applyFont="1" applyBorder="1" applyAlignment="1">
      <alignment horizontal="left"/>
    </xf>
    <xf numFmtId="1" fontId="14" fillId="0" borderId="0" xfId="0" applyNumberFormat="1" applyFont="1" applyBorder="1"/>
    <xf numFmtId="3" fontId="14" fillId="0" borderId="0" xfId="0" applyNumberFormat="1" applyFont="1" applyBorder="1"/>
    <xf numFmtId="10" fontId="13" fillId="0" borderId="0" xfId="7" applyNumberFormat="1" applyFont="1" applyBorder="1"/>
    <xf numFmtId="10" fontId="14" fillId="0" borderId="0" xfId="7" applyNumberFormat="1" applyFont="1" applyBorder="1"/>
    <xf numFmtId="0" fontId="16" fillId="0" borderId="0" xfId="0" applyFont="1"/>
    <xf numFmtId="0" fontId="17" fillId="9" borderId="2" xfId="0" applyFont="1" applyFill="1" applyBorder="1" applyAlignment="1">
      <alignment horizontal="center" vertical="center" wrapText="1"/>
    </xf>
    <xf numFmtId="195" fontId="16" fillId="4" borderId="2" xfId="0" applyNumberFormat="1" applyFont="1" applyFill="1" applyBorder="1" applyAlignment="1">
      <alignment horizontal="center" vertical="center"/>
    </xf>
    <xf numFmtId="14" fontId="16" fillId="0" borderId="0" xfId="0" applyNumberFormat="1" applyFont="1"/>
    <xf numFmtId="0" fontId="16" fillId="4" borderId="2" xfId="0" applyFont="1" applyFill="1" applyBorder="1" applyAlignment="1">
      <alignment horizontal="center" vertical="center"/>
    </xf>
    <xf numFmtId="196" fontId="16" fillId="4" borderId="2" xfId="0" applyNumberFormat="1" applyFont="1" applyFill="1" applyBorder="1" applyAlignment="1">
      <alignment horizontal="center" vertical="center"/>
    </xf>
    <xf numFmtId="196" fontId="16" fillId="0" borderId="0" xfId="0" applyNumberFormat="1" applyFont="1"/>
    <xf numFmtId="3" fontId="16" fillId="0" borderId="0" xfId="0" applyNumberFormat="1" applyFont="1"/>
    <xf numFmtId="2" fontId="16" fillId="0" borderId="0" xfId="0" applyNumberFormat="1" applyFont="1"/>
    <xf numFmtId="10" fontId="16" fillId="0" borderId="0" xfId="7" applyNumberFormat="1" applyFont="1"/>
    <xf numFmtId="197" fontId="17" fillId="9" borderId="2" xfId="0" applyNumberFormat="1" applyFont="1" applyFill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0" fillId="0" borderId="0" xfId="0" applyFont="1"/>
    <xf numFmtId="0" fontId="23" fillId="0" borderId="0" xfId="0" applyFont="1"/>
    <xf numFmtId="0" fontId="22" fillId="2" borderId="0" xfId="0" applyFont="1" applyFill="1"/>
    <xf numFmtId="0" fontId="23" fillId="0" borderId="0" xfId="0" applyFont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5" fillId="0" borderId="0" xfId="0" applyFont="1"/>
    <xf numFmtId="0" fontId="24" fillId="0" borderId="3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7" fillId="0" borderId="3" xfId="0" applyFont="1" applyBorder="1"/>
    <xf numFmtId="0" fontId="7" fillId="0" borderId="2" xfId="0" applyFont="1" applyBorder="1"/>
    <xf numFmtId="0" fontId="0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9" fontId="0" fillId="0" borderId="2" xfId="0" applyNumberFormat="1" applyFont="1" applyBorder="1" applyAlignment="1">
      <alignment horizontal="right"/>
    </xf>
    <xf numFmtId="0" fontId="28" fillId="0" borderId="0" xfId="10" applyFont="1" applyAlignment="1" applyProtection="1"/>
    <xf numFmtId="3" fontId="0" fillId="0" borderId="2" xfId="11" applyNumberFormat="1" applyFont="1" applyFill="1" applyBorder="1" applyAlignment="1">
      <alignment horizontal="right" vertical="center"/>
    </xf>
    <xf numFmtId="17" fontId="7" fillId="0" borderId="3" xfId="0" applyNumberFormat="1" applyFont="1" applyBorder="1"/>
    <xf numFmtId="3" fontId="0" fillId="0" borderId="0" xfId="0" applyNumberFormat="1" applyFont="1"/>
    <xf numFmtId="0" fontId="32" fillId="0" borderId="3" xfId="0" applyFont="1" applyBorder="1"/>
    <xf numFmtId="188" fontId="0" fillId="0" borderId="2" xfId="11" applyNumberFormat="1" applyFont="1" applyFill="1" applyBorder="1" applyAlignment="1">
      <alignment horizontal="right" vertical="center"/>
    </xf>
    <xf numFmtId="0" fontId="7" fillId="0" borderId="3" xfId="0" applyFont="1" applyBorder="1" applyAlignment="1">
      <alignment horizontal="left"/>
    </xf>
    <xf numFmtId="4" fontId="0" fillId="0" borderId="2" xfId="0" applyNumberFormat="1" applyFont="1" applyBorder="1" applyAlignment="1">
      <alignment horizontal="right"/>
    </xf>
    <xf numFmtId="14" fontId="25" fillId="0" borderId="0" xfId="0" applyNumberFormat="1" applyFont="1"/>
    <xf numFmtId="3" fontId="0" fillId="0" borderId="2" xfId="0" applyNumberFormat="1" applyFont="1" applyBorder="1" applyAlignment="1">
      <alignment horizontal="right"/>
    </xf>
    <xf numFmtId="17" fontId="24" fillId="0" borderId="3" xfId="0" applyNumberFormat="1" applyFont="1" applyBorder="1"/>
    <xf numFmtId="0" fontId="24" fillId="0" borderId="12" xfId="0" applyFont="1" applyBorder="1"/>
    <xf numFmtId="3" fontId="38" fillId="3" borderId="11" xfId="0" applyNumberFormat="1" applyFont="1" applyFill="1" applyBorder="1"/>
    <xf numFmtId="0" fontId="7" fillId="0" borderId="11" xfId="0" applyFont="1" applyBorder="1" applyAlignment="1">
      <alignment horizontal="center"/>
    </xf>
    <xf numFmtId="180" fontId="0" fillId="0" borderId="0" xfId="0" applyNumberFormat="1" applyFont="1"/>
    <xf numFmtId="0" fontId="23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39" fillId="0" borderId="0" xfId="0" applyFont="1"/>
    <xf numFmtId="0" fontId="0" fillId="0" borderId="0" xfId="0" applyFont="1" applyAlignment="1">
      <alignment horizontal="right"/>
    </xf>
    <xf numFmtId="0" fontId="22" fillId="0" borderId="4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1" fontId="0" fillId="0" borderId="2" xfId="0" applyNumberFormat="1" applyFont="1" applyBorder="1" applyAlignment="1">
      <alignment horizontal="right"/>
    </xf>
    <xf numFmtId="0" fontId="0" fillId="0" borderId="2" xfId="0" applyFont="1" applyBorder="1" applyAlignment="1">
      <alignment horizontal="center"/>
    </xf>
    <xf numFmtId="0" fontId="0" fillId="5" borderId="2" xfId="0" applyFont="1" applyFill="1" applyBorder="1" applyAlignment="1">
      <alignment horizontal="right"/>
    </xf>
    <xf numFmtId="2" fontId="0" fillId="5" borderId="2" xfId="0" applyNumberFormat="1" applyFont="1" applyFill="1" applyBorder="1" applyAlignment="1">
      <alignment horizontal="right"/>
    </xf>
    <xf numFmtId="4" fontId="0" fillId="5" borderId="2" xfId="11" applyNumberFormat="1" applyFont="1" applyFill="1" applyBorder="1" applyAlignment="1">
      <alignment horizontal="right" vertical="center"/>
    </xf>
    <xf numFmtId="188" fontId="0" fillId="5" borderId="2" xfId="11" applyNumberFormat="1" applyFont="1" applyFill="1" applyBorder="1" applyAlignment="1">
      <alignment horizontal="right" vertical="center"/>
    </xf>
    <xf numFmtId="1" fontId="0" fillId="5" borderId="2" xfId="0" applyNumberFormat="1" applyFont="1" applyFill="1" applyBorder="1" applyAlignment="1">
      <alignment horizontal="right"/>
    </xf>
    <xf numFmtId="0" fontId="0" fillId="0" borderId="3" xfId="0" applyFont="1" applyBorder="1"/>
    <xf numFmtId="17" fontId="22" fillId="0" borderId="3" xfId="0" applyNumberFormat="1" applyFont="1" applyBorder="1"/>
    <xf numFmtId="0" fontId="22" fillId="0" borderId="12" xfId="0" applyFont="1" applyBorder="1"/>
    <xf numFmtId="0" fontId="0" fillId="0" borderId="1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3" fillId="0" borderId="0" xfId="0" applyFont="1"/>
    <xf numFmtId="2" fontId="0" fillId="0" borderId="2" xfId="0" applyNumberFormat="1" applyFont="1" applyBorder="1" applyAlignment="1">
      <alignment horizontal="right"/>
    </xf>
    <xf numFmtId="0" fontId="0" fillId="0" borderId="2" xfId="0" applyFont="1" applyBorder="1" applyAlignment="1">
      <alignment horizontal="center" vertical="center"/>
    </xf>
    <xf numFmtId="2" fontId="0" fillId="0" borderId="2" xfId="11" applyNumberFormat="1" applyFont="1" applyBorder="1" applyAlignment="1">
      <alignment horizontal="right"/>
    </xf>
    <xf numFmtId="4" fontId="0" fillId="0" borderId="2" xfId="11" applyNumberFormat="1" applyFont="1" applyFill="1" applyBorder="1" applyAlignment="1">
      <alignment horizontal="right" vertical="center"/>
    </xf>
    <xf numFmtId="2" fontId="0" fillId="0" borderId="2" xfId="11" applyNumberFormat="1" applyFont="1" applyFill="1" applyBorder="1" applyAlignment="1">
      <alignment horizontal="right"/>
    </xf>
    <xf numFmtId="3" fontId="0" fillId="0" borderId="2" xfId="11" applyNumberFormat="1" applyFont="1" applyBorder="1" applyAlignment="1">
      <alignment horizontal="right"/>
    </xf>
    <xf numFmtId="177" fontId="22" fillId="0" borderId="0" xfId="0" applyNumberFormat="1" applyFont="1"/>
    <xf numFmtId="3" fontId="21" fillId="3" borderId="0" xfId="0" applyNumberFormat="1" applyFont="1" applyFill="1" applyAlignment="1">
      <alignment horizontal="left"/>
    </xf>
    <xf numFmtId="17" fontId="24" fillId="0" borderId="4" xfId="0" applyNumberFormat="1" applyFont="1" applyBorder="1"/>
    <xf numFmtId="3" fontId="43" fillId="0" borderId="0" xfId="0" applyNumberFormat="1" applyFont="1" applyAlignment="1">
      <alignment horizontal="left" wrapText="1"/>
    </xf>
    <xf numFmtId="0" fontId="0" fillId="0" borderId="0" xfId="9" applyFont="1">
      <alignment vertical="center"/>
    </xf>
    <xf numFmtId="177" fontId="0" fillId="0" borderId="0" xfId="9" applyNumberFormat="1" applyFont="1">
      <alignment vertical="center"/>
    </xf>
    <xf numFmtId="178" fontId="0" fillId="0" borderId="0" xfId="9" applyNumberFormat="1" applyFont="1" applyAlignment="1">
      <alignment horizontal="center" vertical="center"/>
    </xf>
    <xf numFmtId="0" fontId="22" fillId="3" borderId="0" xfId="0" applyFont="1" applyFill="1"/>
    <xf numFmtId="0" fontId="0" fillId="3" borderId="0" xfId="0" applyFont="1" applyFill="1"/>
    <xf numFmtId="0" fontId="22" fillId="3" borderId="0" xfId="11" applyNumberFormat="1" applyFont="1" applyFill="1" applyBorder="1"/>
    <xf numFmtId="0" fontId="0" fillId="3" borderId="0" xfId="11" applyNumberFormat="1" applyFont="1" applyFill="1" applyBorder="1"/>
    <xf numFmtId="176" fontId="0" fillId="0" borderId="0" xfId="0" applyNumberFormat="1" applyFont="1"/>
    <xf numFmtId="177" fontId="0" fillId="0" borderId="0" xfId="0" applyNumberFormat="1" applyFont="1" applyAlignment="1">
      <alignment horizontal="center"/>
    </xf>
    <xf numFmtId="0" fontId="0" fillId="0" borderId="12" xfId="0" applyFont="1" applyBorder="1"/>
    <xf numFmtId="177" fontId="0" fillId="0" borderId="0" xfId="0" applyNumberFormat="1" applyFont="1"/>
    <xf numFmtId="17" fontId="24" fillId="0" borderId="12" xfId="0" applyNumberFormat="1" applyFont="1" applyBorder="1"/>
    <xf numFmtId="0" fontId="0" fillId="0" borderId="2" xfId="0" applyFont="1" applyBorder="1"/>
    <xf numFmtId="0" fontId="0" fillId="0" borderId="7" xfId="0" applyFont="1" applyBorder="1" applyAlignment="1">
      <alignment horizontal="center"/>
    </xf>
    <xf numFmtId="0" fontId="0" fillId="0" borderId="0" xfId="0" applyFont="1" applyBorder="1"/>
    <xf numFmtId="2" fontId="0" fillId="0" borderId="0" xfId="0" applyNumberFormat="1" applyFont="1" applyBorder="1" applyAlignment="1">
      <alignment horizontal="center"/>
    </xf>
    <xf numFmtId="0" fontId="0" fillId="0" borderId="12" xfId="0" applyFont="1" applyFill="1" applyBorder="1"/>
    <xf numFmtId="183" fontId="0" fillId="0" borderId="11" xfId="0" applyNumberFormat="1" applyFont="1" applyBorder="1" applyAlignment="1">
      <alignment horizontal="center"/>
    </xf>
    <xf numFmtId="0" fontId="0" fillId="0" borderId="0" xfId="0" applyFont="1" applyFill="1" applyBorder="1"/>
    <xf numFmtId="0" fontId="0" fillId="0" borderId="4" xfId="0" applyFont="1" applyBorder="1"/>
    <xf numFmtId="0" fontId="0" fillId="0" borderId="5" xfId="0" applyFont="1" applyBorder="1"/>
    <xf numFmtId="0" fontId="50" fillId="0" borderId="5" xfId="0" applyFont="1" applyBorder="1"/>
    <xf numFmtId="0" fontId="34" fillId="0" borderId="5" xfId="0" applyFont="1" applyBorder="1"/>
    <xf numFmtId="0" fontId="0" fillId="0" borderId="6" xfId="0" applyFont="1" applyBorder="1"/>
    <xf numFmtId="176" fontId="0" fillId="0" borderId="2" xfId="11" applyFont="1" applyBorder="1" applyAlignment="1">
      <alignment horizontal="center"/>
    </xf>
    <xf numFmtId="185" fontId="0" fillId="0" borderId="2" xfId="11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193" fontId="0" fillId="0" borderId="2" xfId="0" applyNumberFormat="1" applyFont="1" applyBorder="1" applyAlignment="1">
      <alignment horizontal="center"/>
    </xf>
    <xf numFmtId="2" fontId="44" fillId="0" borderId="2" xfId="0" applyNumberFormat="1" applyFont="1" applyBorder="1" applyAlignment="1">
      <alignment horizontal="center"/>
    </xf>
    <xf numFmtId="176" fontId="0" fillId="0" borderId="11" xfId="11" applyFont="1" applyBorder="1"/>
    <xf numFmtId="179" fontId="0" fillId="0" borderId="11" xfId="0" applyNumberFormat="1" applyFont="1" applyBorder="1"/>
    <xf numFmtId="0" fontId="0" fillId="0" borderId="11" xfId="0" applyFont="1" applyBorder="1"/>
    <xf numFmtId="198" fontId="0" fillId="0" borderId="11" xfId="0" applyNumberFormat="1" applyFont="1" applyBorder="1"/>
    <xf numFmtId="2" fontId="0" fillId="0" borderId="0" xfId="0" applyNumberFormat="1" applyFont="1" applyBorder="1"/>
    <xf numFmtId="44" fontId="0" fillId="0" borderId="0" xfId="0" applyNumberFormat="1" applyFont="1" applyBorder="1"/>
    <xf numFmtId="0" fontId="0" fillId="0" borderId="0" xfId="0" applyFont="1" applyFill="1"/>
    <xf numFmtId="181" fontId="0" fillId="0" borderId="0" xfId="0" applyNumberFormat="1" applyFont="1" applyFill="1"/>
    <xf numFmtId="181" fontId="0" fillId="0" borderId="0" xfId="0" applyNumberFormat="1" applyFont="1" applyFill="1" applyBorder="1"/>
    <xf numFmtId="43" fontId="0" fillId="0" borderId="0" xfId="0" applyNumberFormat="1" applyFont="1" applyFill="1" applyBorder="1"/>
    <xf numFmtId="44" fontId="0" fillId="0" borderId="0" xfId="0" applyNumberFormat="1" applyFont="1"/>
    <xf numFmtId="185" fontId="0" fillId="0" borderId="0" xfId="0" applyNumberFormat="1" applyFont="1"/>
    <xf numFmtId="44" fontId="0" fillId="0" borderId="0" xfId="0" applyNumberFormat="1" applyFont="1" applyFill="1"/>
    <xf numFmtId="3" fontId="0" fillId="0" borderId="0" xfId="0" applyNumberFormat="1" applyFont="1" applyFill="1"/>
    <xf numFmtId="177" fontId="0" fillId="0" borderId="0" xfId="11" applyNumberFormat="1" applyFont="1" applyFill="1"/>
    <xf numFmtId="43" fontId="0" fillId="0" borderId="0" xfId="0" applyNumberFormat="1" applyFont="1" applyFill="1"/>
    <xf numFmtId="195" fontId="0" fillId="0" borderId="0" xfId="0" applyNumberFormat="1" applyFont="1"/>
    <xf numFmtId="177" fontId="0" fillId="0" borderId="0" xfId="0" applyNumberFormat="1" applyFont="1" applyFill="1"/>
    <xf numFmtId="44" fontId="56" fillId="0" borderId="0" xfId="0" applyNumberFormat="1" applyFont="1"/>
    <xf numFmtId="181" fontId="0" fillId="0" borderId="0" xfId="0" applyNumberFormat="1" applyFont="1"/>
    <xf numFmtId="194" fontId="0" fillId="0" borderId="0" xfId="7" applyNumberFormat="1" applyFont="1"/>
    <xf numFmtId="179" fontId="0" fillId="0" borderId="0" xfId="0" applyNumberFormat="1" applyFont="1"/>
    <xf numFmtId="0" fontId="22" fillId="0" borderId="4" xfId="0" applyFont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17" fontId="7" fillId="0" borderId="3" xfId="0" applyNumberFormat="1" applyFont="1" applyBorder="1" applyAlignment="1">
      <alignment horizontal="center" vertical="center"/>
    </xf>
    <xf numFmtId="197" fontId="0" fillId="0" borderId="2" xfId="0" applyNumberFormat="1" applyFont="1" applyBorder="1" applyAlignment="1">
      <alignment horizontal="center" vertical="center"/>
    </xf>
    <xf numFmtId="197" fontId="0" fillId="5" borderId="2" xfId="0" applyNumberFormat="1" applyFont="1" applyFill="1" applyBorder="1" applyAlignment="1">
      <alignment horizontal="center" vertical="center"/>
    </xf>
    <xf numFmtId="197" fontId="0" fillId="0" borderId="2" xfId="0" applyNumberFormat="1" applyFont="1" applyBorder="1" applyAlignment="1">
      <alignment horizontal="center" vertical="center" wrapText="1"/>
    </xf>
    <xf numFmtId="197" fontId="0" fillId="0" borderId="7" xfId="0" applyNumberFormat="1" applyFont="1" applyBorder="1" applyAlignment="1">
      <alignment horizontal="center" vertical="center"/>
    </xf>
    <xf numFmtId="197" fontId="0" fillId="0" borderId="3" xfId="0" applyNumberFormat="1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197" fontId="0" fillId="0" borderId="11" xfId="0" applyNumberFormat="1" applyFont="1" applyBorder="1" applyAlignment="1">
      <alignment horizontal="center" vertical="center"/>
    </xf>
    <xf numFmtId="197" fontId="0" fillId="0" borderId="13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192" fontId="0" fillId="6" borderId="2" xfId="0" applyNumberFormat="1" applyFont="1" applyFill="1" applyBorder="1" applyAlignment="1">
      <alignment horizontal="center" vertical="center"/>
    </xf>
    <xf numFmtId="192" fontId="0" fillId="7" borderId="2" xfId="0" applyNumberFormat="1" applyFont="1" applyFill="1" applyBorder="1" applyAlignment="1">
      <alignment horizontal="center" vertical="center"/>
    </xf>
    <xf numFmtId="0" fontId="57" fillId="0" borderId="8" xfId="0" applyFont="1" applyBorder="1" applyAlignment="1">
      <alignment vertical="center"/>
    </xf>
    <xf numFmtId="0" fontId="57" fillId="0" borderId="0" xfId="0" applyFont="1" applyAlignment="1">
      <alignment horizontal="left" vertical="center"/>
    </xf>
    <xf numFmtId="0" fontId="22" fillId="0" borderId="9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 wrapText="1"/>
    </xf>
    <xf numFmtId="0" fontId="0" fillId="7" borderId="2" xfId="0" applyFont="1" applyFill="1" applyBorder="1" applyAlignment="1">
      <alignment horizontal="center" vertical="center"/>
    </xf>
    <xf numFmtId="0" fontId="0" fillId="7" borderId="2" xfId="0" applyFont="1" applyFill="1" applyBorder="1" applyAlignment="1">
      <alignment horizontal="center" vertical="center" wrapText="1"/>
    </xf>
    <xf numFmtId="17" fontId="0" fillId="4" borderId="8" xfId="0" applyNumberFormat="1" applyFont="1" applyFill="1" applyBorder="1" applyAlignment="1">
      <alignment horizontal="right" vertical="center"/>
    </xf>
    <xf numFmtId="1" fontId="0" fillId="0" borderId="2" xfId="0" applyNumberFormat="1" applyFont="1" applyBorder="1" applyAlignment="1">
      <alignment horizontal="center" vertical="center"/>
    </xf>
    <xf numFmtId="179" fontId="0" fillId="6" borderId="2" xfId="0" applyNumberFormat="1" applyFont="1" applyFill="1" applyBorder="1" applyAlignment="1">
      <alignment horizontal="center" vertical="center"/>
    </xf>
    <xf numFmtId="192" fontId="0" fillId="6" borderId="2" xfId="0" applyNumberFormat="1" applyFont="1" applyFill="1" applyBorder="1" applyAlignment="1">
      <alignment horizontal="center" vertical="center" wrapText="1"/>
    </xf>
    <xf numFmtId="179" fontId="0" fillId="7" borderId="2" xfId="0" applyNumberFormat="1" applyFont="1" applyFill="1" applyBorder="1" applyAlignment="1">
      <alignment horizontal="center" vertical="center"/>
    </xf>
    <xf numFmtId="1" fontId="0" fillId="7" borderId="2" xfId="0" applyNumberFormat="1" applyFont="1" applyFill="1" applyBorder="1" applyAlignment="1">
      <alignment horizontal="center" vertical="center" wrapText="1"/>
    </xf>
    <xf numFmtId="2" fontId="0" fillId="7" borderId="2" xfId="0" applyNumberFormat="1" applyFont="1" applyFill="1" applyBorder="1" applyAlignment="1">
      <alignment horizontal="center" vertical="center" wrapText="1"/>
    </xf>
    <xf numFmtId="192" fontId="0" fillId="7" borderId="2" xfId="0" applyNumberFormat="1" applyFont="1" applyFill="1" applyBorder="1" applyAlignment="1">
      <alignment horizontal="center" vertical="center" wrapText="1"/>
    </xf>
    <xf numFmtId="179" fontId="0" fillId="8" borderId="26" xfId="0" applyNumberFormat="1" applyFont="1" applyFill="1" applyBorder="1" applyAlignment="1">
      <alignment vertical="center"/>
    </xf>
    <xf numFmtId="187" fontId="0" fillId="8" borderId="2" xfId="0" applyNumberFormat="1" applyFont="1" applyFill="1" applyBorder="1" applyAlignment="1">
      <alignment horizontal="center" vertical="center"/>
    </xf>
    <xf numFmtId="1" fontId="0" fillId="0" borderId="0" xfId="0" applyNumberFormat="1" applyFont="1" applyAlignment="1">
      <alignment vertical="center"/>
    </xf>
    <xf numFmtId="0" fontId="57" fillId="0" borderId="0" xfId="0" applyFont="1" applyAlignment="1">
      <alignment vertical="center"/>
    </xf>
    <xf numFmtId="178" fontId="57" fillId="0" borderId="0" xfId="0" applyNumberFormat="1" applyFont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5" borderId="2" xfId="0" applyFont="1" applyFill="1" applyBorder="1" applyAlignment="1">
      <alignment horizontal="center" vertical="center"/>
    </xf>
    <xf numFmtId="179" fontId="0" fillId="0" borderId="10" xfId="0" applyNumberFormat="1" applyFont="1" applyBorder="1" applyAlignment="1">
      <alignment vertical="center"/>
    </xf>
    <xf numFmtId="179" fontId="0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179" fontId="0" fillId="0" borderId="0" xfId="0" applyNumberFormat="1" applyFont="1" applyAlignment="1">
      <alignment horizontal="left" vertical="center"/>
    </xf>
    <xf numFmtId="179" fontId="0" fillId="0" borderId="10" xfId="0" applyNumberFormat="1" applyFont="1" applyBorder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187" fontId="22" fillId="0" borderId="2" xfId="0" applyNumberFormat="1" applyFont="1" applyBorder="1" applyAlignment="1">
      <alignment horizontal="center" vertical="center"/>
    </xf>
    <xf numFmtId="179" fontId="0" fillId="0" borderId="0" xfId="0" applyNumberFormat="1" applyFont="1" applyAlignment="1">
      <alignment vertical="center" wrapText="1"/>
    </xf>
    <xf numFmtId="179" fontId="0" fillId="0" borderId="0" xfId="0" applyNumberFormat="1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Border="1" applyAlignment="1">
      <alignment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2" xfId="0" applyFont="1" applyBorder="1" applyAlignment="1">
      <alignment horizontal="right" vertical="center"/>
    </xf>
    <xf numFmtId="187" fontId="0" fillId="5" borderId="2" xfId="0" applyNumberFormat="1" applyFont="1" applyFill="1" applyBorder="1" applyAlignment="1">
      <alignment horizontal="center" vertical="center"/>
    </xf>
    <xf numFmtId="179" fontId="0" fillId="5" borderId="2" xfId="0" applyNumberFormat="1" applyFont="1" applyFill="1" applyBorder="1" applyAlignment="1">
      <alignment horizontal="center" vertical="center"/>
    </xf>
    <xf numFmtId="187" fontId="0" fillId="0" borderId="2" xfId="0" applyNumberFormat="1" applyFont="1" applyBorder="1" applyAlignment="1">
      <alignment horizontal="center" vertical="center" wrapText="1"/>
    </xf>
    <xf numFmtId="187" fontId="0" fillId="0" borderId="2" xfId="0" applyNumberFormat="1" applyFont="1" applyBorder="1" applyAlignment="1">
      <alignment horizontal="center" vertical="center"/>
    </xf>
    <xf numFmtId="10" fontId="0" fillId="0" borderId="2" xfId="0" applyNumberFormat="1" applyFont="1" applyBorder="1" applyAlignment="1">
      <alignment horizontal="center" vertical="center"/>
    </xf>
    <xf numFmtId="0" fontId="22" fillId="0" borderId="6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0" fillId="0" borderId="3" xfId="5" applyFont="1" applyBorder="1">
      <alignment vertical="center"/>
    </xf>
    <xf numFmtId="3" fontId="0" fillId="0" borderId="2" xfId="11" applyNumberFormat="1" applyFont="1" applyFill="1" applyBorder="1" applyAlignment="1">
      <alignment horizontal="center" vertical="center"/>
    </xf>
    <xf numFmtId="4" fontId="0" fillId="0" borderId="2" xfId="5" applyNumberFormat="1" applyFont="1" applyBorder="1" applyAlignment="1">
      <alignment horizontal="center" vertical="center"/>
    </xf>
    <xf numFmtId="9" fontId="0" fillId="0" borderId="2" xfId="9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2" xfId="5" applyFont="1" applyBorder="1" applyAlignment="1">
      <alignment horizontal="center" vertical="center"/>
    </xf>
    <xf numFmtId="0" fontId="0" fillId="0" borderId="7" xfId="0" applyFont="1" applyBorder="1" applyAlignment="1">
      <alignment horizontal="center" wrapText="1"/>
    </xf>
    <xf numFmtId="0" fontId="0" fillId="0" borderId="3" xfId="4" applyFont="1" applyBorder="1">
      <alignment vertical="center"/>
    </xf>
    <xf numFmtId="0" fontId="22" fillId="0" borderId="3" xfId="5" applyFont="1" applyBorder="1">
      <alignment vertical="center"/>
    </xf>
    <xf numFmtId="176" fontId="0" fillId="0" borderId="2" xfId="5" applyNumberFormat="1" applyFont="1" applyBorder="1" applyAlignment="1">
      <alignment horizontal="center" vertical="center"/>
    </xf>
    <xf numFmtId="2" fontId="0" fillId="0" borderId="2" xfId="5" applyNumberFormat="1" applyFont="1" applyBorder="1" applyAlignment="1">
      <alignment horizontal="center" vertical="center"/>
    </xf>
    <xf numFmtId="0" fontId="22" fillId="0" borderId="12" xfId="5" applyFont="1" applyBorder="1">
      <alignment vertical="center"/>
    </xf>
    <xf numFmtId="0" fontId="0" fillId="0" borderId="0" xfId="5" applyFont="1">
      <alignment vertical="center"/>
    </xf>
    <xf numFmtId="177" fontId="38" fillId="0" borderId="0" xfId="5" applyNumberFormat="1" applyFont="1" applyAlignment="1">
      <alignment horizontal="center" vertical="center"/>
    </xf>
    <xf numFmtId="0" fontId="0" fillId="0" borderId="0" xfId="0" applyFont="1" applyAlignment="1">
      <alignment horizontal="center" wrapText="1"/>
    </xf>
    <xf numFmtId="0" fontId="22" fillId="0" borderId="3" xfId="5" applyFont="1" applyBorder="1" applyAlignment="1"/>
    <xf numFmtId="1" fontId="22" fillId="0" borderId="9" xfId="5" applyNumberFormat="1" applyFont="1" applyBorder="1" applyAlignment="1">
      <alignment horizontal="center" vertical="center"/>
    </xf>
    <xf numFmtId="1" fontId="22" fillId="0" borderId="26" xfId="5" applyNumberFormat="1" applyFont="1" applyBorder="1" applyAlignment="1">
      <alignment horizontal="center" vertical="center"/>
    </xf>
    <xf numFmtId="17" fontId="22" fillId="0" borderId="3" xfId="5" applyNumberFormat="1" applyFont="1" applyBorder="1">
      <alignment vertical="center"/>
    </xf>
    <xf numFmtId="0" fontId="0" fillId="0" borderId="3" xfId="0" applyFont="1" applyBorder="1" applyAlignment="1">
      <alignment horizontal="left"/>
    </xf>
    <xf numFmtId="0" fontId="0" fillId="0" borderId="3" xfId="9" applyFont="1" applyBorder="1">
      <alignment vertical="center"/>
    </xf>
    <xf numFmtId="4" fontId="0" fillId="0" borderId="2" xfId="8" applyNumberFormat="1" applyFont="1" applyBorder="1" applyAlignment="1">
      <alignment horizontal="center"/>
    </xf>
    <xf numFmtId="0" fontId="0" fillId="0" borderId="2" xfId="9" applyFont="1" applyBorder="1" applyAlignment="1">
      <alignment horizontal="center" vertical="center"/>
    </xf>
    <xf numFmtId="0" fontId="44" fillId="0" borderId="2" xfId="5" applyFont="1" applyBorder="1" applyAlignment="1">
      <alignment horizontal="center" vertical="center"/>
    </xf>
    <xf numFmtId="9" fontId="0" fillId="0" borderId="2" xfId="5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wrapText="1"/>
    </xf>
    <xf numFmtId="0" fontId="22" fillId="0" borderId="4" xfId="0" applyFont="1" applyBorder="1"/>
    <xf numFmtId="0" fontId="22" fillId="0" borderId="3" xfId="0" applyFont="1" applyBorder="1"/>
    <xf numFmtId="178" fontId="0" fillId="0" borderId="0" xfId="0" applyNumberFormat="1" applyFont="1"/>
    <xf numFmtId="17" fontId="7" fillId="0" borderId="0" xfId="0" applyNumberFormat="1" applyFont="1" applyBorder="1"/>
    <xf numFmtId="3" fontId="22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77" fontId="22" fillId="0" borderId="0" xfId="0" applyNumberFormat="1" applyFont="1" applyAlignment="1">
      <alignment horizontal="center"/>
    </xf>
    <xf numFmtId="0" fontId="61" fillId="0" borderId="0" xfId="0" applyFont="1"/>
    <xf numFmtId="0" fontId="63" fillId="0" borderId="0" xfId="0" applyFont="1" applyAlignment="1">
      <alignment horizontal="center"/>
    </xf>
    <xf numFmtId="0" fontId="63" fillId="0" borderId="0" xfId="0" applyFont="1"/>
    <xf numFmtId="0" fontId="61" fillId="0" borderId="0" xfId="0" applyFont="1" applyAlignment="1">
      <alignment horizontal="center"/>
    </xf>
    <xf numFmtId="0" fontId="63" fillId="0" borderId="0" xfId="4" applyFont="1" applyAlignment="1">
      <alignment horizontal="center" vertical="center"/>
    </xf>
    <xf numFmtId="0" fontId="63" fillId="0" borderId="0" xfId="0" applyFont="1" applyAlignment="1">
      <alignment horizontal="left"/>
    </xf>
    <xf numFmtId="0" fontId="63" fillId="0" borderId="0" xfId="9" applyFont="1">
      <alignment vertical="center"/>
    </xf>
    <xf numFmtId="0" fontId="63" fillId="0" borderId="0" xfId="9" applyFont="1" applyAlignment="1">
      <alignment horizontal="center" vertical="center"/>
    </xf>
    <xf numFmtId="9" fontId="63" fillId="0" borderId="0" xfId="9" applyNumberFormat="1" applyFont="1" applyAlignment="1">
      <alignment horizontal="center" vertical="center"/>
    </xf>
    <xf numFmtId="0" fontId="61" fillId="0" borderId="0" xfId="4" applyFont="1">
      <alignment vertical="center"/>
    </xf>
    <xf numFmtId="176" fontId="61" fillId="0" borderId="0" xfId="4" applyNumberFormat="1" applyFont="1" applyAlignment="1">
      <alignment horizontal="center" vertical="center"/>
    </xf>
    <xf numFmtId="177" fontId="61" fillId="0" borderId="0" xfId="0" applyNumberFormat="1" applyFont="1" applyAlignment="1">
      <alignment horizontal="center"/>
    </xf>
    <xf numFmtId="0" fontId="0" fillId="2" borderId="0" xfId="0" applyFont="1" applyFill="1"/>
    <xf numFmtId="0" fontId="22" fillId="0" borderId="0" xfId="4" applyFont="1" applyAlignment="1"/>
    <xf numFmtId="0" fontId="23" fillId="0" borderId="0" xfId="9" applyFont="1" applyAlignment="1">
      <alignment horizontal="left" vertical="center"/>
    </xf>
    <xf numFmtId="0" fontId="22" fillId="0" borderId="4" xfId="4" applyFont="1" applyBorder="1" applyAlignment="1"/>
    <xf numFmtId="0" fontId="0" fillId="0" borderId="3" xfId="4" applyFont="1" applyBorder="1" applyAlignment="1"/>
    <xf numFmtId="0" fontId="0" fillId="0" borderId="2" xfId="4" applyFont="1" applyBorder="1">
      <alignment vertical="center"/>
    </xf>
    <xf numFmtId="9" fontId="0" fillId="0" borderId="2" xfId="4" applyNumberFormat="1" applyFont="1" applyBorder="1">
      <alignment vertical="center"/>
    </xf>
    <xf numFmtId="0" fontId="22" fillId="0" borderId="3" xfId="4" applyFont="1" applyBorder="1" applyAlignment="1"/>
    <xf numFmtId="1" fontId="22" fillId="0" borderId="2" xfId="4" applyNumberFormat="1" applyFont="1" applyBorder="1">
      <alignment vertical="center"/>
    </xf>
    <xf numFmtId="17" fontId="22" fillId="0" borderId="3" xfId="4" applyNumberFormat="1" applyFont="1" applyBorder="1" applyAlignment="1"/>
    <xf numFmtId="0" fontId="22" fillId="0" borderId="12" xfId="4" applyFont="1" applyBorder="1" applyAlignment="1"/>
    <xf numFmtId="0" fontId="0" fillId="0" borderId="11" xfId="9" applyFont="1" applyBorder="1" applyAlignment="1">
      <alignment horizontal="center" vertical="center"/>
    </xf>
    <xf numFmtId="0" fontId="0" fillId="0" borderId="0" xfId="9" applyFont="1" applyAlignment="1">
      <alignment horizontal="center" vertical="center"/>
    </xf>
    <xf numFmtId="0" fontId="0" fillId="0" borderId="0" xfId="9" applyFont="1" applyAlignment="1">
      <alignment horizontal="center" vertical="center" wrapText="1"/>
    </xf>
    <xf numFmtId="0" fontId="0" fillId="0" borderId="2" xfId="0" applyFont="1" applyFill="1" applyBorder="1" applyAlignment="1">
      <alignment horizontal="right"/>
    </xf>
    <xf numFmtId="185" fontId="0" fillId="0" borderId="2" xfId="4" applyNumberFormat="1" applyFont="1" applyBorder="1" applyAlignment="1">
      <alignment horizontal="right" vertical="center"/>
    </xf>
    <xf numFmtId="0" fontId="22" fillId="0" borderId="3" xfId="4" applyFont="1" applyBorder="1">
      <alignment vertical="center"/>
    </xf>
    <xf numFmtId="3" fontId="22" fillId="0" borderId="2" xfId="4" applyNumberFormat="1" applyFont="1" applyBorder="1" applyAlignment="1">
      <alignment horizontal="right" vertical="center"/>
    </xf>
    <xf numFmtId="3" fontId="0" fillId="0" borderId="2" xfId="4" applyNumberFormat="1" applyFont="1" applyBorder="1" applyAlignment="1">
      <alignment horizontal="center" vertical="center"/>
    </xf>
    <xf numFmtId="3" fontId="0" fillId="0" borderId="11" xfId="4" applyNumberFormat="1" applyFont="1" applyBorder="1" applyAlignment="1">
      <alignment horizontal="center" vertical="center"/>
    </xf>
    <xf numFmtId="17" fontId="7" fillId="0" borderId="1" xfId="0" applyNumberFormat="1" applyFont="1" applyBorder="1"/>
    <xf numFmtId="3" fontId="22" fillId="0" borderId="0" xfId="0" applyNumberFormat="1" applyFont="1"/>
    <xf numFmtId="4" fontId="0" fillId="0" borderId="2" xfId="4" applyNumberFormat="1" applyFont="1" applyFill="1" applyBorder="1" applyAlignment="1">
      <alignment horizontal="right" vertical="center"/>
    </xf>
    <xf numFmtId="3" fontId="22" fillId="0" borderId="2" xfId="4" applyNumberFormat="1" applyFont="1" applyFill="1" applyBorder="1" applyAlignment="1">
      <alignment horizontal="right" vertical="center"/>
    </xf>
    <xf numFmtId="3" fontId="0" fillId="0" borderId="2" xfId="4" applyNumberFormat="1" applyFont="1" applyFill="1" applyBorder="1" applyAlignment="1">
      <alignment horizontal="center" vertical="center"/>
    </xf>
    <xf numFmtId="0" fontId="22" fillId="0" borderId="3" xfId="4" applyFont="1" applyFill="1" applyBorder="1">
      <alignment vertical="center"/>
    </xf>
    <xf numFmtId="17" fontId="22" fillId="0" borderId="3" xfId="4" applyNumberFormat="1" applyFont="1" applyFill="1" applyBorder="1">
      <alignment vertical="center"/>
    </xf>
    <xf numFmtId="0" fontId="0" fillId="0" borderId="0" xfId="4" applyFont="1">
      <alignment vertical="center"/>
    </xf>
    <xf numFmtId="0" fontId="22" fillId="0" borderId="0" xfId="4" applyFont="1">
      <alignment vertical="center"/>
    </xf>
    <xf numFmtId="0" fontId="22" fillId="0" borderId="4" xfId="4" applyFont="1" applyBorder="1">
      <alignment vertical="center"/>
    </xf>
    <xf numFmtId="3" fontId="22" fillId="0" borderId="5" xfId="9" applyNumberFormat="1" applyFont="1" applyBorder="1" applyAlignment="1">
      <alignment horizontal="right" vertical="center"/>
    </xf>
    <xf numFmtId="3" fontId="22" fillId="0" borderId="2" xfId="9" applyNumberFormat="1" applyFont="1" applyBorder="1" applyAlignment="1">
      <alignment horizontal="right" vertical="center"/>
    </xf>
    <xf numFmtId="0" fontId="0" fillId="0" borderId="7" xfId="0" applyFont="1" applyBorder="1"/>
    <xf numFmtId="185" fontId="0" fillId="0" borderId="2" xfId="9" applyNumberFormat="1" applyFont="1" applyBorder="1" applyAlignment="1">
      <alignment horizontal="right" vertical="center"/>
    </xf>
    <xf numFmtId="190" fontId="0" fillId="0" borderId="2" xfId="9" applyNumberFormat="1" applyFont="1" applyBorder="1" applyAlignment="1">
      <alignment horizontal="right" vertical="center"/>
    </xf>
    <xf numFmtId="0" fontId="0" fillId="0" borderId="7" xfId="0" applyFont="1" applyBorder="1" applyAlignment="1">
      <alignment horizontal="center" vertical="center"/>
    </xf>
    <xf numFmtId="189" fontId="0" fillId="0" borderId="2" xfId="9" applyNumberFormat="1" applyFont="1" applyBorder="1" applyAlignment="1">
      <alignment horizontal="right" vertical="center"/>
    </xf>
    <xf numFmtId="9" fontId="0" fillId="0" borderId="2" xfId="7" applyFont="1" applyFill="1" applyBorder="1" applyAlignment="1">
      <alignment horizontal="right" vertical="center"/>
    </xf>
    <xf numFmtId="0" fontId="0" fillId="0" borderId="7" xfId="4" applyFont="1" applyBorder="1" applyAlignment="1">
      <alignment horizontal="center" vertical="center"/>
    </xf>
    <xf numFmtId="191" fontId="0" fillId="0" borderId="2" xfId="9" applyNumberFormat="1" applyFont="1" applyBorder="1" applyAlignment="1">
      <alignment horizontal="right" vertical="center"/>
    </xf>
    <xf numFmtId="0" fontId="22" fillId="0" borderId="12" xfId="4" applyFont="1" applyBorder="1">
      <alignment vertical="center"/>
    </xf>
    <xf numFmtId="0" fontId="0" fillId="0" borderId="13" xfId="0" applyFont="1" applyBorder="1" applyAlignment="1">
      <alignment horizontal="center"/>
    </xf>
    <xf numFmtId="0" fontId="0" fillId="2" borderId="0" xfId="4" applyFont="1" applyFill="1">
      <alignment vertical="center"/>
    </xf>
    <xf numFmtId="0" fontId="61" fillId="0" borderId="0" xfId="4" applyFont="1" applyAlignment="1"/>
    <xf numFmtId="0" fontId="0" fillId="5" borderId="2" xfId="4" applyFont="1" applyFill="1" applyBorder="1" applyAlignment="1">
      <alignment horizontal="right"/>
    </xf>
    <xf numFmtId="2" fontId="0" fillId="5" borderId="2" xfId="4" applyNumberFormat="1" applyFont="1" applyFill="1" applyBorder="1" applyAlignment="1">
      <alignment horizontal="right"/>
    </xf>
    <xf numFmtId="9" fontId="0" fillId="5" borderId="2" xfId="0" applyNumberFormat="1" applyFont="1" applyFill="1" applyBorder="1"/>
    <xf numFmtId="185" fontId="0" fillId="5" borderId="2" xfId="0" applyNumberFormat="1" applyFont="1" applyFill="1" applyBorder="1"/>
    <xf numFmtId="184" fontId="0" fillId="0" borderId="2" xfId="9" applyNumberFormat="1" applyFont="1" applyBorder="1" applyAlignment="1">
      <alignment horizontal="right" vertical="center"/>
    </xf>
    <xf numFmtId="4" fontId="0" fillId="0" borderId="2" xfId="9" applyNumberFormat="1" applyFont="1" applyBorder="1" applyAlignment="1">
      <alignment horizontal="right" vertical="center"/>
    </xf>
    <xf numFmtId="0" fontId="22" fillId="5" borderId="4" xfId="0" applyFont="1" applyFill="1" applyBorder="1" applyAlignment="1">
      <alignment horizontal="center"/>
    </xf>
    <xf numFmtId="0" fontId="0" fillId="0" borderId="2" xfId="4" applyFont="1" applyBorder="1" applyAlignment="1">
      <alignment horizontal="right"/>
    </xf>
    <xf numFmtId="0" fontId="0" fillId="0" borderId="2" xfId="4" applyFont="1" applyBorder="1" applyAlignment="1">
      <alignment horizontal="right" vertical="center"/>
    </xf>
    <xf numFmtId="9" fontId="0" fillId="5" borderId="2" xfId="0" applyNumberFormat="1" applyFont="1" applyFill="1" applyBorder="1" applyAlignment="1">
      <alignment horizontal="right"/>
    </xf>
    <xf numFmtId="3" fontId="0" fillId="0" borderId="2" xfId="9" applyNumberFormat="1" applyFont="1" applyBorder="1" applyAlignment="1">
      <alignment horizontal="right" vertical="center"/>
    </xf>
    <xf numFmtId="3" fontId="22" fillId="0" borderId="0" xfId="0" applyNumberFormat="1" applyFont="1" applyAlignment="1">
      <alignment horizontal="right"/>
    </xf>
    <xf numFmtId="3" fontId="65" fillId="3" borderId="0" xfId="0" applyNumberFormat="1" applyFont="1" applyFill="1" applyAlignment="1">
      <alignment horizontal="left" wrapText="1"/>
    </xf>
    <xf numFmtId="17" fontId="7" fillId="0" borderId="4" xfId="0" applyNumberFormat="1" applyFont="1" applyBorder="1"/>
    <xf numFmtId="3" fontId="65" fillId="3" borderId="0" xfId="0" applyNumberFormat="1" applyFont="1" applyFill="1" applyAlignment="1">
      <alignment horizontal="center" wrapText="1"/>
    </xf>
    <xf numFmtId="3" fontId="0" fillId="0" borderId="2" xfId="0" applyNumberFormat="1" applyFont="1" applyBorder="1"/>
    <xf numFmtId="177" fontId="0" fillId="0" borderId="0" xfId="0" applyNumberFormat="1" applyFont="1" applyAlignment="1">
      <alignment horizontal="left"/>
    </xf>
    <xf numFmtId="0" fontId="22" fillId="0" borderId="11" xfId="4" applyFont="1" applyBorder="1">
      <alignment vertical="center"/>
    </xf>
    <xf numFmtId="0" fontId="0" fillId="0" borderId="3" xfId="0" applyFont="1" applyBorder="1" applyAlignment="1">
      <alignment vertical="center"/>
    </xf>
    <xf numFmtId="0" fontId="50" fillId="0" borderId="6" xfId="0" applyFont="1" applyFill="1" applyBorder="1" applyAlignment="1">
      <alignment wrapText="1"/>
    </xf>
    <xf numFmtId="2" fontId="0" fillId="0" borderId="7" xfId="0" applyNumberFormat="1" applyFont="1" applyBorder="1"/>
    <xf numFmtId="2" fontId="0" fillId="0" borderId="13" xfId="11" applyNumberFormat="1" applyFont="1" applyBorder="1"/>
    <xf numFmtId="0" fontId="22" fillId="0" borderId="38" xfId="0" applyFont="1" applyBorder="1" applyAlignment="1">
      <alignment horizontal="center"/>
    </xf>
    <xf numFmtId="0" fontId="22" fillId="0" borderId="39" xfId="0" applyFont="1" applyBorder="1" applyAlignment="1">
      <alignment horizontal="center"/>
    </xf>
    <xf numFmtId="0" fontId="7" fillId="0" borderId="4" xfId="0" applyFont="1" applyBorder="1"/>
    <xf numFmtId="0" fontId="0" fillId="0" borderId="5" xfId="0" applyFont="1" applyBorder="1" applyAlignment="1">
      <alignment horizontal="right"/>
    </xf>
    <xf numFmtId="0" fontId="0" fillId="0" borderId="5" xfId="0" applyFont="1" applyBorder="1" applyAlignment="1">
      <alignment horizontal="center"/>
    </xf>
    <xf numFmtId="0" fontId="22" fillId="0" borderId="12" xfId="4" applyFont="1" applyBorder="1" applyAlignment="1">
      <alignment horizontal="left" vertical="center"/>
    </xf>
    <xf numFmtId="17" fontId="7" fillId="0" borderId="12" xfId="0" applyNumberFormat="1" applyFont="1" applyBorder="1"/>
    <xf numFmtId="177" fontId="22" fillId="0" borderId="0" xfId="0" applyNumberFormat="1" applyFont="1" applyBorder="1"/>
    <xf numFmtId="0" fontId="22" fillId="0" borderId="0" xfId="0" applyFont="1" applyBorder="1"/>
    <xf numFmtId="0" fontId="0" fillId="2" borderId="0" xfId="4" applyFont="1" applyFill="1" applyBorder="1">
      <alignment vertical="center"/>
    </xf>
    <xf numFmtId="0" fontId="0" fillId="2" borderId="0" xfId="0" applyFont="1" applyFill="1" applyBorder="1"/>
    <xf numFmtId="0" fontId="0" fillId="0" borderId="0" xfId="4" applyFont="1" applyBorder="1">
      <alignment vertical="center"/>
    </xf>
    <xf numFmtId="0" fontId="23" fillId="0" borderId="0" xfId="0" applyFont="1" applyBorder="1"/>
    <xf numFmtId="0" fontId="22" fillId="0" borderId="0" xfId="4" applyFont="1" applyBorder="1">
      <alignment vertical="center"/>
    </xf>
    <xf numFmtId="3" fontId="22" fillId="0" borderId="0" xfId="9" applyNumberFormat="1" applyFont="1" applyBorder="1" applyAlignment="1">
      <alignment horizontal="right" vertical="center"/>
    </xf>
    <xf numFmtId="0" fontId="70" fillId="0" borderId="0" xfId="0" applyFont="1"/>
    <xf numFmtId="10" fontId="0" fillId="0" borderId="0" xfId="7" applyNumberFormat="1" applyFont="1"/>
    <xf numFmtId="0" fontId="0" fillId="0" borderId="0" xfId="0" applyFont="1"/>
    <xf numFmtId="0" fontId="68" fillId="0" borderId="0" xfId="0" applyFont="1"/>
    <xf numFmtId="43" fontId="0" fillId="0" borderId="0" xfId="0" applyNumberFormat="1" applyFont="1"/>
    <xf numFmtId="177" fontId="0" fillId="0" borderId="2" xfId="11" applyNumberFormat="1" applyFont="1" applyBorder="1" applyAlignment="1">
      <alignment horizontal="center"/>
    </xf>
    <xf numFmtId="177" fontId="0" fillId="0" borderId="11" xfId="11" applyNumberFormat="1" applyFont="1" applyBorder="1" applyAlignment="1">
      <alignment horizontal="center"/>
    </xf>
    <xf numFmtId="1" fontId="57" fillId="0" borderId="0" xfId="0" applyNumberFormat="1" applyFont="1" applyAlignment="1">
      <alignment vertical="center"/>
    </xf>
    <xf numFmtId="176" fontId="0" fillId="0" borderId="2" xfId="11" applyFont="1" applyBorder="1" applyAlignment="1">
      <alignment horizontal="right" vertical="center"/>
    </xf>
    <xf numFmtId="3" fontId="22" fillId="0" borderId="11" xfId="4" applyNumberFormat="1" applyFont="1" applyBorder="1" applyAlignment="1">
      <alignment horizontal="right" vertical="center"/>
    </xf>
    <xf numFmtId="1" fontId="0" fillId="0" borderId="0" xfId="0" applyNumberFormat="1" applyFont="1"/>
    <xf numFmtId="3" fontId="22" fillId="0" borderId="2" xfId="0" applyNumberFormat="1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7" xfId="0" applyFont="1" applyBorder="1" applyAlignment="1">
      <alignment horizontal="center" wrapText="1"/>
    </xf>
    <xf numFmtId="3" fontId="22" fillId="0" borderId="5" xfId="0" applyNumberFormat="1" applyFont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/>
    </xf>
    <xf numFmtId="0" fontId="0" fillId="0" borderId="7" xfId="0" applyFont="1" applyBorder="1" applyAlignment="1">
      <alignment horizontal="center" vertical="center" wrapText="1"/>
    </xf>
    <xf numFmtId="179" fontId="0" fillId="0" borderId="0" xfId="0" applyNumberFormat="1" applyFont="1" applyFill="1"/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 wrapText="1"/>
    </xf>
    <xf numFmtId="177" fontId="22" fillId="0" borderId="2" xfId="11" applyNumberFormat="1" applyFont="1" applyFill="1" applyBorder="1" applyAlignment="1">
      <alignment horizontal="right"/>
    </xf>
    <xf numFmtId="177" fontId="22" fillId="0" borderId="5" xfId="11" applyNumberFormat="1" applyFont="1" applyFill="1" applyBorder="1" applyAlignment="1">
      <alignment horizontal="right"/>
    </xf>
    <xf numFmtId="177" fontId="22" fillId="0" borderId="11" xfId="11" applyNumberFormat="1" applyFont="1" applyFill="1" applyBorder="1" applyAlignment="1">
      <alignment horizontal="right"/>
    </xf>
    <xf numFmtId="177" fontId="0" fillId="0" borderId="0" xfId="0" applyNumberFormat="1" applyFont="1" applyBorder="1"/>
    <xf numFmtId="177" fontId="0" fillId="0" borderId="2" xfId="0" applyNumberFormat="1" applyFont="1" applyBorder="1" applyAlignment="1">
      <alignment horizontal="center"/>
    </xf>
    <xf numFmtId="177" fontId="0" fillId="0" borderId="5" xfId="0" applyNumberFormat="1" applyFont="1" applyBorder="1" applyAlignment="1">
      <alignment horizontal="center"/>
    </xf>
    <xf numFmtId="177" fontId="0" fillId="0" borderId="11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0" fillId="0" borderId="7" xfId="0" applyNumberFormat="1" applyFont="1" applyBorder="1" applyAlignment="1">
      <alignment horizontal="right"/>
    </xf>
    <xf numFmtId="0" fontId="43" fillId="0" borderId="7" xfId="0" applyFont="1" applyBorder="1"/>
    <xf numFmtId="0" fontId="24" fillId="0" borderId="6" xfId="0" applyFont="1" applyBorder="1" applyAlignment="1">
      <alignment horizontal="center"/>
    </xf>
    <xf numFmtId="0" fontId="24" fillId="0" borderId="7" xfId="0" applyFont="1" applyBorder="1" applyAlignment="1">
      <alignment horizontal="center" wrapText="1"/>
    </xf>
    <xf numFmtId="3" fontId="0" fillId="0" borderId="5" xfId="0" applyNumberFormat="1" applyFont="1" applyBorder="1"/>
    <xf numFmtId="3" fontId="0" fillId="0" borderId="11" xfId="0" applyNumberFormat="1" applyFont="1" applyBorder="1"/>
    <xf numFmtId="17" fontId="22" fillId="0" borderId="12" xfId="0" applyNumberFormat="1" applyFont="1" applyBorder="1"/>
    <xf numFmtId="177" fontId="22" fillId="0" borderId="2" xfId="0" applyNumberFormat="1" applyFont="1" applyBorder="1" applyAlignment="1">
      <alignment horizontal="center"/>
    </xf>
    <xf numFmtId="177" fontId="22" fillId="0" borderId="5" xfId="0" applyNumberFormat="1" applyFont="1" applyBorder="1" applyAlignment="1">
      <alignment horizontal="center"/>
    </xf>
    <xf numFmtId="177" fontId="22" fillId="0" borderId="11" xfId="0" applyNumberFormat="1" applyFont="1" applyBorder="1" applyAlignment="1">
      <alignment horizontal="center"/>
    </xf>
    <xf numFmtId="1" fontId="0" fillId="0" borderId="2" xfId="5" applyNumberFormat="1" applyFont="1" applyBorder="1" applyAlignment="1">
      <alignment horizontal="center" vertical="center"/>
    </xf>
    <xf numFmtId="0" fontId="0" fillId="0" borderId="0" xfId="5" applyFont="1" applyBorder="1">
      <alignment vertical="center"/>
    </xf>
    <xf numFmtId="0" fontId="25" fillId="0" borderId="0" xfId="0" applyFont="1" applyBorder="1"/>
    <xf numFmtId="0" fontId="0" fillId="0" borderId="2" xfId="0" applyFont="1" applyBorder="1" applyAlignment="1">
      <alignment horizontal="center"/>
    </xf>
    <xf numFmtId="0" fontId="72" fillId="0" borderId="7" xfId="0" applyFont="1" applyBorder="1" applyAlignment="1">
      <alignment horizontal="left" vertical="center"/>
    </xf>
    <xf numFmtId="3" fontId="44" fillId="0" borderId="2" xfId="11" applyNumberFormat="1" applyFont="1" applyBorder="1" applyAlignment="1">
      <alignment horizontal="right"/>
    </xf>
    <xf numFmtId="3" fontId="44" fillId="0" borderId="2" xfId="0" applyNumberFormat="1" applyFont="1" applyBorder="1" applyAlignment="1">
      <alignment horizontal="right"/>
    </xf>
    <xf numFmtId="185" fontId="44" fillId="0" borderId="2" xfId="9" applyNumberFormat="1" applyFont="1" applyBorder="1" applyAlignment="1">
      <alignment horizontal="right" vertical="center"/>
    </xf>
    <xf numFmtId="4" fontId="44" fillId="0" borderId="2" xfId="9" applyNumberFormat="1" applyFont="1" applyBorder="1" applyAlignment="1">
      <alignment horizontal="right" vertical="center"/>
    </xf>
    <xf numFmtId="197" fontId="68" fillId="0" borderId="0" xfId="0" applyNumberFormat="1" applyFont="1"/>
    <xf numFmtId="183" fontId="0" fillId="0" borderId="13" xfId="0" applyNumberFormat="1" applyFont="1" applyBorder="1" applyAlignment="1">
      <alignment horizontal="center"/>
    </xf>
    <xf numFmtId="0" fontId="0" fillId="0" borderId="0" xfId="0" applyFont="1"/>
    <xf numFmtId="177" fontId="0" fillId="0" borderId="16" xfId="11" applyNumberFormat="1" applyFont="1" applyBorder="1" applyAlignment="1">
      <alignment horizontal="center"/>
    </xf>
    <xf numFmtId="176" fontId="0" fillId="0" borderId="16" xfId="11" applyFont="1" applyBorder="1" applyAlignment="1">
      <alignment horizontal="center"/>
    </xf>
    <xf numFmtId="2" fontId="0" fillId="0" borderId="16" xfId="0" applyNumberFormat="1" applyFont="1" applyBorder="1" applyAlignment="1">
      <alignment horizontal="center"/>
    </xf>
    <xf numFmtId="0" fontId="71" fillId="0" borderId="0" xfId="16" applyFont="1"/>
    <xf numFmtId="0" fontId="4" fillId="0" borderId="2" xfId="16" applyFont="1" applyBorder="1"/>
    <xf numFmtId="0" fontId="0" fillId="0" borderId="0" xfId="0" applyFont="1"/>
    <xf numFmtId="0" fontId="0" fillId="0" borderId="0" xfId="0" applyFont="1" applyBorder="1"/>
    <xf numFmtId="2" fontId="0" fillId="0" borderId="16" xfId="0" applyNumberFormat="1" applyFont="1" applyBorder="1" applyAlignment="1">
      <alignment horizontal="center"/>
    </xf>
    <xf numFmtId="0" fontId="0" fillId="0" borderId="0" xfId="0" applyFont="1"/>
    <xf numFmtId="0" fontId="25" fillId="0" borderId="0" xfId="0" applyFont="1"/>
    <xf numFmtId="0" fontId="0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17" fontId="7" fillId="0" borderId="3" xfId="0" applyNumberFormat="1" applyFont="1" applyBorder="1"/>
    <xf numFmtId="3" fontId="0" fillId="0" borderId="0" xfId="0" applyNumberFormat="1" applyFont="1"/>
    <xf numFmtId="4" fontId="0" fillId="0" borderId="2" xfId="0" applyNumberFormat="1" applyFont="1" applyBorder="1" applyAlignment="1">
      <alignment horizontal="right"/>
    </xf>
    <xf numFmtId="3" fontId="0" fillId="0" borderId="2" xfId="0" applyNumberFormat="1" applyFont="1" applyBorder="1" applyAlignment="1">
      <alignment horizontal="right"/>
    </xf>
    <xf numFmtId="0" fontId="0" fillId="0" borderId="2" xfId="0" applyFont="1" applyBorder="1" applyAlignment="1">
      <alignment horizontal="center"/>
    </xf>
    <xf numFmtId="183" fontId="0" fillId="0" borderId="2" xfId="0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193" fontId="0" fillId="0" borderId="2" xfId="0" applyNumberFormat="1" applyFont="1" applyBorder="1" applyAlignment="1">
      <alignment horizontal="center"/>
    </xf>
    <xf numFmtId="2" fontId="44" fillId="0" borderId="2" xfId="0" applyNumberFormat="1" applyFont="1" applyBorder="1" applyAlignment="1">
      <alignment horizontal="center"/>
    </xf>
    <xf numFmtId="0" fontId="0" fillId="0" borderId="0" xfId="0" applyFont="1" applyAlignment="1">
      <alignment vertical="center"/>
    </xf>
    <xf numFmtId="192" fontId="0" fillId="6" borderId="2" xfId="0" applyNumberFormat="1" applyFont="1" applyFill="1" applyBorder="1" applyAlignment="1">
      <alignment horizontal="center" vertical="center"/>
    </xf>
    <xf numFmtId="192" fontId="0" fillId="7" borderId="2" xfId="0" applyNumberFormat="1" applyFont="1" applyFill="1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 wrapText="1"/>
    </xf>
    <xf numFmtId="0" fontId="0" fillId="7" borderId="2" xfId="0" applyFont="1" applyFill="1" applyBorder="1" applyAlignment="1">
      <alignment horizontal="center" vertical="center" wrapText="1"/>
    </xf>
    <xf numFmtId="17" fontId="0" fillId="4" borderId="8" xfId="0" applyNumberFormat="1" applyFont="1" applyFill="1" applyBorder="1" applyAlignment="1">
      <alignment horizontal="right" vertical="center"/>
    </xf>
    <xf numFmtId="1" fontId="0" fillId="0" borderId="2" xfId="0" applyNumberFormat="1" applyFont="1" applyBorder="1" applyAlignment="1">
      <alignment horizontal="center" vertical="center"/>
    </xf>
    <xf numFmtId="179" fontId="0" fillId="6" borderId="2" xfId="0" applyNumberFormat="1" applyFont="1" applyFill="1" applyBorder="1" applyAlignment="1">
      <alignment horizontal="center" vertical="center"/>
    </xf>
    <xf numFmtId="192" fontId="0" fillId="6" borderId="2" xfId="0" applyNumberFormat="1" applyFont="1" applyFill="1" applyBorder="1" applyAlignment="1">
      <alignment horizontal="center" vertical="center" wrapText="1"/>
    </xf>
    <xf numFmtId="179" fontId="0" fillId="7" borderId="2" xfId="0" applyNumberFormat="1" applyFont="1" applyFill="1" applyBorder="1" applyAlignment="1">
      <alignment horizontal="center" vertical="center"/>
    </xf>
    <xf numFmtId="1" fontId="0" fillId="7" borderId="2" xfId="0" applyNumberFormat="1" applyFont="1" applyFill="1" applyBorder="1" applyAlignment="1">
      <alignment horizontal="center" vertical="center" wrapText="1"/>
    </xf>
    <xf numFmtId="2" fontId="0" fillId="7" borderId="2" xfId="0" applyNumberFormat="1" applyFont="1" applyFill="1" applyBorder="1" applyAlignment="1">
      <alignment horizontal="center" vertical="center" wrapText="1"/>
    </xf>
    <xf numFmtId="192" fontId="0" fillId="7" borderId="2" xfId="0" applyNumberFormat="1" applyFont="1" applyFill="1" applyBorder="1" applyAlignment="1">
      <alignment horizontal="center" vertical="center" wrapText="1"/>
    </xf>
    <xf numFmtId="179" fontId="0" fillId="8" borderId="26" xfId="0" applyNumberFormat="1" applyFont="1" applyFill="1" applyBorder="1" applyAlignment="1">
      <alignment vertical="center"/>
    </xf>
    <xf numFmtId="187" fontId="0" fillId="8" borderId="2" xfId="0" applyNumberFormat="1" applyFont="1" applyFill="1" applyBorder="1" applyAlignment="1">
      <alignment horizontal="center" vertical="center"/>
    </xf>
    <xf numFmtId="2" fontId="0" fillId="0" borderId="7" xfId="0" applyNumberFormat="1" applyFont="1" applyBorder="1"/>
    <xf numFmtId="3" fontId="44" fillId="0" borderId="2" xfId="0" applyNumberFormat="1" applyFont="1" applyBorder="1" applyAlignment="1">
      <alignment horizontal="right"/>
    </xf>
    <xf numFmtId="0" fontId="0" fillId="0" borderId="37" xfId="0" applyFont="1" applyBorder="1"/>
    <xf numFmtId="0" fontId="4" fillId="0" borderId="2" xfId="16" applyFont="1" applyBorder="1" applyAlignment="1">
      <alignment horizontal="center" vertical="center"/>
    </xf>
    <xf numFmtId="0" fontId="4" fillId="0" borderId="2" xfId="16" applyFont="1" applyBorder="1" applyAlignment="1">
      <alignment vertical="center"/>
    </xf>
    <xf numFmtId="183" fontId="4" fillId="0" borderId="2" xfId="16" applyNumberFormat="1" applyFont="1" applyBorder="1" applyAlignment="1">
      <alignment vertical="center"/>
    </xf>
    <xf numFmtId="183" fontId="4" fillId="0" borderId="2" xfId="16" applyNumberFormat="1" applyFont="1" applyBorder="1" applyAlignment="1">
      <alignment horizontal="center" vertical="center"/>
    </xf>
    <xf numFmtId="0" fontId="57" fillId="0" borderId="2" xfId="16" applyFont="1" applyBorder="1" applyAlignment="1">
      <alignment horizontal="center" vertical="center"/>
    </xf>
    <xf numFmtId="2" fontId="57" fillId="0" borderId="2" xfId="16" applyNumberFormat="1" applyFont="1" applyBorder="1" applyAlignment="1">
      <alignment horizontal="center" vertical="center"/>
    </xf>
    <xf numFmtId="183" fontId="4" fillId="0" borderId="14" xfId="16" applyNumberFormat="1" applyFont="1" applyBorder="1" applyAlignment="1">
      <alignment vertical="center"/>
    </xf>
    <xf numFmtId="0" fontId="4" fillId="0" borderId="2" xfId="16" applyFont="1" applyBorder="1" applyAlignment="1">
      <alignment horizontal="center" vertical="center"/>
    </xf>
    <xf numFmtId="0" fontId="4" fillId="0" borderId="10" xfId="16" applyFont="1" applyBorder="1" applyAlignment="1">
      <alignment vertical="center"/>
    </xf>
    <xf numFmtId="0" fontId="4" fillId="0" borderId="0" xfId="16" applyFont="1" applyAlignment="1">
      <alignment vertical="center"/>
    </xf>
    <xf numFmtId="0" fontId="4" fillId="0" borderId="0" xfId="16" applyFont="1" applyAlignment="1">
      <alignment horizontal="center" vertical="center"/>
    </xf>
    <xf numFmtId="183" fontId="4" fillId="0" borderId="0" xfId="16" applyNumberFormat="1" applyFont="1" applyAlignment="1">
      <alignment vertical="center"/>
    </xf>
    <xf numFmtId="0" fontId="0" fillId="0" borderId="0" xfId="0" applyFont="1"/>
    <xf numFmtId="0" fontId="0" fillId="0" borderId="2" xfId="0" applyFont="1" applyBorder="1" applyAlignment="1">
      <alignment horizontal="center"/>
    </xf>
    <xf numFmtId="3" fontId="0" fillId="0" borderId="2" xfId="11" applyNumberFormat="1" applyFont="1" applyFill="1" applyBorder="1" applyAlignment="1">
      <alignment horizontal="center" vertical="center"/>
    </xf>
    <xf numFmtId="1" fontId="0" fillId="6" borderId="2" xfId="0" applyNumberFormat="1" applyFont="1" applyFill="1" applyBorder="1" applyAlignment="1">
      <alignment horizontal="center" vertical="center" wrapText="1"/>
    </xf>
    <xf numFmtId="179" fontId="0" fillId="6" borderId="2" xfId="0" applyNumberFormat="1" applyFont="1" applyFill="1" applyBorder="1" applyAlignment="1">
      <alignment horizontal="center" vertical="center" wrapText="1"/>
    </xf>
    <xf numFmtId="179" fontId="0" fillId="7" borderId="2" xfId="0" applyNumberFormat="1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83" fontId="0" fillId="0" borderId="7" xfId="0" applyNumberFormat="1" applyFont="1" applyBorder="1" applyAlignment="1">
      <alignment horizontal="center"/>
    </xf>
    <xf numFmtId="0" fontId="4" fillId="0" borderId="2" xfId="16" applyFont="1" applyBorder="1" applyAlignment="1">
      <alignment horizontal="center" vertical="center"/>
    </xf>
    <xf numFmtId="179" fontId="0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83" fontId="4" fillId="0" borderId="2" xfId="0" applyNumberFormat="1" applyFont="1" applyBorder="1" applyAlignment="1">
      <alignment vertical="center"/>
    </xf>
    <xf numFmtId="183" fontId="4" fillId="0" borderId="14" xfId="0" applyNumberFormat="1" applyFont="1" applyBorder="1" applyAlignment="1">
      <alignment vertical="center"/>
    </xf>
    <xf numFmtId="0" fontId="0" fillId="0" borderId="0" xfId="0" applyFont="1"/>
    <xf numFmtId="0" fontId="0" fillId="0" borderId="3" xfId="0" applyFont="1" applyBorder="1" applyAlignment="1">
      <alignment horizontal="center"/>
    </xf>
    <xf numFmtId="195" fontId="16" fillId="0" borderId="0" xfId="0" applyNumberFormat="1" applyFont="1"/>
    <xf numFmtId="199" fontId="16" fillId="4" borderId="2" xfId="0" applyNumberFormat="1" applyFont="1" applyFill="1" applyBorder="1" applyAlignment="1">
      <alignment horizontal="center" vertical="center"/>
    </xf>
    <xf numFmtId="200" fontId="0" fillId="0" borderId="13" xfId="11" applyNumberFormat="1" applyFont="1" applyFill="1" applyBorder="1" applyAlignment="1">
      <alignment horizontal="center"/>
    </xf>
    <xf numFmtId="200" fontId="0" fillId="0" borderId="7" xfId="0" applyNumberFormat="1" applyFont="1" applyFill="1" applyBorder="1" applyAlignment="1">
      <alignment horizontal="center"/>
    </xf>
    <xf numFmtId="43" fontId="0" fillId="0" borderId="2" xfId="15" applyFont="1" applyBorder="1" applyAlignment="1">
      <alignment horizontal="center"/>
    </xf>
    <xf numFmtId="3" fontId="22" fillId="0" borderId="2" xfId="4" applyNumberFormat="1" applyFont="1" applyFill="1" applyBorder="1" applyAlignment="1">
      <alignment horizontal="right" vertical="center"/>
    </xf>
    <xf numFmtId="0" fontId="0" fillId="0" borderId="0" xfId="0" applyFont="1"/>
    <xf numFmtId="0" fontId="72" fillId="0" borderId="7" xfId="0" applyFont="1" applyFill="1" applyBorder="1" applyAlignment="1">
      <alignment horizontal="left" vertical="center"/>
    </xf>
    <xf numFmtId="0" fontId="17" fillId="9" borderId="16" xfId="0" applyFont="1" applyFill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0" fillId="0" borderId="0" xfId="0" applyFont="1"/>
    <xf numFmtId="0" fontId="0" fillId="0" borderId="27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3" fontId="22" fillId="0" borderId="2" xfId="0" applyNumberFormat="1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177" fontId="22" fillId="0" borderId="11" xfId="11" applyNumberFormat="1" applyFont="1" applyFill="1" applyBorder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44" fontId="22" fillId="0" borderId="40" xfId="0" applyNumberFormat="1" applyFont="1" applyBorder="1" applyAlignment="1">
      <alignment horizontal="center"/>
    </xf>
    <xf numFmtId="44" fontId="22" fillId="0" borderId="28" xfId="0" applyNumberFormat="1" applyFont="1" applyBorder="1" applyAlignment="1">
      <alignment horizontal="center"/>
    </xf>
    <xf numFmtId="44" fontId="22" fillId="0" borderId="30" xfId="0" applyNumberFormat="1" applyFont="1" applyBorder="1" applyAlignment="1">
      <alignment horizontal="center"/>
    </xf>
    <xf numFmtId="3" fontId="22" fillId="0" borderId="9" xfId="0" applyNumberFormat="1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3" fontId="22" fillId="0" borderId="26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44" fillId="0" borderId="27" xfId="0" applyFont="1" applyBorder="1" applyAlignment="1">
      <alignment horizontal="center" vertical="center"/>
    </xf>
    <xf numFmtId="0" fontId="44" fillId="0" borderId="28" xfId="0" applyFont="1" applyBorder="1" applyAlignment="1">
      <alignment horizontal="center" vertical="center"/>
    </xf>
    <xf numFmtId="0" fontId="44" fillId="0" borderId="30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44" fontId="0" fillId="0" borderId="0" xfId="0" applyNumberFormat="1" applyFont="1" applyBorder="1" applyAlignment="1">
      <alignment horizontal="center" vertical="center"/>
    </xf>
    <xf numFmtId="44" fontId="0" fillId="0" borderId="43" xfId="0" applyNumberFormat="1" applyFont="1" applyBorder="1" applyAlignment="1">
      <alignment horizontal="center" vertical="center"/>
    </xf>
    <xf numFmtId="3" fontId="22" fillId="0" borderId="11" xfId="0" applyNumberFormat="1" applyFont="1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3" fontId="22" fillId="0" borderId="11" xfId="9" applyNumberFormat="1" applyFont="1" applyBorder="1" applyAlignment="1">
      <alignment horizontal="center" vertical="center"/>
    </xf>
    <xf numFmtId="3" fontId="22" fillId="0" borderId="5" xfId="0" applyNumberFormat="1" applyFont="1" applyBorder="1" applyAlignment="1">
      <alignment horizontal="center"/>
    </xf>
    <xf numFmtId="0" fontId="0" fillId="0" borderId="18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 wrapText="1"/>
    </xf>
    <xf numFmtId="3" fontId="22" fillId="0" borderId="9" xfId="0" applyNumberFormat="1" applyFont="1" applyFill="1" applyBorder="1" applyAlignment="1">
      <alignment horizontal="center"/>
    </xf>
    <xf numFmtId="3" fontId="22" fillId="0" borderId="26" xfId="0" applyNumberFormat="1" applyFont="1" applyFill="1" applyBorder="1" applyAlignment="1">
      <alignment horizontal="center"/>
    </xf>
    <xf numFmtId="3" fontId="22" fillId="0" borderId="9" xfId="9" applyNumberFormat="1" applyFont="1" applyBorder="1" applyAlignment="1">
      <alignment horizontal="center" vertical="center"/>
    </xf>
    <xf numFmtId="3" fontId="22" fillId="0" borderId="26" xfId="9" applyNumberFormat="1" applyFont="1" applyBorder="1" applyAlignment="1">
      <alignment horizontal="center" vertical="center"/>
    </xf>
    <xf numFmtId="3" fontId="44" fillId="0" borderId="9" xfId="0" applyNumberFormat="1" applyFont="1" applyBorder="1" applyAlignment="1">
      <alignment horizontal="center"/>
    </xf>
    <xf numFmtId="3" fontId="44" fillId="0" borderId="26" xfId="0" applyNumberFormat="1" applyFont="1" applyBorder="1" applyAlignment="1">
      <alignment horizontal="center"/>
    </xf>
    <xf numFmtId="3" fontId="22" fillId="0" borderId="11" xfId="0" applyNumberFormat="1" applyFont="1" applyFill="1" applyBorder="1" applyAlignment="1">
      <alignment horizontal="center"/>
    </xf>
    <xf numFmtId="3" fontId="22" fillId="0" borderId="9" xfId="9" applyNumberFormat="1" applyFont="1" applyFill="1" applyBorder="1" applyAlignment="1">
      <alignment horizontal="center" vertical="center"/>
    </xf>
    <xf numFmtId="3" fontId="22" fillId="0" borderId="26" xfId="9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3" fontId="22" fillId="0" borderId="2" xfId="9" applyNumberFormat="1" applyFont="1" applyFill="1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3" fontId="22" fillId="0" borderId="11" xfId="9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/>
    </xf>
    <xf numFmtId="0" fontId="0" fillId="0" borderId="2" xfId="9" applyFont="1" applyBorder="1" applyAlignment="1">
      <alignment horizontal="center" vertical="center" wrapText="1"/>
    </xf>
    <xf numFmtId="0" fontId="0" fillId="0" borderId="7" xfId="9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wrapText="1"/>
    </xf>
    <xf numFmtId="0" fontId="0" fillId="0" borderId="22" xfId="0" applyFont="1" applyBorder="1" applyAlignment="1">
      <alignment horizontal="center" wrapText="1"/>
    </xf>
    <xf numFmtId="0" fontId="0" fillId="0" borderId="10" xfId="0" applyFont="1" applyBorder="1" applyAlignment="1">
      <alignment horizontal="center" wrapText="1"/>
    </xf>
    <xf numFmtId="0" fontId="0" fillId="0" borderId="23" xfId="0" applyFont="1" applyBorder="1" applyAlignment="1">
      <alignment horizontal="center" wrapText="1"/>
    </xf>
    <xf numFmtId="0" fontId="0" fillId="0" borderId="32" xfId="0" applyFont="1" applyBorder="1" applyAlignment="1">
      <alignment horizontal="center" wrapText="1"/>
    </xf>
    <xf numFmtId="0" fontId="0" fillId="0" borderId="33" xfId="0" applyFont="1" applyBorder="1" applyAlignment="1">
      <alignment horizont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5" borderId="7" xfId="4" applyFont="1" applyFill="1" applyBorder="1" applyAlignment="1">
      <alignment horizontal="center" vertical="center" wrapText="1"/>
    </xf>
    <xf numFmtId="0" fontId="0" fillId="5" borderId="7" xfId="4" applyFont="1" applyFill="1" applyBorder="1" applyAlignment="1">
      <alignment horizontal="center" vertical="center"/>
    </xf>
    <xf numFmtId="0" fontId="0" fillId="0" borderId="16" xfId="9" applyFont="1" applyBorder="1" applyAlignment="1">
      <alignment horizontal="center" vertical="center"/>
    </xf>
    <xf numFmtId="0" fontId="0" fillId="0" borderId="17" xfId="9" applyFont="1" applyBorder="1" applyAlignment="1">
      <alignment horizontal="center" vertical="center"/>
    </xf>
    <xf numFmtId="0" fontId="0" fillId="0" borderId="21" xfId="9" applyFont="1" applyBorder="1" applyAlignment="1">
      <alignment horizontal="center" vertical="center"/>
    </xf>
    <xf numFmtId="0" fontId="0" fillId="0" borderId="22" xfId="9" applyFont="1" applyBorder="1" applyAlignment="1">
      <alignment horizontal="center" vertical="center"/>
    </xf>
    <xf numFmtId="0" fontId="0" fillId="0" borderId="10" xfId="9" applyFont="1" applyBorder="1" applyAlignment="1">
      <alignment horizontal="center" vertical="center"/>
    </xf>
    <xf numFmtId="0" fontId="0" fillId="0" borderId="23" xfId="9" applyFont="1" applyBorder="1" applyAlignment="1">
      <alignment horizontal="center" vertical="center"/>
    </xf>
    <xf numFmtId="0" fontId="0" fillId="0" borderId="24" xfId="9" applyFont="1" applyBorder="1" applyAlignment="1">
      <alignment horizontal="center" vertical="center"/>
    </xf>
    <xf numFmtId="0" fontId="0" fillId="0" borderId="25" xfId="9" applyFont="1" applyBorder="1" applyAlignment="1">
      <alignment horizontal="center" vertical="center"/>
    </xf>
    <xf numFmtId="0" fontId="0" fillId="0" borderId="2" xfId="9" applyFont="1" applyBorder="1" applyAlignment="1">
      <alignment horizontal="center" vertical="center"/>
    </xf>
    <xf numFmtId="0" fontId="0" fillId="0" borderId="7" xfId="9" applyFont="1" applyBorder="1" applyAlignment="1">
      <alignment horizontal="center" vertical="center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0" fillId="0" borderId="11" xfId="9" applyFont="1" applyFill="1" applyBorder="1" applyAlignment="1">
      <alignment horizontal="center" vertical="center" wrapText="1"/>
    </xf>
    <xf numFmtId="0" fontId="0" fillId="0" borderId="13" xfId="9" applyFont="1" applyFill="1" applyBorder="1" applyAlignment="1">
      <alignment horizontal="center" vertical="center" wrapText="1"/>
    </xf>
    <xf numFmtId="0" fontId="22" fillId="0" borderId="39" xfId="0" applyFont="1" applyBorder="1" applyAlignment="1">
      <alignment horizontal="center"/>
    </xf>
    <xf numFmtId="0" fontId="22" fillId="0" borderId="40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9" fontId="0" fillId="0" borderId="16" xfId="4" applyNumberFormat="1" applyFont="1" applyBorder="1" applyAlignment="1">
      <alignment horizontal="center" vertical="center"/>
    </xf>
    <xf numFmtId="9" fontId="0" fillId="0" borderId="17" xfId="4" applyNumberFormat="1" applyFont="1" applyBorder="1" applyAlignment="1">
      <alignment horizontal="center" vertical="center"/>
    </xf>
    <xf numFmtId="3" fontId="0" fillId="0" borderId="2" xfId="4" applyNumberFormat="1" applyFont="1" applyFill="1" applyBorder="1" applyAlignment="1">
      <alignment horizontal="center" vertical="center"/>
    </xf>
    <xf numFmtId="191" fontId="22" fillId="0" borderId="2" xfId="9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wrapText="1"/>
    </xf>
    <xf numFmtId="0" fontId="0" fillId="0" borderId="7" xfId="0" applyFont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1" xfId="0" applyFont="1" applyBorder="1" applyAlignment="1">
      <alignment horizontal="center" wrapText="1"/>
    </xf>
    <xf numFmtId="0" fontId="0" fillId="0" borderId="13" xfId="0" applyFont="1" applyBorder="1" applyAlignment="1">
      <alignment horizontal="center" wrapText="1"/>
    </xf>
    <xf numFmtId="185" fontId="0" fillId="0" borderId="2" xfId="0" applyNumberFormat="1" applyFont="1" applyFill="1" applyBorder="1" applyAlignment="1">
      <alignment horizontal="center"/>
    </xf>
    <xf numFmtId="191" fontId="22" fillId="0" borderId="11" xfId="9" applyNumberFormat="1" applyFont="1" applyBorder="1" applyAlignment="1">
      <alignment horizontal="center" vertical="center"/>
    </xf>
    <xf numFmtId="185" fontId="0" fillId="5" borderId="9" xfId="0" applyNumberFormat="1" applyFont="1" applyFill="1" applyBorder="1" applyAlignment="1">
      <alignment horizontal="center"/>
    </xf>
    <xf numFmtId="185" fontId="0" fillId="5" borderId="26" xfId="0" applyNumberFormat="1" applyFont="1" applyFill="1" applyBorder="1" applyAlignment="1">
      <alignment horizontal="center"/>
    </xf>
    <xf numFmtId="0" fontId="7" fillId="0" borderId="29" xfId="0" applyFont="1" applyBorder="1" applyAlignment="1">
      <alignment horizontal="center" vertical="center"/>
    </xf>
    <xf numFmtId="4" fontId="22" fillId="0" borderId="9" xfId="9" applyNumberFormat="1" applyFont="1" applyFill="1" applyBorder="1" applyAlignment="1">
      <alignment horizontal="center" vertical="center"/>
    </xf>
    <xf numFmtId="4" fontId="22" fillId="0" borderId="26" xfId="9" applyNumberFormat="1" applyFont="1" applyFill="1" applyBorder="1" applyAlignment="1">
      <alignment horizontal="center" vertical="center"/>
    </xf>
    <xf numFmtId="0" fontId="0" fillId="0" borderId="2" xfId="5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0" fillId="0" borderId="30" xfId="0" applyFont="1" applyBorder="1" applyAlignment="1">
      <alignment horizontal="center"/>
    </xf>
    <xf numFmtId="1" fontId="22" fillId="0" borderId="2" xfId="5" applyNumberFormat="1" applyFont="1" applyBorder="1" applyAlignment="1">
      <alignment horizontal="center" vertical="center"/>
    </xf>
    <xf numFmtId="0" fontId="0" fillId="0" borderId="7" xfId="5" applyFont="1" applyBorder="1" applyAlignment="1">
      <alignment horizontal="center" vertical="center"/>
    </xf>
    <xf numFmtId="0" fontId="0" fillId="0" borderId="13" xfId="5" applyFont="1" applyBorder="1" applyAlignment="1">
      <alignment horizontal="center" vertical="center"/>
    </xf>
    <xf numFmtId="3" fontId="0" fillId="0" borderId="2" xfId="11" applyNumberFormat="1" applyFont="1" applyFill="1" applyBorder="1" applyAlignment="1">
      <alignment horizontal="center" vertical="center"/>
    </xf>
    <xf numFmtId="3" fontId="22" fillId="0" borderId="11" xfId="5" applyNumberFormat="1" applyFont="1" applyBorder="1" applyAlignment="1">
      <alignment horizontal="center" vertical="center"/>
    </xf>
    <xf numFmtId="0" fontId="0" fillId="0" borderId="7" xfId="5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1" fontId="22" fillId="0" borderId="9" xfId="5" applyNumberFormat="1" applyFont="1" applyBorder="1" applyAlignment="1">
      <alignment horizontal="center" vertical="center"/>
    </xf>
    <xf numFmtId="1" fontId="22" fillId="0" borderId="26" xfId="5" applyNumberFormat="1" applyFont="1" applyBorder="1" applyAlignment="1">
      <alignment horizontal="center" vertical="center"/>
    </xf>
    <xf numFmtId="3" fontId="22" fillId="0" borderId="2" xfId="5" applyNumberFormat="1" applyFont="1" applyBorder="1" applyAlignment="1">
      <alignment horizontal="center" vertical="center"/>
    </xf>
    <xf numFmtId="3" fontId="0" fillId="0" borderId="9" xfId="11" applyNumberFormat="1" applyFont="1" applyFill="1" applyBorder="1" applyAlignment="1">
      <alignment horizontal="center" vertical="center"/>
    </xf>
    <xf numFmtId="3" fontId="0" fillId="0" borderId="26" xfId="11" applyNumberFormat="1" applyFont="1" applyFill="1" applyBorder="1" applyAlignment="1">
      <alignment horizontal="center" vertical="center"/>
    </xf>
    <xf numFmtId="1" fontId="4" fillId="0" borderId="9" xfId="5" applyNumberFormat="1" applyFont="1" applyBorder="1" applyAlignment="1">
      <alignment horizontal="center" vertical="center"/>
    </xf>
    <xf numFmtId="1" fontId="4" fillId="0" borderId="26" xfId="5" applyNumberFormat="1" applyFont="1" applyBorder="1" applyAlignment="1">
      <alignment horizontal="center" vertical="center"/>
    </xf>
    <xf numFmtId="3" fontId="22" fillId="0" borderId="9" xfId="5" applyNumberFormat="1" applyFont="1" applyBorder="1" applyAlignment="1">
      <alignment horizontal="center" vertical="center"/>
    </xf>
    <xf numFmtId="3" fontId="22" fillId="0" borderId="26" xfId="5" applyNumberFormat="1" applyFont="1" applyBorder="1" applyAlignment="1">
      <alignment horizontal="center" vertical="center"/>
    </xf>
    <xf numFmtId="2" fontId="0" fillId="0" borderId="9" xfId="5" applyNumberFormat="1" applyFont="1" applyBorder="1" applyAlignment="1">
      <alignment horizontal="center" vertical="center"/>
    </xf>
    <xf numFmtId="2" fontId="0" fillId="0" borderId="26" xfId="5" applyNumberFormat="1" applyFont="1" applyBorder="1" applyAlignment="1">
      <alignment horizontal="center" vertical="center"/>
    </xf>
    <xf numFmtId="176" fontId="0" fillId="0" borderId="9" xfId="5" applyNumberFormat="1" applyFont="1" applyBorder="1" applyAlignment="1">
      <alignment horizontal="center" vertical="center"/>
    </xf>
    <xf numFmtId="176" fontId="0" fillId="0" borderId="26" xfId="5" applyNumberFormat="1" applyFont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 wrapText="1"/>
    </xf>
    <xf numFmtId="0" fontId="0" fillId="0" borderId="2" xfId="5" applyFont="1" applyBorder="1" applyAlignment="1">
      <alignment horizontal="center" vertical="center"/>
    </xf>
    <xf numFmtId="0" fontId="0" fillId="0" borderId="11" xfId="5" applyFont="1" applyBorder="1" applyAlignment="1">
      <alignment horizontal="center" vertical="center"/>
    </xf>
    <xf numFmtId="3" fontId="0" fillId="0" borderId="9" xfId="5" applyNumberFormat="1" applyFont="1" applyBorder="1" applyAlignment="1">
      <alignment horizontal="center" vertical="center"/>
    </xf>
    <xf numFmtId="3" fontId="0" fillId="0" borderId="26" xfId="5" applyNumberFormat="1" applyFont="1" applyBorder="1" applyAlignment="1">
      <alignment horizontal="center" vertical="center"/>
    </xf>
    <xf numFmtId="3" fontId="22" fillId="0" borderId="20" xfId="5" applyNumberFormat="1" applyFont="1" applyBorder="1" applyAlignment="1">
      <alignment horizontal="center" vertical="center"/>
    </xf>
    <xf numFmtId="3" fontId="22" fillId="0" borderId="34" xfId="5" applyNumberFormat="1" applyFont="1" applyBorder="1" applyAlignment="1">
      <alignment horizontal="center" vertical="center"/>
    </xf>
    <xf numFmtId="0" fontId="0" fillId="0" borderId="35" xfId="0" applyFont="1" applyBorder="1" applyAlignment="1">
      <alignment horizontal="center" wrapText="1"/>
    </xf>
    <xf numFmtId="0" fontId="0" fillId="0" borderId="36" xfId="0" applyFont="1" applyBorder="1" applyAlignment="1">
      <alignment horizontal="center" wrapText="1"/>
    </xf>
    <xf numFmtId="0" fontId="0" fillId="0" borderId="19" xfId="0" applyFont="1" applyBorder="1" applyAlignment="1">
      <alignment horizontal="center" wrapText="1"/>
    </xf>
    <xf numFmtId="0" fontId="0" fillId="0" borderId="37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wrapText="1"/>
    </xf>
    <xf numFmtId="0" fontId="0" fillId="0" borderId="42" xfId="0" applyFont="1" applyBorder="1" applyAlignment="1">
      <alignment horizontal="center" wrapText="1"/>
    </xf>
    <xf numFmtId="179" fontId="0" fillId="5" borderId="2" xfId="0" applyNumberFormat="1" applyFont="1" applyFill="1" applyBorder="1" applyAlignment="1">
      <alignment horizontal="left" vertical="center"/>
    </xf>
    <xf numFmtId="0" fontId="57" fillId="0" borderId="8" xfId="0" applyFont="1" applyBorder="1" applyAlignment="1">
      <alignment horizontal="left" vertical="center"/>
    </xf>
    <xf numFmtId="0" fontId="22" fillId="9" borderId="2" xfId="0" applyFont="1" applyFill="1" applyBorder="1" applyAlignment="1">
      <alignment horizontal="center" vertical="center"/>
    </xf>
    <xf numFmtId="187" fontId="0" fillId="0" borderId="2" xfId="0" applyNumberFormat="1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5" borderId="2" xfId="0" applyFont="1" applyFill="1" applyBorder="1" applyAlignment="1">
      <alignment horizontal="left" vertical="center"/>
    </xf>
    <xf numFmtId="0" fontId="22" fillId="8" borderId="16" xfId="0" applyFont="1" applyFill="1" applyBorder="1" applyAlignment="1">
      <alignment horizontal="center" vertical="center"/>
    </xf>
    <xf numFmtId="0" fontId="22" fillId="8" borderId="14" xfId="0" applyFont="1" applyFill="1" applyBorder="1" applyAlignment="1">
      <alignment horizontal="center" vertical="center"/>
    </xf>
    <xf numFmtId="0" fontId="22" fillId="8" borderId="16" xfId="0" applyFont="1" applyFill="1" applyBorder="1" applyAlignment="1">
      <alignment horizontal="center" vertical="center" wrapText="1"/>
    </xf>
    <xf numFmtId="0" fontId="22" fillId="8" borderId="14" xfId="0" applyFont="1" applyFill="1" applyBorder="1" applyAlignment="1">
      <alignment horizontal="center" vertical="center" wrapText="1"/>
    </xf>
    <xf numFmtId="0" fontId="22" fillId="7" borderId="9" xfId="0" applyFont="1" applyFill="1" applyBorder="1" applyAlignment="1">
      <alignment horizontal="center" vertical="center"/>
    </xf>
    <xf numFmtId="0" fontId="22" fillId="7" borderId="31" xfId="0" applyFont="1" applyFill="1" applyBorder="1" applyAlignment="1">
      <alignment horizontal="center" vertical="center"/>
    </xf>
    <xf numFmtId="0" fontId="22" fillId="7" borderId="26" xfId="0" applyFont="1" applyFill="1" applyBorder="1" applyAlignment="1">
      <alignment horizontal="center" vertical="center"/>
    </xf>
    <xf numFmtId="0" fontId="22" fillId="6" borderId="9" xfId="0" applyFont="1" applyFill="1" applyBorder="1" applyAlignment="1">
      <alignment horizontal="center" vertical="center"/>
    </xf>
    <xf numFmtId="0" fontId="22" fillId="6" borderId="31" xfId="0" applyFont="1" applyFill="1" applyBorder="1" applyAlignment="1">
      <alignment horizontal="center" vertical="center"/>
    </xf>
    <xf numFmtId="0" fontId="22" fillId="6" borderId="26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horizontal="left"/>
    </xf>
    <xf numFmtId="0" fontId="22" fillId="0" borderId="9" xfId="16" applyFont="1" applyBorder="1" applyAlignment="1">
      <alignment horizontal="center"/>
    </xf>
    <xf numFmtId="0" fontId="22" fillId="0" borderId="31" xfId="16" applyFont="1" applyBorder="1" applyAlignment="1">
      <alignment horizontal="center"/>
    </xf>
    <xf numFmtId="0" fontId="22" fillId="0" borderId="26" xfId="16" applyFont="1" applyBorder="1" applyAlignment="1">
      <alignment horizontal="center"/>
    </xf>
    <xf numFmtId="0" fontId="4" fillId="0" borderId="9" xfId="16" applyFont="1" applyFill="1" applyBorder="1" applyAlignment="1">
      <alignment horizontal="right"/>
    </xf>
    <xf numFmtId="0" fontId="4" fillId="0" borderId="31" xfId="16" applyFont="1" applyFill="1" applyBorder="1" applyAlignment="1">
      <alignment horizontal="right"/>
    </xf>
    <xf numFmtId="0" fontId="4" fillId="0" borderId="26" xfId="16" applyFont="1" applyFill="1" applyBorder="1" applyAlignment="1">
      <alignment horizontal="right"/>
    </xf>
    <xf numFmtId="0" fontId="22" fillId="0" borderId="2" xfId="16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left"/>
    </xf>
    <xf numFmtId="0" fontId="4" fillId="0" borderId="9" xfId="16" applyFont="1" applyBorder="1" applyAlignment="1">
      <alignment horizontal="center" vertical="center"/>
    </xf>
    <xf numFmtId="0" fontId="4" fillId="0" borderId="26" xfId="16" applyFont="1" applyBorder="1" applyAlignment="1">
      <alignment horizontal="center" vertical="center"/>
    </xf>
    <xf numFmtId="0" fontId="4" fillId="0" borderId="16" xfId="16" applyFont="1" applyBorder="1" applyAlignment="1">
      <alignment horizontal="center" vertical="center"/>
    </xf>
    <xf numFmtId="0" fontId="4" fillId="0" borderId="14" xfId="16" applyFont="1" applyBorder="1" applyAlignment="1">
      <alignment horizontal="center" vertical="center"/>
    </xf>
    <xf numFmtId="0" fontId="22" fillId="0" borderId="14" xfId="16" applyFont="1" applyBorder="1" applyAlignment="1">
      <alignment horizontal="left"/>
    </xf>
    <xf numFmtId="0" fontId="22" fillId="0" borderId="9" xfId="16" applyFont="1" applyBorder="1" applyAlignment="1">
      <alignment horizontal="left"/>
    </xf>
    <xf numFmtId="0" fontId="22" fillId="0" borderId="31" xfId="16" applyFont="1" applyBorder="1" applyAlignment="1">
      <alignment horizontal="left"/>
    </xf>
    <xf numFmtId="0" fontId="22" fillId="0" borderId="26" xfId="16" applyFont="1" applyBorder="1" applyAlignment="1">
      <alignment horizontal="left"/>
    </xf>
    <xf numFmtId="0" fontId="4" fillId="0" borderId="2" xfId="16" applyFont="1" applyBorder="1" applyAlignment="1">
      <alignment horizontal="center" vertical="center"/>
    </xf>
    <xf numFmtId="0" fontId="4" fillId="0" borderId="31" xfId="16" applyFont="1" applyBorder="1" applyAlignment="1">
      <alignment horizontal="center" vertical="center"/>
    </xf>
  </cellXfs>
  <cellStyles count="20">
    <cellStyle name="Euro" xfId="1" xr:uid="{00000000-0005-0000-0000-000000000000}"/>
    <cellStyle name="Euro 2" xfId="13" xr:uid="{C90118F8-FD34-4D81-B0AC-3FA5497B3582}"/>
    <cellStyle name="Normal 2" xfId="2" xr:uid="{00000000-0005-0000-0000-000001000000}"/>
    <cellStyle name="Normal_AMIGO AGRO (HOGS INVTY 06)" xfId="3" xr:uid="{00000000-0005-0000-0000-000002000000}"/>
    <cellStyle name="Normal_Sheet2" xfId="4" xr:uid="{00000000-0005-0000-0000-000003000000}"/>
    <cellStyle name="Normal_Sheet3" xfId="5" xr:uid="{00000000-0005-0000-0000-000004000000}"/>
    <cellStyle name="Percent 2" xfId="6" xr:uid="{00000000-0005-0000-0000-000005000000}"/>
    <cellStyle name="Percent 2 2" xfId="14" xr:uid="{6FC9ACAF-42D9-4628-9DAF-717BADF61CE9}"/>
    <cellStyle name="百分比" xfId="7" builtinId="5"/>
    <cellStyle name="常规" xfId="0" builtinId="0"/>
    <cellStyle name="常规 2" xfId="12" xr:uid="{82907693-CA91-411D-82CC-49956B83C243}"/>
    <cellStyle name="常规 2 2" xfId="16" xr:uid="{DE4ACAD8-9028-4D73-9383-9C3D5F0D94AE}"/>
    <cellStyle name="常规 2 2 2" xfId="19" xr:uid="{037C3278-CF7A-431A-8887-0852ACC7584A}"/>
    <cellStyle name="常规 2 3" xfId="17" xr:uid="{F839A016-398E-47EF-8DE2-970B2DCBE372}"/>
    <cellStyle name="常规_Sheet2" xfId="8" xr:uid="{00000000-0005-0000-0000-000008000000}"/>
    <cellStyle name="常规_范霍夫数－计算结果" xfId="9" xr:uid="{00000000-0005-0000-0000-000009000000}"/>
    <cellStyle name="超链接" xfId="10" builtinId="8"/>
    <cellStyle name="千位分隔" xfId="11" builtinId="3"/>
    <cellStyle name="千位分隔 2" xfId="15" xr:uid="{1A5D73E2-B514-4AA0-8E19-D70F1F71E7D0}"/>
    <cellStyle name="千位分隔 2 2" xfId="18" xr:uid="{10B111F3-A5EB-4B87-96F7-BC108D1F1D8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Relationship Id="rId9" Type="http://schemas.openxmlformats.org/officeDocument/2006/relationships/image" Target="../media/image1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4" Type="http://schemas.openxmlformats.org/officeDocument/2006/relationships/image" Target="../media/image2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632279</xdr:colOff>
      <xdr:row>3</xdr:row>
      <xdr:rowOff>23082</xdr:rowOff>
    </xdr:to>
    <xdr:pic>
      <xdr:nvPicPr>
        <xdr:cNvPr id="77382" name="Picture 3">
          <a:extLst>
            <a:ext uri="{FF2B5EF4-FFF2-40B4-BE49-F238E27FC236}">
              <a16:creationId xmlns:a16="http://schemas.microsoft.com/office/drawing/2014/main" id="{AA46EAA2-61F1-457D-ACAB-D3BF5E102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850"/>
          <a:ext cx="2889250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2270760</xdr:colOff>
      <xdr:row>4</xdr:row>
      <xdr:rowOff>27709</xdr:rowOff>
    </xdr:from>
    <xdr:to>
      <xdr:col>3</xdr:col>
      <xdr:colOff>1815</xdr:colOff>
      <xdr:row>7</xdr:row>
      <xdr:rowOff>137114</xdr:rowOff>
    </xdr:to>
    <xdr:pic>
      <xdr:nvPicPr>
        <xdr:cNvPr id="77383" name="图片 1">
          <a:extLst>
            <a:ext uri="{FF2B5EF4-FFF2-40B4-BE49-F238E27FC236}">
              <a16:creationId xmlns:a16="http://schemas.microsoft.com/office/drawing/2014/main" id="{A9CC20F7-B996-4F07-A0E4-4F2B95F20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0760" y="796636"/>
          <a:ext cx="2122946" cy="613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1143000</xdr:colOff>
      <xdr:row>3</xdr:row>
      <xdr:rowOff>81643</xdr:rowOff>
    </xdr:from>
    <xdr:to>
      <xdr:col>4</xdr:col>
      <xdr:colOff>3051105</xdr:colOff>
      <xdr:row>7</xdr:row>
      <xdr:rowOff>59991</xdr:rowOff>
    </xdr:to>
    <xdr:pic>
      <xdr:nvPicPr>
        <xdr:cNvPr id="77384" name="Picture 4">
          <a:extLst>
            <a:ext uri="{FF2B5EF4-FFF2-40B4-BE49-F238E27FC236}">
              <a16:creationId xmlns:a16="http://schemas.microsoft.com/office/drawing/2014/main" id="{B52CA2E7-8777-478E-A9B9-D10E1038A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3571" y="680357"/>
          <a:ext cx="4103391" cy="619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3</xdr:col>
      <xdr:colOff>421822</xdr:colOff>
      <xdr:row>130</xdr:row>
      <xdr:rowOff>60103</xdr:rowOff>
    </xdr:to>
    <xdr:pic>
      <xdr:nvPicPr>
        <xdr:cNvPr id="77385" name="图片 3">
          <a:extLst>
            <a:ext uri="{FF2B5EF4-FFF2-40B4-BE49-F238E27FC236}">
              <a16:creationId xmlns:a16="http://schemas.microsoft.com/office/drawing/2014/main" id="{5E34BCAC-0B7A-4940-B9B2-66658E34E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25650"/>
          <a:ext cx="4806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2015836</xdr:colOff>
      <xdr:row>130</xdr:row>
      <xdr:rowOff>215613</xdr:rowOff>
    </xdr:from>
    <xdr:to>
      <xdr:col>3</xdr:col>
      <xdr:colOff>1966166</xdr:colOff>
      <xdr:row>133</xdr:row>
      <xdr:rowOff>78285</xdr:rowOff>
    </xdr:to>
    <xdr:pic>
      <xdr:nvPicPr>
        <xdr:cNvPr id="77386" name="图片 4">
          <a:extLst>
            <a:ext uri="{FF2B5EF4-FFF2-40B4-BE49-F238E27FC236}">
              <a16:creationId xmlns:a16="http://schemas.microsoft.com/office/drawing/2014/main" id="{1326E91D-B73D-41FB-9B0B-5459D8BAB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5836" y="23768340"/>
          <a:ext cx="4343260" cy="408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157980</xdr:colOff>
      <xdr:row>133</xdr:row>
      <xdr:rowOff>75334</xdr:rowOff>
    </xdr:from>
    <xdr:to>
      <xdr:col>3</xdr:col>
      <xdr:colOff>649752</xdr:colOff>
      <xdr:row>136</xdr:row>
      <xdr:rowOff>101074</xdr:rowOff>
    </xdr:to>
    <xdr:pic>
      <xdr:nvPicPr>
        <xdr:cNvPr id="77387" name="Picture 5">
          <a:extLst>
            <a:ext uri="{FF2B5EF4-FFF2-40B4-BE49-F238E27FC236}">
              <a16:creationId xmlns:a16="http://schemas.microsoft.com/office/drawing/2014/main" id="{5438E3D8-D74D-4D87-9452-FF9EDBC22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6662" y="24173584"/>
          <a:ext cx="2604590" cy="518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147205</xdr:colOff>
      <xdr:row>133</xdr:row>
      <xdr:rowOff>77932</xdr:rowOff>
    </xdr:from>
    <xdr:to>
      <xdr:col>4</xdr:col>
      <xdr:colOff>2422127</xdr:colOff>
      <xdr:row>136</xdr:row>
      <xdr:rowOff>101075</xdr:rowOff>
    </xdr:to>
    <xdr:pic>
      <xdr:nvPicPr>
        <xdr:cNvPr id="77388" name="Picture 6">
          <a:extLst>
            <a:ext uri="{FF2B5EF4-FFF2-40B4-BE49-F238E27FC236}">
              <a16:creationId xmlns:a16="http://schemas.microsoft.com/office/drawing/2014/main" id="{3D63557B-D2CF-4503-AA6C-1BF4F295C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114" y="24176182"/>
          <a:ext cx="2273652" cy="515441"/>
        </a:xfrm>
        <a:prstGeom prst="rect">
          <a:avLst/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251</xdr:row>
      <xdr:rowOff>0</xdr:rowOff>
    </xdr:from>
    <xdr:to>
      <xdr:col>4</xdr:col>
      <xdr:colOff>1814</xdr:colOff>
      <xdr:row>253</xdr:row>
      <xdr:rowOff>25180</xdr:rowOff>
    </xdr:to>
    <xdr:pic>
      <xdr:nvPicPr>
        <xdr:cNvPr id="77389" name="图片 5">
          <a:extLst>
            <a:ext uri="{FF2B5EF4-FFF2-40B4-BE49-F238E27FC236}">
              <a16:creationId xmlns:a16="http://schemas.microsoft.com/office/drawing/2014/main" id="{CDF402F3-EBDB-4FD7-928C-515499A35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27362150"/>
          <a:ext cx="43180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768350</xdr:colOff>
      <xdr:row>1</xdr:row>
      <xdr:rowOff>120650</xdr:rowOff>
    </xdr:from>
    <xdr:to>
      <xdr:col>2</xdr:col>
      <xdr:colOff>746760</xdr:colOff>
      <xdr:row>5</xdr:row>
      <xdr:rowOff>0</xdr:rowOff>
    </xdr:to>
    <xdr:pic>
      <xdr:nvPicPr>
        <xdr:cNvPr id="76693" name="图片 3">
          <a:extLst>
            <a:ext uri="{FF2B5EF4-FFF2-40B4-BE49-F238E27FC236}">
              <a16:creationId xmlns:a16="http://schemas.microsoft.com/office/drawing/2014/main" id="{E225E8B4-60FB-4BB7-8798-140683B75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350" y="317500"/>
          <a:ext cx="3886200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263172</xdr:colOff>
      <xdr:row>6</xdr:row>
      <xdr:rowOff>150989</xdr:rowOff>
    </xdr:from>
    <xdr:to>
      <xdr:col>2</xdr:col>
      <xdr:colOff>901276</xdr:colOff>
      <xdr:row>10</xdr:row>
      <xdr:rowOff>77612</xdr:rowOff>
    </xdr:to>
    <xdr:pic>
      <xdr:nvPicPr>
        <xdr:cNvPr id="76694" name="图片 4">
          <a:extLst>
            <a:ext uri="{FF2B5EF4-FFF2-40B4-BE49-F238E27FC236}">
              <a16:creationId xmlns:a16="http://schemas.microsoft.com/office/drawing/2014/main" id="{ED8BC111-E295-4639-A868-52C2282E3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172" y="1124656"/>
          <a:ext cx="4555772" cy="575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929216</xdr:colOff>
      <xdr:row>6</xdr:row>
      <xdr:rowOff>150989</xdr:rowOff>
    </xdr:from>
    <xdr:to>
      <xdr:col>4</xdr:col>
      <xdr:colOff>1319389</xdr:colOff>
      <xdr:row>10</xdr:row>
      <xdr:rowOff>97508</xdr:rowOff>
    </xdr:to>
    <xdr:pic>
      <xdr:nvPicPr>
        <xdr:cNvPr id="76695" name="图片 8">
          <a:extLst>
            <a:ext uri="{FF2B5EF4-FFF2-40B4-BE49-F238E27FC236}">
              <a16:creationId xmlns:a16="http://schemas.microsoft.com/office/drawing/2014/main" id="{E4B7E634-A1D3-4222-819C-4C88F066B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7994" y="1124656"/>
          <a:ext cx="4052006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539750</xdr:colOff>
      <xdr:row>41</xdr:row>
      <xdr:rowOff>2117</xdr:rowOff>
    </xdr:from>
    <xdr:to>
      <xdr:col>2</xdr:col>
      <xdr:colOff>1320094</xdr:colOff>
      <xdr:row>43</xdr:row>
      <xdr:rowOff>-1</xdr:rowOff>
    </xdr:to>
    <xdr:pic>
      <xdr:nvPicPr>
        <xdr:cNvPr id="76696" name="图片 5">
          <a:extLst>
            <a:ext uri="{FF2B5EF4-FFF2-40B4-BE49-F238E27FC236}">
              <a16:creationId xmlns:a16="http://schemas.microsoft.com/office/drawing/2014/main" id="{D721C603-905B-45D1-AD28-060A47E41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0" y="7424561"/>
          <a:ext cx="4695472" cy="484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292100</xdr:colOff>
      <xdr:row>74</xdr:row>
      <xdr:rowOff>57150</xdr:rowOff>
    </xdr:from>
    <xdr:to>
      <xdr:col>2</xdr:col>
      <xdr:colOff>1700051</xdr:colOff>
      <xdr:row>79</xdr:row>
      <xdr:rowOff>1258</xdr:rowOff>
    </xdr:to>
    <xdr:pic>
      <xdr:nvPicPr>
        <xdr:cNvPr id="76697" name="图片 1">
          <a:extLst>
            <a:ext uri="{FF2B5EF4-FFF2-40B4-BE49-F238E27FC236}">
              <a16:creationId xmlns:a16="http://schemas.microsoft.com/office/drawing/2014/main" id="{832DC113-CBCF-4200-8909-ADF7D2180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10452100"/>
          <a:ext cx="5327650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214312</xdr:colOff>
      <xdr:row>118</xdr:row>
      <xdr:rowOff>26988</xdr:rowOff>
    </xdr:from>
    <xdr:to>
      <xdr:col>3</xdr:col>
      <xdr:colOff>1777047</xdr:colOff>
      <xdr:row>121</xdr:row>
      <xdr:rowOff>100649</xdr:rowOff>
    </xdr:to>
    <xdr:pic>
      <xdr:nvPicPr>
        <xdr:cNvPr id="76698" name="Picture 4">
          <a:extLst>
            <a:ext uri="{FF2B5EF4-FFF2-40B4-BE49-F238E27FC236}">
              <a16:creationId xmlns:a16="http://schemas.microsoft.com/office/drawing/2014/main" id="{288DC32C-21E6-455A-9C63-70043F36F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" y="19680238"/>
          <a:ext cx="719137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1073150</xdr:colOff>
      <xdr:row>199</xdr:row>
      <xdr:rowOff>285750</xdr:rowOff>
    </xdr:from>
    <xdr:to>
      <xdr:col>2</xdr:col>
      <xdr:colOff>1700051</xdr:colOff>
      <xdr:row>203</xdr:row>
      <xdr:rowOff>0</xdr:rowOff>
    </xdr:to>
    <xdr:pic>
      <xdr:nvPicPr>
        <xdr:cNvPr id="76699" name="Picture 5">
          <a:extLst>
            <a:ext uri="{FF2B5EF4-FFF2-40B4-BE49-F238E27FC236}">
              <a16:creationId xmlns:a16="http://schemas.microsoft.com/office/drawing/2014/main" id="{7D4484A0-EF09-4ADC-9BD7-C9552A9CC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150" y="24676100"/>
          <a:ext cx="45466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2571750</xdr:colOff>
      <xdr:row>203</xdr:row>
      <xdr:rowOff>171450</xdr:rowOff>
    </xdr:from>
    <xdr:to>
      <xdr:col>2</xdr:col>
      <xdr:colOff>1700051</xdr:colOff>
      <xdr:row>206</xdr:row>
      <xdr:rowOff>1</xdr:rowOff>
    </xdr:to>
    <xdr:pic>
      <xdr:nvPicPr>
        <xdr:cNvPr id="76700" name="Picture 6">
          <a:extLst>
            <a:ext uri="{FF2B5EF4-FFF2-40B4-BE49-F238E27FC236}">
              <a16:creationId xmlns:a16="http://schemas.microsoft.com/office/drawing/2014/main" id="{CC36CEEB-C7E6-40FE-8533-F9E87F5B7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25330150"/>
          <a:ext cx="316230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2260600</xdr:colOff>
      <xdr:row>281</xdr:row>
      <xdr:rowOff>50800</xdr:rowOff>
    </xdr:from>
    <xdr:to>
      <xdr:col>2</xdr:col>
      <xdr:colOff>1508760</xdr:colOff>
      <xdr:row>284</xdr:row>
      <xdr:rowOff>60962</xdr:rowOff>
    </xdr:to>
    <xdr:pic>
      <xdr:nvPicPr>
        <xdr:cNvPr id="76701" name="Picture 7">
          <a:extLst>
            <a:ext uri="{FF2B5EF4-FFF2-40B4-BE49-F238E27FC236}">
              <a16:creationId xmlns:a16="http://schemas.microsoft.com/office/drawing/2014/main" id="{BD0418A2-8703-4E45-B2A0-C7044B94A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0600" y="37439600"/>
          <a:ext cx="316230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1308100</xdr:colOff>
      <xdr:row>0</xdr:row>
      <xdr:rowOff>342900</xdr:rowOff>
    </xdr:from>
    <xdr:to>
      <xdr:col>2</xdr:col>
      <xdr:colOff>556119</xdr:colOff>
      <xdr:row>3</xdr:row>
      <xdr:rowOff>22860</xdr:rowOff>
    </xdr:to>
    <xdr:pic>
      <xdr:nvPicPr>
        <xdr:cNvPr id="78095" name="Picture 1">
          <a:extLst>
            <a:ext uri="{FF2B5EF4-FFF2-40B4-BE49-F238E27FC236}">
              <a16:creationId xmlns:a16="http://schemas.microsoft.com/office/drawing/2014/main" id="{B8B36D09-1CAF-45FE-BDD2-AE0160039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196850"/>
          <a:ext cx="301625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1809750</xdr:colOff>
      <xdr:row>4</xdr:row>
      <xdr:rowOff>279400</xdr:rowOff>
    </xdr:from>
    <xdr:to>
      <xdr:col>4</xdr:col>
      <xdr:colOff>557106</xdr:colOff>
      <xdr:row>19</xdr:row>
      <xdr:rowOff>353</xdr:rowOff>
    </xdr:to>
    <xdr:pic>
      <xdr:nvPicPr>
        <xdr:cNvPr id="78096" name="Picture 2">
          <a:extLst>
            <a:ext uri="{FF2B5EF4-FFF2-40B4-BE49-F238E27FC236}">
              <a16:creationId xmlns:a16="http://schemas.microsoft.com/office/drawing/2014/main" id="{399A622F-05E3-425A-9A24-5C2B6E708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850900"/>
          <a:ext cx="5168900" cy="231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913694</xdr:colOff>
      <xdr:row>146</xdr:row>
      <xdr:rowOff>60678</xdr:rowOff>
    </xdr:from>
    <xdr:to>
      <xdr:col>3</xdr:col>
      <xdr:colOff>1280018</xdr:colOff>
      <xdr:row>161</xdr:row>
      <xdr:rowOff>20038</xdr:rowOff>
    </xdr:to>
    <xdr:pic>
      <xdr:nvPicPr>
        <xdr:cNvPr id="78097" name="Picture 4">
          <a:extLst>
            <a:ext uri="{FF2B5EF4-FFF2-40B4-BE49-F238E27FC236}">
              <a16:creationId xmlns:a16="http://schemas.microsoft.com/office/drawing/2014/main" id="{ADA8F9CB-92EC-4105-9843-03F9DDEBA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694" y="21784734"/>
          <a:ext cx="5362222" cy="2389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678039</xdr:colOff>
      <xdr:row>250</xdr:row>
      <xdr:rowOff>144402</xdr:rowOff>
    </xdr:from>
    <xdr:to>
      <xdr:col>4</xdr:col>
      <xdr:colOff>519994</xdr:colOff>
      <xdr:row>258</xdr:row>
      <xdr:rowOff>20743</xdr:rowOff>
    </xdr:to>
    <xdr:pic>
      <xdr:nvPicPr>
        <xdr:cNvPr id="78098" name="Picture 3">
          <a:extLst>
            <a:ext uri="{FF2B5EF4-FFF2-40B4-BE49-F238E27FC236}">
              <a16:creationId xmlns:a16="http://schemas.microsoft.com/office/drawing/2014/main" id="{DC9FDB8E-F5F4-4024-B4FC-35624A296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039" y="38060958"/>
          <a:ext cx="6243461" cy="1177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226783</xdr:colOff>
      <xdr:row>2</xdr:row>
      <xdr:rowOff>18142</xdr:rowOff>
    </xdr:from>
    <xdr:to>
      <xdr:col>10</xdr:col>
      <xdr:colOff>1064983</xdr:colOff>
      <xdr:row>2</xdr:row>
      <xdr:rowOff>366122</xdr:rowOff>
    </xdr:to>
    <xdr:pic>
      <xdr:nvPicPr>
        <xdr:cNvPr id="10" name="图片 6">
          <a:extLst>
            <a:ext uri="{FF2B5EF4-FFF2-40B4-BE49-F238E27FC236}">
              <a16:creationId xmlns:a16="http://schemas.microsoft.com/office/drawing/2014/main" id="{7B4EB813-6B8D-434B-8B35-E55199426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8854" y="662213"/>
          <a:ext cx="838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36286</xdr:colOff>
      <xdr:row>2</xdr:row>
      <xdr:rowOff>63501</xdr:rowOff>
    </xdr:from>
    <xdr:to>
      <xdr:col>19</xdr:col>
      <xdr:colOff>874486</xdr:colOff>
      <xdr:row>3</xdr:row>
      <xdr:rowOff>21410</xdr:rowOff>
    </xdr:to>
    <xdr:pic>
      <xdr:nvPicPr>
        <xdr:cNvPr id="11" name="图片 6">
          <a:extLst>
            <a:ext uri="{FF2B5EF4-FFF2-40B4-BE49-F238E27FC236}">
              <a16:creationId xmlns:a16="http://schemas.microsoft.com/office/drawing/2014/main" id="{27B77113-7B47-419B-BBD3-3A910D2C2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08500" y="707572"/>
          <a:ext cx="838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838200</xdr:colOff>
      <xdr:row>2</xdr:row>
      <xdr:rowOff>342900</xdr:rowOff>
    </xdr:to>
    <xdr:pic>
      <xdr:nvPicPr>
        <xdr:cNvPr id="12" name="图片 6">
          <a:extLst>
            <a:ext uri="{FF2B5EF4-FFF2-40B4-BE49-F238E27FC236}">
              <a16:creationId xmlns:a16="http://schemas.microsoft.com/office/drawing/2014/main" id="{9DB26BF9-1609-48EA-A584-0B8104E25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40143" y="644071"/>
          <a:ext cx="838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37</xdr:col>
      <xdr:colOff>97971</xdr:colOff>
      <xdr:row>2</xdr:row>
      <xdr:rowOff>25400</xdr:rowOff>
    </xdr:from>
    <xdr:to>
      <xdr:col>37</xdr:col>
      <xdr:colOff>934901</xdr:colOff>
      <xdr:row>2</xdr:row>
      <xdr:rowOff>365125</xdr:rowOff>
    </xdr:to>
    <xdr:pic>
      <xdr:nvPicPr>
        <xdr:cNvPr id="13" name="图片 6">
          <a:extLst>
            <a:ext uri="{FF2B5EF4-FFF2-40B4-BE49-F238E27FC236}">
              <a16:creationId xmlns:a16="http://schemas.microsoft.com/office/drawing/2014/main" id="{F054F885-A914-4151-B84C-23607AB58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69971" y="669471"/>
          <a:ext cx="838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54429</xdr:colOff>
      <xdr:row>2</xdr:row>
      <xdr:rowOff>0</xdr:rowOff>
    </xdr:from>
    <xdr:to>
      <xdr:col>46</xdr:col>
      <xdr:colOff>897709</xdr:colOff>
      <xdr:row>2</xdr:row>
      <xdr:rowOff>342900</xdr:rowOff>
    </xdr:to>
    <xdr:pic>
      <xdr:nvPicPr>
        <xdr:cNvPr id="14" name="图片 6">
          <a:extLst>
            <a:ext uri="{FF2B5EF4-FFF2-40B4-BE49-F238E27FC236}">
              <a16:creationId xmlns:a16="http://schemas.microsoft.com/office/drawing/2014/main" id="{9B3FDCAB-C345-4D89-ABF4-B77E35D86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85715" y="644071"/>
          <a:ext cx="838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55</xdr:col>
      <xdr:colOff>199571</xdr:colOff>
      <xdr:row>2</xdr:row>
      <xdr:rowOff>27214</xdr:rowOff>
    </xdr:from>
    <xdr:to>
      <xdr:col>55</xdr:col>
      <xdr:colOff>1049836</xdr:colOff>
      <xdr:row>2</xdr:row>
      <xdr:rowOff>368209</xdr:rowOff>
    </xdr:to>
    <xdr:pic>
      <xdr:nvPicPr>
        <xdr:cNvPr id="15" name="图片 6">
          <a:extLst>
            <a:ext uri="{FF2B5EF4-FFF2-40B4-BE49-F238E27FC236}">
              <a16:creationId xmlns:a16="http://schemas.microsoft.com/office/drawing/2014/main" id="{20319B2F-624E-496E-AE4E-AF35E63EC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1714" y="671285"/>
          <a:ext cx="838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92</xdr:col>
      <xdr:colOff>0</xdr:colOff>
      <xdr:row>2</xdr:row>
      <xdr:rowOff>18142</xdr:rowOff>
    </xdr:from>
    <xdr:to>
      <xdr:col>93</xdr:col>
      <xdr:colOff>62230</xdr:colOff>
      <xdr:row>2</xdr:row>
      <xdr:rowOff>366122</xdr:rowOff>
    </xdr:to>
    <xdr:pic>
      <xdr:nvPicPr>
        <xdr:cNvPr id="16" name="图片 6">
          <a:extLst>
            <a:ext uri="{FF2B5EF4-FFF2-40B4-BE49-F238E27FC236}">
              <a16:creationId xmlns:a16="http://schemas.microsoft.com/office/drawing/2014/main" id="{73D2A8B0-C630-47A5-A638-FDF60ADBD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02750" y="576035"/>
          <a:ext cx="838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64</xdr:col>
      <xdr:colOff>208643</xdr:colOff>
      <xdr:row>2</xdr:row>
      <xdr:rowOff>18142</xdr:rowOff>
    </xdr:from>
    <xdr:ext cx="838200" cy="342900"/>
    <xdr:pic>
      <xdr:nvPicPr>
        <xdr:cNvPr id="17" name="图片 6">
          <a:extLst>
            <a:ext uri="{FF2B5EF4-FFF2-40B4-BE49-F238E27FC236}">
              <a16:creationId xmlns:a16="http://schemas.microsoft.com/office/drawing/2014/main" id="{8E170DE5-0DFC-454A-8D5B-EF062983B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74929" y="576035"/>
          <a:ext cx="838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73</xdr:col>
      <xdr:colOff>208643</xdr:colOff>
      <xdr:row>2</xdr:row>
      <xdr:rowOff>18142</xdr:rowOff>
    </xdr:from>
    <xdr:ext cx="838200" cy="342900"/>
    <xdr:pic>
      <xdr:nvPicPr>
        <xdr:cNvPr id="18" name="图片 6">
          <a:extLst>
            <a:ext uri="{FF2B5EF4-FFF2-40B4-BE49-F238E27FC236}">
              <a16:creationId xmlns:a16="http://schemas.microsoft.com/office/drawing/2014/main" id="{D01B582D-8C85-4D57-9D1C-C083EF25E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83250" y="576035"/>
          <a:ext cx="838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82</xdr:col>
      <xdr:colOff>208643</xdr:colOff>
      <xdr:row>2</xdr:row>
      <xdr:rowOff>18142</xdr:rowOff>
    </xdr:from>
    <xdr:ext cx="838200" cy="342900"/>
    <xdr:pic>
      <xdr:nvPicPr>
        <xdr:cNvPr id="19" name="图片 6">
          <a:extLst>
            <a:ext uri="{FF2B5EF4-FFF2-40B4-BE49-F238E27FC236}">
              <a16:creationId xmlns:a16="http://schemas.microsoft.com/office/drawing/2014/main" id="{36786023-DEB2-4D15-B80F-B83113315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36500" y="576035"/>
          <a:ext cx="838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91</xdr:col>
      <xdr:colOff>208643</xdr:colOff>
      <xdr:row>2</xdr:row>
      <xdr:rowOff>18142</xdr:rowOff>
    </xdr:from>
    <xdr:ext cx="838200" cy="342900"/>
    <xdr:pic>
      <xdr:nvPicPr>
        <xdr:cNvPr id="20" name="图片 6">
          <a:extLst>
            <a:ext uri="{FF2B5EF4-FFF2-40B4-BE49-F238E27FC236}">
              <a16:creationId xmlns:a16="http://schemas.microsoft.com/office/drawing/2014/main" id="{43CAAFD8-E61B-498E-B3E9-A99E693AD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89750" y="576035"/>
          <a:ext cx="838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92</xdr:col>
      <xdr:colOff>0</xdr:colOff>
      <xdr:row>2</xdr:row>
      <xdr:rowOff>18142</xdr:rowOff>
    </xdr:from>
    <xdr:ext cx="838200" cy="342900"/>
    <xdr:pic>
      <xdr:nvPicPr>
        <xdr:cNvPr id="21" name="图片 6">
          <a:extLst>
            <a:ext uri="{FF2B5EF4-FFF2-40B4-BE49-F238E27FC236}">
              <a16:creationId xmlns:a16="http://schemas.microsoft.com/office/drawing/2014/main" id="{1C4FD7A4-9FD9-4A31-9A9E-EF4B2C58C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0" y="576035"/>
          <a:ext cx="838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92</xdr:col>
      <xdr:colOff>0</xdr:colOff>
      <xdr:row>2</xdr:row>
      <xdr:rowOff>18142</xdr:rowOff>
    </xdr:from>
    <xdr:ext cx="838200" cy="342900"/>
    <xdr:pic>
      <xdr:nvPicPr>
        <xdr:cNvPr id="22" name="图片 6">
          <a:extLst>
            <a:ext uri="{FF2B5EF4-FFF2-40B4-BE49-F238E27FC236}">
              <a16:creationId xmlns:a16="http://schemas.microsoft.com/office/drawing/2014/main" id="{1DC3C0B3-45D1-45B0-828A-B8DF839F6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96250" y="576035"/>
          <a:ext cx="838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92</xdr:col>
      <xdr:colOff>0</xdr:colOff>
      <xdr:row>2</xdr:row>
      <xdr:rowOff>18142</xdr:rowOff>
    </xdr:from>
    <xdr:ext cx="838200" cy="342900"/>
    <xdr:pic>
      <xdr:nvPicPr>
        <xdr:cNvPr id="23" name="图片 6">
          <a:extLst>
            <a:ext uri="{FF2B5EF4-FFF2-40B4-BE49-F238E27FC236}">
              <a16:creationId xmlns:a16="http://schemas.microsoft.com/office/drawing/2014/main" id="{E8C5FC1A-F62D-4029-A1DE-6BAF49AB6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49500" y="576035"/>
          <a:ext cx="838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92</xdr:col>
      <xdr:colOff>0</xdr:colOff>
      <xdr:row>2</xdr:row>
      <xdr:rowOff>18142</xdr:rowOff>
    </xdr:from>
    <xdr:ext cx="838200" cy="342900"/>
    <xdr:pic>
      <xdr:nvPicPr>
        <xdr:cNvPr id="24" name="图片 6">
          <a:extLst>
            <a:ext uri="{FF2B5EF4-FFF2-40B4-BE49-F238E27FC236}">
              <a16:creationId xmlns:a16="http://schemas.microsoft.com/office/drawing/2014/main" id="{78F2AC52-FD7D-4D82-B59A-C0CE11C29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02750" y="576035"/>
          <a:ext cx="838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8034;&#28113;&#20848;/&#21442;&#32771;&#39033;&#30446;/&#20859;&#27542;&#22330;&#39033;&#30446;/3716/ER%20Calculation_Deqingyuan_37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8034;&#28113;&#20848;\&#21442;&#32771;&#39033;&#30446;\&#20859;&#27542;&#22330;&#39033;&#30446;\3716\ER%20Calculation_Deqingyuan_37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Basic data"/>
      <sheetName val="ER"/>
      <sheetName val="Sheet1"/>
      <sheetName val="Sheet2"/>
      <sheetName val="Sheet3"/>
      <sheetName val="Sheet4"/>
      <sheetName val="Sheet5"/>
      <sheetName val="Sheet6"/>
      <sheetName val="Sheet7"/>
      <sheetName val="Wsite"/>
      <sheetName val="Electricity"/>
      <sheetName val="Biogas"/>
      <sheetName val="Temperature"/>
    </sheetNames>
    <sheetDataSet>
      <sheetData sheetId="0"/>
      <sheetData sheetId="1"/>
      <sheetData sheetId="2">
        <row r="1">
          <cell r="B1">
            <v>32861</v>
          </cell>
        </row>
        <row r="2">
          <cell r="B2">
            <v>54261</v>
          </cell>
        </row>
        <row r="8">
          <cell r="B8">
            <v>12282.917114928456</v>
          </cell>
        </row>
        <row r="17">
          <cell r="B17">
            <v>9116.4939179598041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Basic data"/>
      <sheetName val="ER"/>
      <sheetName val="Sheet1"/>
      <sheetName val="Sheet2"/>
      <sheetName val="Sheet3"/>
      <sheetName val="Sheet4"/>
      <sheetName val="Sheet5"/>
      <sheetName val="Sheet6"/>
      <sheetName val="Sheet7"/>
      <sheetName val="Wsite"/>
      <sheetName val="Electricity"/>
      <sheetName val="Biogas"/>
      <sheetName val="Temperature"/>
    </sheetNames>
    <sheetDataSet>
      <sheetData sheetId="0"/>
      <sheetData sheetId="1"/>
      <sheetData sheetId="2">
        <row r="1">
          <cell r="B1">
            <v>32861</v>
          </cell>
        </row>
        <row r="2">
          <cell r="B2">
            <v>54261</v>
          </cell>
        </row>
        <row r="8">
          <cell r="B8">
            <v>12282.917114928456</v>
          </cell>
        </row>
        <row r="17">
          <cell r="B17">
            <v>9116.4939179598041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zoomScale="85" zoomScaleNormal="85" workbookViewId="0">
      <selection activeCell="E9" sqref="E9"/>
    </sheetView>
  </sheetViews>
  <sheetFormatPr defaultColWidth="8.7265625" defaultRowHeight="13.5" x14ac:dyDescent="0.3"/>
  <cols>
    <col min="1" max="1" width="9.26953125" style="3" customWidth="1"/>
    <col min="2" max="2" width="52.08984375" style="3" customWidth="1"/>
    <col min="3" max="3" width="48" style="3" customWidth="1"/>
    <col min="4" max="4" width="8.7265625" style="3"/>
    <col min="5" max="5" width="9.90625" style="3" customWidth="1"/>
    <col min="6" max="6" width="9.81640625" style="3" bestFit="1" customWidth="1"/>
    <col min="7" max="7" width="8.7265625" style="3"/>
    <col min="8" max="8" width="12.36328125" style="3" bestFit="1" customWidth="1"/>
    <col min="9" max="16384" width="8.7265625" style="3"/>
  </cols>
  <sheetData>
    <row r="1" spans="1:8" x14ac:dyDescent="0.3">
      <c r="A1" s="1"/>
      <c r="B1" s="2"/>
      <c r="C1" s="2"/>
      <c r="D1" s="2"/>
      <c r="E1" s="2"/>
      <c r="F1" s="2"/>
    </row>
    <row r="2" spans="1:8" x14ac:dyDescent="0.3">
      <c r="A2" s="1"/>
      <c r="B2" s="4"/>
      <c r="C2" s="4"/>
      <c r="D2" s="4"/>
      <c r="E2" s="2"/>
      <c r="F2" s="2"/>
    </row>
    <row r="3" spans="1:8" x14ac:dyDescent="0.3">
      <c r="A3" s="1"/>
      <c r="B3" s="4"/>
      <c r="C3" s="4"/>
      <c r="D3" s="4"/>
      <c r="E3" s="2"/>
      <c r="F3" s="2"/>
    </row>
    <row r="4" spans="1:8" ht="14" thickBot="1" x14ac:dyDescent="0.35">
      <c r="A4" s="1"/>
      <c r="B4" s="5"/>
      <c r="C4" s="4"/>
      <c r="D4" s="4"/>
      <c r="E4" s="2"/>
      <c r="F4" s="2"/>
    </row>
    <row r="5" spans="1:8" ht="27" x14ac:dyDescent="0.3">
      <c r="A5" s="1"/>
      <c r="B5" s="6" t="s">
        <v>73</v>
      </c>
      <c r="C5" s="359" t="s">
        <v>337</v>
      </c>
      <c r="D5" s="4"/>
      <c r="E5" s="2"/>
      <c r="F5" s="2"/>
    </row>
    <row r="6" spans="1:8" x14ac:dyDescent="0.3">
      <c r="A6" s="1"/>
      <c r="B6" s="7" t="s">
        <v>74</v>
      </c>
      <c r="C6" s="360" t="s">
        <v>398</v>
      </c>
      <c r="D6" s="4"/>
      <c r="E6" s="2"/>
      <c r="F6" s="2"/>
    </row>
    <row r="7" spans="1:8" ht="23.5" customHeight="1" x14ac:dyDescent="0.3">
      <c r="A7" s="1"/>
      <c r="B7" s="7" t="s">
        <v>75</v>
      </c>
      <c r="C7" s="384">
        <v>2</v>
      </c>
      <c r="D7" s="4"/>
      <c r="E7" s="2"/>
      <c r="F7" s="2"/>
    </row>
    <row r="8" spans="1:8" x14ac:dyDescent="0.3">
      <c r="A8" s="8"/>
      <c r="B8" s="7" t="s">
        <v>76</v>
      </c>
      <c r="C8" s="470" t="s">
        <v>403</v>
      </c>
      <c r="D8" s="8"/>
      <c r="E8" s="8"/>
      <c r="F8" s="8"/>
    </row>
    <row r="9" spans="1:8" ht="14" thickBot="1" x14ac:dyDescent="0.35">
      <c r="A9" s="8"/>
      <c r="B9" s="9" t="s">
        <v>77</v>
      </c>
      <c r="C9" s="361" t="s">
        <v>338</v>
      </c>
      <c r="D9" s="8"/>
      <c r="E9" s="10"/>
      <c r="F9" s="8"/>
    </row>
    <row r="10" spans="1:8" x14ac:dyDescent="0.3">
      <c r="C10" s="11"/>
    </row>
    <row r="12" spans="1:8" x14ac:dyDescent="0.3">
      <c r="F12" s="12"/>
      <c r="G12" s="13"/>
      <c r="H12" s="14"/>
    </row>
    <row r="13" spans="1:8" x14ac:dyDescent="0.3">
      <c r="D13" s="13"/>
      <c r="F13" s="12"/>
      <c r="G13" s="13"/>
    </row>
    <row r="15" spans="1:8" x14ac:dyDescent="0.3">
      <c r="F15" s="15"/>
    </row>
    <row r="23" spans="6:6" x14ac:dyDescent="0.3">
      <c r="F23" s="12"/>
    </row>
  </sheetData>
  <phoneticPr fontId="11" type="noConversion"/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9A250-5CD3-4313-902A-786F49EB640E}">
  <dimension ref="A1:I158"/>
  <sheetViews>
    <sheetView zoomScale="80" zoomScaleNormal="80" workbookViewId="0">
      <selection activeCell="E132" sqref="E132:G136"/>
    </sheetView>
  </sheetViews>
  <sheetFormatPr defaultColWidth="8.7265625" defaultRowHeight="14" x14ac:dyDescent="0.3"/>
  <cols>
    <col min="1" max="1" width="22.453125" style="395" customWidth="1"/>
    <col min="2" max="2" width="16.26953125" style="395" bestFit="1" customWidth="1"/>
    <col min="3" max="3" width="22.90625" style="395" bestFit="1" customWidth="1"/>
    <col min="4" max="4" width="22.6328125" style="395" bestFit="1" customWidth="1"/>
    <col min="5" max="5" width="21.453125" style="395" bestFit="1" customWidth="1"/>
    <col min="6" max="6" width="23.453125" style="395" bestFit="1" customWidth="1"/>
    <col min="7" max="7" width="23.08984375" style="395" bestFit="1" customWidth="1"/>
    <col min="8" max="8" width="14.81640625" style="395" customWidth="1"/>
    <col min="9" max="16384" width="8.7265625" style="395"/>
  </cols>
  <sheetData>
    <row r="1" spans="1:9" x14ac:dyDescent="0.3">
      <c r="A1" s="657" t="s">
        <v>322</v>
      </c>
      <c r="B1" s="658"/>
      <c r="C1" s="658"/>
      <c r="D1" s="658"/>
      <c r="E1" s="658"/>
      <c r="F1" s="658"/>
      <c r="G1" s="659"/>
    </row>
    <row r="2" spans="1:9" ht="33" customHeight="1" x14ac:dyDescent="0.3">
      <c r="A2" s="660" t="s">
        <v>371</v>
      </c>
      <c r="B2" s="661"/>
      <c r="C2" s="661"/>
      <c r="D2" s="661"/>
      <c r="E2" s="661"/>
      <c r="F2" s="661"/>
      <c r="G2" s="662"/>
    </row>
    <row r="3" spans="1:9" x14ac:dyDescent="0.3">
      <c r="A3" s="671" t="s">
        <v>353</v>
      </c>
      <c r="B3" s="672"/>
      <c r="C3" s="672"/>
      <c r="D3" s="672"/>
      <c r="E3" s="672"/>
      <c r="F3" s="672"/>
      <c r="G3" s="673"/>
    </row>
    <row r="4" spans="1:9" x14ac:dyDescent="0.3">
      <c r="A4" s="396"/>
      <c r="B4" s="674" t="s">
        <v>364</v>
      </c>
      <c r="C4" s="674"/>
      <c r="D4" s="674"/>
      <c r="E4" s="674" t="s">
        <v>365</v>
      </c>
      <c r="F4" s="674"/>
      <c r="G4" s="674"/>
    </row>
    <row r="5" spans="1:9" x14ac:dyDescent="0.3">
      <c r="A5" s="454" t="s">
        <v>366</v>
      </c>
      <c r="B5" s="433" t="s">
        <v>344</v>
      </c>
      <c r="C5" s="433" t="s">
        <v>345</v>
      </c>
      <c r="D5" s="433" t="s">
        <v>367</v>
      </c>
      <c r="E5" s="433" t="s">
        <v>368</v>
      </c>
      <c r="F5" s="433" t="s">
        <v>369</v>
      </c>
      <c r="G5" s="433" t="s">
        <v>370</v>
      </c>
      <c r="H5" s="440"/>
      <c r="I5" s="441"/>
    </row>
    <row r="6" spans="1:9" x14ac:dyDescent="0.3">
      <c r="A6" s="454">
        <v>1</v>
      </c>
      <c r="B6" s="434">
        <v>0</v>
      </c>
      <c r="C6" s="434">
        <v>0</v>
      </c>
      <c r="D6" s="434">
        <v>0</v>
      </c>
      <c r="E6" s="434">
        <v>52.9</v>
      </c>
      <c r="F6" s="434">
        <v>72.900000000000006</v>
      </c>
      <c r="G6" s="434">
        <v>108.5</v>
      </c>
    </row>
    <row r="7" spans="1:9" x14ac:dyDescent="0.3">
      <c r="A7" s="454">
        <v>2</v>
      </c>
      <c r="B7" s="434"/>
      <c r="C7" s="434"/>
      <c r="D7" s="434"/>
      <c r="E7" s="434">
        <v>49.7</v>
      </c>
      <c r="F7" s="434">
        <v>70.099999999999994</v>
      </c>
      <c r="G7" s="434">
        <v>118.7</v>
      </c>
    </row>
    <row r="8" spans="1:9" x14ac:dyDescent="0.3">
      <c r="A8" s="454">
        <v>3</v>
      </c>
      <c r="B8" s="434"/>
      <c r="C8" s="434"/>
      <c r="D8" s="434"/>
      <c r="E8" s="434">
        <v>56.9</v>
      </c>
      <c r="F8" s="434">
        <v>71.2</v>
      </c>
      <c r="G8" s="434">
        <v>106.7</v>
      </c>
    </row>
    <row r="9" spans="1:9" x14ac:dyDescent="0.3">
      <c r="A9" s="454">
        <v>4</v>
      </c>
      <c r="B9" s="434"/>
      <c r="C9" s="434"/>
      <c r="D9" s="434"/>
      <c r="E9" s="434"/>
      <c r="F9" s="434">
        <v>64.3</v>
      </c>
      <c r="G9" s="434">
        <v>90.6</v>
      </c>
    </row>
    <row r="10" spans="1:9" x14ac:dyDescent="0.3">
      <c r="A10" s="454">
        <v>5</v>
      </c>
      <c r="B10" s="434"/>
      <c r="C10" s="434"/>
      <c r="D10" s="434"/>
      <c r="E10" s="434"/>
      <c r="F10" s="434">
        <v>69.400000000000006</v>
      </c>
      <c r="G10" s="434">
        <v>86.9</v>
      </c>
    </row>
    <row r="11" spans="1:9" x14ac:dyDescent="0.3">
      <c r="A11" s="454">
        <v>6</v>
      </c>
      <c r="B11" s="434"/>
      <c r="C11" s="434"/>
      <c r="D11" s="434"/>
      <c r="E11" s="434"/>
      <c r="F11" s="434"/>
      <c r="G11" s="434">
        <v>103.7</v>
      </c>
    </row>
    <row r="12" spans="1:9" x14ac:dyDescent="0.3">
      <c r="A12" s="670" t="s">
        <v>354</v>
      </c>
      <c r="B12" s="670"/>
      <c r="C12" s="670"/>
      <c r="D12" s="670"/>
      <c r="E12" s="670"/>
      <c r="F12" s="670"/>
      <c r="G12" s="670"/>
    </row>
    <row r="13" spans="1:9" x14ac:dyDescent="0.3">
      <c r="A13" s="396"/>
      <c r="B13" s="674" t="s">
        <v>364</v>
      </c>
      <c r="C13" s="674"/>
      <c r="D13" s="674"/>
      <c r="E13" s="674" t="s">
        <v>365</v>
      </c>
      <c r="F13" s="674"/>
      <c r="G13" s="674"/>
    </row>
    <row r="14" spans="1:9" x14ac:dyDescent="0.3">
      <c r="A14" s="454" t="s">
        <v>366</v>
      </c>
      <c r="B14" s="433" t="s">
        <v>344</v>
      </c>
      <c r="C14" s="433" t="s">
        <v>345</v>
      </c>
      <c r="D14" s="433" t="s">
        <v>367</v>
      </c>
      <c r="E14" s="433" t="s">
        <v>368</v>
      </c>
      <c r="F14" s="433" t="s">
        <v>369</v>
      </c>
      <c r="G14" s="433" t="s">
        <v>370</v>
      </c>
    </row>
    <row r="15" spans="1:9" x14ac:dyDescent="0.3">
      <c r="A15" s="454">
        <v>1</v>
      </c>
      <c r="B15" s="434">
        <v>0</v>
      </c>
      <c r="C15" s="434">
        <v>0</v>
      </c>
      <c r="D15" s="434">
        <v>0</v>
      </c>
      <c r="E15" s="434">
        <v>32.200000000000003</v>
      </c>
      <c r="F15" s="434">
        <v>76.7</v>
      </c>
      <c r="G15" s="434">
        <v>101.7</v>
      </c>
    </row>
    <row r="16" spans="1:9" x14ac:dyDescent="0.3">
      <c r="A16" s="454">
        <v>2</v>
      </c>
      <c r="B16" s="434"/>
      <c r="C16" s="434"/>
      <c r="D16" s="434"/>
      <c r="E16" s="434">
        <v>52.7</v>
      </c>
      <c r="F16" s="434">
        <v>78.099999999999994</v>
      </c>
      <c r="G16" s="434">
        <v>111.5</v>
      </c>
    </row>
    <row r="17" spans="1:7" x14ac:dyDescent="0.3">
      <c r="A17" s="454">
        <v>3</v>
      </c>
      <c r="B17" s="434"/>
      <c r="C17" s="434"/>
      <c r="D17" s="434"/>
      <c r="E17" s="434">
        <v>41.7</v>
      </c>
      <c r="F17" s="434">
        <v>67.400000000000006</v>
      </c>
      <c r="G17" s="434">
        <v>80.5</v>
      </c>
    </row>
    <row r="18" spans="1:7" x14ac:dyDescent="0.3">
      <c r="A18" s="454">
        <v>4</v>
      </c>
      <c r="B18" s="434"/>
      <c r="C18" s="434"/>
      <c r="D18" s="434"/>
      <c r="E18" s="434">
        <v>57.8</v>
      </c>
      <c r="F18" s="434">
        <v>78.599999999999994</v>
      </c>
      <c r="G18" s="434">
        <v>104.2</v>
      </c>
    </row>
    <row r="19" spans="1:7" x14ac:dyDescent="0.3">
      <c r="A19" s="454">
        <v>5</v>
      </c>
      <c r="B19" s="434"/>
      <c r="C19" s="434"/>
      <c r="D19" s="434"/>
      <c r="E19" s="434"/>
      <c r="F19" s="434">
        <v>66.2</v>
      </c>
      <c r="G19" s="434">
        <v>96.7</v>
      </c>
    </row>
    <row r="20" spans="1:7" x14ac:dyDescent="0.3">
      <c r="A20" s="454">
        <v>6</v>
      </c>
      <c r="B20" s="434"/>
      <c r="C20" s="434"/>
      <c r="D20" s="434"/>
      <c r="E20" s="434"/>
      <c r="F20" s="434">
        <v>63.5</v>
      </c>
      <c r="G20" s="434">
        <v>103.7</v>
      </c>
    </row>
    <row r="21" spans="1:7" x14ac:dyDescent="0.3">
      <c r="A21" s="663" t="s">
        <v>355</v>
      </c>
      <c r="B21" s="663"/>
      <c r="C21" s="663"/>
      <c r="D21" s="663"/>
      <c r="E21" s="663"/>
      <c r="F21" s="663"/>
      <c r="G21" s="663"/>
    </row>
    <row r="22" spans="1:7" x14ac:dyDescent="0.3">
      <c r="A22" s="396"/>
      <c r="B22" s="674" t="s">
        <v>364</v>
      </c>
      <c r="C22" s="674"/>
      <c r="D22" s="674"/>
      <c r="E22" s="674" t="s">
        <v>365</v>
      </c>
      <c r="F22" s="674"/>
      <c r="G22" s="674"/>
    </row>
    <row r="23" spans="1:7" x14ac:dyDescent="0.3">
      <c r="A23" s="454" t="s">
        <v>366</v>
      </c>
      <c r="B23" s="433" t="s">
        <v>344</v>
      </c>
      <c r="C23" s="433" t="s">
        <v>345</v>
      </c>
      <c r="D23" s="433" t="s">
        <v>367</v>
      </c>
      <c r="E23" s="433" t="s">
        <v>368</v>
      </c>
      <c r="F23" s="433" t="s">
        <v>369</v>
      </c>
      <c r="G23" s="433" t="s">
        <v>370</v>
      </c>
    </row>
    <row r="24" spans="1:7" x14ac:dyDescent="0.3">
      <c r="A24" s="454">
        <v>1</v>
      </c>
      <c r="B24" s="434">
        <v>20.3</v>
      </c>
      <c r="C24" s="434">
        <v>60.9</v>
      </c>
      <c r="D24" s="434">
        <v>68.5</v>
      </c>
      <c r="E24" s="434">
        <v>35.5</v>
      </c>
      <c r="F24" s="434">
        <v>69.5</v>
      </c>
      <c r="G24" s="434">
        <v>82.8</v>
      </c>
    </row>
    <row r="25" spans="1:7" x14ac:dyDescent="0.3">
      <c r="A25" s="454">
        <v>2</v>
      </c>
      <c r="B25" s="434">
        <v>29.2</v>
      </c>
      <c r="C25" s="434">
        <v>66.5</v>
      </c>
      <c r="D25" s="434">
        <v>97.2</v>
      </c>
      <c r="E25" s="434">
        <v>31.2</v>
      </c>
      <c r="F25" s="434">
        <v>72.2</v>
      </c>
      <c r="G25" s="434">
        <v>98.5</v>
      </c>
    </row>
    <row r="26" spans="1:7" x14ac:dyDescent="0.3">
      <c r="A26" s="454">
        <v>3</v>
      </c>
      <c r="B26" s="434">
        <v>27.3</v>
      </c>
      <c r="C26" s="434">
        <v>36.9</v>
      </c>
      <c r="D26" s="434">
        <v>94.5</v>
      </c>
      <c r="E26" s="434">
        <v>59.7</v>
      </c>
      <c r="F26" s="434">
        <v>77.5</v>
      </c>
      <c r="G26" s="434">
        <v>115.1</v>
      </c>
    </row>
    <row r="27" spans="1:7" x14ac:dyDescent="0.3">
      <c r="A27" s="454">
        <v>4</v>
      </c>
      <c r="B27" s="434">
        <v>33.6</v>
      </c>
      <c r="C27" s="434">
        <v>59.5</v>
      </c>
      <c r="D27" s="434">
        <v>97.5</v>
      </c>
      <c r="E27" s="434">
        <v>35.799999999999997</v>
      </c>
      <c r="F27" s="434">
        <v>70.400000000000006</v>
      </c>
      <c r="G27" s="434">
        <v>112.3</v>
      </c>
    </row>
    <row r="28" spans="1:7" x14ac:dyDescent="0.3">
      <c r="A28" s="454">
        <v>5</v>
      </c>
      <c r="B28" s="434">
        <v>29.2</v>
      </c>
      <c r="C28" s="434">
        <v>66.599999999999994</v>
      </c>
      <c r="D28" s="434">
        <v>94.8</v>
      </c>
      <c r="E28" s="434">
        <v>37.1</v>
      </c>
      <c r="F28" s="434">
        <v>66.5</v>
      </c>
      <c r="G28" s="434">
        <v>106.5</v>
      </c>
    </row>
    <row r="29" spans="1:7" x14ac:dyDescent="0.3">
      <c r="A29" s="454">
        <v>6</v>
      </c>
      <c r="B29" s="434">
        <v>18</v>
      </c>
      <c r="C29" s="434">
        <v>60.1</v>
      </c>
      <c r="D29" s="434">
        <v>90.5</v>
      </c>
      <c r="E29" s="434">
        <v>58.2</v>
      </c>
      <c r="F29" s="434">
        <v>62.3</v>
      </c>
      <c r="G29" s="434">
        <v>114.4</v>
      </c>
    </row>
    <row r="30" spans="1:7" x14ac:dyDescent="0.3">
      <c r="A30" s="454">
        <v>7</v>
      </c>
      <c r="B30" s="434">
        <v>32.5</v>
      </c>
      <c r="C30" s="434">
        <v>48</v>
      </c>
      <c r="D30" s="434">
        <v>81.5</v>
      </c>
      <c r="E30" s="434">
        <v>48.4</v>
      </c>
      <c r="F30" s="434">
        <v>69.400000000000006</v>
      </c>
      <c r="G30" s="434">
        <v>107.6</v>
      </c>
    </row>
    <row r="31" spans="1:7" x14ac:dyDescent="0.3">
      <c r="A31" s="454">
        <v>8</v>
      </c>
      <c r="B31" s="434">
        <v>23.9</v>
      </c>
      <c r="C31" s="434">
        <v>64.099999999999994</v>
      </c>
      <c r="D31" s="434">
        <v>89</v>
      </c>
      <c r="E31" s="434"/>
      <c r="F31" s="434">
        <v>77.2</v>
      </c>
      <c r="G31" s="434">
        <v>102.6</v>
      </c>
    </row>
    <row r="32" spans="1:7" x14ac:dyDescent="0.3">
      <c r="A32" s="454">
        <v>9</v>
      </c>
      <c r="B32" s="434">
        <v>19</v>
      </c>
      <c r="C32" s="434">
        <v>56.8</v>
      </c>
      <c r="D32" s="434">
        <v>74.400000000000006</v>
      </c>
      <c r="E32" s="434"/>
      <c r="F32" s="434">
        <v>75.900000000000006</v>
      </c>
      <c r="G32" s="434">
        <v>95.6</v>
      </c>
    </row>
    <row r="33" spans="1:7" x14ac:dyDescent="0.3">
      <c r="A33" s="454">
        <v>10</v>
      </c>
      <c r="B33" s="434">
        <v>22.4</v>
      </c>
      <c r="C33" s="434">
        <v>60</v>
      </c>
      <c r="D33" s="434">
        <v>72.8</v>
      </c>
      <c r="E33" s="434"/>
      <c r="F33" s="434">
        <v>65.099999999999994</v>
      </c>
      <c r="G33" s="434">
        <v>96.8</v>
      </c>
    </row>
    <row r="34" spans="1:7" x14ac:dyDescent="0.3">
      <c r="A34" s="454">
        <v>11</v>
      </c>
      <c r="B34" s="434">
        <v>27</v>
      </c>
      <c r="C34" s="434">
        <v>54.8</v>
      </c>
      <c r="D34" s="434">
        <v>91.1</v>
      </c>
      <c r="E34" s="434"/>
      <c r="F34" s="434">
        <v>65</v>
      </c>
      <c r="G34" s="434">
        <v>114</v>
      </c>
    </row>
    <row r="35" spans="1:7" x14ac:dyDescent="0.3">
      <c r="A35" s="454">
        <v>12</v>
      </c>
      <c r="B35" s="434">
        <v>35.799999999999997</v>
      </c>
      <c r="C35" s="434">
        <v>49.7</v>
      </c>
      <c r="D35" s="434">
        <v>98.8</v>
      </c>
      <c r="E35" s="434"/>
      <c r="F35" s="434"/>
      <c r="G35" s="434">
        <v>82</v>
      </c>
    </row>
    <row r="36" spans="1:7" x14ac:dyDescent="0.3">
      <c r="A36" s="454">
        <v>13</v>
      </c>
      <c r="B36" s="434">
        <v>20.8</v>
      </c>
      <c r="C36" s="434">
        <v>50.5</v>
      </c>
      <c r="D36" s="434">
        <v>69.5</v>
      </c>
      <c r="E36" s="434"/>
      <c r="F36" s="434"/>
      <c r="G36" s="434"/>
    </row>
    <row r="37" spans="1:7" x14ac:dyDescent="0.3">
      <c r="A37" s="454">
        <v>14</v>
      </c>
      <c r="B37" s="434"/>
      <c r="C37" s="434">
        <v>42.5</v>
      </c>
      <c r="D37" s="434">
        <v>71.5</v>
      </c>
      <c r="E37" s="434"/>
      <c r="F37" s="434"/>
      <c r="G37" s="434"/>
    </row>
    <row r="38" spans="1:7" x14ac:dyDescent="0.3">
      <c r="A38" s="454">
        <v>15</v>
      </c>
      <c r="B38" s="434"/>
      <c r="C38" s="434">
        <v>58.2</v>
      </c>
      <c r="D38" s="434">
        <v>97.8</v>
      </c>
      <c r="E38" s="434"/>
      <c r="F38" s="434"/>
      <c r="G38" s="434"/>
    </row>
    <row r="39" spans="1:7" x14ac:dyDescent="0.3">
      <c r="A39" s="670" t="s">
        <v>356</v>
      </c>
      <c r="B39" s="670"/>
      <c r="C39" s="670"/>
      <c r="D39" s="663"/>
      <c r="E39" s="670"/>
      <c r="F39" s="670"/>
      <c r="G39" s="670"/>
    </row>
    <row r="40" spans="1:7" x14ac:dyDescent="0.3">
      <c r="A40" s="396"/>
      <c r="B40" s="674" t="s">
        <v>364</v>
      </c>
      <c r="C40" s="674"/>
      <c r="D40" s="674"/>
      <c r="E40" s="674" t="s">
        <v>365</v>
      </c>
      <c r="F40" s="674"/>
      <c r="G40" s="674"/>
    </row>
    <row r="41" spans="1:7" x14ac:dyDescent="0.3">
      <c r="A41" s="454" t="s">
        <v>366</v>
      </c>
      <c r="B41" s="433" t="s">
        <v>344</v>
      </c>
      <c r="C41" s="433" t="s">
        <v>345</v>
      </c>
      <c r="D41" s="433" t="s">
        <v>367</v>
      </c>
      <c r="E41" s="433" t="s">
        <v>368</v>
      </c>
      <c r="F41" s="433" t="s">
        <v>369</v>
      </c>
      <c r="G41" s="433" t="s">
        <v>370</v>
      </c>
    </row>
    <row r="42" spans="1:7" x14ac:dyDescent="0.3">
      <c r="A42" s="454">
        <v>1</v>
      </c>
      <c r="B42" s="434">
        <v>22.9</v>
      </c>
      <c r="C42" s="434">
        <v>61.4</v>
      </c>
      <c r="D42" s="434">
        <v>86.5</v>
      </c>
      <c r="E42" s="434">
        <v>43.5</v>
      </c>
      <c r="F42" s="434">
        <v>75.400000000000006</v>
      </c>
      <c r="G42" s="434">
        <v>110.2</v>
      </c>
    </row>
    <row r="43" spans="1:7" x14ac:dyDescent="0.3">
      <c r="A43" s="454">
        <v>2</v>
      </c>
      <c r="B43" s="434">
        <v>22.8</v>
      </c>
      <c r="C43" s="434">
        <v>62.9</v>
      </c>
      <c r="D43" s="434">
        <v>68.7</v>
      </c>
      <c r="E43" s="434">
        <v>29</v>
      </c>
      <c r="F43" s="434">
        <v>78.900000000000006</v>
      </c>
      <c r="G43" s="434">
        <v>103.9</v>
      </c>
    </row>
    <row r="44" spans="1:7" x14ac:dyDescent="0.3">
      <c r="A44" s="454">
        <v>3</v>
      </c>
      <c r="B44" s="434">
        <v>17.3</v>
      </c>
      <c r="C44" s="434">
        <v>55.2</v>
      </c>
      <c r="D44" s="434">
        <v>101.1</v>
      </c>
      <c r="E44" s="434">
        <v>25.6</v>
      </c>
      <c r="F44" s="434">
        <v>60.4</v>
      </c>
      <c r="G44" s="434">
        <v>103.1</v>
      </c>
    </row>
    <row r="45" spans="1:7" x14ac:dyDescent="0.3">
      <c r="A45" s="454">
        <v>4</v>
      </c>
      <c r="B45" s="434">
        <v>26</v>
      </c>
      <c r="C45" s="434">
        <v>41.5</v>
      </c>
      <c r="D45" s="434">
        <v>102</v>
      </c>
      <c r="E45" s="434">
        <v>27.4</v>
      </c>
      <c r="F45" s="434">
        <v>73.7</v>
      </c>
      <c r="G45" s="434">
        <v>81.400000000000006</v>
      </c>
    </row>
    <row r="46" spans="1:7" x14ac:dyDescent="0.3">
      <c r="A46" s="454">
        <v>5</v>
      </c>
      <c r="B46" s="434">
        <v>20.6</v>
      </c>
      <c r="C46" s="434">
        <v>66.900000000000006</v>
      </c>
      <c r="D46" s="434">
        <v>89.8</v>
      </c>
      <c r="E46" s="434">
        <v>34.9</v>
      </c>
      <c r="F46" s="434">
        <v>69.7</v>
      </c>
      <c r="G46" s="434">
        <v>119.5</v>
      </c>
    </row>
    <row r="47" spans="1:7" x14ac:dyDescent="0.3">
      <c r="A47" s="454">
        <v>6</v>
      </c>
      <c r="B47" s="434">
        <v>36.700000000000003</v>
      </c>
      <c r="C47" s="434">
        <v>38</v>
      </c>
      <c r="D47" s="434">
        <v>78.599999999999994</v>
      </c>
      <c r="E47" s="434">
        <v>38.799999999999997</v>
      </c>
      <c r="F47" s="434">
        <v>70.400000000000006</v>
      </c>
      <c r="G47" s="434">
        <v>119.8</v>
      </c>
    </row>
    <row r="48" spans="1:7" x14ac:dyDescent="0.3">
      <c r="A48" s="454">
        <v>7</v>
      </c>
      <c r="B48" s="434">
        <v>17.899999999999999</v>
      </c>
      <c r="C48" s="434">
        <v>40.5</v>
      </c>
      <c r="D48" s="434">
        <v>77.900000000000006</v>
      </c>
      <c r="E48" s="434">
        <v>25.7</v>
      </c>
      <c r="F48" s="434">
        <v>75.3</v>
      </c>
      <c r="G48" s="434">
        <v>80.3</v>
      </c>
    </row>
    <row r="49" spans="1:7" x14ac:dyDescent="0.3">
      <c r="A49" s="454">
        <v>8</v>
      </c>
      <c r="B49" s="434">
        <v>30.1</v>
      </c>
      <c r="C49" s="434">
        <v>62</v>
      </c>
      <c r="D49" s="434">
        <v>95.7</v>
      </c>
      <c r="E49" s="434"/>
      <c r="F49" s="434">
        <v>65.5</v>
      </c>
      <c r="G49" s="434">
        <v>81.599999999999994</v>
      </c>
    </row>
    <row r="50" spans="1:7" x14ac:dyDescent="0.3">
      <c r="A50" s="454">
        <v>9</v>
      </c>
      <c r="B50" s="434">
        <v>20.3</v>
      </c>
      <c r="C50" s="434">
        <v>40.799999999999997</v>
      </c>
      <c r="D50" s="434">
        <v>79.599999999999994</v>
      </c>
      <c r="E50" s="434"/>
      <c r="F50" s="434">
        <v>63.5</v>
      </c>
      <c r="G50" s="434">
        <v>88.5</v>
      </c>
    </row>
    <row r="51" spans="1:7" x14ac:dyDescent="0.3">
      <c r="A51" s="454">
        <v>10</v>
      </c>
      <c r="B51" s="434">
        <v>30.5</v>
      </c>
      <c r="C51" s="434">
        <v>47.4</v>
      </c>
      <c r="D51" s="434">
        <v>103.5</v>
      </c>
      <c r="E51" s="434"/>
      <c r="F51" s="434">
        <v>60</v>
      </c>
      <c r="G51" s="434">
        <v>98.3</v>
      </c>
    </row>
    <row r="52" spans="1:7" x14ac:dyDescent="0.3">
      <c r="A52" s="454">
        <v>11</v>
      </c>
      <c r="B52" s="434">
        <v>29.9</v>
      </c>
      <c r="C52" s="434">
        <v>38.6</v>
      </c>
      <c r="D52" s="434">
        <v>70.599999999999994</v>
      </c>
      <c r="E52" s="434"/>
      <c r="F52" s="434">
        <v>68.2</v>
      </c>
      <c r="G52" s="434">
        <v>107.3</v>
      </c>
    </row>
    <row r="53" spans="1:7" x14ac:dyDescent="0.3">
      <c r="A53" s="454">
        <v>12</v>
      </c>
      <c r="B53" s="434">
        <v>30.2</v>
      </c>
      <c r="C53" s="434">
        <v>52</v>
      </c>
      <c r="D53" s="434">
        <v>93.9</v>
      </c>
      <c r="E53" s="434"/>
      <c r="F53" s="434">
        <v>69</v>
      </c>
      <c r="G53" s="434">
        <v>96.7</v>
      </c>
    </row>
    <row r="54" spans="1:7" x14ac:dyDescent="0.3">
      <c r="A54" s="454">
        <v>13</v>
      </c>
      <c r="B54" s="434">
        <v>27.2</v>
      </c>
      <c r="C54" s="434">
        <v>48.5</v>
      </c>
      <c r="D54" s="434">
        <v>72.2</v>
      </c>
      <c r="E54" s="434"/>
      <c r="F54" s="434"/>
      <c r="G54" s="434">
        <v>119.8</v>
      </c>
    </row>
    <row r="55" spans="1:7" x14ac:dyDescent="0.3">
      <c r="A55" s="454">
        <v>14</v>
      </c>
      <c r="B55" s="434">
        <v>24.8</v>
      </c>
      <c r="C55" s="434">
        <v>43.2</v>
      </c>
      <c r="D55" s="434">
        <v>89.3</v>
      </c>
      <c r="E55" s="434"/>
      <c r="F55" s="434"/>
      <c r="G55" s="434">
        <v>88.5</v>
      </c>
    </row>
    <row r="56" spans="1:7" x14ac:dyDescent="0.3">
      <c r="A56" s="454">
        <v>15</v>
      </c>
      <c r="B56" s="434"/>
      <c r="C56" s="434"/>
      <c r="D56" s="434">
        <v>72.099999999999994</v>
      </c>
      <c r="E56" s="434"/>
      <c r="F56" s="434"/>
      <c r="G56" s="434"/>
    </row>
    <row r="57" spans="1:7" x14ac:dyDescent="0.3">
      <c r="A57" s="670" t="s">
        <v>357</v>
      </c>
      <c r="B57" s="670"/>
      <c r="C57" s="670"/>
      <c r="D57" s="663"/>
      <c r="E57" s="670"/>
      <c r="F57" s="670"/>
      <c r="G57" s="670"/>
    </row>
    <row r="58" spans="1:7" x14ac:dyDescent="0.3">
      <c r="A58" s="396"/>
      <c r="B58" s="674" t="s">
        <v>364</v>
      </c>
      <c r="C58" s="674"/>
      <c r="D58" s="674"/>
      <c r="E58" s="674" t="s">
        <v>365</v>
      </c>
      <c r="F58" s="674"/>
      <c r="G58" s="674"/>
    </row>
    <row r="59" spans="1:7" x14ac:dyDescent="0.3">
      <c r="A59" s="454" t="s">
        <v>366</v>
      </c>
      <c r="B59" s="433" t="s">
        <v>344</v>
      </c>
      <c r="C59" s="433" t="s">
        <v>345</v>
      </c>
      <c r="D59" s="433" t="s">
        <v>367</v>
      </c>
      <c r="E59" s="433" t="s">
        <v>368</v>
      </c>
      <c r="F59" s="433" t="s">
        <v>369</v>
      </c>
      <c r="G59" s="433" t="s">
        <v>370</v>
      </c>
    </row>
    <row r="60" spans="1:7" x14ac:dyDescent="0.3">
      <c r="A60" s="454">
        <v>1</v>
      </c>
      <c r="B60" s="434">
        <v>33.200000000000003</v>
      </c>
      <c r="C60" s="434">
        <v>43.3</v>
      </c>
      <c r="D60" s="434">
        <v>76</v>
      </c>
      <c r="E60" s="434">
        <v>40.5</v>
      </c>
      <c r="F60" s="434">
        <v>67.599999999999994</v>
      </c>
      <c r="G60" s="434">
        <v>114.6</v>
      </c>
    </row>
    <row r="61" spans="1:7" x14ac:dyDescent="0.3">
      <c r="A61" s="454">
        <v>2</v>
      </c>
      <c r="B61" s="434">
        <v>36.6</v>
      </c>
      <c r="C61" s="434">
        <v>62</v>
      </c>
      <c r="D61" s="434">
        <v>93.3</v>
      </c>
      <c r="E61" s="434">
        <v>48.8</v>
      </c>
      <c r="F61" s="434">
        <v>67.8</v>
      </c>
      <c r="G61" s="434">
        <v>108.8</v>
      </c>
    </row>
    <row r="62" spans="1:7" x14ac:dyDescent="0.3">
      <c r="A62" s="454">
        <v>3</v>
      </c>
      <c r="B62" s="434">
        <v>16.2</v>
      </c>
      <c r="C62" s="434">
        <v>66.7</v>
      </c>
      <c r="D62" s="434">
        <v>84</v>
      </c>
      <c r="E62" s="434">
        <v>38</v>
      </c>
      <c r="F62" s="434">
        <v>65.599999999999994</v>
      </c>
      <c r="G62" s="434">
        <v>107.9</v>
      </c>
    </row>
    <row r="63" spans="1:7" x14ac:dyDescent="0.3">
      <c r="A63" s="454">
        <v>4</v>
      </c>
      <c r="B63" s="434">
        <v>31.6</v>
      </c>
      <c r="C63" s="434">
        <v>64.2</v>
      </c>
      <c r="D63" s="434">
        <v>105</v>
      </c>
      <c r="E63" s="434">
        <v>47.8</v>
      </c>
      <c r="F63" s="434">
        <v>79.3</v>
      </c>
      <c r="G63" s="434">
        <v>101</v>
      </c>
    </row>
    <row r="64" spans="1:7" x14ac:dyDescent="0.3">
      <c r="A64" s="454">
        <v>5</v>
      </c>
      <c r="B64" s="434">
        <v>31.7</v>
      </c>
      <c r="C64" s="434">
        <v>53.2</v>
      </c>
      <c r="D64" s="434">
        <v>93.5</v>
      </c>
      <c r="E64" s="434"/>
      <c r="F64" s="434">
        <v>71.099999999999994</v>
      </c>
      <c r="G64" s="434">
        <v>94.6</v>
      </c>
    </row>
    <row r="65" spans="1:7" x14ac:dyDescent="0.3">
      <c r="A65" s="454">
        <v>6</v>
      </c>
      <c r="B65" s="434">
        <v>33.6</v>
      </c>
      <c r="C65" s="434">
        <v>67.900000000000006</v>
      </c>
      <c r="D65" s="434">
        <v>96.6</v>
      </c>
      <c r="E65" s="434"/>
      <c r="F65" s="434"/>
      <c r="G65" s="434">
        <v>114.2</v>
      </c>
    </row>
    <row r="66" spans="1:7" x14ac:dyDescent="0.3">
      <c r="A66" s="454">
        <v>7</v>
      </c>
      <c r="B66" s="434">
        <v>24.7</v>
      </c>
      <c r="C66" s="434">
        <v>45.2</v>
      </c>
      <c r="D66" s="434">
        <v>98.9</v>
      </c>
      <c r="E66" s="434"/>
      <c r="F66" s="434"/>
      <c r="G66" s="434"/>
    </row>
    <row r="67" spans="1:7" x14ac:dyDescent="0.3">
      <c r="A67" s="454">
        <v>8</v>
      </c>
      <c r="B67" s="434">
        <v>23.8</v>
      </c>
      <c r="C67" s="434">
        <v>46.8</v>
      </c>
      <c r="D67" s="434">
        <v>97.1</v>
      </c>
      <c r="E67" s="434"/>
      <c r="F67" s="434"/>
      <c r="G67" s="434"/>
    </row>
    <row r="68" spans="1:7" x14ac:dyDescent="0.3">
      <c r="A68" s="454">
        <v>9</v>
      </c>
      <c r="B68" s="434">
        <v>36.5</v>
      </c>
      <c r="C68" s="434"/>
      <c r="D68" s="434">
        <v>94.9</v>
      </c>
      <c r="E68" s="433"/>
      <c r="F68" s="434"/>
      <c r="G68" s="434"/>
    </row>
    <row r="69" spans="1:7" x14ac:dyDescent="0.3">
      <c r="A69" s="670" t="s">
        <v>358</v>
      </c>
      <c r="B69" s="670"/>
      <c r="C69" s="670"/>
      <c r="D69" s="663"/>
      <c r="E69" s="670"/>
      <c r="F69" s="670"/>
      <c r="G69" s="670"/>
    </row>
    <row r="70" spans="1:7" x14ac:dyDescent="0.3">
      <c r="A70" s="396"/>
      <c r="B70" s="674" t="s">
        <v>364</v>
      </c>
      <c r="C70" s="674"/>
      <c r="D70" s="674"/>
      <c r="E70" s="674" t="s">
        <v>365</v>
      </c>
      <c r="F70" s="674"/>
      <c r="G70" s="674"/>
    </row>
    <row r="71" spans="1:7" x14ac:dyDescent="0.3">
      <c r="A71" s="454" t="s">
        <v>366</v>
      </c>
      <c r="B71" s="433" t="s">
        <v>344</v>
      </c>
      <c r="C71" s="433" t="s">
        <v>345</v>
      </c>
      <c r="D71" s="433" t="s">
        <v>367</v>
      </c>
      <c r="E71" s="433" t="s">
        <v>368</v>
      </c>
      <c r="F71" s="433" t="s">
        <v>369</v>
      </c>
      <c r="G71" s="433" t="s">
        <v>370</v>
      </c>
    </row>
    <row r="72" spans="1:7" x14ac:dyDescent="0.3">
      <c r="A72" s="454">
        <v>1</v>
      </c>
      <c r="B72" s="434">
        <v>19.899999999999999</v>
      </c>
      <c r="C72" s="434">
        <v>39.299999999999997</v>
      </c>
      <c r="D72" s="434">
        <v>75.5</v>
      </c>
      <c r="E72" s="434">
        <v>37.299999999999997</v>
      </c>
      <c r="F72" s="434">
        <v>65.900000000000006</v>
      </c>
      <c r="G72" s="434">
        <v>97.6</v>
      </c>
    </row>
    <row r="73" spans="1:7" x14ac:dyDescent="0.3">
      <c r="A73" s="454">
        <v>2</v>
      </c>
      <c r="B73" s="434">
        <v>24.5</v>
      </c>
      <c r="C73" s="434">
        <v>49.3</v>
      </c>
      <c r="D73" s="434">
        <v>93.8</v>
      </c>
      <c r="E73" s="434">
        <v>32.9</v>
      </c>
      <c r="F73" s="434">
        <v>72.7</v>
      </c>
      <c r="G73" s="434">
        <v>114.3</v>
      </c>
    </row>
    <row r="74" spans="1:7" x14ac:dyDescent="0.3">
      <c r="A74" s="454">
        <v>3</v>
      </c>
      <c r="B74" s="434">
        <v>33.799999999999997</v>
      </c>
      <c r="C74" s="434">
        <v>62.1</v>
      </c>
      <c r="D74" s="434">
        <v>75</v>
      </c>
      <c r="E74" s="434">
        <v>41.3</v>
      </c>
      <c r="F74" s="434">
        <v>78.7</v>
      </c>
      <c r="G74" s="434">
        <v>91</v>
      </c>
    </row>
    <row r="75" spans="1:7" x14ac:dyDescent="0.3">
      <c r="A75" s="454">
        <v>4</v>
      </c>
      <c r="B75" s="434">
        <v>26.5</v>
      </c>
      <c r="C75" s="434">
        <v>49.2</v>
      </c>
      <c r="D75" s="434">
        <v>76.400000000000006</v>
      </c>
      <c r="E75" s="434">
        <v>26.3</v>
      </c>
      <c r="F75" s="434">
        <v>60.9</v>
      </c>
      <c r="G75" s="434">
        <v>82.2</v>
      </c>
    </row>
    <row r="76" spans="1:7" x14ac:dyDescent="0.3">
      <c r="A76" s="454">
        <v>5</v>
      </c>
      <c r="B76" s="434">
        <v>18</v>
      </c>
      <c r="C76" s="434">
        <v>64.2</v>
      </c>
      <c r="D76" s="434">
        <v>85.7</v>
      </c>
      <c r="E76" s="434">
        <v>26</v>
      </c>
      <c r="F76" s="434">
        <v>69</v>
      </c>
      <c r="G76" s="434">
        <v>108</v>
      </c>
    </row>
    <row r="77" spans="1:7" x14ac:dyDescent="0.3">
      <c r="A77" s="454">
        <v>6</v>
      </c>
      <c r="B77" s="434">
        <v>30.5</v>
      </c>
      <c r="C77" s="434">
        <v>64.2</v>
      </c>
      <c r="D77" s="434">
        <v>87.3</v>
      </c>
      <c r="E77" s="434">
        <v>34.5</v>
      </c>
      <c r="F77" s="434">
        <v>74</v>
      </c>
      <c r="G77" s="434">
        <v>94.4</v>
      </c>
    </row>
    <row r="78" spans="1:7" x14ac:dyDescent="0.3">
      <c r="A78" s="454">
        <v>7</v>
      </c>
      <c r="B78" s="434">
        <v>25.7</v>
      </c>
      <c r="C78" s="434">
        <v>68.2</v>
      </c>
      <c r="D78" s="434">
        <v>95.1</v>
      </c>
      <c r="E78" s="434">
        <v>25</v>
      </c>
      <c r="F78" s="434">
        <v>78.7</v>
      </c>
      <c r="G78" s="434">
        <v>88.5</v>
      </c>
    </row>
    <row r="79" spans="1:7" x14ac:dyDescent="0.3">
      <c r="A79" s="454">
        <v>8</v>
      </c>
      <c r="B79" s="434">
        <v>32.700000000000003</v>
      </c>
      <c r="C79" s="434">
        <v>45.4</v>
      </c>
      <c r="D79" s="434">
        <v>96.1</v>
      </c>
      <c r="E79" s="434">
        <v>34.799999999999997</v>
      </c>
      <c r="F79" s="434">
        <v>63.3</v>
      </c>
      <c r="G79" s="434">
        <v>89.9</v>
      </c>
    </row>
    <row r="80" spans="1:7" x14ac:dyDescent="0.3">
      <c r="A80" s="454">
        <v>9</v>
      </c>
      <c r="B80" s="434">
        <v>28.4</v>
      </c>
      <c r="C80" s="434">
        <v>36.799999999999997</v>
      </c>
      <c r="D80" s="434">
        <v>79</v>
      </c>
      <c r="E80" s="434">
        <v>25.3</v>
      </c>
      <c r="F80" s="434">
        <v>60.9</v>
      </c>
      <c r="G80" s="434">
        <v>112.6</v>
      </c>
    </row>
    <row r="81" spans="1:7" x14ac:dyDescent="0.3">
      <c r="A81" s="454">
        <v>10</v>
      </c>
      <c r="B81" s="434">
        <v>18.2</v>
      </c>
      <c r="C81" s="434">
        <v>48.2</v>
      </c>
      <c r="D81" s="434">
        <v>103.3</v>
      </c>
      <c r="E81" s="434">
        <v>45.8</v>
      </c>
      <c r="F81" s="434">
        <v>75</v>
      </c>
      <c r="G81" s="434">
        <v>102.2</v>
      </c>
    </row>
    <row r="82" spans="1:7" x14ac:dyDescent="0.3">
      <c r="A82" s="454">
        <v>11</v>
      </c>
      <c r="B82" s="434">
        <v>30.8</v>
      </c>
      <c r="C82" s="434">
        <v>55.8</v>
      </c>
      <c r="D82" s="434">
        <v>91</v>
      </c>
      <c r="E82" s="434"/>
      <c r="F82" s="434">
        <v>79.099999999999994</v>
      </c>
      <c r="G82" s="434">
        <v>111.1</v>
      </c>
    </row>
    <row r="83" spans="1:7" x14ac:dyDescent="0.3">
      <c r="A83" s="454">
        <v>12</v>
      </c>
      <c r="B83" s="434">
        <v>30.2</v>
      </c>
      <c r="C83" s="434">
        <v>49.1</v>
      </c>
      <c r="D83" s="434">
        <v>99.8</v>
      </c>
      <c r="E83" s="434"/>
      <c r="F83" s="434">
        <v>75.8</v>
      </c>
      <c r="G83" s="434">
        <v>99.4</v>
      </c>
    </row>
    <row r="84" spans="1:7" x14ac:dyDescent="0.3">
      <c r="A84" s="454">
        <v>13</v>
      </c>
      <c r="B84" s="434">
        <v>22.1</v>
      </c>
      <c r="C84" s="434">
        <v>64.400000000000006</v>
      </c>
      <c r="D84" s="434">
        <v>92.7</v>
      </c>
      <c r="E84" s="434"/>
      <c r="F84" s="434">
        <v>65.8</v>
      </c>
      <c r="G84" s="434">
        <v>97.4</v>
      </c>
    </row>
    <row r="85" spans="1:7" x14ac:dyDescent="0.3">
      <c r="A85" s="454">
        <v>14</v>
      </c>
      <c r="B85" s="434">
        <v>27.3</v>
      </c>
      <c r="C85" s="434">
        <v>67.8</v>
      </c>
      <c r="D85" s="434">
        <v>85.9</v>
      </c>
      <c r="E85" s="434"/>
      <c r="F85" s="434">
        <v>78.599999999999994</v>
      </c>
      <c r="G85" s="434">
        <v>103.3</v>
      </c>
    </row>
    <row r="86" spans="1:7" x14ac:dyDescent="0.3">
      <c r="A86" s="454">
        <v>15</v>
      </c>
      <c r="B86" s="434">
        <v>26.8</v>
      </c>
      <c r="C86" s="434">
        <v>48.4</v>
      </c>
      <c r="D86" s="434">
        <v>97.3</v>
      </c>
      <c r="E86" s="434"/>
      <c r="F86" s="434"/>
      <c r="G86" s="434">
        <v>83</v>
      </c>
    </row>
    <row r="87" spans="1:7" x14ac:dyDescent="0.3">
      <c r="A87" s="454">
        <v>16</v>
      </c>
      <c r="B87" s="434"/>
      <c r="C87" s="434">
        <v>45.1</v>
      </c>
      <c r="D87" s="434">
        <v>95.7</v>
      </c>
      <c r="E87" s="434"/>
      <c r="F87" s="434"/>
      <c r="G87" s="434">
        <v>94.3</v>
      </c>
    </row>
    <row r="88" spans="1:7" x14ac:dyDescent="0.3">
      <c r="A88" s="454">
        <v>17</v>
      </c>
      <c r="B88" s="434"/>
      <c r="C88" s="434">
        <v>42.2</v>
      </c>
      <c r="D88" s="434">
        <v>93.1</v>
      </c>
      <c r="E88" s="434"/>
      <c r="F88" s="434"/>
      <c r="G88" s="434">
        <v>94</v>
      </c>
    </row>
    <row r="89" spans="1:7" x14ac:dyDescent="0.3">
      <c r="A89" s="454">
        <v>18</v>
      </c>
      <c r="B89" s="434"/>
      <c r="C89" s="434">
        <v>41.4</v>
      </c>
      <c r="D89" s="434">
        <v>69.099999999999994</v>
      </c>
      <c r="E89" s="438"/>
      <c r="F89" s="438"/>
      <c r="G89" s="438"/>
    </row>
    <row r="90" spans="1:7" x14ac:dyDescent="0.3">
      <c r="A90" s="454">
        <v>19</v>
      </c>
      <c r="B90" s="434"/>
      <c r="C90" s="434">
        <v>42.6</v>
      </c>
      <c r="D90" s="434"/>
      <c r="E90" s="438"/>
      <c r="F90" s="438"/>
      <c r="G90" s="438"/>
    </row>
    <row r="91" spans="1:7" x14ac:dyDescent="0.3">
      <c r="A91" s="670" t="s">
        <v>359</v>
      </c>
      <c r="B91" s="670"/>
      <c r="C91" s="670"/>
      <c r="D91" s="663"/>
      <c r="E91" s="670"/>
      <c r="F91" s="670"/>
      <c r="G91" s="670"/>
    </row>
    <row r="92" spans="1:7" x14ac:dyDescent="0.3">
      <c r="A92" s="396"/>
      <c r="B92" s="674" t="s">
        <v>364</v>
      </c>
      <c r="C92" s="674"/>
      <c r="D92" s="674"/>
      <c r="E92" s="674" t="s">
        <v>365</v>
      </c>
      <c r="F92" s="674"/>
      <c r="G92" s="674"/>
    </row>
    <row r="93" spans="1:7" x14ac:dyDescent="0.3">
      <c r="A93" s="454" t="s">
        <v>366</v>
      </c>
      <c r="B93" s="433" t="s">
        <v>344</v>
      </c>
      <c r="C93" s="433" t="s">
        <v>345</v>
      </c>
      <c r="D93" s="433" t="s">
        <v>367</v>
      </c>
      <c r="E93" s="433" t="s">
        <v>368</v>
      </c>
      <c r="F93" s="433" t="s">
        <v>369</v>
      </c>
      <c r="G93" s="433" t="s">
        <v>370</v>
      </c>
    </row>
    <row r="94" spans="1:7" x14ac:dyDescent="0.3">
      <c r="A94" s="454">
        <v>1</v>
      </c>
      <c r="B94" s="434">
        <v>16.3</v>
      </c>
      <c r="C94" s="434">
        <v>57.1</v>
      </c>
      <c r="D94" s="434">
        <v>78.599999999999994</v>
      </c>
      <c r="E94" s="434">
        <v>40.6</v>
      </c>
      <c r="F94" s="434">
        <v>75.8</v>
      </c>
      <c r="G94" s="434">
        <v>109.4</v>
      </c>
    </row>
    <row r="95" spans="1:7" x14ac:dyDescent="0.3">
      <c r="A95" s="454">
        <v>2</v>
      </c>
      <c r="B95" s="434">
        <v>36.700000000000003</v>
      </c>
      <c r="C95" s="434">
        <v>48.3</v>
      </c>
      <c r="D95" s="434">
        <v>100.8</v>
      </c>
      <c r="E95" s="434">
        <v>30.1</v>
      </c>
      <c r="F95" s="434">
        <v>77.3</v>
      </c>
      <c r="G95" s="434">
        <v>95.8</v>
      </c>
    </row>
    <row r="96" spans="1:7" x14ac:dyDescent="0.3">
      <c r="A96" s="454">
        <v>3</v>
      </c>
      <c r="B96" s="434">
        <v>29.9</v>
      </c>
      <c r="C96" s="434">
        <v>61.5</v>
      </c>
      <c r="D96" s="434">
        <v>80.599999999999994</v>
      </c>
      <c r="E96" s="434">
        <v>40.1</v>
      </c>
      <c r="F96" s="434">
        <v>60.5</v>
      </c>
      <c r="G96" s="434">
        <v>85.1</v>
      </c>
    </row>
    <row r="97" spans="1:7" x14ac:dyDescent="0.3">
      <c r="A97" s="454">
        <v>4</v>
      </c>
      <c r="B97" s="434">
        <v>34.700000000000003</v>
      </c>
      <c r="C97" s="434">
        <v>54.9</v>
      </c>
      <c r="D97" s="434">
        <v>100.8</v>
      </c>
      <c r="E97" s="434">
        <v>40</v>
      </c>
      <c r="F97" s="434">
        <v>79.400000000000006</v>
      </c>
      <c r="G97" s="434">
        <v>105.9</v>
      </c>
    </row>
    <row r="98" spans="1:7" x14ac:dyDescent="0.3">
      <c r="A98" s="454">
        <v>5</v>
      </c>
      <c r="B98" s="434">
        <v>29.9</v>
      </c>
      <c r="C98" s="434">
        <v>46</v>
      </c>
      <c r="D98" s="434">
        <v>88.4</v>
      </c>
      <c r="E98" s="434">
        <v>48.7</v>
      </c>
      <c r="F98" s="434">
        <v>65.599999999999994</v>
      </c>
      <c r="G98" s="434">
        <v>105.1</v>
      </c>
    </row>
    <row r="99" spans="1:7" x14ac:dyDescent="0.3">
      <c r="A99" s="454">
        <v>6</v>
      </c>
      <c r="B99" s="434">
        <v>21.6</v>
      </c>
      <c r="C99" s="434">
        <v>63.7</v>
      </c>
      <c r="D99" s="434">
        <v>102.7</v>
      </c>
      <c r="E99" s="434">
        <v>29.6</v>
      </c>
      <c r="F99" s="434">
        <v>75.099999999999994</v>
      </c>
      <c r="G99" s="434">
        <v>84.6</v>
      </c>
    </row>
    <row r="100" spans="1:7" x14ac:dyDescent="0.3">
      <c r="A100" s="454">
        <v>7</v>
      </c>
      <c r="B100" s="434">
        <v>21.1</v>
      </c>
      <c r="C100" s="434">
        <v>37.6</v>
      </c>
      <c r="D100" s="434">
        <v>89.5</v>
      </c>
      <c r="E100" s="434">
        <v>59</v>
      </c>
      <c r="F100" s="434">
        <v>73.8</v>
      </c>
      <c r="G100" s="434">
        <v>94.6</v>
      </c>
    </row>
    <row r="101" spans="1:7" x14ac:dyDescent="0.3">
      <c r="A101" s="454">
        <v>8</v>
      </c>
      <c r="B101" s="434">
        <v>35.9</v>
      </c>
      <c r="C101" s="434">
        <v>48.1</v>
      </c>
      <c r="D101" s="434">
        <v>86.5</v>
      </c>
      <c r="E101" s="434">
        <v>38</v>
      </c>
      <c r="F101" s="434">
        <v>75.7</v>
      </c>
      <c r="G101" s="434">
        <v>113.1</v>
      </c>
    </row>
    <row r="102" spans="1:7" x14ac:dyDescent="0.3">
      <c r="A102" s="454">
        <v>9</v>
      </c>
      <c r="B102" s="434">
        <v>29.4</v>
      </c>
      <c r="C102" s="434">
        <v>58.1</v>
      </c>
      <c r="D102" s="434">
        <v>86.5</v>
      </c>
      <c r="E102" s="434"/>
      <c r="F102" s="434">
        <v>68.900000000000006</v>
      </c>
      <c r="G102" s="434">
        <v>111.4</v>
      </c>
    </row>
    <row r="103" spans="1:7" x14ac:dyDescent="0.3">
      <c r="A103" s="454">
        <v>10</v>
      </c>
      <c r="B103" s="434">
        <v>21.9</v>
      </c>
      <c r="C103" s="434">
        <v>63.4</v>
      </c>
      <c r="D103" s="434">
        <v>88</v>
      </c>
      <c r="E103" s="434"/>
      <c r="F103" s="434">
        <v>67.2</v>
      </c>
      <c r="G103" s="434">
        <v>119.8</v>
      </c>
    </row>
    <row r="104" spans="1:7" x14ac:dyDescent="0.3">
      <c r="A104" s="454">
        <v>11</v>
      </c>
      <c r="B104" s="434">
        <v>28.7</v>
      </c>
      <c r="C104" s="434">
        <v>51.4</v>
      </c>
      <c r="D104" s="434">
        <v>72.2</v>
      </c>
      <c r="E104" s="434"/>
      <c r="F104" s="434"/>
      <c r="G104" s="434">
        <v>85.7</v>
      </c>
    </row>
    <row r="105" spans="1:7" x14ac:dyDescent="0.3">
      <c r="A105" s="454">
        <v>12</v>
      </c>
      <c r="B105" s="434">
        <v>35.5</v>
      </c>
      <c r="C105" s="434">
        <v>61.8</v>
      </c>
      <c r="D105" s="434">
        <v>69.900000000000006</v>
      </c>
      <c r="E105" s="434"/>
      <c r="F105" s="434"/>
      <c r="G105" s="434">
        <v>112.3</v>
      </c>
    </row>
    <row r="106" spans="1:7" x14ac:dyDescent="0.3">
      <c r="A106" s="454">
        <v>13</v>
      </c>
      <c r="B106" s="434"/>
      <c r="C106" s="434">
        <v>50.2</v>
      </c>
      <c r="D106" s="434">
        <v>96.7</v>
      </c>
      <c r="E106" s="438"/>
      <c r="F106" s="438"/>
      <c r="G106" s="438"/>
    </row>
    <row r="107" spans="1:7" x14ac:dyDescent="0.3">
      <c r="A107" s="454">
        <v>14</v>
      </c>
      <c r="B107" s="434"/>
      <c r="C107" s="434">
        <v>50.3</v>
      </c>
      <c r="D107" s="434">
        <v>68.5</v>
      </c>
      <c r="E107" s="438"/>
      <c r="F107" s="438"/>
      <c r="G107" s="438"/>
    </row>
    <row r="108" spans="1:7" x14ac:dyDescent="0.3">
      <c r="A108" s="454">
        <v>15</v>
      </c>
      <c r="B108" s="434"/>
      <c r="C108" s="434">
        <v>66.099999999999994</v>
      </c>
      <c r="D108" s="434">
        <v>104.6</v>
      </c>
      <c r="E108" s="438"/>
      <c r="F108" s="438"/>
      <c r="G108" s="438"/>
    </row>
    <row r="109" spans="1:7" x14ac:dyDescent="0.3">
      <c r="A109" s="670" t="s">
        <v>360</v>
      </c>
      <c r="B109" s="670"/>
      <c r="C109" s="670"/>
      <c r="D109" s="663"/>
      <c r="E109" s="670"/>
      <c r="F109" s="670"/>
      <c r="G109" s="670"/>
    </row>
    <row r="110" spans="1:7" x14ac:dyDescent="0.3">
      <c r="A110" s="396"/>
      <c r="B110" s="674" t="s">
        <v>364</v>
      </c>
      <c r="C110" s="674"/>
      <c r="D110" s="674"/>
      <c r="E110" s="674" t="s">
        <v>365</v>
      </c>
      <c r="F110" s="674"/>
      <c r="G110" s="674"/>
    </row>
    <row r="111" spans="1:7" x14ac:dyDescent="0.3">
      <c r="A111" s="454" t="s">
        <v>366</v>
      </c>
      <c r="B111" s="433" t="s">
        <v>344</v>
      </c>
      <c r="C111" s="433" t="s">
        <v>345</v>
      </c>
      <c r="D111" s="433" t="s">
        <v>367</v>
      </c>
      <c r="E111" s="433" t="s">
        <v>368</v>
      </c>
      <c r="F111" s="433" t="s">
        <v>369</v>
      </c>
      <c r="G111" s="433" t="s">
        <v>370</v>
      </c>
    </row>
    <row r="112" spans="1:7" x14ac:dyDescent="0.3">
      <c r="A112" s="454">
        <v>1</v>
      </c>
      <c r="B112" s="434">
        <v>0</v>
      </c>
      <c r="C112" s="434">
        <v>0</v>
      </c>
      <c r="D112" s="434">
        <v>0</v>
      </c>
      <c r="E112" s="434">
        <v>31</v>
      </c>
      <c r="F112" s="434">
        <v>74.2</v>
      </c>
      <c r="G112" s="434">
        <v>89.6</v>
      </c>
    </row>
    <row r="113" spans="1:7" x14ac:dyDescent="0.3">
      <c r="A113" s="454">
        <v>2</v>
      </c>
      <c r="B113" s="434"/>
      <c r="C113" s="434"/>
      <c r="D113" s="434"/>
      <c r="E113" s="434">
        <v>28.2</v>
      </c>
      <c r="F113" s="434">
        <v>71</v>
      </c>
      <c r="G113" s="434">
        <v>95.9</v>
      </c>
    </row>
    <row r="114" spans="1:7" x14ac:dyDescent="0.3">
      <c r="A114" s="454">
        <v>3</v>
      </c>
      <c r="B114" s="434"/>
      <c r="C114" s="434"/>
      <c r="D114" s="434"/>
      <c r="E114" s="434">
        <v>26</v>
      </c>
      <c r="F114" s="434">
        <v>75.599999999999994</v>
      </c>
      <c r="G114" s="434">
        <v>115</v>
      </c>
    </row>
    <row r="115" spans="1:7" x14ac:dyDescent="0.3">
      <c r="A115" s="454">
        <v>4</v>
      </c>
      <c r="B115" s="434"/>
      <c r="C115" s="434"/>
      <c r="D115" s="434"/>
      <c r="E115" s="434"/>
      <c r="F115" s="434">
        <v>77.8</v>
      </c>
      <c r="G115" s="434">
        <v>105.9</v>
      </c>
    </row>
    <row r="116" spans="1:7" x14ac:dyDescent="0.3">
      <c r="A116" s="454">
        <v>5</v>
      </c>
      <c r="B116" s="434"/>
      <c r="C116" s="434"/>
      <c r="D116" s="434"/>
      <c r="E116" s="434"/>
      <c r="F116" s="434">
        <v>78</v>
      </c>
      <c r="G116" s="434">
        <v>81.599999999999994</v>
      </c>
    </row>
    <row r="117" spans="1:7" x14ac:dyDescent="0.3">
      <c r="A117" s="670" t="s">
        <v>361</v>
      </c>
      <c r="B117" s="670"/>
      <c r="C117" s="670"/>
      <c r="D117" s="663"/>
      <c r="E117" s="670"/>
      <c r="F117" s="670"/>
      <c r="G117" s="670"/>
    </row>
    <row r="118" spans="1:7" x14ac:dyDescent="0.3">
      <c r="A118" s="396"/>
      <c r="B118" s="674" t="s">
        <v>364</v>
      </c>
      <c r="C118" s="674"/>
      <c r="D118" s="674"/>
      <c r="E118" s="674" t="s">
        <v>365</v>
      </c>
      <c r="F118" s="674"/>
      <c r="G118" s="674"/>
    </row>
    <row r="119" spans="1:7" x14ac:dyDescent="0.3">
      <c r="A119" s="454" t="s">
        <v>366</v>
      </c>
      <c r="B119" s="433" t="s">
        <v>344</v>
      </c>
      <c r="C119" s="433" t="s">
        <v>345</v>
      </c>
      <c r="D119" s="433" t="s">
        <v>367</v>
      </c>
      <c r="E119" s="433" t="s">
        <v>368</v>
      </c>
      <c r="F119" s="433" t="s">
        <v>369</v>
      </c>
      <c r="G119" s="433" t="s">
        <v>370</v>
      </c>
    </row>
    <row r="120" spans="1:7" x14ac:dyDescent="0.3">
      <c r="A120" s="454">
        <v>1</v>
      </c>
      <c r="B120" s="434">
        <v>24.4</v>
      </c>
      <c r="C120" s="434">
        <v>51.5</v>
      </c>
      <c r="D120" s="434">
        <v>100.3</v>
      </c>
      <c r="E120" s="434">
        <v>40.6</v>
      </c>
      <c r="F120" s="434">
        <v>63.3</v>
      </c>
      <c r="G120" s="434">
        <v>102</v>
      </c>
    </row>
    <row r="121" spans="1:7" x14ac:dyDescent="0.3">
      <c r="A121" s="454">
        <v>2</v>
      </c>
      <c r="B121" s="434">
        <v>32.5</v>
      </c>
      <c r="C121" s="434">
        <v>50.2</v>
      </c>
      <c r="D121" s="434">
        <v>92.9</v>
      </c>
      <c r="E121" s="434">
        <v>37.9</v>
      </c>
      <c r="F121" s="434">
        <v>72.7</v>
      </c>
      <c r="G121" s="434">
        <v>108.8</v>
      </c>
    </row>
    <row r="122" spans="1:7" x14ac:dyDescent="0.3">
      <c r="A122" s="454">
        <v>3</v>
      </c>
      <c r="B122" s="434">
        <v>34.9</v>
      </c>
      <c r="C122" s="434">
        <v>63.4</v>
      </c>
      <c r="D122" s="434">
        <v>96</v>
      </c>
      <c r="E122" s="434">
        <v>53.4</v>
      </c>
      <c r="F122" s="434">
        <v>72.400000000000006</v>
      </c>
      <c r="G122" s="434">
        <v>116.1</v>
      </c>
    </row>
    <row r="123" spans="1:7" x14ac:dyDescent="0.3">
      <c r="A123" s="454">
        <v>4</v>
      </c>
      <c r="B123" s="434">
        <v>18.600000000000001</v>
      </c>
      <c r="C123" s="434">
        <v>61.9</v>
      </c>
      <c r="D123" s="434">
        <v>101</v>
      </c>
      <c r="E123" s="434"/>
      <c r="F123" s="434">
        <v>79.7</v>
      </c>
      <c r="G123" s="434">
        <v>98.1</v>
      </c>
    </row>
    <row r="124" spans="1:7" x14ac:dyDescent="0.3">
      <c r="A124" s="454">
        <v>5</v>
      </c>
      <c r="B124" s="434">
        <v>20.399999999999999</v>
      </c>
      <c r="C124" s="434">
        <v>40.700000000000003</v>
      </c>
      <c r="D124" s="434">
        <v>85.5</v>
      </c>
      <c r="E124" s="434"/>
      <c r="F124" s="434">
        <v>69.400000000000006</v>
      </c>
      <c r="G124" s="434">
        <v>118.9</v>
      </c>
    </row>
    <row r="125" spans="1:7" x14ac:dyDescent="0.3">
      <c r="A125" s="454">
        <v>6</v>
      </c>
      <c r="B125" s="434">
        <v>22.6</v>
      </c>
      <c r="C125" s="434">
        <v>58</v>
      </c>
      <c r="D125" s="434">
        <v>78.099999999999994</v>
      </c>
      <c r="E125" s="434"/>
      <c r="F125" s="434"/>
      <c r="G125" s="434">
        <v>119.9</v>
      </c>
    </row>
    <row r="126" spans="1:7" x14ac:dyDescent="0.3">
      <c r="A126" s="454">
        <v>7</v>
      </c>
      <c r="B126" s="434">
        <v>22.1</v>
      </c>
      <c r="C126" s="434">
        <v>43.3</v>
      </c>
      <c r="D126" s="434">
        <v>77.7</v>
      </c>
      <c r="E126" s="434"/>
      <c r="F126" s="434"/>
      <c r="G126" s="434"/>
    </row>
    <row r="127" spans="1:7" x14ac:dyDescent="0.3">
      <c r="A127" s="454">
        <v>8</v>
      </c>
      <c r="B127" s="434"/>
      <c r="C127" s="434">
        <v>65.3</v>
      </c>
      <c r="D127" s="434">
        <v>105</v>
      </c>
      <c r="E127" s="434"/>
      <c r="F127" s="434"/>
      <c r="G127" s="434"/>
    </row>
    <row r="128" spans="1:7" x14ac:dyDescent="0.3">
      <c r="A128" s="454">
        <v>9</v>
      </c>
      <c r="B128" s="434"/>
      <c r="C128" s="434">
        <v>37.299999999999997</v>
      </c>
      <c r="D128" s="434"/>
      <c r="E128" s="434"/>
      <c r="F128" s="434"/>
      <c r="G128" s="434"/>
    </row>
    <row r="129" spans="1:7" x14ac:dyDescent="0.3">
      <c r="A129" s="670" t="s">
        <v>362</v>
      </c>
      <c r="B129" s="670"/>
      <c r="C129" s="670"/>
      <c r="D129" s="663"/>
      <c r="E129" s="670"/>
      <c r="F129" s="670"/>
      <c r="G129" s="670"/>
    </row>
    <row r="130" spans="1:7" x14ac:dyDescent="0.3">
      <c r="A130" s="396"/>
      <c r="B130" s="674" t="s">
        <v>364</v>
      </c>
      <c r="C130" s="674"/>
      <c r="D130" s="674"/>
      <c r="E130" s="674" t="s">
        <v>365</v>
      </c>
      <c r="F130" s="674"/>
      <c r="G130" s="674"/>
    </row>
    <row r="131" spans="1:7" x14ac:dyDescent="0.3">
      <c r="A131" s="454" t="s">
        <v>366</v>
      </c>
      <c r="B131" s="433" t="s">
        <v>344</v>
      </c>
      <c r="C131" s="433" t="s">
        <v>345</v>
      </c>
      <c r="D131" s="433" t="s">
        <v>367</v>
      </c>
      <c r="E131" s="433" t="s">
        <v>368</v>
      </c>
      <c r="F131" s="433" t="s">
        <v>369</v>
      </c>
      <c r="G131" s="433" t="s">
        <v>370</v>
      </c>
    </row>
    <row r="132" spans="1:7" x14ac:dyDescent="0.3">
      <c r="A132" s="454">
        <v>1</v>
      </c>
      <c r="B132" s="434">
        <v>0</v>
      </c>
      <c r="C132" s="434">
        <v>0</v>
      </c>
      <c r="D132" s="434">
        <v>0</v>
      </c>
      <c r="E132" s="434">
        <v>27.2</v>
      </c>
      <c r="F132" s="434">
        <v>62.7</v>
      </c>
      <c r="G132" s="434">
        <v>92.9</v>
      </c>
    </row>
    <row r="133" spans="1:7" x14ac:dyDescent="0.3">
      <c r="A133" s="454">
        <v>2</v>
      </c>
      <c r="B133" s="434"/>
      <c r="C133" s="434"/>
      <c r="D133" s="434"/>
      <c r="E133" s="434">
        <v>36</v>
      </c>
      <c r="F133" s="434">
        <v>67.7</v>
      </c>
      <c r="G133" s="434">
        <v>99.8</v>
      </c>
    </row>
    <row r="134" spans="1:7" x14ac:dyDescent="0.3">
      <c r="A134" s="454">
        <v>3</v>
      </c>
      <c r="B134" s="434"/>
      <c r="C134" s="434"/>
      <c r="D134" s="434"/>
      <c r="E134" s="434">
        <v>59</v>
      </c>
      <c r="F134" s="434">
        <v>62.6</v>
      </c>
      <c r="G134" s="434">
        <v>113.3</v>
      </c>
    </row>
    <row r="135" spans="1:7" x14ac:dyDescent="0.3">
      <c r="A135" s="454">
        <v>4</v>
      </c>
      <c r="B135" s="434"/>
      <c r="C135" s="434"/>
      <c r="D135" s="434"/>
      <c r="E135" s="434">
        <v>49.2</v>
      </c>
      <c r="F135" s="434">
        <v>62</v>
      </c>
      <c r="G135" s="434">
        <v>98.8</v>
      </c>
    </row>
    <row r="136" spans="1:7" x14ac:dyDescent="0.3">
      <c r="A136" s="454">
        <v>5</v>
      </c>
      <c r="B136" s="434"/>
      <c r="C136" s="434"/>
      <c r="D136" s="434"/>
      <c r="E136" s="434"/>
      <c r="F136" s="434">
        <v>77.7</v>
      </c>
      <c r="G136" s="434">
        <v>81.5</v>
      </c>
    </row>
    <row r="137" spans="1:7" x14ac:dyDescent="0.3">
      <c r="A137" s="442"/>
      <c r="B137" s="443"/>
      <c r="C137" s="443"/>
      <c r="D137" s="443"/>
      <c r="E137" s="443"/>
      <c r="F137" s="443"/>
      <c r="G137" s="443"/>
    </row>
    <row r="138" spans="1:7" x14ac:dyDescent="0.3">
      <c r="A138" s="442"/>
      <c r="B138" s="443"/>
      <c r="C138" s="443"/>
      <c r="D138" s="443"/>
      <c r="E138" s="441"/>
      <c r="F138" s="443"/>
      <c r="G138" s="443"/>
    </row>
    <row r="139" spans="1:7" x14ac:dyDescent="0.3">
      <c r="A139" s="442"/>
      <c r="B139" s="443"/>
      <c r="C139" s="443"/>
      <c r="D139" s="443"/>
      <c r="E139" s="441"/>
      <c r="F139" s="441"/>
      <c r="G139" s="443"/>
    </row>
    <row r="140" spans="1:7" x14ac:dyDescent="0.3">
      <c r="A140" s="442"/>
      <c r="B140" s="443"/>
      <c r="C140" s="443"/>
      <c r="D140" s="443"/>
      <c r="E140" s="441"/>
      <c r="F140" s="441"/>
      <c r="G140" s="441"/>
    </row>
    <row r="141" spans="1:7" x14ac:dyDescent="0.3">
      <c r="A141" s="668" t="s">
        <v>160</v>
      </c>
      <c r="B141" s="666" t="s">
        <v>161</v>
      </c>
      <c r="C141" s="667"/>
      <c r="D141" s="666" t="s">
        <v>162</v>
      </c>
      <c r="E141" s="667"/>
      <c r="F141" s="666" t="s">
        <v>163</v>
      </c>
      <c r="G141" s="667"/>
    </row>
    <row r="142" spans="1:7" x14ac:dyDescent="0.3">
      <c r="A142" s="669"/>
      <c r="B142" s="432" t="s">
        <v>164</v>
      </c>
      <c r="C142" s="432" t="s">
        <v>165</v>
      </c>
      <c r="D142" s="432" t="s">
        <v>164</v>
      </c>
      <c r="E142" s="432" t="s">
        <v>165</v>
      </c>
      <c r="F142" s="432" t="s">
        <v>164</v>
      </c>
      <c r="G142" s="432" t="s">
        <v>165</v>
      </c>
    </row>
    <row r="143" spans="1:7" x14ac:dyDescent="0.3">
      <c r="A143" s="433" t="s">
        <v>353</v>
      </c>
      <c r="B143" s="435">
        <f>ROUNDDOWN(AVERAGE(B6:D11),1)</f>
        <v>0</v>
      </c>
      <c r="C143" s="435">
        <f>ROUNDDOWN(AVERAGE(E6:G11),1)</f>
        <v>80.099999999999994</v>
      </c>
      <c r="D143" s="432">
        <v>0</v>
      </c>
      <c r="E143" s="432">
        <v>5583</v>
      </c>
      <c r="F143" s="432">
        <f>B143*D143</f>
        <v>0</v>
      </c>
      <c r="G143" s="432">
        <f>C143*E143</f>
        <v>447198.3</v>
      </c>
    </row>
    <row r="144" spans="1:7" x14ac:dyDescent="0.3">
      <c r="A144" s="433" t="s">
        <v>354</v>
      </c>
      <c r="B144" s="435">
        <f>ROUNDDOWN(AVERAGE(B15:D20),1)</f>
        <v>0</v>
      </c>
      <c r="C144" s="435">
        <f>ROUNDDOWN(AVERAGE(E15:G20),1)</f>
        <v>75.8</v>
      </c>
      <c r="D144" s="432">
        <v>0</v>
      </c>
      <c r="E144" s="432">
        <v>6989</v>
      </c>
      <c r="F144" s="432">
        <f t="shared" ref="F144:G152" si="0">B144*D144</f>
        <v>0</v>
      </c>
      <c r="G144" s="432">
        <f t="shared" si="0"/>
        <v>529766.19999999995</v>
      </c>
    </row>
    <row r="145" spans="1:7" x14ac:dyDescent="0.3">
      <c r="A145" s="433" t="s">
        <v>355</v>
      </c>
      <c r="B145" s="435">
        <f>ROUNDDOWN(AVERAGE(B24:D38),1)</f>
        <v>57.2</v>
      </c>
      <c r="C145" s="435">
        <f>ROUNDDOWN(AVERAGE(E24:G38),1)</f>
        <v>76.8</v>
      </c>
      <c r="D145" s="432">
        <v>16871</v>
      </c>
      <c r="E145" s="432">
        <v>13881</v>
      </c>
      <c r="F145" s="432">
        <f t="shared" si="0"/>
        <v>965021.20000000007</v>
      </c>
      <c r="G145" s="432">
        <f t="shared" si="0"/>
        <v>1066060.8</v>
      </c>
    </row>
    <row r="146" spans="1:7" x14ac:dyDescent="0.3">
      <c r="A146" s="433" t="s">
        <v>356</v>
      </c>
      <c r="B146" s="435">
        <f>ROUNDDOWN(AVERAGE(B42:D56),1)</f>
        <v>54.3</v>
      </c>
      <c r="C146" s="435">
        <f>ROUNDDOWN(AVERAGE(E42:G56),1)</f>
        <v>74.3</v>
      </c>
      <c r="D146" s="432">
        <v>16520</v>
      </c>
      <c r="E146" s="432">
        <v>15179</v>
      </c>
      <c r="F146" s="432">
        <f t="shared" si="0"/>
        <v>897036</v>
      </c>
      <c r="G146" s="432">
        <f t="shared" si="0"/>
        <v>1127799.7</v>
      </c>
    </row>
    <row r="147" spans="1:7" x14ac:dyDescent="0.3">
      <c r="A147" s="433" t="s">
        <v>357</v>
      </c>
      <c r="B147" s="435">
        <f>ROUNDDOWN(AVERAGE(B60:D68),1)</f>
        <v>59.8</v>
      </c>
      <c r="C147" s="435">
        <f>ROUNDDOWN(AVERAGE(E60:G68),1)</f>
        <v>77.8</v>
      </c>
      <c r="D147" s="432">
        <v>10059</v>
      </c>
      <c r="E147" s="432">
        <v>6468</v>
      </c>
      <c r="F147" s="432">
        <f t="shared" si="0"/>
        <v>601528.19999999995</v>
      </c>
      <c r="G147" s="432">
        <f t="shared" si="0"/>
        <v>503210.39999999997</v>
      </c>
    </row>
    <row r="148" spans="1:7" x14ac:dyDescent="0.3">
      <c r="A148" s="433" t="s">
        <v>358</v>
      </c>
      <c r="B148" s="435">
        <f>ROUNDDOWN(AVERAGE(B72:D90),1)</f>
        <v>57.1</v>
      </c>
      <c r="C148" s="435">
        <f>ROUNDDOWN(AVERAGE(E72:G90),1)</f>
        <v>72.900000000000006</v>
      </c>
      <c r="D148" s="432">
        <v>20494</v>
      </c>
      <c r="E148" s="432">
        <v>19300</v>
      </c>
      <c r="F148" s="432">
        <f t="shared" si="0"/>
        <v>1170207.4000000001</v>
      </c>
      <c r="G148" s="432">
        <f t="shared" si="0"/>
        <v>1406970</v>
      </c>
    </row>
    <row r="149" spans="1:7" x14ac:dyDescent="0.3">
      <c r="A149" s="433" t="s">
        <v>359</v>
      </c>
      <c r="B149" s="435">
        <f>ROUNDDOWN(AVERAGE(B94:D108),1)</f>
        <v>58.9</v>
      </c>
      <c r="C149" s="435">
        <f>ROUNDDOWN(AVERAGE(E94:G108),1)</f>
        <v>75.599999999999994</v>
      </c>
      <c r="D149" s="432">
        <v>16458</v>
      </c>
      <c r="E149" s="432">
        <v>13960</v>
      </c>
      <c r="F149" s="432">
        <f t="shared" si="0"/>
        <v>969376.2</v>
      </c>
      <c r="G149" s="432">
        <f t="shared" si="0"/>
        <v>1055376</v>
      </c>
    </row>
    <row r="150" spans="1:7" x14ac:dyDescent="0.3">
      <c r="A150" s="433" t="s">
        <v>360</v>
      </c>
      <c r="B150" s="435">
        <f>ROUNDDOWN(AVERAGE(B112:D116),1)</f>
        <v>0</v>
      </c>
      <c r="C150" s="435">
        <f>ROUNDDOWN(AVERAGE(E112:G116),1)</f>
        <v>73</v>
      </c>
      <c r="D150" s="432">
        <v>0</v>
      </c>
      <c r="E150" s="432">
        <v>5005</v>
      </c>
      <c r="F150" s="432">
        <f t="shared" si="0"/>
        <v>0</v>
      </c>
      <c r="G150" s="432">
        <f t="shared" si="0"/>
        <v>365365</v>
      </c>
    </row>
    <row r="151" spans="1:7" x14ac:dyDescent="0.3">
      <c r="A151" s="433" t="s">
        <v>361</v>
      </c>
      <c r="B151" s="435">
        <f>ROUNDDOWN(AVERAGE(B120:D128),1)</f>
        <v>57.6</v>
      </c>
      <c r="C151" s="435">
        <f>ROUNDDOWN(AVERAGE(E120:G128),1)</f>
        <v>82.3</v>
      </c>
      <c r="D151" s="432">
        <v>9275</v>
      </c>
      <c r="E151" s="432">
        <v>5940</v>
      </c>
      <c r="F151" s="432">
        <f t="shared" si="0"/>
        <v>534240</v>
      </c>
      <c r="G151" s="432">
        <f t="shared" si="0"/>
        <v>488862</v>
      </c>
    </row>
    <row r="152" spans="1:7" x14ac:dyDescent="0.3">
      <c r="A152" s="433" t="s">
        <v>362</v>
      </c>
      <c r="B152" s="435">
        <f>ROUNDDOWN(AVERAGE(B132:D136),1)</f>
        <v>0</v>
      </c>
      <c r="C152" s="435">
        <f>ROUNDDOWN(AVERAGE(E132:G136),1)</f>
        <v>70.7</v>
      </c>
      <c r="D152" s="432">
        <v>0</v>
      </c>
      <c r="E152" s="432">
        <v>6000</v>
      </c>
      <c r="F152" s="432">
        <f t="shared" si="0"/>
        <v>0</v>
      </c>
      <c r="G152" s="432">
        <f t="shared" si="0"/>
        <v>424200</v>
      </c>
    </row>
    <row r="153" spans="1:7" x14ac:dyDescent="0.3">
      <c r="A153" s="433" t="s">
        <v>166</v>
      </c>
      <c r="B153" s="433"/>
      <c r="C153" s="433"/>
      <c r="D153" s="432">
        <f>SUM(D143:D152)</f>
        <v>89677</v>
      </c>
      <c r="E153" s="432">
        <f>SUM(E143:E152)</f>
        <v>98305</v>
      </c>
      <c r="F153" s="432">
        <f>SUM(F143:F152)</f>
        <v>5137409.0000000009</v>
      </c>
      <c r="G153" s="432">
        <f>SUM(G143:G152)</f>
        <v>7414808.4000000004</v>
      </c>
    </row>
    <row r="154" spans="1:7" x14ac:dyDescent="0.3">
      <c r="A154" s="441"/>
      <c r="B154" s="441"/>
      <c r="C154" s="441"/>
      <c r="D154" s="442"/>
      <c r="E154" s="442"/>
      <c r="F154" s="442"/>
      <c r="G154" s="442"/>
    </row>
    <row r="156" spans="1:7" x14ac:dyDescent="0.3">
      <c r="C156" s="666" t="s">
        <v>167</v>
      </c>
      <c r="D156" s="667"/>
    </row>
    <row r="157" spans="1:7" x14ac:dyDescent="0.3">
      <c r="C157" s="432" t="s">
        <v>164</v>
      </c>
      <c r="D157" s="432" t="s">
        <v>165</v>
      </c>
    </row>
    <row r="158" spans="1:7" x14ac:dyDescent="0.3">
      <c r="C158" s="436">
        <f>ROUNDDOWN(F153/D153,1)</f>
        <v>57.2</v>
      </c>
      <c r="D158" s="437">
        <f>ROUNDDOWN(G153/E153,1)</f>
        <v>75.400000000000006</v>
      </c>
    </row>
  </sheetData>
  <mergeCells count="37">
    <mergeCell ref="C156:D156"/>
    <mergeCell ref="B130:D130"/>
    <mergeCell ref="E130:G130"/>
    <mergeCell ref="A141:A142"/>
    <mergeCell ref="B141:C141"/>
    <mergeCell ref="D141:E141"/>
    <mergeCell ref="F141:G141"/>
    <mergeCell ref="A129:G129"/>
    <mergeCell ref="B70:D70"/>
    <mergeCell ref="E70:G70"/>
    <mergeCell ref="A91:G91"/>
    <mergeCell ref="B92:D92"/>
    <mergeCell ref="E92:G92"/>
    <mergeCell ref="A109:G109"/>
    <mergeCell ref="B110:D110"/>
    <mergeCell ref="E110:G110"/>
    <mergeCell ref="A117:G117"/>
    <mergeCell ref="B118:D118"/>
    <mergeCell ref="E118:G118"/>
    <mergeCell ref="A69:G69"/>
    <mergeCell ref="B13:D13"/>
    <mergeCell ref="E13:G13"/>
    <mergeCell ref="A21:G21"/>
    <mergeCell ref="B22:D22"/>
    <mergeCell ref="E22:G22"/>
    <mergeCell ref="A39:G39"/>
    <mergeCell ref="B40:D40"/>
    <mergeCell ref="E40:G40"/>
    <mergeCell ref="A57:G57"/>
    <mergeCell ref="B58:D58"/>
    <mergeCell ref="E58:G58"/>
    <mergeCell ref="A12:G12"/>
    <mergeCell ref="A1:G1"/>
    <mergeCell ref="A2:G2"/>
    <mergeCell ref="A3:G3"/>
    <mergeCell ref="B4:D4"/>
    <mergeCell ref="E4:G4"/>
  </mergeCells>
  <phoneticPr fontId="11" type="noConversion"/>
  <pageMargins left="0.7" right="0.7" top="0.75" bottom="0.75" header="0.3" footer="0.3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10316-6317-41E2-80F7-8F759E8F9586}">
  <dimension ref="A1:I158"/>
  <sheetViews>
    <sheetView zoomScale="94" zoomScaleNormal="94" workbookViewId="0">
      <selection activeCell="F133" sqref="F133"/>
    </sheetView>
  </sheetViews>
  <sheetFormatPr defaultColWidth="8.7265625" defaultRowHeight="14" x14ac:dyDescent="0.3"/>
  <cols>
    <col min="1" max="1" width="22.453125" style="395" customWidth="1"/>
    <col min="2" max="2" width="16.26953125" style="395" bestFit="1" customWidth="1"/>
    <col min="3" max="3" width="22.90625" style="395" bestFit="1" customWidth="1"/>
    <col min="4" max="4" width="22.6328125" style="395" bestFit="1" customWidth="1"/>
    <col min="5" max="5" width="21.453125" style="395" bestFit="1" customWidth="1"/>
    <col min="6" max="6" width="23.453125" style="395" bestFit="1" customWidth="1"/>
    <col min="7" max="7" width="23.08984375" style="395" bestFit="1" customWidth="1"/>
    <col min="8" max="8" width="14.81640625" style="395" customWidth="1"/>
    <col min="9" max="16384" width="8.7265625" style="395"/>
  </cols>
  <sheetData>
    <row r="1" spans="1:9" x14ac:dyDescent="0.3">
      <c r="A1" s="657" t="s">
        <v>322</v>
      </c>
      <c r="B1" s="658"/>
      <c r="C1" s="658"/>
      <c r="D1" s="658"/>
      <c r="E1" s="658"/>
      <c r="F1" s="658"/>
      <c r="G1" s="659"/>
    </row>
    <row r="2" spans="1:9" ht="33" customHeight="1" x14ac:dyDescent="0.3">
      <c r="A2" s="660" t="s">
        <v>372</v>
      </c>
      <c r="B2" s="661"/>
      <c r="C2" s="661"/>
      <c r="D2" s="661"/>
      <c r="E2" s="661"/>
      <c r="F2" s="661"/>
      <c r="G2" s="662"/>
    </row>
    <row r="3" spans="1:9" x14ac:dyDescent="0.3">
      <c r="A3" s="663" t="s">
        <v>353</v>
      </c>
      <c r="B3" s="663"/>
      <c r="C3" s="663"/>
      <c r="D3" s="663"/>
      <c r="E3" s="663"/>
      <c r="F3" s="663"/>
      <c r="G3" s="663"/>
    </row>
    <row r="4" spans="1:9" x14ac:dyDescent="0.3">
      <c r="A4" s="396"/>
      <c r="B4" s="674" t="s">
        <v>364</v>
      </c>
      <c r="C4" s="674"/>
      <c r="D4" s="674"/>
      <c r="E4" s="674" t="s">
        <v>365</v>
      </c>
      <c r="F4" s="674"/>
      <c r="G4" s="674"/>
    </row>
    <row r="5" spans="1:9" x14ac:dyDescent="0.3">
      <c r="A5" s="454" t="s">
        <v>366</v>
      </c>
      <c r="B5" s="433" t="s">
        <v>344</v>
      </c>
      <c r="C5" s="433" t="s">
        <v>345</v>
      </c>
      <c r="D5" s="433" t="s">
        <v>367</v>
      </c>
      <c r="E5" s="433" t="s">
        <v>368</v>
      </c>
      <c r="F5" s="433" t="s">
        <v>369</v>
      </c>
      <c r="G5" s="433" t="s">
        <v>370</v>
      </c>
      <c r="H5" s="440"/>
      <c r="I5" s="441"/>
    </row>
    <row r="6" spans="1:9" x14ac:dyDescent="0.3">
      <c r="A6" s="454">
        <v>1</v>
      </c>
      <c r="B6" s="434">
        <v>0</v>
      </c>
      <c r="C6" s="434">
        <v>0</v>
      </c>
      <c r="D6" s="434">
        <v>0</v>
      </c>
      <c r="E6" s="434">
        <v>36.700000000000003</v>
      </c>
      <c r="F6" s="434">
        <v>67.099999999999994</v>
      </c>
      <c r="G6" s="434">
        <v>95.7</v>
      </c>
    </row>
    <row r="7" spans="1:9" x14ac:dyDescent="0.3">
      <c r="A7" s="454">
        <v>2</v>
      </c>
      <c r="B7" s="434"/>
      <c r="C7" s="434"/>
      <c r="D7" s="434"/>
      <c r="E7" s="434">
        <v>44</v>
      </c>
      <c r="F7" s="434">
        <v>72.3</v>
      </c>
      <c r="G7" s="434">
        <v>95.9</v>
      </c>
    </row>
    <row r="8" spans="1:9" x14ac:dyDescent="0.3">
      <c r="A8" s="454">
        <v>3</v>
      </c>
      <c r="B8" s="434"/>
      <c r="C8" s="434"/>
      <c r="D8" s="434"/>
      <c r="E8" s="434">
        <v>34.200000000000003</v>
      </c>
      <c r="F8" s="434">
        <v>79.3</v>
      </c>
      <c r="G8" s="434">
        <v>104.1</v>
      </c>
    </row>
    <row r="9" spans="1:9" x14ac:dyDescent="0.3">
      <c r="A9" s="454">
        <v>4</v>
      </c>
      <c r="B9" s="434"/>
      <c r="C9" s="434"/>
      <c r="D9" s="434"/>
      <c r="E9" s="434"/>
      <c r="F9" s="434">
        <v>61.3</v>
      </c>
      <c r="G9" s="434">
        <v>114.7</v>
      </c>
    </row>
    <row r="10" spans="1:9" x14ac:dyDescent="0.3">
      <c r="A10" s="454">
        <v>5</v>
      </c>
      <c r="B10" s="434"/>
      <c r="C10" s="434"/>
      <c r="D10" s="434"/>
      <c r="E10" s="434"/>
      <c r="F10" s="434">
        <v>69.599999999999994</v>
      </c>
      <c r="G10" s="434">
        <v>97.6</v>
      </c>
    </row>
    <row r="11" spans="1:9" x14ac:dyDescent="0.3">
      <c r="A11" s="454">
        <v>6</v>
      </c>
      <c r="B11" s="434"/>
      <c r="C11" s="434"/>
      <c r="D11" s="434"/>
      <c r="E11" s="434"/>
      <c r="F11" s="434"/>
      <c r="G11" s="434">
        <v>83.3</v>
      </c>
    </row>
    <row r="12" spans="1:9" x14ac:dyDescent="0.3">
      <c r="A12" s="670" t="s">
        <v>354</v>
      </c>
      <c r="B12" s="670"/>
      <c r="C12" s="670"/>
      <c r="D12" s="670"/>
      <c r="E12" s="670"/>
      <c r="F12" s="670"/>
      <c r="G12" s="670"/>
    </row>
    <row r="13" spans="1:9" x14ac:dyDescent="0.3">
      <c r="A13" s="396"/>
      <c r="B13" s="674" t="s">
        <v>364</v>
      </c>
      <c r="C13" s="674"/>
      <c r="D13" s="674"/>
      <c r="E13" s="674" t="s">
        <v>365</v>
      </c>
      <c r="F13" s="674"/>
      <c r="G13" s="674"/>
    </row>
    <row r="14" spans="1:9" x14ac:dyDescent="0.3">
      <c r="A14" s="454" t="s">
        <v>366</v>
      </c>
      <c r="B14" s="433" t="s">
        <v>344</v>
      </c>
      <c r="C14" s="433" t="s">
        <v>345</v>
      </c>
      <c r="D14" s="433" t="s">
        <v>367</v>
      </c>
      <c r="E14" s="433" t="s">
        <v>368</v>
      </c>
      <c r="F14" s="433" t="s">
        <v>369</v>
      </c>
      <c r="G14" s="433" t="s">
        <v>370</v>
      </c>
    </row>
    <row r="15" spans="1:9" x14ac:dyDescent="0.3">
      <c r="A15" s="454">
        <v>1</v>
      </c>
      <c r="B15" s="434">
        <v>0</v>
      </c>
      <c r="C15" s="434">
        <v>0</v>
      </c>
      <c r="D15" s="434">
        <v>0</v>
      </c>
      <c r="E15" s="434">
        <v>35.299999999999997</v>
      </c>
      <c r="F15" s="434">
        <v>65.3</v>
      </c>
      <c r="G15" s="434">
        <v>101.3</v>
      </c>
    </row>
    <row r="16" spans="1:9" x14ac:dyDescent="0.3">
      <c r="A16" s="454">
        <v>2</v>
      </c>
      <c r="B16" s="434"/>
      <c r="C16" s="434"/>
      <c r="D16" s="434"/>
      <c r="E16" s="434">
        <v>45.9</v>
      </c>
      <c r="F16" s="434">
        <v>67.099999999999994</v>
      </c>
      <c r="G16" s="434">
        <v>101.5</v>
      </c>
    </row>
    <row r="17" spans="1:7" x14ac:dyDescent="0.3">
      <c r="A17" s="454">
        <v>3</v>
      </c>
      <c r="B17" s="434"/>
      <c r="C17" s="434"/>
      <c r="D17" s="434"/>
      <c r="E17" s="434">
        <v>41.4</v>
      </c>
      <c r="F17" s="434">
        <v>63</v>
      </c>
      <c r="G17" s="434">
        <v>94.4</v>
      </c>
    </row>
    <row r="18" spans="1:7" x14ac:dyDescent="0.3">
      <c r="A18" s="454">
        <v>4</v>
      </c>
      <c r="B18" s="434"/>
      <c r="C18" s="434"/>
      <c r="D18" s="434"/>
      <c r="E18" s="434">
        <v>25.3</v>
      </c>
      <c r="F18" s="434">
        <v>73.099999999999994</v>
      </c>
      <c r="G18" s="434">
        <v>106.1</v>
      </c>
    </row>
    <row r="19" spans="1:7" x14ac:dyDescent="0.3">
      <c r="A19" s="454">
        <v>5</v>
      </c>
      <c r="B19" s="434"/>
      <c r="C19" s="434"/>
      <c r="D19" s="434"/>
      <c r="E19" s="434"/>
      <c r="F19" s="434">
        <v>64.400000000000006</v>
      </c>
      <c r="G19" s="434">
        <v>100.2</v>
      </c>
    </row>
    <row r="20" spans="1:7" x14ac:dyDescent="0.3">
      <c r="A20" s="454">
        <v>6</v>
      </c>
      <c r="B20" s="434"/>
      <c r="C20" s="434"/>
      <c r="D20" s="434"/>
      <c r="E20" s="434"/>
      <c r="F20" s="434">
        <v>71.8</v>
      </c>
      <c r="G20" s="434">
        <v>92.6</v>
      </c>
    </row>
    <row r="21" spans="1:7" x14ac:dyDescent="0.3">
      <c r="A21" s="663" t="s">
        <v>355</v>
      </c>
      <c r="B21" s="663"/>
      <c r="C21" s="663"/>
      <c r="D21" s="663"/>
      <c r="E21" s="663"/>
      <c r="F21" s="663"/>
      <c r="G21" s="663"/>
    </row>
    <row r="22" spans="1:7" x14ac:dyDescent="0.3">
      <c r="A22" s="396"/>
      <c r="B22" s="674" t="s">
        <v>364</v>
      </c>
      <c r="C22" s="674"/>
      <c r="D22" s="674"/>
      <c r="E22" s="674" t="s">
        <v>365</v>
      </c>
      <c r="F22" s="674"/>
      <c r="G22" s="674"/>
    </row>
    <row r="23" spans="1:7" x14ac:dyDescent="0.3">
      <c r="A23" s="454" t="s">
        <v>366</v>
      </c>
      <c r="B23" s="433" t="s">
        <v>344</v>
      </c>
      <c r="C23" s="433" t="s">
        <v>345</v>
      </c>
      <c r="D23" s="433" t="s">
        <v>367</v>
      </c>
      <c r="E23" s="433" t="s">
        <v>368</v>
      </c>
      <c r="F23" s="433" t="s">
        <v>369</v>
      </c>
      <c r="G23" s="433" t="s">
        <v>370</v>
      </c>
    </row>
    <row r="24" spans="1:7" x14ac:dyDescent="0.3">
      <c r="A24" s="454">
        <v>1</v>
      </c>
      <c r="B24" s="434">
        <v>16.600000000000001</v>
      </c>
      <c r="C24" s="434">
        <v>44.4</v>
      </c>
      <c r="D24" s="434">
        <v>75.900000000000006</v>
      </c>
      <c r="E24" s="434">
        <v>49.6</v>
      </c>
      <c r="F24" s="434">
        <v>73.099999999999994</v>
      </c>
      <c r="G24" s="434">
        <v>108.8</v>
      </c>
    </row>
    <row r="25" spans="1:7" x14ac:dyDescent="0.3">
      <c r="A25" s="454">
        <v>2</v>
      </c>
      <c r="B25" s="434">
        <v>32</v>
      </c>
      <c r="C25" s="434">
        <v>52.7</v>
      </c>
      <c r="D25" s="434">
        <v>72.8</v>
      </c>
      <c r="E25" s="434">
        <v>50.3</v>
      </c>
      <c r="F25" s="434">
        <v>63.3</v>
      </c>
      <c r="G25" s="434">
        <v>91</v>
      </c>
    </row>
    <row r="26" spans="1:7" x14ac:dyDescent="0.3">
      <c r="A26" s="454">
        <v>3</v>
      </c>
      <c r="B26" s="434">
        <v>24</v>
      </c>
      <c r="C26" s="434">
        <v>45.6</v>
      </c>
      <c r="D26" s="434">
        <v>79</v>
      </c>
      <c r="E26" s="434">
        <v>36.4</v>
      </c>
      <c r="F26" s="434">
        <v>79.099999999999994</v>
      </c>
      <c r="G26" s="434">
        <v>95.4</v>
      </c>
    </row>
    <row r="27" spans="1:7" x14ac:dyDescent="0.3">
      <c r="A27" s="454">
        <v>4</v>
      </c>
      <c r="B27" s="434">
        <v>20.100000000000001</v>
      </c>
      <c r="C27" s="434">
        <v>67.5</v>
      </c>
      <c r="D27" s="434">
        <v>78.5</v>
      </c>
      <c r="E27" s="434">
        <v>40.1</v>
      </c>
      <c r="F27" s="434">
        <v>72.7</v>
      </c>
      <c r="G27" s="434">
        <v>102.3</v>
      </c>
    </row>
    <row r="28" spans="1:7" x14ac:dyDescent="0.3">
      <c r="A28" s="454">
        <v>5</v>
      </c>
      <c r="B28" s="434">
        <v>24</v>
      </c>
      <c r="C28" s="434">
        <v>46.4</v>
      </c>
      <c r="D28" s="434">
        <v>96.3</v>
      </c>
      <c r="E28" s="434">
        <v>55.2</v>
      </c>
      <c r="F28" s="434">
        <v>63.5</v>
      </c>
      <c r="G28" s="434">
        <v>105.2</v>
      </c>
    </row>
    <row r="29" spans="1:7" x14ac:dyDescent="0.3">
      <c r="A29" s="454">
        <v>6</v>
      </c>
      <c r="B29" s="434">
        <v>31.3</v>
      </c>
      <c r="C29" s="434">
        <v>59.6</v>
      </c>
      <c r="D29" s="434">
        <v>94.7</v>
      </c>
      <c r="E29" s="434">
        <v>26.9</v>
      </c>
      <c r="F29" s="434">
        <v>60.8</v>
      </c>
      <c r="G29" s="434">
        <v>80.3</v>
      </c>
    </row>
    <row r="30" spans="1:7" x14ac:dyDescent="0.3">
      <c r="A30" s="454">
        <v>7</v>
      </c>
      <c r="B30" s="434">
        <v>20.5</v>
      </c>
      <c r="C30" s="434">
        <v>48.4</v>
      </c>
      <c r="D30" s="434">
        <v>75.2</v>
      </c>
      <c r="E30" s="434">
        <v>33.5</v>
      </c>
      <c r="F30" s="434">
        <v>62.9</v>
      </c>
      <c r="G30" s="434">
        <v>107.9</v>
      </c>
    </row>
    <row r="31" spans="1:7" x14ac:dyDescent="0.3">
      <c r="A31" s="454">
        <v>8</v>
      </c>
      <c r="B31" s="434">
        <v>28.5</v>
      </c>
      <c r="C31" s="434">
        <v>52.6</v>
      </c>
      <c r="D31" s="434">
        <v>79.400000000000006</v>
      </c>
      <c r="E31" s="434"/>
      <c r="F31" s="434">
        <v>78.099999999999994</v>
      </c>
      <c r="G31" s="434">
        <v>104.6</v>
      </c>
    </row>
    <row r="32" spans="1:7" x14ac:dyDescent="0.3">
      <c r="A32" s="454">
        <v>9</v>
      </c>
      <c r="B32" s="434">
        <v>34</v>
      </c>
      <c r="C32" s="434">
        <v>39.799999999999997</v>
      </c>
      <c r="D32" s="434">
        <v>94.7</v>
      </c>
      <c r="E32" s="434"/>
      <c r="F32" s="434">
        <v>73.400000000000006</v>
      </c>
      <c r="G32" s="434">
        <v>110.3</v>
      </c>
    </row>
    <row r="33" spans="1:7" x14ac:dyDescent="0.3">
      <c r="A33" s="454">
        <v>10</v>
      </c>
      <c r="B33" s="434">
        <v>28.8</v>
      </c>
      <c r="C33" s="434">
        <v>51.7</v>
      </c>
      <c r="D33" s="434">
        <v>104.6</v>
      </c>
      <c r="E33" s="434"/>
      <c r="F33" s="434">
        <v>69.2</v>
      </c>
      <c r="G33" s="434">
        <v>107.9</v>
      </c>
    </row>
    <row r="34" spans="1:7" x14ac:dyDescent="0.3">
      <c r="A34" s="454">
        <v>11</v>
      </c>
      <c r="B34" s="434">
        <v>25.4</v>
      </c>
      <c r="C34" s="434">
        <v>51.6</v>
      </c>
      <c r="D34" s="434">
        <v>80</v>
      </c>
      <c r="E34" s="434"/>
      <c r="F34" s="434">
        <v>77.5</v>
      </c>
      <c r="G34" s="434">
        <v>114.6</v>
      </c>
    </row>
    <row r="35" spans="1:7" x14ac:dyDescent="0.3">
      <c r="A35" s="454">
        <v>12</v>
      </c>
      <c r="B35" s="434">
        <v>22.4</v>
      </c>
      <c r="C35" s="434">
        <v>67.599999999999994</v>
      </c>
      <c r="D35" s="434">
        <v>83.1</v>
      </c>
      <c r="E35" s="434"/>
      <c r="F35" s="434"/>
      <c r="G35" s="434">
        <v>91.8</v>
      </c>
    </row>
    <row r="36" spans="1:7" x14ac:dyDescent="0.3">
      <c r="A36" s="454">
        <v>13</v>
      </c>
      <c r="B36" s="434">
        <v>16.7</v>
      </c>
      <c r="C36" s="434">
        <v>47.3</v>
      </c>
      <c r="D36" s="434">
        <v>80.5</v>
      </c>
      <c r="E36" s="434"/>
      <c r="F36" s="434"/>
      <c r="G36" s="434"/>
    </row>
    <row r="37" spans="1:7" x14ac:dyDescent="0.3">
      <c r="A37" s="454">
        <v>14</v>
      </c>
      <c r="B37" s="434"/>
      <c r="C37" s="434">
        <v>62.5</v>
      </c>
      <c r="D37" s="434">
        <v>104.9</v>
      </c>
      <c r="E37" s="434"/>
      <c r="F37" s="434"/>
      <c r="G37" s="434"/>
    </row>
    <row r="38" spans="1:7" x14ac:dyDescent="0.3">
      <c r="A38" s="454">
        <v>15</v>
      </c>
      <c r="B38" s="434"/>
      <c r="C38" s="434">
        <v>37</v>
      </c>
      <c r="D38" s="434">
        <v>94.5</v>
      </c>
      <c r="E38" s="434"/>
      <c r="F38" s="434"/>
      <c r="G38" s="434"/>
    </row>
    <row r="39" spans="1:7" x14ac:dyDescent="0.3">
      <c r="A39" s="670" t="s">
        <v>356</v>
      </c>
      <c r="B39" s="670"/>
      <c r="C39" s="670"/>
      <c r="D39" s="663"/>
      <c r="E39" s="670"/>
      <c r="F39" s="670"/>
      <c r="G39" s="670"/>
    </row>
    <row r="40" spans="1:7" x14ac:dyDescent="0.3">
      <c r="A40" s="396"/>
      <c r="B40" s="674" t="s">
        <v>364</v>
      </c>
      <c r="C40" s="674"/>
      <c r="D40" s="674"/>
      <c r="E40" s="674" t="s">
        <v>365</v>
      </c>
      <c r="F40" s="674"/>
      <c r="G40" s="674"/>
    </row>
    <row r="41" spans="1:7" x14ac:dyDescent="0.3">
      <c r="A41" s="454" t="s">
        <v>366</v>
      </c>
      <c r="B41" s="433" t="s">
        <v>344</v>
      </c>
      <c r="C41" s="433" t="s">
        <v>345</v>
      </c>
      <c r="D41" s="433" t="s">
        <v>367</v>
      </c>
      <c r="E41" s="433" t="s">
        <v>368</v>
      </c>
      <c r="F41" s="433" t="s">
        <v>369</v>
      </c>
      <c r="G41" s="433" t="s">
        <v>370</v>
      </c>
    </row>
    <row r="42" spans="1:7" x14ac:dyDescent="0.3">
      <c r="A42" s="454">
        <v>1</v>
      </c>
      <c r="B42" s="434">
        <v>22</v>
      </c>
      <c r="C42" s="434">
        <v>54</v>
      </c>
      <c r="D42" s="434">
        <v>102.1</v>
      </c>
      <c r="E42" s="434">
        <v>41.9</v>
      </c>
      <c r="F42" s="434">
        <v>76.400000000000006</v>
      </c>
      <c r="G42" s="434">
        <v>88.7</v>
      </c>
    </row>
    <row r="43" spans="1:7" x14ac:dyDescent="0.3">
      <c r="A43" s="454">
        <v>2</v>
      </c>
      <c r="B43" s="434">
        <v>17.600000000000001</v>
      </c>
      <c r="C43" s="434">
        <v>67.7</v>
      </c>
      <c r="D43" s="434">
        <v>89.1</v>
      </c>
      <c r="E43" s="434">
        <v>58.4</v>
      </c>
      <c r="F43" s="434">
        <v>61</v>
      </c>
      <c r="G43" s="434">
        <v>93.1</v>
      </c>
    </row>
    <row r="44" spans="1:7" x14ac:dyDescent="0.3">
      <c r="A44" s="454">
        <v>3</v>
      </c>
      <c r="B44" s="434">
        <v>36.700000000000003</v>
      </c>
      <c r="C44" s="434">
        <v>55.5</v>
      </c>
      <c r="D44" s="434">
        <v>87.3</v>
      </c>
      <c r="E44" s="434">
        <v>36.200000000000003</v>
      </c>
      <c r="F44" s="434">
        <v>77.5</v>
      </c>
      <c r="G44" s="434">
        <v>81.099999999999994</v>
      </c>
    </row>
    <row r="45" spans="1:7" x14ac:dyDescent="0.3">
      <c r="A45" s="454">
        <v>4</v>
      </c>
      <c r="B45" s="434">
        <v>16.5</v>
      </c>
      <c r="C45" s="434">
        <v>51.9</v>
      </c>
      <c r="D45" s="434">
        <v>104.8</v>
      </c>
      <c r="E45" s="434">
        <v>46.4</v>
      </c>
      <c r="F45" s="434">
        <v>72.099999999999994</v>
      </c>
      <c r="G45" s="434">
        <v>116.2</v>
      </c>
    </row>
    <row r="46" spans="1:7" x14ac:dyDescent="0.3">
      <c r="A46" s="454">
        <v>5</v>
      </c>
      <c r="B46" s="434">
        <v>22.9</v>
      </c>
      <c r="C46" s="434">
        <v>37.9</v>
      </c>
      <c r="D46" s="434">
        <v>95.3</v>
      </c>
      <c r="E46" s="434">
        <v>42</v>
      </c>
      <c r="F46" s="434">
        <v>78.7</v>
      </c>
      <c r="G46" s="434">
        <v>114.6</v>
      </c>
    </row>
    <row r="47" spans="1:7" x14ac:dyDescent="0.3">
      <c r="A47" s="454">
        <v>6</v>
      </c>
      <c r="B47" s="434">
        <v>35.799999999999997</v>
      </c>
      <c r="C47" s="434">
        <v>40.6</v>
      </c>
      <c r="D47" s="434">
        <v>90.5</v>
      </c>
      <c r="E47" s="434">
        <v>52.3</v>
      </c>
      <c r="F47" s="434">
        <v>61.9</v>
      </c>
      <c r="G47" s="434">
        <v>101.6</v>
      </c>
    </row>
    <row r="48" spans="1:7" x14ac:dyDescent="0.3">
      <c r="A48" s="454">
        <v>7</v>
      </c>
      <c r="B48" s="434">
        <v>19.399999999999999</v>
      </c>
      <c r="C48" s="434">
        <v>40.200000000000003</v>
      </c>
      <c r="D48" s="434">
        <v>99.9</v>
      </c>
      <c r="E48" s="434">
        <v>26.4</v>
      </c>
      <c r="F48" s="434">
        <v>77.8</v>
      </c>
      <c r="G48" s="434">
        <v>84.1</v>
      </c>
    </row>
    <row r="49" spans="1:7" x14ac:dyDescent="0.3">
      <c r="A49" s="454">
        <v>8</v>
      </c>
      <c r="B49" s="434">
        <v>26.4</v>
      </c>
      <c r="C49" s="434">
        <v>49.6</v>
      </c>
      <c r="D49" s="434">
        <v>80.8</v>
      </c>
      <c r="E49" s="434"/>
      <c r="F49" s="434">
        <v>74.7</v>
      </c>
      <c r="G49" s="434">
        <v>87.8</v>
      </c>
    </row>
    <row r="50" spans="1:7" x14ac:dyDescent="0.3">
      <c r="A50" s="454">
        <v>9</v>
      </c>
      <c r="B50" s="434">
        <v>21</v>
      </c>
      <c r="C50" s="434">
        <v>54.5</v>
      </c>
      <c r="D50" s="434">
        <v>88.8</v>
      </c>
      <c r="E50" s="434"/>
      <c r="F50" s="434">
        <v>64.900000000000006</v>
      </c>
      <c r="G50" s="434">
        <v>102.2</v>
      </c>
    </row>
    <row r="51" spans="1:7" x14ac:dyDescent="0.3">
      <c r="A51" s="454">
        <v>10</v>
      </c>
      <c r="B51" s="434">
        <v>30</v>
      </c>
      <c r="C51" s="434">
        <v>67</v>
      </c>
      <c r="D51" s="434">
        <v>96.8</v>
      </c>
      <c r="E51" s="434"/>
      <c r="F51" s="434">
        <v>64.8</v>
      </c>
      <c r="G51" s="434">
        <v>81</v>
      </c>
    </row>
    <row r="52" spans="1:7" x14ac:dyDescent="0.3">
      <c r="A52" s="454">
        <v>11</v>
      </c>
      <c r="B52" s="434">
        <v>20.6</v>
      </c>
      <c r="C52" s="434">
        <v>48.2</v>
      </c>
      <c r="D52" s="434">
        <v>91.4</v>
      </c>
      <c r="E52" s="434"/>
      <c r="F52" s="434">
        <v>67.900000000000006</v>
      </c>
      <c r="G52" s="434">
        <v>90.8</v>
      </c>
    </row>
    <row r="53" spans="1:7" x14ac:dyDescent="0.3">
      <c r="A53" s="454">
        <v>12</v>
      </c>
      <c r="B53" s="434">
        <v>20.9</v>
      </c>
      <c r="C53" s="434">
        <v>54.8</v>
      </c>
      <c r="D53" s="434">
        <v>74</v>
      </c>
      <c r="E53" s="434"/>
      <c r="F53" s="434">
        <v>65.599999999999994</v>
      </c>
      <c r="G53" s="434">
        <v>109.9</v>
      </c>
    </row>
    <row r="54" spans="1:7" x14ac:dyDescent="0.3">
      <c r="A54" s="454">
        <v>13</v>
      </c>
      <c r="B54" s="434">
        <v>31.6</v>
      </c>
      <c r="C54" s="434">
        <v>62</v>
      </c>
      <c r="D54" s="434">
        <v>96.4</v>
      </c>
      <c r="E54" s="434"/>
      <c r="F54" s="434"/>
      <c r="G54" s="434">
        <v>107.6</v>
      </c>
    </row>
    <row r="55" spans="1:7" x14ac:dyDescent="0.3">
      <c r="A55" s="454">
        <v>14</v>
      </c>
      <c r="B55" s="434">
        <v>35.4</v>
      </c>
      <c r="C55" s="434">
        <v>60.7</v>
      </c>
      <c r="D55" s="434">
        <v>78.7</v>
      </c>
      <c r="E55" s="434"/>
      <c r="F55" s="434"/>
      <c r="G55" s="434">
        <v>83.7</v>
      </c>
    </row>
    <row r="56" spans="1:7" x14ac:dyDescent="0.3">
      <c r="A56" s="454">
        <v>15</v>
      </c>
      <c r="B56" s="434"/>
      <c r="C56" s="434"/>
      <c r="D56" s="434">
        <v>83.3</v>
      </c>
      <c r="E56" s="434"/>
      <c r="F56" s="434"/>
      <c r="G56" s="434"/>
    </row>
    <row r="57" spans="1:7" x14ac:dyDescent="0.3">
      <c r="A57" s="670" t="s">
        <v>357</v>
      </c>
      <c r="B57" s="670"/>
      <c r="C57" s="670"/>
      <c r="D57" s="663"/>
      <c r="E57" s="670"/>
      <c r="F57" s="670"/>
      <c r="G57" s="670"/>
    </row>
    <row r="58" spans="1:7" x14ac:dyDescent="0.3">
      <c r="A58" s="396"/>
      <c r="B58" s="674" t="s">
        <v>364</v>
      </c>
      <c r="C58" s="674"/>
      <c r="D58" s="674"/>
      <c r="E58" s="674" t="s">
        <v>365</v>
      </c>
      <c r="F58" s="674"/>
      <c r="G58" s="674"/>
    </row>
    <row r="59" spans="1:7" x14ac:dyDescent="0.3">
      <c r="A59" s="454" t="s">
        <v>366</v>
      </c>
      <c r="B59" s="433" t="s">
        <v>344</v>
      </c>
      <c r="C59" s="433" t="s">
        <v>345</v>
      </c>
      <c r="D59" s="433" t="s">
        <v>367</v>
      </c>
      <c r="E59" s="433" t="s">
        <v>368</v>
      </c>
      <c r="F59" s="433" t="s">
        <v>369</v>
      </c>
      <c r="G59" s="433" t="s">
        <v>370</v>
      </c>
    </row>
    <row r="60" spans="1:7" x14ac:dyDescent="0.3">
      <c r="A60" s="454">
        <v>1</v>
      </c>
      <c r="B60" s="434">
        <v>24.9</v>
      </c>
      <c r="C60" s="434">
        <v>37.6</v>
      </c>
      <c r="D60" s="434">
        <v>88.4</v>
      </c>
      <c r="E60" s="434">
        <v>56.3</v>
      </c>
      <c r="F60" s="434">
        <v>71.2</v>
      </c>
      <c r="G60" s="434">
        <v>87.3</v>
      </c>
    </row>
    <row r="61" spans="1:7" x14ac:dyDescent="0.3">
      <c r="A61" s="454">
        <v>2</v>
      </c>
      <c r="B61" s="434">
        <v>28.1</v>
      </c>
      <c r="C61" s="434">
        <v>67</v>
      </c>
      <c r="D61" s="434">
        <v>97.5</v>
      </c>
      <c r="E61" s="434">
        <v>58.1</v>
      </c>
      <c r="F61" s="434">
        <v>72.099999999999994</v>
      </c>
      <c r="G61" s="434">
        <v>112.4</v>
      </c>
    </row>
    <row r="62" spans="1:7" x14ac:dyDescent="0.3">
      <c r="A62" s="454">
        <v>3</v>
      </c>
      <c r="B62" s="434">
        <v>28.9</v>
      </c>
      <c r="C62" s="434">
        <v>58.2</v>
      </c>
      <c r="D62" s="434">
        <v>78.3</v>
      </c>
      <c r="E62" s="434">
        <v>29.7</v>
      </c>
      <c r="F62" s="434">
        <v>77.7</v>
      </c>
      <c r="G62" s="434">
        <v>90.8</v>
      </c>
    </row>
    <row r="63" spans="1:7" x14ac:dyDescent="0.3">
      <c r="A63" s="454">
        <v>4</v>
      </c>
      <c r="B63" s="434">
        <v>34.5</v>
      </c>
      <c r="C63" s="434">
        <v>49.9</v>
      </c>
      <c r="D63" s="434">
        <v>82</v>
      </c>
      <c r="E63" s="434">
        <v>44.4</v>
      </c>
      <c r="F63" s="434">
        <v>79.900000000000006</v>
      </c>
      <c r="G63" s="434">
        <v>86.9</v>
      </c>
    </row>
    <row r="64" spans="1:7" x14ac:dyDescent="0.3">
      <c r="A64" s="454">
        <v>5</v>
      </c>
      <c r="B64" s="434">
        <v>30.9</v>
      </c>
      <c r="C64" s="434">
        <v>59.3</v>
      </c>
      <c r="D64" s="434">
        <v>83.6</v>
      </c>
      <c r="E64" s="434"/>
      <c r="F64" s="434">
        <v>74.400000000000006</v>
      </c>
      <c r="G64" s="434">
        <v>95.2</v>
      </c>
    </row>
    <row r="65" spans="1:7" x14ac:dyDescent="0.3">
      <c r="A65" s="454">
        <v>6</v>
      </c>
      <c r="B65" s="434">
        <v>36.700000000000003</v>
      </c>
      <c r="C65" s="434">
        <v>59.8</v>
      </c>
      <c r="D65" s="434">
        <v>82.1</v>
      </c>
      <c r="E65" s="434"/>
      <c r="F65" s="434"/>
      <c r="G65" s="434">
        <v>87.7</v>
      </c>
    </row>
    <row r="66" spans="1:7" x14ac:dyDescent="0.3">
      <c r="A66" s="454">
        <v>7</v>
      </c>
      <c r="B66" s="434">
        <v>36.6</v>
      </c>
      <c r="C66" s="434">
        <v>58.4</v>
      </c>
      <c r="D66" s="434">
        <v>75.3</v>
      </c>
      <c r="E66" s="434"/>
      <c r="F66" s="434"/>
      <c r="G66" s="434"/>
    </row>
    <row r="67" spans="1:7" x14ac:dyDescent="0.3">
      <c r="A67" s="454">
        <v>8</v>
      </c>
      <c r="B67" s="434">
        <v>36.200000000000003</v>
      </c>
      <c r="C67" s="434">
        <v>52.4</v>
      </c>
      <c r="D67" s="434">
        <v>104.9</v>
      </c>
      <c r="E67" s="434"/>
      <c r="F67" s="434"/>
      <c r="G67" s="434"/>
    </row>
    <row r="68" spans="1:7" x14ac:dyDescent="0.3">
      <c r="A68" s="454">
        <v>9</v>
      </c>
      <c r="B68" s="434">
        <v>35.299999999999997</v>
      </c>
      <c r="C68" s="434"/>
      <c r="D68" s="434">
        <v>96.2</v>
      </c>
      <c r="E68" s="433"/>
      <c r="F68" s="434"/>
      <c r="G68" s="434"/>
    </row>
    <row r="69" spans="1:7" x14ac:dyDescent="0.3">
      <c r="A69" s="670" t="s">
        <v>358</v>
      </c>
      <c r="B69" s="670"/>
      <c r="C69" s="670"/>
      <c r="D69" s="663"/>
      <c r="E69" s="670"/>
      <c r="F69" s="670"/>
      <c r="G69" s="670"/>
    </row>
    <row r="70" spans="1:7" x14ac:dyDescent="0.3">
      <c r="A70" s="396"/>
      <c r="B70" s="674" t="s">
        <v>364</v>
      </c>
      <c r="C70" s="674"/>
      <c r="D70" s="674"/>
      <c r="E70" s="674" t="s">
        <v>365</v>
      </c>
      <c r="F70" s="674"/>
      <c r="G70" s="674"/>
    </row>
    <row r="71" spans="1:7" x14ac:dyDescent="0.3">
      <c r="A71" s="454" t="s">
        <v>366</v>
      </c>
      <c r="B71" s="433" t="s">
        <v>344</v>
      </c>
      <c r="C71" s="433" t="s">
        <v>345</v>
      </c>
      <c r="D71" s="433" t="s">
        <v>367</v>
      </c>
      <c r="E71" s="433" t="s">
        <v>368</v>
      </c>
      <c r="F71" s="433" t="s">
        <v>369</v>
      </c>
      <c r="G71" s="433" t="s">
        <v>370</v>
      </c>
    </row>
    <row r="72" spans="1:7" x14ac:dyDescent="0.3">
      <c r="A72" s="454">
        <v>1</v>
      </c>
      <c r="B72" s="434">
        <v>31.8</v>
      </c>
      <c r="C72" s="434">
        <v>54.8</v>
      </c>
      <c r="D72" s="434">
        <v>71.900000000000006</v>
      </c>
      <c r="E72" s="434">
        <v>37.6</v>
      </c>
      <c r="F72" s="434">
        <v>68.8</v>
      </c>
      <c r="G72" s="434">
        <v>116</v>
      </c>
    </row>
    <row r="73" spans="1:7" x14ac:dyDescent="0.3">
      <c r="A73" s="454">
        <v>2</v>
      </c>
      <c r="B73" s="434">
        <v>23</v>
      </c>
      <c r="C73" s="434">
        <v>50.4</v>
      </c>
      <c r="D73" s="434">
        <v>91.5</v>
      </c>
      <c r="E73" s="434">
        <v>52.6</v>
      </c>
      <c r="F73" s="434">
        <v>76.900000000000006</v>
      </c>
      <c r="G73" s="434">
        <v>114.3</v>
      </c>
    </row>
    <row r="74" spans="1:7" x14ac:dyDescent="0.3">
      <c r="A74" s="454">
        <v>3</v>
      </c>
      <c r="B74" s="434">
        <v>17.399999999999999</v>
      </c>
      <c r="C74" s="434">
        <v>43.3</v>
      </c>
      <c r="D74" s="434">
        <v>95.8</v>
      </c>
      <c r="E74" s="434">
        <v>41</v>
      </c>
      <c r="F74" s="434">
        <v>63.8</v>
      </c>
      <c r="G74" s="434">
        <v>96.7</v>
      </c>
    </row>
    <row r="75" spans="1:7" x14ac:dyDescent="0.3">
      <c r="A75" s="454">
        <v>4</v>
      </c>
      <c r="B75" s="434">
        <v>16.600000000000001</v>
      </c>
      <c r="C75" s="434">
        <v>37.9</v>
      </c>
      <c r="D75" s="434">
        <v>76.900000000000006</v>
      </c>
      <c r="E75" s="434">
        <v>44.9</v>
      </c>
      <c r="F75" s="434">
        <v>79.8</v>
      </c>
      <c r="G75" s="434">
        <v>80.3</v>
      </c>
    </row>
    <row r="76" spans="1:7" x14ac:dyDescent="0.3">
      <c r="A76" s="454">
        <v>5</v>
      </c>
      <c r="B76" s="434">
        <v>34.9</v>
      </c>
      <c r="C76" s="434">
        <v>43.4</v>
      </c>
      <c r="D76" s="434">
        <v>79.400000000000006</v>
      </c>
      <c r="E76" s="434">
        <v>29.6</v>
      </c>
      <c r="F76" s="434">
        <v>61.2</v>
      </c>
      <c r="G76" s="434">
        <v>114.5</v>
      </c>
    </row>
    <row r="77" spans="1:7" x14ac:dyDescent="0.3">
      <c r="A77" s="454">
        <v>6</v>
      </c>
      <c r="B77" s="434">
        <v>31.7</v>
      </c>
      <c r="C77" s="434">
        <v>37.799999999999997</v>
      </c>
      <c r="D77" s="434">
        <v>95.3</v>
      </c>
      <c r="E77" s="434">
        <v>25.1</v>
      </c>
      <c r="F77" s="434">
        <v>79.8</v>
      </c>
      <c r="G77" s="434">
        <v>81.099999999999994</v>
      </c>
    </row>
    <row r="78" spans="1:7" x14ac:dyDescent="0.3">
      <c r="A78" s="454">
        <v>7</v>
      </c>
      <c r="B78" s="434">
        <v>15.9</v>
      </c>
      <c r="C78" s="434">
        <v>45.1</v>
      </c>
      <c r="D78" s="434">
        <v>94.9</v>
      </c>
      <c r="E78" s="434">
        <v>40.299999999999997</v>
      </c>
      <c r="F78" s="434">
        <v>73.5</v>
      </c>
      <c r="G78" s="434">
        <v>87.9</v>
      </c>
    </row>
    <row r="79" spans="1:7" x14ac:dyDescent="0.3">
      <c r="A79" s="454">
        <v>8</v>
      </c>
      <c r="B79" s="434">
        <v>16</v>
      </c>
      <c r="C79" s="434">
        <v>46.6</v>
      </c>
      <c r="D79" s="434">
        <v>97.9</v>
      </c>
      <c r="E79" s="434">
        <v>59.4</v>
      </c>
      <c r="F79" s="434">
        <v>75</v>
      </c>
      <c r="G79" s="434">
        <v>119.3</v>
      </c>
    </row>
    <row r="80" spans="1:7" x14ac:dyDescent="0.3">
      <c r="A80" s="454">
        <v>9</v>
      </c>
      <c r="B80" s="434">
        <v>27.1</v>
      </c>
      <c r="C80" s="434">
        <v>39.5</v>
      </c>
      <c r="D80" s="434">
        <v>68.599999999999994</v>
      </c>
      <c r="E80" s="434">
        <v>46</v>
      </c>
      <c r="F80" s="434">
        <v>60.8</v>
      </c>
      <c r="G80" s="434">
        <v>98.2</v>
      </c>
    </row>
    <row r="81" spans="1:7" x14ac:dyDescent="0.3">
      <c r="A81" s="454">
        <v>10</v>
      </c>
      <c r="B81" s="434">
        <v>20.7</v>
      </c>
      <c r="C81" s="434">
        <v>57</v>
      </c>
      <c r="D81" s="434">
        <v>104.2</v>
      </c>
      <c r="E81" s="434">
        <v>36.299999999999997</v>
      </c>
      <c r="F81" s="434">
        <v>64.400000000000006</v>
      </c>
      <c r="G81" s="434">
        <v>116.8</v>
      </c>
    </row>
    <row r="82" spans="1:7" x14ac:dyDescent="0.3">
      <c r="A82" s="454">
        <v>11</v>
      </c>
      <c r="B82" s="434">
        <v>16.100000000000001</v>
      </c>
      <c r="C82" s="434">
        <v>65.8</v>
      </c>
      <c r="D82" s="434">
        <v>76.599999999999994</v>
      </c>
      <c r="E82" s="434"/>
      <c r="F82" s="434">
        <v>74</v>
      </c>
      <c r="G82" s="434">
        <v>114.6</v>
      </c>
    </row>
    <row r="83" spans="1:7" x14ac:dyDescent="0.3">
      <c r="A83" s="454">
        <v>12</v>
      </c>
      <c r="B83" s="434">
        <v>17.399999999999999</v>
      </c>
      <c r="C83" s="434">
        <v>67.099999999999994</v>
      </c>
      <c r="D83" s="434">
        <v>79.099999999999994</v>
      </c>
      <c r="E83" s="434"/>
      <c r="F83" s="434">
        <v>78.5</v>
      </c>
      <c r="G83" s="434">
        <v>116.7</v>
      </c>
    </row>
    <row r="84" spans="1:7" x14ac:dyDescent="0.3">
      <c r="A84" s="454">
        <v>13</v>
      </c>
      <c r="B84" s="434">
        <v>17.600000000000001</v>
      </c>
      <c r="C84" s="434">
        <v>39.200000000000003</v>
      </c>
      <c r="D84" s="434">
        <v>81.599999999999994</v>
      </c>
      <c r="E84" s="434"/>
      <c r="F84" s="434">
        <v>65.2</v>
      </c>
      <c r="G84" s="434">
        <v>108.6</v>
      </c>
    </row>
    <row r="85" spans="1:7" x14ac:dyDescent="0.3">
      <c r="A85" s="454">
        <v>14</v>
      </c>
      <c r="B85" s="434">
        <v>22</v>
      </c>
      <c r="C85" s="434">
        <v>64.400000000000006</v>
      </c>
      <c r="D85" s="434">
        <v>104.3</v>
      </c>
      <c r="E85" s="434"/>
      <c r="F85" s="434">
        <v>70.3</v>
      </c>
      <c r="G85" s="434">
        <v>105.7</v>
      </c>
    </row>
    <row r="86" spans="1:7" x14ac:dyDescent="0.3">
      <c r="A86" s="454">
        <v>15</v>
      </c>
      <c r="B86" s="434">
        <v>26</v>
      </c>
      <c r="C86" s="434">
        <v>67</v>
      </c>
      <c r="D86" s="434">
        <v>101.8</v>
      </c>
      <c r="E86" s="434"/>
      <c r="F86" s="434"/>
      <c r="G86" s="434">
        <v>106.3</v>
      </c>
    </row>
    <row r="87" spans="1:7" x14ac:dyDescent="0.3">
      <c r="A87" s="454">
        <v>16</v>
      </c>
      <c r="B87" s="434"/>
      <c r="C87" s="434">
        <v>47.9</v>
      </c>
      <c r="D87" s="434">
        <v>96.9</v>
      </c>
      <c r="E87" s="434"/>
      <c r="F87" s="434"/>
      <c r="G87" s="434">
        <v>99.4</v>
      </c>
    </row>
    <row r="88" spans="1:7" x14ac:dyDescent="0.3">
      <c r="A88" s="454">
        <v>17</v>
      </c>
      <c r="B88" s="434"/>
      <c r="C88" s="434">
        <v>37</v>
      </c>
      <c r="D88" s="434">
        <v>85.4</v>
      </c>
      <c r="E88" s="434"/>
      <c r="F88" s="434"/>
      <c r="G88" s="434">
        <v>110.2</v>
      </c>
    </row>
    <row r="89" spans="1:7" x14ac:dyDescent="0.3">
      <c r="A89" s="454">
        <v>18</v>
      </c>
      <c r="B89" s="434"/>
      <c r="C89" s="434">
        <v>65.099999999999994</v>
      </c>
      <c r="D89" s="434">
        <v>102.8</v>
      </c>
      <c r="E89" s="438"/>
      <c r="F89" s="438"/>
      <c r="G89" s="438"/>
    </row>
    <row r="90" spans="1:7" x14ac:dyDescent="0.3">
      <c r="A90" s="454">
        <v>19</v>
      </c>
      <c r="B90" s="434"/>
      <c r="C90" s="434">
        <v>52.6</v>
      </c>
      <c r="D90" s="434"/>
      <c r="E90" s="438"/>
      <c r="F90" s="438"/>
      <c r="G90" s="438"/>
    </row>
    <row r="91" spans="1:7" x14ac:dyDescent="0.3">
      <c r="A91" s="670" t="s">
        <v>359</v>
      </c>
      <c r="B91" s="670"/>
      <c r="C91" s="670"/>
      <c r="D91" s="663"/>
      <c r="E91" s="670"/>
      <c r="F91" s="670"/>
      <c r="G91" s="670"/>
    </row>
    <row r="92" spans="1:7" x14ac:dyDescent="0.3">
      <c r="A92" s="396"/>
      <c r="B92" s="674" t="s">
        <v>364</v>
      </c>
      <c r="C92" s="674"/>
      <c r="D92" s="674"/>
      <c r="E92" s="674" t="s">
        <v>365</v>
      </c>
      <c r="F92" s="674"/>
      <c r="G92" s="674"/>
    </row>
    <row r="93" spans="1:7" x14ac:dyDescent="0.3">
      <c r="A93" s="454" t="s">
        <v>366</v>
      </c>
      <c r="B93" s="433" t="s">
        <v>344</v>
      </c>
      <c r="C93" s="433" t="s">
        <v>345</v>
      </c>
      <c r="D93" s="433" t="s">
        <v>367</v>
      </c>
      <c r="E93" s="433" t="s">
        <v>368</v>
      </c>
      <c r="F93" s="433" t="s">
        <v>369</v>
      </c>
      <c r="G93" s="433" t="s">
        <v>370</v>
      </c>
    </row>
    <row r="94" spans="1:7" x14ac:dyDescent="0.3">
      <c r="A94" s="454">
        <v>1</v>
      </c>
      <c r="B94" s="434">
        <v>31.5</v>
      </c>
      <c r="C94" s="434">
        <v>58.5</v>
      </c>
      <c r="D94" s="434">
        <v>90.3</v>
      </c>
      <c r="E94" s="434">
        <v>46.4</v>
      </c>
      <c r="F94" s="434">
        <v>63.4</v>
      </c>
      <c r="G94" s="434">
        <v>110.4</v>
      </c>
    </row>
    <row r="95" spans="1:7" x14ac:dyDescent="0.3">
      <c r="A95" s="454">
        <v>2</v>
      </c>
      <c r="B95" s="434">
        <v>28.1</v>
      </c>
      <c r="C95" s="434">
        <v>64.599999999999994</v>
      </c>
      <c r="D95" s="434">
        <v>100.9</v>
      </c>
      <c r="E95" s="434">
        <v>59</v>
      </c>
      <c r="F95" s="434">
        <v>76.900000000000006</v>
      </c>
      <c r="G95" s="434">
        <v>107.1</v>
      </c>
    </row>
    <row r="96" spans="1:7" x14ac:dyDescent="0.3">
      <c r="A96" s="454">
        <v>3</v>
      </c>
      <c r="B96" s="434">
        <v>29.5</v>
      </c>
      <c r="C96" s="434">
        <v>47.3</v>
      </c>
      <c r="D96" s="434">
        <v>104.3</v>
      </c>
      <c r="E96" s="434">
        <v>36.200000000000003</v>
      </c>
      <c r="F96" s="434">
        <v>63.2</v>
      </c>
      <c r="G96" s="434">
        <v>97.2</v>
      </c>
    </row>
    <row r="97" spans="1:7" x14ac:dyDescent="0.3">
      <c r="A97" s="454">
        <v>4</v>
      </c>
      <c r="B97" s="434">
        <v>16.100000000000001</v>
      </c>
      <c r="C97" s="434">
        <v>57</v>
      </c>
      <c r="D97" s="434">
        <v>74.099999999999994</v>
      </c>
      <c r="E97" s="434">
        <v>27.2</v>
      </c>
      <c r="F97" s="434">
        <v>67.8</v>
      </c>
      <c r="G97" s="434">
        <v>83.8</v>
      </c>
    </row>
    <row r="98" spans="1:7" x14ac:dyDescent="0.3">
      <c r="A98" s="454">
        <v>5</v>
      </c>
      <c r="B98" s="434">
        <v>35.5</v>
      </c>
      <c r="C98" s="434">
        <v>67</v>
      </c>
      <c r="D98" s="434">
        <v>83</v>
      </c>
      <c r="E98" s="434">
        <v>58.1</v>
      </c>
      <c r="F98" s="434">
        <v>72.099999999999994</v>
      </c>
      <c r="G98" s="434">
        <v>108.2</v>
      </c>
    </row>
    <row r="99" spans="1:7" x14ac:dyDescent="0.3">
      <c r="A99" s="454">
        <v>6</v>
      </c>
      <c r="B99" s="434">
        <v>27.7</v>
      </c>
      <c r="C99" s="434">
        <v>67.7</v>
      </c>
      <c r="D99" s="434">
        <v>101.1</v>
      </c>
      <c r="E99" s="434">
        <v>25.8</v>
      </c>
      <c r="F99" s="434">
        <v>73.900000000000006</v>
      </c>
      <c r="G99" s="434">
        <v>87.9</v>
      </c>
    </row>
    <row r="100" spans="1:7" x14ac:dyDescent="0.3">
      <c r="A100" s="454">
        <v>7</v>
      </c>
      <c r="B100" s="434">
        <v>25.2</v>
      </c>
      <c r="C100" s="434">
        <v>66.7</v>
      </c>
      <c r="D100" s="434">
        <v>88.8</v>
      </c>
      <c r="E100" s="434">
        <v>35.6</v>
      </c>
      <c r="F100" s="434">
        <v>69.7</v>
      </c>
      <c r="G100" s="434">
        <v>114.9</v>
      </c>
    </row>
    <row r="101" spans="1:7" x14ac:dyDescent="0.3">
      <c r="A101" s="454">
        <v>8</v>
      </c>
      <c r="B101" s="434">
        <v>25.8</v>
      </c>
      <c r="C101" s="434">
        <v>38.299999999999997</v>
      </c>
      <c r="D101" s="434">
        <v>92.1</v>
      </c>
      <c r="E101" s="434">
        <v>47.4</v>
      </c>
      <c r="F101" s="434">
        <v>60.6</v>
      </c>
      <c r="G101" s="434">
        <v>108.9</v>
      </c>
    </row>
    <row r="102" spans="1:7" x14ac:dyDescent="0.3">
      <c r="A102" s="454">
        <v>9</v>
      </c>
      <c r="B102" s="434">
        <v>21.9</v>
      </c>
      <c r="C102" s="434">
        <v>37.9</v>
      </c>
      <c r="D102" s="434">
        <v>94.2</v>
      </c>
      <c r="E102" s="434"/>
      <c r="F102" s="434">
        <v>78.5</v>
      </c>
      <c r="G102" s="434">
        <v>95</v>
      </c>
    </row>
    <row r="103" spans="1:7" x14ac:dyDescent="0.3">
      <c r="A103" s="454">
        <v>10</v>
      </c>
      <c r="B103" s="434">
        <v>33.5</v>
      </c>
      <c r="C103" s="434">
        <v>44.9</v>
      </c>
      <c r="D103" s="434">
        <v>74.3</v>
      </c>
      <c r="E103" s="434"/>
      <c r="F103" s="434">
        <v>72.7</v>
      </c>
      <c r="G103" s="434">
        <v>89</v>
      </c>
    </row>
    <row r="104" spans="1:7" x14ac:dyDescent="0.3">
      <c r="A104" s="454">
        <v>11</v>
      </c>
      <c r="B104" s="434">
        <v>19.100000000000001</v>
      </c>
      <c r="C104" s="434">
        <v>37.299999999999997</v>
      </c>
      <c r="D104" s="434">
        <v>102</v>
      </c>
      <c r="E104" s="434"/>
      <c r="F104" s="434"/>
      <c r="G104" s="434">
        <v>89.3</v>
      </c>
    </row>
    <row r="105" spans="1:7" x14ac:dyDescent="0.3">
      <c r="A105" s="454">
        <v>12</v>
      </c>
      <c r="B105" s="434">
        <v>26.3</v>
      </c>
      <c r="C105" s="434">
        <v>50.1</v>
      </c>
      <c r="D105" s="434">
        <v>97.9</v>
      </c>
      <c r="E105" s="434"/>
      <c r="F105" s="434"/>
      <c r="G105" s="434">
        <v>112.3</v>
      </c>
    </row>
    <row r="106" spans="1:7" x14ac:dyDescent="0.3">
      <c r="A106" s="454">
        <v>13</v>
      </c>
      <c r="B106" s="434"/>
      <c r="C106" s="434">
        <v>47.9</v>
      </c>
      <c r="D106" s="434">
        <v>78.8</v>
      </c>
      <c r="E106" s="438"/>
      <c r="F106" s="438"/>
      <c r="G106" s="438"/>
    </row>
    <row r="107" spans="1:7" x14ac:dyDescent="0.3">
      <c r="A107" s="454">
        <v>14</v>
      </c>
      <c r="B107" s="434"/>
      <c r="C107" s="434">
        <v>50.9</v>
      </c>
      <c r="D107" s="434">
        <v>84.1</v>
      </c>
      <c r="E107" s="438"/>
      <c r="F107" s="438"/>
      <c r="G107" s="438"/>
    </row>
    <row r="108" spans="1:7" x14ac:dyDescent="0.3">
      <c r="A108" s="454">
        <v>15</v>
      </c>
      <c r="B108" s="434"/>
      <c r="C108" s="434">
        <v>66.099999999999994</v>
      </c>
      <c r="D108" s="434">
        <v>95.9</v>
      </c>
      <c r="E108" s="438"/>
      <c r="F108" s="438"/>
      <c r="G108" s="438"/>
    </row>
    <row r="109" spans="1:7" x14ac:dyDescent="0.3">
      <c r="A109" s="670" t="s">
        <v>360</v>
      </c>
      <c r="B109" s="670"/>
      <c r="C109" s="670"/>
      <c r="D109" s="663"/>
      <c r="E109" s="670"/>
      <c r="F109" s="670"/>
      <c r="G109" s="670"/>
    </row>
    <row r="110" spans="1:7" x14ac:dyDescent="0.3">
      <c r="A110" s="396"/>
      <c r="B110" s="674" t="s">
        <v>364</v>
      </c>
      <c r="C110" s="674"/>
      <c r="D110" s="674"/>
      <c r="E110" s="674" t="s">
        <v>365</v>
      </c>
      <c r="F110" s="674"/>
      <c r="G110" s="674"/>
    </row>
    <row r="111" spans="1:7" x14ac:dyDescent="0.3">
      <c r="A111" s="454" t="s">
        <v>366</v>
      </c>
      <c r="B111" s="433" t="s">
        <v>344</v>
      </c>
      <c r="C111" s="433" t="s">
        <v>345</v>
      </c>
      <c r="D111" s="433" t="s">
        <v>367</v>
      </c>
      <c r="E111" s="433" t="s">
        <v>368</v>
      </c>
      <c r="F111" s="433" t="s">
        <v>369</v>
      </c>
      <c r="G111" s="433" t="s">
        <v>370</v>
      </c>
    </row>
    <row r="112" spans="1:7" x14ac:dyDescent="0.3">
      <c r="A112" s="454">
        <v>1</v>
      </c>
      <c r="B112" s="434">
        <v>0</v>
      </c>
      <c r="C112" s="434">
        <v>0</v>
      </c>
      <c r="D112" s="434">
        <v>0</v>
      </c>
      <c r="E112" s="434">
        <v>48.6</v>
      </c>
      <c r="F112" s="434">
        <v>70.2</v>
      </c>
      <c r="G112" s="434">
        <v>106.9</v>
      </c>
    </row>
    <row r="113" spans="1:7" x14ac:dyDescent="0.3">
      <c r="A113" s="454">
        <v>2</v>
      </c>
      <c r="B113" s="434"/>
      <c r="C113" s="434"/>
      <c r="D113" s="434"/>
      <c r="E113" s="434">
        <v>32.200000000000003</v>
      </c>
      <c r="F113" s="434">
        <v>62</v>
      </c>
      <c r="G113" s="434">
        <v>83.1</v>
      </c>
    </row>
    <row r="114" spans="1:7" x14ac:dyDescent="0.3">
      <c r="A114" s="454">
        <v>3</v>
      </c>
      <c r="B114" s="434"/>
      <c r="C114" s="434"/>
      <c r="D114" s="434"/>
      <c r="E114" s="434">
        <v>34.6</v>
      </c>
      <c r="F114" s="434">
        <v>65.3</v>
      </c>
      <c r="G114" s="434">
        <v>108.7</v>
      </c>
    </row>
    <row r="115" spans="1:7" x14ac:dyDescent="0.3">
      <c r="A115" s="454">
        <v>4</v>
      </c>
      <c r="B115" s="434"/>
      <c r="C115" s="434"/>
      <c r="D115" s="434"/>
      <c r="E115" s="434"/>
      <c r="F115" s="434">
        <v>72.900000000000006</v>
      </c>
      <c r="G115" s="434">
        <v>119.2</v>
      </c>
    </row>
    <row r="116" spans="1:7" x14ac:dyDescent="0.3">
      <c r="A116" s="454">
        <v>5</v>
      </c>
      <c r="B116" s="434"/>
      <c r="C116" s="434"/>
      <c r="D116" s="434"/>
      <c r="E116" s="434"/>
      <c r="F116" s="434">
        <v>79.3</v>
      </c>
      <c r="G116" s="434">
        <v>112.3</v>
      </c>
    </row>
    <row r="117" spans="1:7" x14ac:dyDescent="0.3">
      <c r="A117" s="670" t="s">
        <v>361</v>
      </c>
      <c r="B117" s="670"/>
      <c r="C117" s="670"/>
      <c r="D117" s="663"/>
      <c r="E117" s="670"/>
      <c r="F117" s="670"/>
      <c r="G117" s="670"/>
    </row>
    <row r="118" spans="1:7" x14ac:dyDescent="0.3">
      <c r="A118" s="396"/>
      <c r="B118" s="674" t="s">
        <v>364</v>
      </c>
      <c r="C118" s="674"/>
      <c r="D118" s="674"/>
      <c r="E118" s="674" t="s">
        <v>365</v>
      </c>
      <c r="F118" s="674"/>
      <c r="G118" s="674"/>
    </row>
    <row r="119" spans="1:7" x14ac:dyDescent="0.3">
      <c r="A119" s="454" t="s">
        <v>366</v>
      </c>
      <c r="B119" s="433" t="s">
        <v>344</v>
      </c>
      <c r="C119" s="433" t="s">
        <v>345</v>
      </c>
      <c r="D119" s="433" t="s">
        <v>367</v>
      </c>
      <c r="E119" s="433" t="s">
        <v>368</v>
      </c>
      <c r="F119" s="433" t="s">
        <v>369</v>
      </c>
      <c r="G119" s="433" t="s">
        <v>370</v>
      </c>
    </row>
    <row r="120" spans="1:7" x14ac:dyDescent="0.3">
      <c r="A120" s="454">
        <v>1</v>
      </c>
      <c r="B120" s="434">
        <v>20.7</v>
      </c>
      <c r="C120" s="434">
        <v>44.3</v>
      </c>
      <c r="D120" s="434">
        <v>73.8</v>
      </c>
      <c r="E120" s="434">
        <v>29.9</v>
      </c>
      <c r="F120" s="434">
        <v>67.099999999999994</v>
      </c>
      <c r="G120" s="434">
        <v>118.8</v>
      </c>
    </row>
    <row r="121" spans="1:7" x14ac:dyDescent="0.3">
      <c r="A121" s="454">
        <v>2</v>
      </c>
      <c r="B121" s="434">
        <v>28</v>
      </c>
      <c r="C121" s="434">
        <v>60</v>
      </c>
      <c r="D121" s="434">
        <v>75.8</v>
      </c>
      <c r="E121" s="434">
        <v>39.200000000000003</v>
      </c>
      <c r="F121" s="434">
        <v>69.5</v>
      </c>
      <c r="G121" s="434">
        <v>118.6</v>
      </c>
    </row>
    <row r="122" spans="1:7" x14ac:dyDescent="0.3">
      <c r="A122" s="454">
        <v>3</v>
      </c>
      <c r="B122" s="434">
        <v>24.8</v>
      </c>
      <c r="C122" s="434">
        <v>64.2</v>
      </c>
      <c r="D122" s="434">
        <v>72.099999999999994</v>
      </c>
      <c r="E122" s="434">
        <v>38.5</v>
      </c>
      <c r="F122" s="434">
        <v>61.1</v>
      </c>
      <c r="G122" s="434">
        <v>103.1</v>
      </c>
    </row>
    <row r="123" spans="1:7" x14ac:dyDescent="0.3">
      <c r="A123" s="454">
        <v>4</v>
      </c>
      <c r="B123" s="434">
        <v>31.7</v>
      </c>
      <c r="C123" s="434">
        <v>49.3</v>
      </c>
      <c r="D123" s="434">
        <v>91.3</v>
      </c>
      <c r="E123" s="434"/>
      <c r="F123" s="434">
        <v>62.8</v>
      </c>
      <c r="G123" s="434">
        <v>89</v>
      </c>
    </row>
    <row r="124" spans="1:7" x14ac:dyDescent="0.3">
      <c r="A124" s="454">
        <v>5</v>
      </c>
      <c r="B124" s="434">
        <v>36.700000000000003</v>
      </c>
      <c r="C124" s="434">
        <v>65.5</v>
      </c>
      <c r="D124" s="434">
        <v>95.9</v>
      </c>
      <c r="E124" s="434"/>
      <c r="F124" s="434">
        <v>79.900000000000006</v>
      </c>
      <c r="G124" s="434">
        <v>119.3</v>
      </c>
    </row>
    <row r="125" spans="1:7" x14ac:dyDescent="0.3">
      <c r="A125" s="454">
        <v>6</v>
      </c>
      <c r="B125" s="434">
        <v>31.2</v>
      </c>
      <c r="C125" s="434">
        <v>43.9</v>
      </c>
      <c r="D125" s="434">
        <v>73.3</v>
      </c>
      <c r="E125" s="434"/>
      <c r="F125" s="434"/>
      <c r="G125" s="434">
        <v>82.5</v>
      </c>
    </row>
    <row r="126" spans="1:7" x14ac:dyDescent="0.3">
      <c r="A126" s="454">
        <v>7</v>
      </c>
      <c r="B126" s="434">
        <v>16.600000000000001</v>
      </c>
      <c r="C126" s="434">
        <v>62.8</v>
      </c>
      <c r="D126" s="434">
        <v>69.3</v>
      </c>
      <c r="E126" s="434"/>
      <c r="F126" s="434"/>
      <c r="G126" s="434"/>
    </row>
    <row r="127" spans="1:7" x14ac:dyDescent="0.3">
      <c r="A127" s="454">
        <v>8</v>
      </c>
      <c r="B127" s="434"/>
      <c r="C127" s="434">
        <v>45.9</v>
      </c>
      <c r="D127" s="434">
        <v>91.1</v>
      </c>
      <c r="E127" s="434"/>
      <c r="F127" s="434"/>
      <c r="G127" s="434"/>
    </row>
    <row r="128" spans="1:7" x14ac:dyDescent="0.3">
      <c r="A128" s="454">
        <v>9</v>
      </c>
      <c r="B128" s="434"/>
      <c r="C128" s="434">
        <v>46.5</v>
      </c>
      <c r="D128" s="434"/>
      <c r="E128" s="434"/>
      <c r="F128" s="434"/>
      <c r="G128" s="434"/>
    </row>
    <row r="129" spans="1:7" x14ac:dyDescent="0.3">
      <c r="A129" s="670" t="s">
        <v>362</v>
      </c>
      <c r="B129" s="670"/>
      <c r="C129" s="670"/>
      <c r="D129" s="663"/>
      <c r="E129" s="670"/>
      <c r="F129" s="670"/>
      <c r="G129" s="670"/>
    </row>
    <row r="130" spans="1:7" x14ac:dyDescent="0.3">
      <c r="A130" s="396"/>
      <c r="B130" s="674" t="s">
        <v>364</v>
      </c>
      <c r="C130" s="674"/>
      <c r="D130" s="674"/>
      <c r="E130" s="674" t="s">
        <v>365</v>
      </c>
      <c r="F130" s="674"/>
      <c r="G130" s="674"/>
    </row>
    <row r="131" spans="1:7" x14ac:dyDescent="0.3">
      <c r="A131" s="454" t="s">
        <v>366</v>
      </c>
      <c r="B131" s="433" t="s">
        <v>344</v>
      </c>
      <c r="C131" s="433" t="s">
        <v>345</v>
      </c>
      <c r="D131" s="433" t="s">
        <v>367</v>
      </c>
      <c r="E131" s="433" t="s">
        <v>368</v>
      </c>
      <c r="F131" s="433" t="s">
        <v>369</v>
      </c>
      <c r="G131" s="433" t="s">
        <v>370</v>
      </c>
    </row>
    <row r="132" spans="1:7" x14ac:dyDescent="0.3">
      <c r="A132" s="454">
        <v>1</v>
      </c>
      <c r="B132" s="434">
        <v>0</v>
      </c>
      <c r="C132" s="434">
        <v>0</v>
      </c>
      <c r="D132" s="434">
        <v>0</v>
      </c>
      <c r="E132" s="434">
        <v>32.4</v>
      </c>
      <c r="F132" s="434">
        <v>74.900000000000006</v>
      </c>
      <c r="G132" s="434">
        <v>104.8</v>
      </c>
    </row>
    <row r="133" spans="1:7" x14ac:dyDescent="0.3">
      <c r="A133" s="454">
        <v>2</v>
      </c>
      <c r="B133" s="434"/>
      <c r="C133" s="434"/>
      <c r="D133" s="434"/>
      <c r="E133" s="434">
        <v>30.9</v>
      </c>
      <c r="F133" s="434">
        <v>65.5</v>
      </c>
      <c r="G133" s="434">
        <v>91.6</v>
      </c>
    </row>
    <row r="134" spans="1:7" x14ac:dyDescent="0.3">
      <c r="A134" s="454">
        <v>3</v>
      </c>
      <c r="B134" s="434"/>
      <c r="C134" s="434"/>
      <c r="D134" s="434"/>
      <c r="E134" s="434">
        <v>34</v>
      </c>
      <c r="F134" s="434">
        <v>66.599999999999994</v>
      </c>
      <c r="G134" s="434">
        <v>108.1</v>
      </c>
    </row>
    <row r="135" spans="1:7" x14ac:dyDescent="0.3">
      <c r="A135" s="454">
        <v>4</v>
      </c>
      <c r="B135" s="434"/>
      <c r="C135" s="434"/>
      <c r="D135" s="434"/>
      <c r="E135" s="434">
        <v>43.4</v>
      </c>
      <c r="F135" s="434">
        <v>74.7</v>
      </c>
      <c r="G135" s="434">
        <v>81.400000000000006</v>
      </c>
    </row>
    <row r="136" spans="1:7" x14ac:dyDescent="0.3">
      <c r="A136" s="454">
        <v>5</v>
      </c>
      <c r="B136" s="434"/>
      <c r="C136" s="434"/>
      <c r="D136" s="434"/>
      <c r="E136" s="434"/>
      <c r="F136" s="434">
        <v>63.1</v>
      </c>
      <c r="G136" s="434">
        <v>99.2</v>
      </c>
    </row>
    <row r="137" spans="1:7" x14ac:dyDescent="0.3">
      <c r="A137" s="442"/>
      <c r="B137" s="443"/>
      <c r="C137" s="443"/>
      <c r="D137" s="443"/>
      <c r="E137" s="443"/>
      <c r="F137" s="443"/>
      <c r="G137" s="443"/>
    </row>
    <row r="138" spans="1:7" x14ac:dyDescent="0.3">
      <c r="A138" s="442"/>
      <c r="B138" s="443"/>
      <c r="C138" s="443"/>
      <c r="D138" s="443"/>
      <c r="E138" s="441"/>
      <c r="F138" s="443"/>
      <c r="G138" s="443"/>
    </row>
    <row r="139" spans="1:7" x14ac:dyDescent="0.3">
      <c r="A139" s="442"/>
      <c r="B139" s="443"/>
      <c r="C139" s="443"/>
      <c r="D139" s="443"/>
      <c r="E139" s="441"/>
      <c r="F139" s="441"/>
      <c r="G139" s="443"/>
    </row>
    <row r="140" spans="1:7" x14ac:dyDescent="0.3">
      <c r="A140" s="442"/>
      <c r="B140" s="443"/>
      <c r="C140" s="443"/>
      <c r="D140" s="443"/>
      <c r="E140" s="441"/>
      <c r="F140" s="441"/>
      <c r="G140" s="441"/>
    </row>
    <row r="141" spans="1:7" x14ac:dyDescent="0.3">
      <c r="A141" s="668" t="s">
        <v>160</v>
      </c>
      <c r="B141" s="666" t="s">
        <v>161</v>
      </c>
      <c r="C141" s="667"/>
      <c r="D141" s="666" t="s">
        <v>162</v>
      </c>
      <c r="E141" s="667"/>
      <c r="F141" s="666" t="s">
        <v>163</v>
      </c>
      <c r="G141" s="667"/>
    </row>
    <row r="142" spans="1:7" x14ac:dyDescent="0.3">
      <c r="A142" s="669"/>
      <c r="B142" s="432" t="s">
        <v>164</v>
      </c>
      <c r="C142" s="432" t="s">
        <v>165</v>
      </c>
      <c r="D142" s="432" t="s">
        <v>164</v>
      </c>
      <c r="E142" s="432" t="s">
        <v>165</v>
      </c>
      <c r="F142" s="432" t="s">
        <v>164</v>
      </c>
      <c r="G142" s="432" t="s">
        <v>165</v>
      </c>
    </row>
    <row r="143" spans="1:7" x14ac:dyDescent="0.3">
      <c r="A143" s="433" t="s">
        <v>353</v>
      </c>
      <c r="B143" s="435">
        <f>ROUNDDOWN(AVERAGE(B6:D11),1)</f>
        <v>0</v>
      </c>
      <c r="C143" s="435">
        <f>ROUNDDOWN(AVERAGE(E6:G11),1)</f>
        <v>75.400000000000006</v>
      </c>
      <c r="D143" s="432">
        <v>0</v>
      </c>
      <c r="E143" s="432">
        <v>5581</v>
      </c>
      <c r="F143" s="432">
        <f>B143*D143</f>
        <v>0</v>
      </c>
      <c r="G143" s="432">
        <f>C143*E143</f>
        <v>420807.4</v>
      </c>
    </row>
    <row r="144" spans="1:7" x14ac:dyDescent="0.3">
      <c r="A144" s="433" t="s">
        <v>354</v>
      </c>
      <c r="B144" s="435">
        <f>ROUNDDOWN(AVERAGE(B15:D20),1)</f>
        <v>0</v>
      </c>
      <c r="C144" s="435">
        <f>ROUNDDOWN(AVERAGE(E15:G20),1)</f>
        <v>71.7</v>
      </c>
      <c r="D144" s="432">
        <v>0</v>
      </c>
      <c r="E144" s="432">
        <v>6981</v>
      </c>
      <c r="F144" s="432">
        <f t="shared" ref="F144:G152" si="0">B144*D144</f>
        <v>0</v>
      </c>
      <c r="G144" s="432">
        <f t="shared" si="0"/>
        <v>500537.7</v>
      </c>
    </row>
    <row r="145" spans="1:7" x14ac:dyDescent="0.3">
      <c r="A145" s="433" t="s">
        <v>355</v>
      </c>
      <c r="B145" s="435">
        <f>ROUNDDOWN(AVERAGE(B24:D38),1)</f>
        <v>55.6</v>
      </c>
      <c r="C145" s="435">
        <f>ROUNDDOWN(AVERAGE(E24:G38),1)</f>
        <v>76.099999999999994</v>
      </c>
      <c r="D145" s="432">
        <v>16871</v>
      </c>
      <c r="E145" s="432">
        <v>13888</v>
      </c>
      <c r="F145" s="432">
        <f t="shared" si="0"/>
        <v>938027.6</v>
      </c>
      <c r="G145" s="432">
        <f t="shared" si="0"/>
        <v>1056876.7999999998</v>
      </c>
    </row>
    <row r="146" spans="1:7" x14ac:dyDescent="0.3">
      <c r="A146" s="433" t="s">
        <v>356</v>
      </c>
      <c r="B146" s="435">
        <f>ROUNDDOWN(AVERAGE(B42:D56),1)</f>
        <v>57.2</v>
      </c>
      <c r="C146" s="435">
        <f>ROUNDDOWN(AVERAGE(E42:G56),1)</f>
        <v>75.400000000000006</v>
      </c>
      <c r="D146" s="432">
        <v>16520</v>
      </c>
      <c r="E146" s="432">
        <v>15173</v>
      </c>
      <c r="F146" s="432">
        <f t="shared" si="0"/>
        <v>944944</v>
      </c>
      <c r="G146" s="432">
        <f t="shared" si="0"/>
        <v>1144044.2000000002</v>
      </c>
    </row>
    <row r="147" spans="1:7" x14ac:dyDescent="0.3">
      <c r="A147" s="433" t="s">
        <v>357</v>
      </c>
      <c r="B147" s="435">
        <f>ROUNDDOWN(AVERAGE(B60:D68),1)</f>
        <v>58.5</v>
      </c>
      <c r="C147" s="435">
        <f>ROUNDDOWN(AVERAGE(E60:G68),1)</f>
        <v>74.900000000000006</v>
      </c>
      <c r="D147" s="432">
        <v>10059</v>
      </c>
      <c r="E147" s="432">
        <v>6431</v>
      </c>
      <c r="F147" s="432">
        <f t="shared" si="0"/>
        <v>588451.5</v>
      </c>
      <c r="G147" s="432">
        <f t="shared" si="0"/>
        <v>481681.9</v>
      </c>
    </row>
    <row r="148" spans="1:7" x14ac:dyDescent="0.3">
      <c r="A148" s="433" t="s">
        <v>358</v>
      </c>
      <c r="B148" s="435">
        <f>ROUNDDOWN(AVERAGE(B72:D90),1)</f>
        <v>55.7</v>
      </c>
      <c r="C148" s="435">
        <f>ROUNDDOWN(AVERAGE(E72:G90),1)</f>
        <v>77.8</v>
      </c>
      <c r="D148" s="432">
        <v>20494</v>
      </c>
      <c r="E148" s="432">
        <v>19238</v>
      </c>
      <c r="F148" s="432">
        <f t="shared" si="0"/>
        <v>1141515.8</v>
      </c>
      <c r="G148" s="432">
        <f t="shared" si="0"/>
        <v>1496716.4</v>
      </c>
    </row>
    <row r="149" spans="1:7" x14ac:dyDescent="0.3">
      <c r="A149" s="433" t="s">
        <v>359</v>
      </c>
      <c r="B149" s="435">
        <f>ROUNDDOWN(AVERAGE(B94:D108),1)</f>
        <v>59.1</v>
      </c>
      <c r="C149" s="435">
        <f>ROUNDDOWN(AVERAGE(E94:G108),1)</f>
        <v>74.599999999999994</v>
      </c>
      <c r="D149" s="432">
        <v>16458</v>
      </c>
      <c r="E149" s="432">
        <v>13919</v>
      </c>
      <c r="F149" s="432">
        <f t="shared" si="0"/>
        <v>972667.8</v>
      </c>
      <c r="G149" s="432">
        <f t="shared" si="0"/>
        <v>1038357.3999999999</v>
      </c>
    </row>
    <row r="150" spans="1:7" x14ac:dyDescent="0.3">
      <c r="A150" s="433" t="s">
        <v>360</v>
      </c>
      <c r="B150" s="435">
        <f>ROUNDDOWN(AVERAGE(B112:D116),1)</f>
        <v>0</v>
      </c>
      <c r="C150" s="435">
        <f>ROUNDDOWN(AVERAGE(E112:G116),1)</f>
        <v>76.5</v>
      </c>
      <c r="D150" s="432">
        <v>0</v>
      </c>
      <c r="E150" s="432">
        <v>5017</v>
      </c>
      <c r="F150" s="432">
        <f t="shared" si="0"/>
        <v>0</v>
      </c>
      <c r="G150" s="432">
        <f t="shared" si="0"/>
        <v>383800.5</v>
      </c>
    </row>
    <row r="151" spans="1:7" x14ac:dyDescent="0.3">
      <c r="A151" s="433" t="s">
        <v>361</v>
      </c>
      <c r="B151" s="435">
        <f>ROUNDDOWN(AVERAGE(B120:D128),1)</f>
        <v>54.7</v>
      </c>
      <c r="C151" s="435">
        <f>ROUNDDOWN(AVERAGE(E120:G128),1)</f>
        <v>77</v>
      </c>
      <c r="D151" s="432">
        <v>9275</v>
      </c>
      <c r="E151" s="432">
        <v>5957</v>
      </c>
      <c r="F151" s="432">
        <f t="shared" si="0"/>
        <v>507342.5</v>
      </c>
      <c r="G151" s="432">
        <f t="shared" si="0"/>
        <v>458689</v>
      </c>
    </row>
    <row r="152" spans="1:7" x14ac:dyDescent="0.3">
      <c r="A152" s="433" t="s">
        <v>362</v>
      </c>
      <c r="B152" s="435">
        <f>ROUNDDOWN(AVERAGE(B132:D136),1)</f>
        <v>0</v>
      </c>
      <c r="C152" s="435">
        <f>ROUNDDOWN(AVERAGE(E132:G136),1)</f>
        <v>69.3</v>
      </c>
      <c r="D152" s="432">
        <v>0</v>
      </c>
      <c r="E152" s="432">
        <v>5979</v>
      </c>
      <c r="F152" s="432">
        <f t="shared" si="0"/>
        <v>0</v>
      </c>
      <c r="G152" s="432">
        <f t="shared" si="0"/>
        <v>414344.7</v>
      </c>
    </row>
    <row r="153" spans="1:7" x14ac:dyDescent="0.3">
      <c r="A153" s="433" t="s">
        <v>166</v>
      </c>
      <c r="B153" s="433"/>
      <c r="C153" s="433"/>
      <c r="D153" s="432">
        <f>SUM(D143:D152)</f>
        <v>89677</v>
      </c>
      <c r="E153" s="432">
        <f>SUM(E143:E152)</f>
        <v>98164</v>
      </c>
      <c r="F153" s="432">
        <f>SUM(F143:F152)</f>
        <v>5092949.2</v>
      </c>
      <c r="G153" s="432">
        <f>SUM(G143:G152)</f>
        <v>7395856.0000000009</v>
      </c>
    </row>
    <row r="154" spans="1:7" x14ac:dyDescent="0.3">
      <c r="A154" s="441"/>
      <c r="B154" s="441"/>
      <c r="C154" s="441"/>
      <c r="D154" s="442"/>
      <c r="E154" s="442"/>
      <c r="F154" s="442"/>
      <c r="G154" s="442"/>
    </row>
    <row r="156" spans="1:7" x14ac:dyDescent="0.3">
      <c r="C156" s="666" t="s">
        <v>167</v>
      </c>
      <c r="D156" s="667"/>
    </row>
    <row r="157" spans="1:7" x14ac:dyDescent="0.3">
      <c r="C157" s="432" t="s">
        <v>164</v>
      </c>
      <c r="D157" s="432" t="s">
        <v>165</v>
      </c>
    </row>
    <row r="158" spans="1:7" x14ac:dyDescent="0.3">
      <c r="C158" s="436">
        <f>ROUNDDOWN(F153/D153,1)</f>
        <v>56.7</v>
      </c>
      <c r="D158" s="437">
        <f>ROUNDDOWN(G153/E153,1)</f>
        <v>75.3</v>
      </c>
    </row>
  </sheetData>
  <mergeCells count="37">
    <mergeCell ref="C156:D156"/>
    <mergeCell ref="B130:D130"/>
    <mergeCell ref="E130:G130"/>
    <mergeCell ref="A141:A142"/>
    <mergeCell ref="B141:C141"/>
    <mergeCell ref="D141:E141"/>
    <mergeCell ref="F141:G141"/>
    <mergeCell ref="A129:G129"/>
    <mergeCell ref="B70:D70"/>
    <mergeCell ref="E70:G70"/>
    <mergeCell ref="A91:G91"/>
    <mergeCell ref="B92:D92"/>
    <mergeCell ref="E92:G92"/>
    <mergeCell ref="A109:G109"/>
    <mergeCell ref="B110:D110"/>
    <mergeCell ref="E110:G110"/>
    <mergeCell ref="A117:G117"/>
    <mergeCell ref="B118:D118"/>
    <mergeCell ref="E118:G118"/>
    <mergeCell ref="A69:G69"/>
    <mergeCell ref="B13:D13"/>
    <mergeCell ref="E13:G13"/>
    <mergeCell ref="A21:G21"/>
    <mergeCell ref="B22:D22"/>
    <mergeCell ref="E22:G22"/>
    <mergeCell ref="A39:G39"/>
    <mergeCell ref="B40:D40"/>
    <mergeCell ref="E40:G40"/>
    <mergeCell ref="A57:G57"/>
    <mergeCell ref="B58:D58"/>
    <mergeCell ref="E58:G58"/>
    <mergeCell ref="A12:G12"/>
    <mergeCell ref="A1:G1"/>
    <mergeCell ref="A2:G2"/>
    <mergeCell ref="A3:G3"/>
    <mergeCell ref="B4:D4"/>
    <mergeCell ref="E4:G4"/>
  </mergeCells>
  <phoneticPr fontId="11" type="noConversion"/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C0A19-1D2F-4297-9E59-5107DBFA0BCD}">
  <dimension ref="A1:I158"/>
  <sheetViews>
    <sheetView zoomScale="80" zoomScaleNormal="80" workbookViewId="0">
      <selection activeCell="H61" sqref="H61"/>
    </sheetView>
  </sheetViews>
  <sheetFormatPr defaultColWidth="8.7265625" defaultRowHeight="14" x14ac:dyDescent="0.3"/>
  <cols>
    <col min="1" max="1" width="22.453125" style="395" customWidth="1"/>
    <col min="2" max="2" width="16.26953125" style="395" bestFit="1" customWidth="1"/>
    <col min="3" max="3" width="22.90625" style="395" bestFit="1" customWidth="1"/>
    <col min="4" max="4" width="22.6328125" style="395" bestFit="1" customWidth="1"/>
    <col min="5" max="5" width="21.453125" style="395" bestFit="1" customWidth="1"/>
    <col min="6" max="6" width="23.453125" style="395" bestFit="1" customWidth="1"/>
    <col min="7" max="7" width="23.08984375" style="395" bestFit="1" customWidth="1"/>
    <col min="8" max="8" width="14.81640625" style="395" customWidth="1"/>
    <col min="9" max="16384" width="8.7265625" style="395"/>
  </cols>
  <sheetData>
    <row r="1" spans="1:9" x14ac:dyDescent="0.3">
      <c r="A1" s="657" t="s">
        <v>322</v>
      </c>
      <c r="B1" s="658"/>
      <c r="C1" s="658"/>
      <c r="D1" s="658"/>
      <c r="E1" s="658"/>
      <c r="F1" s="658"/>
      <c r="G1" s="659"/>
    </row>
    <row r="2" spans="1:9" ht="33" customHeight="1" x14ac:dyDescent="0.3">
      <c r="A2" s="660" t="s">
        <v>373</v>
      </c>
      <c r="B2" s="661"/>
      <c r="C2" s="661"/>
      <c r="D2" s="661"/>
      <c r="E2" s="661"/>
      <c r="F2" s="661"/>
      <c r="G2" s="662"/>
    </row>
    <row r="3" spans="1:9" x14ac:dyDescent="0.3">
      <c r="A3" s="671" t="s">
        <v>353</v>
      </c>
      <c r="B3" s="672"/>
      <c r="C3" s="672"/>
      <c r="D3" s="672"/>
      <c r="E3" s="672"/>
      <c r="F3" s="672"/>
      <c r="G3" s="673"/>
    </row>
    <row r="4" spans="1:9" x14ac:dyDescent="0.3">
      <c r="A4" s="396"/>
      <c r="B4" s="666" t="s">
        <v>364</v>
      </c>
      <c r="C4" s="675"/>
      <c r="D4" s="667"/>
      <c r="E4" s="666" t="s">
        <v>365</v>
      </c>
      <c r="F4" s="675"/>
      <c r="G4" s="667"/>
    </row>
    <row r="5" spans="1:9" x14ac:dyDescent="0.3">
      <c r="A5" s="454" t="s">
        <v>366</v>
      </c>
      <c r="B5" s="433" t="s">
        <v>344</v>
      </c>
      <c r="C5" s="433" t="s">
        <v>345</v>
      </c>
      <c r="D5" s="433" t="s">
        <v>367</v>
      </c>
      <c r="E5" s="433" t="s">
        <v>368</v>
      </c>
      <c r="F5" s="433" t="s">
        <v>369</v>
      </c>
      <c r="G5" s="433" t="s">
        <v>370</v>
      </c>
      <c r="H5" s="440"/>
      <c r="I5" s="441"/>
    </row>
    <row r="6" spans="1:9" x14ac:dyDescent="0.3">
      <c r="A6" s="454">
        <v>1</v>
      </c>
      <c r="B6" s="434">
        <v>0</v>
      </c>
      <c r="C6" s="434">
        <v>0</v>
      </c>
      <c r="D6" s="434">
        <v>0</v>
      </c>
      <c r="E6" s="434">
        <v>30.1</v>
      </c>
      <c r="F6" s="434">
        <v>68.099999999999994</v>
      </c>
      <c r="G6" s="434">
        <v>92.4</v>
      </c>
    </row>
    <row r="7" spans="1:9" x14ac:dyDescent="0.3">
      <c r="A7" s="454">
        <v>2</v>
      </c>
      <c r="B7" s="434"/>
      <c r="C7" s="434"/>
      <c r="D7" s="434"/>
      <c r="E7" s="434">
        <v>53</v>
      </c>
      <c r="F7" s="434">
        <v>62.7</v>
      </c>
      <c r="G7" s="434">
        <v>111.2</v>
      </c>
    </row>
    <row r="8" spans="1:9" x14ac:dyDescent="0.3">
      <c r="A8" s="454">
        <v>3</v>
      </c>
      <c r="B8" s="434"/>
      <c r="C8" s="434"/>
      <c r="D8" s="434"/>
      <c r="E8" s="434">
        <v>34.5</v>
      </c>
      <c r="F8" s="434">
        <v>61.1</v>
      </c>
      <c r="G8" s="434">
        <v>115.5</v>
      </c>
    </row>
    <row r="9" spans="1:9" x14ac:dyDescent="0.3">
      <c r="A9" s="454">
        <v>4</v>
      </c>
      <c r="B9" s="434"/>
      <c r="C9" s="434"/>
      <c r="D9" s="434"/>
      <c r="E9" s="434"/>
      <c r="F9" s="434">
        <v>74.2</v>
      </c>
      <c r="G9" s="434">
        <v>85.9</v>
      </c>
    </row>
    <row r="10" spans="1:9" x14ac:dyDescent="0.3">
      <c r="A10" s="454">
        <v>5</v>
      </c>
      <c r="B10" s="434"/>
      <c r="C10" s="434"/>
      <c r="D10" s="434"/>
      <c r="E10" s="434"/>
      <c r="F10" s="434">
        <v>65.599999999999994</v>
      </c>
      <c r="G10" s="434">
        <v>91.4</v>
      </c>
    </row>
    <row r="11" spans="1:9" x14ac:dyDescent="0.3">
      <c r="A11" s="454">
        <v>6</v>
      </c>
      <c r="B11" s="434"/>
      <c r="C11" s="434"/>
      <c r="D11" s="434"/>
      <c r="E11" s="434"/>
      <c r="F11" s="434"/>
      <c r="G11" s="434">
        <v>81.099999999999994</v>
      </c>
    </row>
    <row r="12" spans="1:9" x14ac:dyDescent="0.3">
      <c r="A12" s="671" t="s">
        <v>354</v>
      </c>
      <c r="B12" s="672"/>
      <c r="C12" s="672"/>
      <c r="D12" s="672"/>
      <c r="E12" s="672"/>
      <c r="F12" s="672"/>
      <c r="G12" s="673"/>
    </row>
    <row r="13" spans="1:9" x14ac:dyDescent="0.3">
      <c r="A13" s="396"/>
      <c r="B13" s="666" t="s">
        <v>364</v>
      </c>
      <c r="C13" s="675"/>
      <c r="D13" s="667"/>
      <c r="E13" s="666" t="s">
        <v>365</v>
      </c>
      <c r="F13" s="675"/>
      <c r="G13" s="667"/>
    </row>
    <row r="14" spans="1:9" x14ac:dyDescent="0.3">
      <c r="A14" s="454" t="s">
        <v>366</v>
      </c>
      <c r="B14" s="433" t="s">
        <v>344</v>
      </c>
      <c r="C14" s="433" t="s">
        <v>345</v>
      </c>
      <c r="D14" s="433" t="s">
        <v>367</v>
      </c>
      <c r="E14" s="433" t="s">
        <v>368</v>
      </c>
      <c r="F14" s="433" t="s">
        <v>369</v>
      </c>
      <c r="G14" s="433" t="s">
        <v>370</v>
      </c>
    </row>
    <row r="15" spans="1:9" x14ac:dyDescent="0.3">
      <c r="A15" s="454">
        <v>1</v>
      </c>
      <c r="B15" s="434">
        <v>0</v>
      </c>
      <c r="C15" s="434">
        <v>0</v>
      </c>
      <c r="D15" s="434">
        <v>0</v>
      </c>
      <c r="E15" s="434">
        <v>26.2</v>
      </c>
      <c r="F15" s="434">
        <v>63.7</v>
      </c>
      <c r="G15" s="434">
        <v>93.5</v>
      </c>
    </row>
    <row r="16" spans="1:9" x14ac:dyDescent="0.3">
      <c r="A16" s="454">
        <v>2</v>
      </c>
      <c r="B16" s="434"/>
      <c r="C16" s="434"/>
      <c r="D16" s="434"/>
      <c r="E16" s="434">
        <v>34.9</v>
      </c>
      <c r="F16" s="434">
        <v>67</v>
      </c>
      <c r="G16" s="434">
        <v>81.5</v>
      </c>
    </row>
    <row r="17" spans="1:7" x14ac:dyDescent="0.3">
      <c r="A17" s="454">
        <v>3</v>
      </c>
      <c r="B17" s="434"/>
      <c r="C17" s="434"/>
      <c r="D17" s="434"/>
      <c r="E17" s="434">
        <v>26.4</v>
      </c>
      <c r="F17" s="434">
        <v>68.7</v>
      </c>
      <c r="G17" s="434">
        <v>82.9</v>
      </c>
    </row>
    <row r="18" spans="1:7" x14ac:dyDescent="0.3">
      <c r="A18" s="454">
        <v>4</v>
      </c>
      <c r="B18" s="434"/>
      <c r="C18" s="434"/>
      <c r="D18" s="434"/>
      <c r="E18" s="434">
        <v>39.299999999999997</v>
      </c>
      <c r="F18" s="434">
        <v>69.400000000000006</v>
      </c>
      <c r="G18" s="434">
        <v>112.5</v>
      </c>
    </row>
    <row r="19" spans="1:7" x14ac:dyDescent="0.3">
      <c r="A19" s="454">
        <v>5</v>
      </c>
      <c r="B19" s="434"/>
      <c r="C19" s="434"/>
      <c r="D19" s="434"/>
      <c r="E19" s="434"/>
      <c r="F19" s="434">
        <v>76.099999999999994</v>
      </c>
      <c r="G19" s="434">
        <v>100.1</v>
      </c>
    </row>
    <row r="20" spans="1:7" x14ac:dyDescent="0.3">
      <c r="A20" s="454">
        <v>6</v>
      </c>
      <c r="B20" s="434"/>
      <c r="C20" s="434"/>
      <c r="D20" s="434"/>
      <c r="E20" s="434"/>
      <c r="F20" s="434">
        <v>76.3</v>
      </c>
      <c r="G20" s="434">
        <v>82.5</v>
      </c>
    </row>
    <row r="21" spans="1:7" x14ac:dyDescent="0.3">
      <c r="A21" s="671" t="s">
        <v>355</v>
      </c>
      <c r="B21" s="672"/>
      <c r="C21" s="672"/>
      <c r="D21" s="672"/>
      <c r="E21" s="672"/>
      <c r="F21" s="672"/>
      <c r="G21" s="673"/>
    </row>
    <row r="22" spans="1:7" x14ac:dyDescent="0.3">
      <c r="A22" s="396"/>
      <c r="B22" s="666" t="s">
        <v>364</v>
      </c>
      <c r="C22" s="675"/>
      <c r="D22" s="667"/>
      <c r="E22" s="666" t="s">
        <v>365</v>
      </c>
      <c r="F22" s="675"/>
      <c r="G22" s="667"/>
    </row>
    <row r="23" spans="1:7" x14ac:dyDescent="0.3">
      <c r="A23" s="454" t="s">
        <v>366</v>
      </c>
      <c r="B23" s="433" t="s">
        <v>344</v>
      </c>
      <c r="C23" s="433" t="s">
        <v>345</v>
      </c>
      <c r="D23" s="433" t="s">
        <v>367</v>
      </c>
      <c r="E23" s="433" t="s">
        <v>368</v>
      </c>
      <c r="F23" s="433" t="s">
        <v>369</v>
      </c>
      <c r="G23" s="433" t="s">
        <v>370</v>
      </c>
    </row>
    <row r="24" spans="1:7" x14ac:dyDescent="0.3">
      <c r="A24" s="454">
        <v>1</v>
      </c>
      <c r="B24" s="434">
        <v>24.3</v>
      </c>
      <c r="C24" s="434">
        <v>53.4</v>
      </c>
      <c r="D24" s="434">
        <v>96.5</v>
      </c>
      <c r="E24" s="434">
        <v>34.6</v>
      </c>
      <c r="F24" s="434">
        <v>69.400000000000006</v>
      </c>
      <c r="G24" s="434">
        <v>111</v>
      </c>
    </row>
    <row r="25" spans="1:7" x14ac:dyDescent="0.3">
      <c r="A25" s="454">
        <v>2</v>
      </c>
      <c r="B25" s="434">
        <v>25.3</v>
      </c>
      <c r="C25" s="434">
        <v>51.5</v>
      </c>
      <c r="D25" s="434">
        <v>79.099999999999994</v>
      </c>
      <c r="E25" s="434">
        <v>55.3</v>
      </c>
      <c r="F25" s="434">
        <v>71.599999999999994</v>
      </c>
      <c r="G25" s="434">
        <v>98</v>
      </c>
    </row>
    <row r="26" spans="1:7" x14ac:dyDescent="0.3">
      <c r="A26" s="454">
        <v>3</v>
      </c>
      <c r="B26" s="434">
        <v>26.6</v>
      </c>
      <c r="C26" s="434">
        <v>68</v>
      </c>
      <c r="D26" s="434">
        <v>72.400000000000006</v>
      </c>
      <c r="E26" s="434">
        <v>34.9</v>
      </c>
      <c r="F26" s="434">
        <v>75.8</v>
      </c>
      <c r="G26" s="434">
        <v>110.9</v>
      </c>
    </row>
    <row r="27" spans="1:7" x14ac:dyDescent="0.3">
      <c r="A27" s="454">
        <v>4</v>
      </c>
      <c r="B27" s="434">
        <v>16.600000000000001</v>
      </c>
      <c r="C27" s="434">
        <v>60.1</v>
      </c>
      <c r="D27" s="434">
        <v>72.599999999999994</v>
      </c>
      <c r="E27" s="434">
        <v>42.7</v>
      </c>
      <c r="F27" s="434">
        <v>66.2</v>
      </c>
      <c r="G27" s="434">
        <v>99.6</v>
      </c>
    </row>
    <row r="28" spans="1:7" x14ac:dyDescent="0.3">
      <c r="A28" s="454">
        <v>5</v>
      </c>
      <c r="B28" s="434">
        <v>34.299999999999997</v>
      </c>
      <c r="C28" s="434">
        <v>51</v>
      </c>
      <c r="D28" s="434">
        <v>78</v>
      </c>
      <c r="E28" s="434">
        <v>51.1</v>
      </c>
      <c r="F28" s="434">
        <v>63.7</v>
      </c>
      <c r="G28" s="434">
        <v>93.7</v>
      </c>
    </row>
    <row r="29" spans="1:7" x14ac:dyDescent="0.3">
      <c r="A29" s="454">
        <v>6</v>
      </c>
      <c r="B29" s="434">
        <v>28.1</v>
      </c>
      <c r="C29" s="434">
        <v>50</v>
      </c>
      <c r="D29" s="434">
        <v>83.2</v>
      </c>
      <c r="E29" s="434">
        <v>36.9</v>
      </c>
      <c r="F29" s="434">
        <v>73.099999999999994</v>
      </c>
      <c r="G29" s="434">
        <v>118.9</v>
      </c>
    </row>
    <row r="30" spans="1:7" x14ac:dyDescent="0.3">
      <c r="A30" s="454">
        <v>7</v>
      </c>
      <c r="B30" s="434">
        <v>29.2</v>
      </c>
      <c r="C30" s="434">
        <v>65.099999999999994</v>
      </c>
      <c r="D30" s="434">
        <v>71.8</v>
      </c>
      <c r="E30" s="434">
        <v>31</v>
      </c>
      <c r="F30" s="434">
        <v>76.099999999999994</v>
      </c>
      <c r="G30" s="434">
        <v>87.6</v>
      </c>
    </row>
    <row r="31" spans="1:7" x14ac:dyDescent="0.3">
      <c r="A31" s="454">
        <v>8</v>
      </c>
      <c r="B31" s="434">
        <v>24.5</v>
      </c>
      <c r="C31" s="434">
        <v>44.8</v>
      </c>
      <c r="D31" s="434">
        <v>78.7</v>
      </c>
      <c r="E31" s="434"/>
      <c r="F31" s="434">
        <v>67.900000000000006</v>
      </c>
      <c r="G31" s="434">
        <v>114.1</v>
      </c>
    </row>
    <row r="32" spans="1:7" x14ac:dyDescent="0.3">
      <c r="A32" s="454">
        <v>9</v>
      </c>
      <c r="B32" s="434">
        <v>23.1</v>
      </c>
      <c r="C32" s="434">
        <v>57.3</v>
      </c>
      <c r="D32" s="434">
        <v>91.2</v>
      </c>
      <c r="E32" s="434"/>
      <c r="F32" s="434">
        <v>70.400000000000006</v>
      </c>
      <c r="G32" s="434">
        <v>117.6</v>
      </c>
    </row>
    <row r="33" spans="1:7" x14ac:dyDescent="0.3">
      <c r="A33" s="454">
        <v>10</v>
      </c>
      <c r="B33" s="434">
        <v>35.4</v>
      </c>
      <c r="C33" s="434">
        <v>47.7</v>
      </c>
      <c r="D33" s="434">
        <v>68.400000000000006</v>
      </c>
      <c r="E33" s="434"/>
      <c r="F33" s="434">
        <v>71.599999999999994</v>
      </c>
      <c r="G33" s="434">
        <v>97.6</v>
      </c>
    </row>
    <row r="34" spans="1:7" x14ac:dyDescent="0.3">
      <c r="A34" s="454">
        <v>11</v>
      </c>
      <c r="B34" s="434">
        <v>24</v>
      </c>
      <c r="C34" s="434">
        <v>36.9</v>
      </c>
      <c r="D34" s="434">
        <v>102.2</v>
      </c>
      <c r="E34" s="434"/>
      <c r="F34" s="434">
        <v>75.5</v>
      </c>
      <c r="G34" s="434">
        <v>103</v>
      </c>
    </row>
    <row r="35" spans="1:7" x14ac:dyDescent="0.3">
      <c r="A35" s="454">
        <v>12</v>
      </c>
      <c r="B35" s="434">
        <v>19.899999999999999</v>
      </c>
      <c r="C35" s="434">
        <v>44.1</v>
      </c>
      <c r="D35" s="434">
        <v>90.1</v>
      </c>
      <c r="E35" s="434"/>
      <c r="F35" s="434"/>
      <c r="G35" s="434">
        <v>104.4</v>
      </c>
    </row>
    <row r="36" spans="1:7" x14ac:dyDescent="0.3">
      <c r="A36" s="454">
        <v>13</v>
      </c>
      <c r="B36" s="434">
        <v>29.7</v>
      </c>
      <c r="C36" s="434">
        <v>37.700000000000003</v>
      </c>
      <c r="D36" s="434">
        <v>94.5</v>
      </c>
      <c r="E36" s="434"/>
      <c r="F36" s="434"/>
      <c r="G36" s="434"/>
    </row>
    <row r="37" spans="1:7" x14ac:dyDescent="0.3">
      <c r="A37" s="454">
        <v>14</v>
      </c>
      <c r="B37" s="434"/>
      <c r="C37" s="434">
        <v>40.6</v>
      </c>
      <c r="D37" s="434">
        <v>71.099999999999994</v>
      </c>
      <c r="E37" s="434"/>
      <c r="F37" s="434"/>
      <c r="G37" s="434"/>
    </row>
    <row r="38" spans="1:7" x14ac:dyDescent="0.3">
      <c r="A38" s="454">
        <v>15</v>
      </c>
      <c r="B38" s="434"/>
      <c r="C38" s="434">
        <v>37.1</v>
      </c>
      <c r="D38" s="434">
        <v>93.1</v>
      </c>
      <c r="E38" s="434"/>
      <c r="F38" s="434"/>
      <c r="G38" s="434"/>
    </row>
    <row r="39" spans="1:7" x14ac:dyDescent="0.3">
      <c r="A39" s="671" t="s">
        <v>356</v>
      </c>
      <c r="B39" s="672"/>
      <c r="C39" s="672"/>
      <c r="D39" s="672"/>
      <c r="E39" s="672"/>
      <c r="F39" s="672"/>
      <c r="G39" s="673"/>
    </row>
    <row r="40" spans="1:7" x14ac:dyDescent="0.3">
      <c r="A40" s="396"/>
      <c r="B40" s="666" t="s">
        <v>364</v>
      </c>
      <c r="C40" s="675"/>
      <c r="D40" s="667"/>
      <c r="E40" s="666" t="s">
        <v>365</v>
      </c>
      <c r="F40" s="675"/>
      <c r="G40" s="667"/>
    </row>
    <row r="41" spans="1:7" x14ac:dyDescent="0.3">
      <c r="A41" s="454" t="s">
        <v>366</v>
      </c>
      <c r="B41" s="433" t="s">
        <v>344</v>
      </c>
      <c r="C41" s="433" t="s">
        <v>345</v>
      </c>
      <c r="D41" s="433" t="s">
        <v>367</v>
      </c>
      <c r="E41" s="433" t="s">
        <v>368</v>
      </c>
      <c r="F41" s="433" t="s">
        <v>369</v>
      </c>
      <c r="G41" s="433" t="s">
        <v>370</v>
      </c>
    </row>
    <row r="42" spans="1:7" x14ac:dyDescent="0.3">
      <c r="A42" s="454">
        <v>1</v>
      </c>
      <c r="B42" s="434">
        <v>30.8</v>
      </c>
      <c r="C42" s="434">
        <v>66.400000000000006</v>
      </c>
      <c r="D42" s="434">
        <v>80.599999999999994</v>
      </c>
      <c r="E42" s="434">
        <v>54</v>
      </c>
      <c r="F42" s="434">
        <v>67.900000000000006</v>
      </c>
      <c r="G42" s="434">
        <v>92.8</v>
      </c>
    </row>
    <row r="43" spans="1:7" x14ac:dyDescent="0.3">
      <c r="A43" s="454">
        <v>2</v>
      </c>
      <c r="B43" s="434">
        <v>27.2</v>
      </c>
      <c r="C43" s="434">
        <v>66.599999999999994</v>
      </c>
      <c r="D43" s="434">
        <v>88.6</v>
      </c>
      <c r="E43" s="434">
        <v>55.9</v>
      </c>
      <c r="F43" s="434">
        <v>78.400000000000006</v>
      </c>
      <c r="G43" s="434">
        <v>93.2</v>
      </c>
    </row>
    <row r="44" spans="1:7" x14ac:dyDescent="0.3">
      <c r="A44" s="454">
        <v>3</v>
      </c>
      <c r="B44" s="434">
        <v>30.3</v>
      </c>
      <c r="C44" s="434">
        <v>50.2</v>
      </c>
      <c r="D44" s="434">
        <v>82.9</v>
      </c>
      <c r="E44" s="434">
        <v>35.6</v>
      </c>
      <c r="F44" s="434">
        <v>74.900000000000006</v>
      </c>
      <c r="G44" s="434">
        <v>100.3</v>
      </c>
    </row>
    <row r="45" spans="1:7" x14ac:dyDescent="0.3">
      <c r="A45" s="454">
        <v>4</v>
      </c>
      <c r="B45" s="434">
        <v>35.700000000000003</v>
      </c>
      <c r="C45" s="434">
        <v>39.6</v>
      </c>
      <c r="D45" s="434">
        <v>102.5</v>
      </c>
      <c r="E45" s="434">
        <v>57.3</v>
      </c>
      <c r="F45" s="434">
        <v>78.099999999999994</v>
      </c>
      <c r="G45" s="434">
        <v>118</v>
      </c>
    </row>
    <row r="46" spans="1:7" x14ac:dyDescent="0.3">
      <c r="A46" s="454">
        <v>5</v>
      </c>
      <c r="B46" s="434">
        <v>18.399999999999999</v>
      </c>
      <c r="C46" s="434">
        <v>46.7</v>
      </c>
      <c r="D46" s="434">
        <v>92.1</v>
      </c>
      <c r="E46" s="434">
        <v>34</v>
      </c>
      <c r="F46" s="434">
        <v>66.099999999999994</v>
      </c>
      <c r="G46" s="434">
        <v>88.5</v>
      </c>
    </row>
    <row r="47" spans="1:7" x14ac:dyDescent="0.3">
      <c r="A47" s="454">
        <v>6</v>
      </c>
      <c r="B47" s="434">
        <v>34.5</v>
      </c>
      <c r="C47" s="434">
        <v>63</v>
      </c>
      <c r="D47" s="434">
        <v>91.7</v>
      </c>
      <c r="E47" s="434">
        <v>29.7</v>
      </c>
      <c r="F47" s="434">
        <v>67.400000000000006</v>
      </c>
      <c r="G47" s="434">
        <v>101.3</v>
      </c>
    </row>
    <row r="48" spans="1:7" x14ac:dyDescent="0.3">
      <c r="A48" s="454">
        <v>7</v>
      </c>
      <c r="B48" s="434">
        <v>24.1</v>
      </c>
      <c r="C48" s="434">
        <v>66.400000000000006</v>
      </c>
      <c r="D48" s="434">
        <v>99.8</v>
      </c>
      <c r="E48" s="434">
        <v>40.4</v>
      </c>
      <c r="F48" s="434">
        <v>78.599999999999994</v>
      </c>
      <c r="G48" s="434">
        <v>95.9</v>
      </c>
    </row>
    <row r="49" spans="1:7" x14ac:dyDescent="0.3">
      <c r="A49" s="454">
        <v>8</v>
      </c>
      <c r="B49" s="434">
        <v>17.7</v>
      </c>
      <c r="C49" s="434">
        <v>50.8</v>
      </c>
      <c r="D49" s="434">
        <v>80.2</v>
      </c>
      <c r="E49" s="434"/>
      <c r="F49" s="434">
        <v>79.400000000000006</v>
      </c>
      <c r="G49" s="434">
        <v>112</v>
      </c>
    </row>
    <row r="50" spans="1:7" x14ac:dyDescent="0.3">
      <c r="A50" s="454">
        <v>9</v>
      </c>
      <c r="B50" s="434">
        <v>26</v>
      </c>
      <c r="C50" s="434">
        <v>38.1</v>
      </c>
      <c r="D50" s="434">
        <v>77.900000000000006</v>
      </c>
      <c r="E50" s="434"/>
      <c r="F50" s="434">
        <v>76.900000000000006</v>
      </c>
      <c r="G50" s="434">
        <v>95.4</v>
      </c>
    </row>
    <row r="51" spans="1:7" x14ac:dyDescent="0.3">
      <c r="A51" s="454">
        <v>10</v>
      </c>
      <c r="B51" s="434">
        <v>23.2</v>
      </c>
      <c r="C51" s="434">
        <v>62.5</v>
      </c>
      <c r="D51" s="434">
        <v>84.1</v>
      </c>
      <c r="E51" s="434"/>
      <c r="F51" s="434">
        <v>71.7</v>
      </c>
      <c r="G51" s="434">
        <v>117.9</v>
      </c>
    </row>
    <row r="52" spans="1:7" x14ac:dyDescent="0.3">
      <c r="A52" s="454">
        <v>11</v>
      </c>
      <c r="B52" s="434">
        <v>35.700000000000003</v>
      </c>
      <c r="C52" s="434">
        <v>62.7</v>
      </c>
      <c r="D52" s="434">
        <v>75.900000000000006</v>
      </c>
      <c r="E52" s="434"/>
      <c r="F52" s="434">
        <v>66.3</v>
      </c>
      <c r="G52" s="434">
        <v>83.2</v>
      </c>
    </row>
    <row r="53" spans="1:7" x14ac:dyDescent="0.3">
      <c r="A53" s="454">
        <v>12</v>
      </c>
      <c r="B53" s="434">
        <v>20.5</v>
      </c>
      <c r="C53" s="434">
        <v>61.9</v>
      </c>
      <c r="D53" s="434">
        <v>69</v>
      </c>
      <c r="E53" s="434"/>
      <c r="F53" s="434">
        <v>78.8</v>
      </c>
      <c r="G53" s="434">
        <v>119</v>
      </c>
    </row>
    <row r="54" spans="1:7" x14ac:dyDescent="0.3">
      <c r="A54" s="454">
        <v>13</v>
      </c>
      <c r="B54" s="434">
        <v>18.7</v>
      </c>
      <c r="C54" s="434">
        <v>47.4</v>
      </c>
      <c r="D54" s="434">
        <v>77</v>
      </c>
      <c r="E54" s="434"/>
      <c r="F54" s="434"/>
      <c r="G54" s="434">
        <v>93</v>
      </c>
    </row>
    <row r="55" spans="1:7" x14ac:dyDescent="0.3">
      <c r="A55" s="454">
        <v>14</v>
      </c>
      <c r="B55" s="434">
        <v>21.1</v>
      </c>
      <c r="C55" s="434">
        <v>61.3</v>
      </c>
      <c r="D55" s="434">
        <v>87.6</v>
      </c>
      <c r="E55" s="434"/>
      <c r="F55" s="434"/>
      <c r="G55" s="434">
        <v>98.3</v>
      </c>
    </row>
    <row r="56" spans="1:7" x14ac:dyDescent="0.3">
      <c r="A56" s="454">
        <v>15</v>
      </c>
      <c r="B56" s="434"/>
      <c r="C56" s="434"/>
      <c r="D56" s="434">
        <v>94.8</v>
      </c>
      <c r="E56" s="434"/>
      <c r="F56" s="434"/>
      <c r="G56" s="434"/>
    </row>
    <row r="57" spans="1:7" x14ac:dyDescent="0.3">
      <c r="A57" s="671" t="s">
        <v>357</v>
      </c>
      <c r="B57" s="672"/>
      <c r="C57" s="672"/>
      <c r="D57" s="672"/>
      <c r="E57" s="672"/>
      <c r="F57" s="672"/>
      <c r="G57" s="673"/>
    </row>
    <row r="58" spans="1:7" x14ac:dyDescent="0.3">
      <c r="A58" s="396"/>
      <c r="B58" s="666" t="s">
        <v>364</v>
      </c>
      <c r="C58" s="675"/>
      <c r="D58" s="667"/>
      <c r="E58" s="666" t="s">
        <v>365</v>
      </c>
      <c r="F58" s="675"/>
      <c r="G58" s="667"/>
    </row>
    <row r="59" spans="1:7" x14ac:dyDescent="0.3">
      <c r="A59" s="454" t="s">
        <v>366</v>
      </c>
      <c r="B59" s="433" t="s">
        <v>344</v>
      </c>
      <c r="C59" s="433" t="s">
        <v>345</v>
      </c>
      <c r="D59" s="433" t="s">
        <v>367</v>
      </c>
      <c r="E59" s="433" t="s">
        <v>368</v>
      </c>
      <c r="F59" s="433" t="s">
        <v>369</v>
      </c>
      <c r="G59" s="433" t="s">
        <v>370</v>
      </c>
    </row>
    <row r="60" spans="1:7" x14ac:dyDescent="0.3">
      <c r="A60" s="454">
        <v>1</v>
      </c>
      <c r="B60" s="434">
        <v>29.1</v>
      </c>
      <c r="C60" s="434">
        <v>57.4</v>
      </c>
      <c r="D60" s="434">
        <v>94.2</v>
      </c>
      <c r="E60" s="434">
        <v>33.1</v>
      </c>
      <c r="F60" s="434">
        <v>77.5</v>
      </c>
      <c r="G60" s="434">
        <v>82.4</v>
      </c>
    </row>
    <row r="61" spans="1:7" x14ac:dyDescent="0.3">
      <c r="A61" s="454">
        <v>2</v>
      </c>
      <c r="B61" s="434">
        <v>25.1</v>
      </c>
      <c r="C61" s="434">
        <v>46.5</v>
      </c>
      <c r="D61" s="434">
        <v>91.3</v>
      </c>
      <c r="E61" s="434">
        <v>46.4</v>
      </c>
      <c r="F61" s="434">
        <v>66.5</v>
      </c>
      <c r="G61" s="434">
        <v>83.1</v>
      </c>
    </row>
    <row r="62" spans="1:7" x14ac:dyDescent="0.3">
      <c r="A62" s="454">
        <v>3</v>
      </c>
      <c r="B62" s="434">
        <v>26.9</v>
      </c>
      <c r="C62" s="434">
        <v>48.1</v>
      </c>
      <c r="D62" s="434">
        <v>85.2</v>
      </c>
      <c r="E62" s="434">
        <v>44.5</v>
      </c>
      <c r="F62" s="434">
        <v>64.3</v>
      </c>
      <c r="G62" s="434">
        <v>83.2</v>
      </c>
    </row>
    <row r="63" spans="1:7" x14ac:dyDescent="0.3">
      <c r="A63" s="454">
        <v>4</v>
      </c>
      <c r="B63" s="434">
        <v>25.5</v>
      </c>
      <c r="C63" s="434">
        <v>57.8</v>
      </c>
      <c r="D63" s="434">
        <v>98</v>
      </c>
      <c r="E63" s="434">
        <v>44.7</v>
      </c>
      <c r="F63" s="434">
        <v>62.2</v>
      </c>
      <c r="G63" s="434">
        <v>86</v>
      </c>
    </row>
    <row r="64" spans="1:7" x14ac:dyDescent="0.3">
      <c r="A64" s="454">
        <v>5</v>
      </c>
      <c r="B64" s="434">
        <v>33.700000000000003</v>
      </c>
      <c r="C64" s="434">
        <v>43.2</v>
      </c>
      <c r="D64" s="434">
        <v>84.4</v>
      </c>
      <c r="E64" s="434"/>
      <c r="F64" s="434">
        <v>70.8</v>
      </c>
      <c r="G64" s="434">
        <v>82.3</v>
      </c>
    </row>
    <row r="65" spans="1:7" x14ac:dyDescent="0.3">
      <c r="A65" s="454">
        <v>6</v>
      </c>
      <c r="B65" s="434">
        <v>19.3</v>
      </c>
      <c r="C65" s="434">
        <v>48.8</v>
      </c>
      <c r="D65" s="434">
        <v>99.1</v>
      </c>
      <c r="E65" s="434"/>
      <c r="F65" s="434"/>
      <c r="G65" s="434">
        <v>107.8</v>
      </c>
    </row>
    <row r="66" spans="1:7" x14ac:dyDescent="0.3">
      <c r="A66" s="454">
        <v>7</v>
      </c>
      <c r="B66" s="434">
        <v>21</v>
      </c>
      <c r="C66" s="434">
        <v>37.6</v>
      </c>
      <c r="D66" s="434">
        <v>72.7</v>
      </c>
      <c r="E66" s="434"/>
      <c r="F66" s="434"/>
      <c r="G66" s="434"/>
    </row>
    <row r="67" spans="1:7" x14ac:dyDescent="0.3">
      <c r="A67" s="454">
        <v>8</v>
      </c>
      <c r="B67" s="434">
        <v>28.9</v>
      </c>
      <c r="C67" s="434">
        <v>47.9</v>
      </c>
      <c r="D67" s="434">
        <v>70.7</v>
      </c>
      <c r="E67" s="434"/>
      <c r="F67" s="434"/>
      <c r="G67" s="434"/>
    </row>
    <row r="68" spans="1:7" x14ac:dyDescent="0.3">
      <c r="A68" s="454">
        <v>9</v>
      </c>
      <c r="B68" s="434">
        <v>24.7</v>
      </c>
      <c r="C68" s="434"/>
      <c r="D68" s="434">
        <v>79.7</v>
      </c>
      <c r="E68" s="433"/>
      <c r="F68" s="434"/>
      <c r="G68" s="434"/>
    </row>
    <row r="69" spans="1:7" x14ac:dyDescent="0.3">
      <c r="A69" s="671" t="s">
        <v>358</v>
      </c>
      <c r="B69" s="672"/>
      <c r="C69" s="672"/>
      <c r="D69" s="672"/>
      <c r="E69" s="672"/>
      <c r="F69" s="672"/>
      <c r="G69" s="673"/>
    </row>
    <row r="70" spans="1:7" x14ac:dyDescent="0.3">
      <c r="A70" s="396"/>
      <c r="B70" s="666" t="s">
        <v>364</v>
      </c>
      <c r="C70" s="675"/>
      <c r="D70" s="667"/>
      <c r="E70" s="666" t="s">
        <v>365</v>
      </c>
      <c r="F70" s="675"/>
      <c r="G70" s="667"/>
    </row>
    <row r="71" spans="1:7" x14ac:dyDescent="0.3">
      <c r="A71" s="454" t="s">
        <v>366</v>
      </c>
      <c r="B71" s="433" t="s">
        <v>344</v>
      </c>
      <c r="C71" s="433" t="s">
        <v>345</v>
      </c>
      <c r="D71" s="433" t="s">
        <v>367</v>
      </c>
      <c r="E71" s="433" t="s">
        <v>368</v>
      </c>
      <c r="F71" s="433" t="s">
        <v>369</v>
      </c>
      <c r="G71" s="433" t="s">
        <v>370</v>
      </c>
    </row>
    <row r="72" spans="1:7" x14ac:dyDescent="0.3">
      <c r="A72" s="454">
        <v>1</v>
      </c>
      <c r="B72" s="434">
        <v>20.3</v>
      </c>
      <c r="C72" s="434">
        <v>53.8</v>
      </c>
      <c r="D72" s="434">
        <v>75.7</v>
      </c>
      <c r="E72" s="434">
        <v>58.9</v>
      </c>
      <c r="F72" s="434">
        <v>67.7</v>
      </c>
      <c r="G72" s="434">
        <v>80.400000000000006</v>
      </c>
    </row>
    <row r="73" spans="1:7" x14ac:dyDescent="0.3">
      <c r="A73" s="454">
        <v>2</v>
      </c>
      <c r="B73" s="434">
        <v>18.2</v>
      </c>
      <c r="C73" s="434">
        <v>50.1</v>
      </c>
      <c r="D73" s="434">
        <v>104.4</v>
      </c>
      <c r="E73" s="434">
        <v>41.4</v>
      </c>
      <c r="F73" s="434">
        <v>63.4</v>
      </c>
      <c r="G73" s="434">
        <v>88</v>
      </c>
    </row>
    <row r="74" spans="1:7" x14ac:dyDescent="0.3">
      <c r="A74" s="454">
        <v>3</v>
      </c>
      <c r="B74" s="434">
        <v>35.4</v>
      </c>
      <c r="C74" s="434">
        <v>49.5</v>
      </c>
      <c r="D74" s="434">
        <v>73.099999999999994</v>
      </c>
      <c r="E74" s="434">
        <v>42.4</v>
      </c>
      <c r="F74" s="434">
        <v>67.8</v>
      </c>
      <c r="G74" s="434">
        <v>106</v>
      </c>
    </row>
    <row r="75" spans="1:7" x14ac:dyDescent="0.3">
      <c r="A75" s="454">
        <v>4</v>
      </c>
      <c r="B75" s="434">
        <v>32.700000000000003</v>
      </c>
      <c r="C75" s="434">
        <v>41.5</v>
      </c>
      <c r="D75" s="434">
        <v>76.3</v>
      </c>
      <c r="E75" s="434">
        <v>35</v>
      </c>
      <c r="F75" s="434">
        <v>74.5</v>
      </c>
      <c r="G75" s="434">
        <v>91.9</v>
      </c>
    </row>
    <row r="76" spans="1:7" x14ac:dyDescent="0.3">
      <c r="A76" s="454">
        <v>5</v>
      </c>
      <c r="B76" s="434">
        <v>27.1</v>
      </c>
      <c r="C76" s="434">
        <v>44.4</v>
      </c>
      <c r="D76" s="434">
        <v>78.2</v>
      </c>
      <c r="E76" s="434">
        <v>50.6</v>
      </c>
      <c r="F76" s="434">
        <v>62.2</v>
      </c>
      <c r="G76" s="434">
        <v>81.3</v>
      </c>
    </row>
    <row r="77" spans="1:7" x14ac:dyDescent="0.3">
      <c r="A77" s="454">
        <v>6</v>
      </c>
      <c r="B77" s="434">
        <v>20.3</v>
      </c>
      <c r="C77" s="434">
        <v>37.5</v>
      </c>
      <c r="D77" s="434">
        <v>90.8</v>
      </c>
      <c r="E77" s="434">
        <v>31.9</v>
      </c>
      <c r="F77" s="434">
        <v>61.3</v>
      </c>
      <c r="G77" s="434">
        <v>106</v>
      </c>
    </row>
    <row r="78" spans="1:7" x14ac:dyDescent="0.3">
      <c r="A78" s="454">
        <v>7</v>
      </c>
      <c r="B78" s="434">
        <v>26.3</v>
      </c>
      <c r="C78" s="434">
        <v>55.3</v>
      </c>
      <c r="D78" s="434">
        <v>100.6</v>
      </c>
      <c r="E78" s="434">
        <v>31.7</v>
      </c>
      <c r="F78" s="434">
        <v>64.8</v>
      </c>
      <c r="G78" s="434">
        <v>115.2</v>
      </c>
    </row>
    <row r="79" spans="1:7" x14ac:dyDescent="0.3">
      <c r="A79" s="454">
        <v>8</v>
      </c>
      <c r="B79" s="434">
        <v>35.700000000000003</v>
      </c>
      <c r="C79" s="434">
        <v>37.700000000000003</v>
      </c>
      <c r="D79" s="434">
        <v>100.1</v>
      </c>
      <c r="E79" s="434">
        <v>45.1</v>
      </c>
      <c r="F79" s="434">
        <v>76.400000000000006</v>
      </c>
      <c r="G79" s="434">
        <v>83.9</v>
      </c>
    </row>
    <row r="80" spans="1:7" x14ac:dyDescent="0.3">
      <c r="A80" s="454">
        <v>9</v>
      </c>
      <c r="B80" s="434">
        <v>27.5</v>
      </c>
      <c r="C80" s="434">
        <v>45.5</v>
      </c>
      <c r="D80" s="434">
        <v>80.900000000000006</v>
      </c>
      <c r="E80" s="434">
        <v>29.2</v>
      </c>
      <c r="F80" s="434">
        <v>65.5</v>
      </c>
      <c r="G80" s="434">
        <v>99.2</v>
      </c>
    </row>
    <row r="81" spans="1:7" x14ac:dyDescent="0.3">
      <c r="A81" s="454">
        <v>10</v>
      </c>
      <c r="B81" s="434">
        <v>29.6</v>
      </c>
      <c r="C81" s="434">
        <v>45.3</v>
      </c>
      <c r="D81" s="434">
        <v>92.9</v>
      </c>
      <c r="E81" s="434">
        <v>35.4</v>
      </c>
      <c r="F81" s="434">
        <v>77.8</v>
      </c>
      <c r="G81" s="434">
        <v>99.7</v>
      </c>
    </row>
    <row r="82" spans="1:7" x14ac:dyDescent="0.3">
      <c r="A82" s="454">
        <v>11</v>
      </c>
      <c r="B82" s="434">
        <v>23</v>
      </c>
      <c r="C82" s="434">
        <v>54.7</v>
      </c>
      <c r="D82" s="434">
        <v>95</v>
      </c>
      <c r="E82" s="434"/>
      <c r="F82" s="434">
        <v>78.5</v>
      </c>
      <c r="G82" s="434">
        <v>95.1</v>
      </c>
    </row>
    <row r="83" spans="1:7" x14ac:dyDescent="0.3">
      <c r="A83" s="454">
        <v>12</v>
      </c>
      <c r="B83" s="434">
        <v>31.7</v>
      </c>
      <c r="C83" s="434">
        <v>59</v>
      </c>
      <c r="D83" s="434">
        <v>80.2</v>
      </c>
      <c r="E83" s="434"/>
      <c r="F83" s="434">
        <v>68</v>
      </c>
      <c r="G83" s="434">
        <v>104.9</v>
      </c>
    </row>
    <row r="84" spans="1:7" x14ac:dyDescent="0.3">
      <c r="A84" s="454">
        <v>13</v>
      </c>
      <c r="B84" s="434">
        <v>22.5</v>
      </c>
      <c r="C84" s="434">
        <v>51.4</v>
      </c>
      <c r="D84" s="434">
        <v>74.400000000000006</v>
      </c>
      <c r="E84" s="434"/>
      <c r="F84" s="434">
        <v>63.9</v>
      </c>
      <c r="G84" s="434">
        <v>117.4</v>
      </c>
    </row>
    <row r="85" spans="1:7" x14ac:dyDescent="0.3">
      <c r="A85" s="454">
        <v>14</v>
      </c>
      <c r="B85" s="434">
        <v>22.7</v>
      </c>
      <c r="C85" s="434">
        <v>50.5</v>
      </c>
      <c r="D85" s="434">
        <v>83</v>
      </c>
      <c r="E85" s="434"/>
      <c r="F85" s="434">
        <v>61.3</v>
      </c>
      <c r="G85" s="434">
        <v>116.5</v>
      </c>
    </row>
    <row r="86" spans="1:7" x14ac:dyDescent="0.3">
      <c r="A86" s="454">
        <v>15</v>
      </c>
      <c r="B86" s="434">
        <v>34.799999999999997</v>
      </c>
      <c r="C86" s="434">
        <v>62.2</v>
      </c>
      <c r="D86" s="434">
        <v>71.099999999999994</v>
      </c>
      <c r="E86" s="434"/>
      <c r="F86" s="434"/>
      <c r="G86" s="434">
        <v>113</v>
      </c>
    </row>
    <row r="87" spans="1:7" x14ac:dyDescent="0.3">
      <c r="A87" s="454">
        <v>16</v>
      </c>
      <c r="B87" s="434"/>
      <c r="C87" s="434">
        <v>54.4</v>
      </c>
      <c r="D87" s="434">
        <v>94.9</v>
      </c>
      <c r="E87" s="434"/>
      <c r="F87" s="434"/>
      <c r="G87" s="434">
        <v>95.6</v>
      </c>
    </row>
    <row r="88" spans="1:7" x14ac:dyDescent="0.3">
      <c r="A88" s="454">
        <v>17</v>
      </c>
      <c r="B88" s="434"/>
      <c r="C88" s="434">
        <v>54.7</v>
      </c>
      <c r="D88" s="434">
        <v>101.5</v>
      </c>
      <c r="E88" s="434"/>
      <c r="F88" s="434"/>
      <c r="G88" s="434">
        <v>95.7</v>
      </c>
    </row>
    <row r="89" spans="1:7" x14ac:dyDescent="0.3">
      <c r="A89" s="454">
        <v>18</v>
      </c>
      <c r="B89" s="434"/>
      <c r="C89" s="434">
        <v>41.1</v>
      </c>
      <c r="D89" s="434">
        <v>104.9</v>
      </c>
      <c r="E89" s="438"/>
      <c r="F89" s="438"/>
      <c r="G89" s="438"/>
    </row>
    <row r="90" spans="1:7" x14ac:dyDescent="0.3">
      <c r="A90" s="454">
        <v>19</v>
      </c>
      <c r="B90" s="434"/>
      <c r="C90" s="434">
        <v>63.3</v>
      </c>
      <c r="D90" s="434"/>
      <c r="E90" s="438"/>
      <c r="F90" s="438"/>
      <c r="G90" s="438"/>
    </row>
    <row r="91" spans="1:7" x14ac:dyDescent="0.3">
      <c r="A91" s="671" t="s">
        <v>359</v>
      </c>
      <c r="B91" s="672"/>
      <c r="C91" s="672"/>
      <c r="D91" s="672"/>
      <c r="E91" s="672"/>
      <c r="F91" s="672"/>
      <c r="G91" s="673"/>
    </row>
    <row r="92" spans="1:7" x14ac:dyDescent="0.3">
      <c r="A92" s="396"/>
      <c r="B92" s="666" t="s">
        <v>364</v>
      </c>
      <c r="C92" s="675"/>
      <c r="D92" s="667"/>
      <c r="E92" s="666" t="s">
        <v>365</v>
      </c>
      <c r="F92" s="675"/>
      <c r="G92" s="667"/>
    </row>
    <row r="93" spans="1:7" x14ac:dyDescent="0.3">
      <c r="A93" s="454" t="s">
        <v>366</v>
      </c>
      <c r="B93" s="433" t="s">
        <v>344</v>
      </c>
      <c r="C93" s="433" t="s">
        <v>345</v>
      </c>
      <c r="D93" s="433" t="s">
        <v>367</v>
      </c>
      <c r="E93" s="433" t="s">
        <v>368</v>
      </c>
      <c r="F93" s="433" t="s">
        <v>369</v>
      </c>
      <c r="G93" s="433" t="s">
        <v>370</v>
      </c>
    </row>
    <row r="94" spans="1:7" x14ac:dyDescent="0.3">
      <c r="A94" s="454">
        <v>1</v>
      </c>
      <c r="B94" s="434">
        <v>32.700000000000003</v>
      </c>
      <c r="C94" s="434">
        <v>56.7</v>
      </c>
      <c r="D94" s="434">
        <v>87.1</v>
      </c>
      <c r="E94" s="434">
        <v>40.299999999999997</v>
      </c>
      <c r="F94" s="434">
        <v>75.400000000000006</v>
      </c>
      <c r="G94" s="434">
        <v>97.9</v>
      </c>
    </row>
    <row r="95" spans="1:7" x14ac:dyDescent="0.3">
      <c r="A95" s="454">
        <v>2</v>
      </c>
      <c r="B95" s="434">
        <v>16.2</v>
      </c>
      <c r="C95" s="434">
        <v>57.7</v>
      </c>
      <c r="D95" s="434">
        <v>88.5</v>
      </c>
      <c r="E95" s="434">
        <v>55</v>
      </c>
      <c r="F95" s="434">
        <v>62.5</v>
      </c>
      <c r="G95" s="434">
        <v>113.8</v>
      </c>
    </row>
    <row r="96" spans="1:7" x14ac:dyDescent="0.3">
      <c r="A96" s="454">
        <v>3</v>
      </c>
      <c r="B96" s="434">
        <v>22.2</v>
      </c>
      <c r="C96" s="434">
        <v>50.3</v>
      </c>
      <c r="D96" s="434">
        <v>105.1</v>
      </c>
      <c r="E96" s="434">
        <v>56.3</v>
      </c>
      <c r="F96" s="434">
        <v>67.3</v>
      </c>
      <c r="G96" s="434">
        <v>92.8</v>
      </c>
    </row>
    <row r="97" spans="1:7" x14ac:dyDescent="0.3">
      <c r="A97" s="454">
        <v>4</v>
      </c>
      <c r="B97" s="434">
        <v>22.7</v>
      </c>
      <c r="C97" s="434">
        <v>55.2</v>
      </c>
      <c r="D97" s="434">
        <v>69.599999999999994</v>
      </c>
      <c r="E97" s="434">
        <v>59.7</v>
      </c>
      <c r="F97" s="434">
        <v>63.4</v>
      </c>
      <c r="G97" s="434">
        <v>103.9</v>
      </c>
    </row>
    <row r="98" spans="1:7" x14ac:dyDescent="0.3">
      <c r="A98" s="454">
        <v>5</v>
      </c>
      <c r="B98" s="434">
        <v>19.3</v>
      </c>
      <c r="C98" s="434">
        <v>58.9</v>
      </c>
      <c r="D98" s="434">
        <v>96.5</v>
      </c>
      <c r="E98" s="434">
        <v>36.799999999999997</v>
      </c>
      <c r="F98" s="434">
        <v>61.7</v>
      </c>
      <c r="G98" s="434">
        <v>112.6</v>
      </c>
    </row>
    <row r="99" spans="1:7" x14ac:dyDescent="0.3">
      <c r="A99" s="454">
        <v>6</v>
      </c>
      <c r="B99" s="434">
        <v>29.4</v>
      </c>
      <c r="C99" s="434">
        <v>54.1</v>
      </c>
      <c r="D99" s="434">
        <v>72.2</v>
      </c>
      <c r="E99" s="434">
        <v>30</v>
      </c>
      <c r="F99" s="434">
        <v>79.5</v>
      </c>
      <c r="G99" s="434">
        <v>89.5</v>
      </c>
    </row>
    <row r="100" spans="1:7" x14ac:dyDescent="0.3">
      <c r="A100" s="454">
        <v>7</v>
      </c>
      <c r="B100" s="434">
        <v>21.2</v>
      </c>
      <c r="C100" s="434">
        <v>61.5</v>
      </c>
      <c r="D100" s="434">
        <v>101.8</v>
      </c>
      <c r="E100" s="434">
        <v>29.6</v>
      </c>
      <c r="F100" s="434">
        <v>61.8</v>
      </c>
      <c r="G100" s="434">
        <v>104.2</v>
      </c>
    </row>
    <row r="101" spans="1:7" x14ac:dyDescent="0.3">
      <c r="A101" s="454">
        <v>8</v>
      </c>
      <c r="B101" s="434">
        <v>17.2</v>
      </c>
      <c r="C101" s="434">
        <v>56.2</v>
      </c>
      <c r="D101" s="434">
        <v>104</v>
      </c>
      <c r="E101" s="434">
        <v>45.6</v>
      </c>
      <c r="F101" s="434">
        <v>62.5</v>
      </c>
      <c r="G101" s="434">
        <v>85.2</v>
      </c>
    </row>
    <row r="102" spans="1:7" x14ac:dyDescent="0.3">
      <c r="A102" s="454">
        <v>9</v>
      </c>
      <c r="B102" s="434">
        <v>34</v>
      </c>
      <c r="C102" s="434">
        <v>44.6</v>
      </c>
      <c r="D102" s="434">
        <v>102.7</v>
      </c>
      <c r="E102" s="434"/>
      <c r="F102" s="434">
        <v>73.3</v>
      </c>
      <c r="G102" s="434">
        <v>106.6</v>
      </c>
    </row>
    <row r="103" spans="1:7" x14ac:dyDescent="0.3">
      <c r="A103" s="454">
        <v>10</v>
      </c>
      <c r="B103" s="434">
        <v>36.6</v>
      </c>
      <c r="C103" s="434">
        <v>64.900000000000006</v>
      </c>
      <c r="D103" s="434">
        <v>88.1</v>
      </c>
      <c r="E103" s="434"/>
      <c r="F103" s="434">
        <v>61.3</v>
      </c>
      <c r="G103" s="434">
        <v>80.400000000000006</v>
      </c>
    </row>
    <row r="104" spans="1:7" x14ac:dyDescent="0.3">
      <c r="A104" s="454">
        <v>11</v>
      </c>
      <c r="B104" s="434">
        <v>16.899999999999999</v>
      </c>
      <c r="C104" s="434">
        <v>49.9</v>
      </c>
      <c r="D104" s="434">
        <v>90.1</v>
      </c>
      <c r="E104" s="434"/>
      <c r="F104" s="434"/>
      <c r="G104" s="434">
        <v>96.6</v>
      </c>
    </row>
    <row r="105" spans="1:7" x14ac:dyDescent="0.3">
      <c r="A105" s="454">
        <v>12</v>
      </c>
      <c r="B105" s="434">
        <v>32.700000000000003</v>
      </c>
      <c r="C105" s="434">
        <v>63.1</v>
      </c>
      <c r="D105" s="434">
        <v>100.1</v>
      </c>
      <c r="E105" s="434"/>
      <c r="F105" s="434"/>
      <c r="G105" s="434">
        <v>104.9</v>
      </c>
    </row>
    <row r="106" spans="1:7" x14ac:dyDescent="0.3">
      <c r="A106" s="454">
        <v>13</v>
      </c>
      <c r="B106" s="434"/>
      <c r="C106" s="434">
        <v>57.3</v>
      </c>
      <c r="D106" s="434">
        <v>89.9</v>
      </c>
      <c r="E106" s="438"/>
      <c r="F106" s="438"/>
      <c r="G106" s="438"/>
    </row>
    <row r="107" spans="1:7" x14ac:dyDescent="0.3">
      <c r="A107" s="454">
        <v>14</v>
      </c>
      <c r="B107" s="434"/>
      <c r="C107" s="434">
        <v>38.1</v>
      </c>
      <c r="D107" s="434">
        <v>86.1</v>
      </c>
      <c r="E107" s="438"/>
      <c r="F107" s="438"/>
      <c r="G107" s="438"/>
    </row>
    <row r="108" spans="1:7" x14ac:dyDescent="0.3">
      <c r="A108" s="454">
        <v>15</v>
      </c>
      <c r="B108" s="434"/>
      <c r="C108" s="434">
        <v>41.5</v>
      </c>
      <c r="D108" s="434">
        <v>88.1</v>
      </c>
      <c r="E108" s="438"/>
      <c r="F108" s="438"/>
      <c r="G108" s="438"/>
    </row>
    <row r="109" spans="1:7" x14ac:dyDescent="0.3">
      <c r="A109" s="671" t="s">
        <v>360</v>
      </c>
      <c r="B109" s="672"/>
      <c r="C109" s="672"/>
      <c r="D109" s="672"/>
      <c r="E109" s="672"/>
      <c r="F109" s="672"/>
      <c r="G109" s="673"/>
    </row>
    <row r="110" spans="1:7" x14ac:dyDescent="0.3">
      <c r="A110" s="396"/>
      <c r="B110" s="666" t="s">
        <v>364</v>
      </c>
      <c r="C110" s="675"/>
      <c r="D110" s="667"/>
      <c r="E110" s="666" t="s">
        <v>365</v>
      </c>
      <c r="F110" s="675"/>
      <c r="G110" s="667"/>
    </row>
    <row r="111" spans="1:7" x14ac:dyDescent="0.3">
      <c r="A111" s="454" t="s">
        <v>366</v>
      </c>
      <c r="B111" s="433" t="s">
        <v>344</v>
      </c>
      <c r="C111" s="433" t="s">
        <v>345</v>
      </c>
      <c r="D111" s="433" t="s">
        <v>367</v>
      </c>
      <c r="E111" s="433" t="s">
        <v>368</v>
      </c>
      <c r="F111" s="433" t="s">
        <v>369</v>
      </c>
      <c r="G111" s="433" t="s">
        <v>370</v>
      </c>
    </row>
    <row r="112" spans="1:7" x14ac:dyDescent="0.3">
      <c r="A112" s="454">
        <v>1</v>
      </c>
      <c r="B112" s="434">
        <v>0</v>
      </c>
      <c r="C112" s="434">
        <v>0</v>
      </c>
      <c r="D112" s="434">
        <v>0</v>
      </c>
      <c r="E112" s="434">
        <v>25.2</v>
      </c>
      <c r="F112" s="434">
        <v>70.099999999999994</v>
      </c>
      <c r="G112" s="434">
        <v>118.5</v>
      </c>
    </row>
    <row r="113" spans="1:7" x14ac:dyDescent="0.3">
      <c r="A113" s="454">
        <v>2</v>
      </c>
      <c r="B113" s="434"/>
      <c r="C113" s="434"/>
      <c r="D113" s="434"/>
      <c r="E113" s="434">
        <v>31.1</v>
      </c>
      <c r="F113" s="434">
        <v>70.8</v>
      </c>
      <c r="G113" s="434">
        <v>83.4</v>
      </c>
    </row>
    <row r="114" spans="1:7" x14ac:dyDescent="0.3">
      <c r="A114" s="454">
        <v>3</v>
      </c>
      <c r="B114" s="434"/>
      <c r="C114" s="434"/>
      <c r="D114" s="434"/>
      <c r="E114" s="434">
        <v>36.200000000000003</v>
      </c>
      <c r="F114" s="434">
        <v>75.5</v>
      </c>
      <c r="G114" s="434">
        <v>96.5</v>
      </c>
    </row>
    <row r="115" spans="1:7" x14ac:dyDescent="0.3">
      <c r="A115" s="454">
        <v>4</v>
      </c>
      <c r="B115" s="434"/>
      <c r="C115" s="434"/>
      <c r="D115" s="434"/>
      <c r="E115" s="434"/>
      <c r="F115" s="434">
        <v>76</v>
      </c>
      <c r="G115" s="434">
        <v>101</v>
      </c>
    </row>
    <row r="116" spans="1:7" x14ac:dyDescent="0.3">
      <c r="A116" s="454">
        <v>5</v>
      </c>
      <c r="B116" s="434"/>
      <c r="C116" s="434"/>
      <c r="D116" s="434"/>
      <c r="E116" s="434"/>
      <c r="F116" s="434">
        <v>75</v>
      </c>
      <c r="G116" s="434">
        <v>118.4</v>
      </c>
    </row>
    <row r="117" spans="1:7" x14ac:dyDescent="0.3">
      <c r="A117" s="671" t="s">
        <v>361</v>
      </c>
      <c r="B117" s="672"/>
      <c r="C117" s="672"/>
      <c r="D117" s="672"/>
      <c r="E117" s="672"/>
      <c r="F117" s="672"/>
      <c r="G117" s="673"/>
    </row>
    <row r="118" spans="1:7" x14ac:dyDescent="0.3">
      <c r="A118" s="396"/>
      <c r="B118" s="666" t="s">
        <v>364</v>
      </c>
      <c r="C118" s="675"/>
      <c r="D118" s="667"/>
      <c r="E118" s="666" t="s">
        <v>365</v>
      </c>
      <c r="F118" s="675"/>
      <c r="G118" s="667"/>
    </row>
    <row r="119" spans="1:7" x14ac:dyDescent="0.3">
      <c r="A119" s="454" t="s">
        <v>366</v>
      </c>
      <c r="B119" s="433" t="s">
        <v>344</v>
      </c>
      <c r="C119" s="433" t="s">
        <v>345</v>
      </c>
      <c r="D119" s="433" t="s">
        <v>367</v>
      </c>
      <c r="E119" s="433" t="s">
        <v>368</v>
      </c>
      <c r="F119" s="433" t="s">
        <v>369</v>
      </c>
      <c r="G119" s="433" t="s">
        <v>370</v>
      </c>
    </row>
    <row r="120" spans="1:7" x14ac:dyDescent="0.3">
      <c r="A120" s="454">
        <v>1</v>
      </c>
      <c r="B120" s="434">
        <v>29.2</v>
      </c>
      <c r="C120" s="434">
        <v>65.5</v>
      </c>
      <c r="D120" s="434">
        <v>92.3</v>
      </c>
      <c r="E120" s="434">
        <v>37.1</v>
      </c>
      <c r="F120" s="434">
        <v>71.5</v>
      </c>
      <c r="G120" s="434">
        <v>91.4</v>
      </c>
    </row>
    <row r="121" spans="1:7" x14ac:dyDescent="0.3">
      <c r="A121" s="454">
        <v>2</v>
      </c>
      <c r="B121" s="434">
        <v>29.2</v>
      </c>
      <c r="C121" s="434">
        <v>42.9</v>
      </c>
      <c r="D121" s="434">
        <v>85.1</v>
      </c>
      <c r="E121" s="434">
        <v>51.5</v>
      </c>
      <c r="F121" s="434">
        <v>76.099999999999994</v>
      </c>
      <c r="G121" s="434">
        <v>112.5</v>
      </c>
    </row>
    <row r="122" spans="1:7" x14ac:dyDescent="0.3">
      <c r="A122" s="454">
        <v>3</v>
      </c>
      <c r="B122" s="434">
        <v>26.5</v>
      </c>
      <c r="C122" s="434">
        <v>60.8</v>
      </c>
      <c r="D122" s="434">
        <v>68.900000000000006</v>
      </c>
      <c r="E122" s="434">
        <v>52.9</v>
      </c>
      <c r="F122" s="434">
        <v>76</v>
      </c>
      <c r="G122" s="434">
        <v>109.1</v>
      </c>
    </row>
    <row r="123" spans="1:7" x14ac:dyDescent="0.3">
      <c r="A123" s="454">
        <v>4</v>
      </c>
      <c r="B123" s="434">
        <v>21.6</v>
      </c>
      <c r="C123" s="434">
        <v>41.2</v>
      </c>
      <c r="D123" s="434">
        <v>93.7</v>
      </c>
      <c r="E123" s="434"/>
      <c r="F123" s="434">
        <v>64.7</v>
      </c>
      <c r="G123" s="434">
        <v>117.3</v>
      </c>
    </row>
    <row r="124" spans="1:7" x14ac:dyDescent="0.3">
      <c r="A124" s="454">
        <v>5</v>
      </c>
      <c r="B124" s="434">
        <v>16</v>
      </c>
      <c r="C124" s="434">
        <v>65.8</v>
      </c>
      <c r="D124" s="434">
        <v>73.3</v>
      </c>
      <c r="E124" s="434"/>
      <c r="F124" s="434">
        <v>65.400000000000006</v>
      </c>
      <c r="G124" s="434">
        <v>81</v>
      </c>
    </row>
    <row r="125" spans="1:7" x14ac:dyDescent="0.3">
      <c r="A125" s="454">
        <v>6</v>
      </c>
      <c r="B125" s="434">
        <v>17.3</v>
      </c>
      <c r="C125" s="434">
        <v>51.7</v>
      </c>
      <c r="D125" s="434">
        <v>81.7</v>
      </c>
      <c r="E125" s="434"/>
      <c r="F125" s="434"/>
      <c r="G125" s="434">
        <v>97.9</v>
      </c>
    </row>
    <row r="126" spans="1:7" x14ac:dyDescent="0.3">
      <c r="A126" s="454">
        <v>7</v>
      </c>
      <c r="B126" s="434">
        <v>33</v>
      </c>
      <c r="C126" s="434">
        <v>55.3</v>
      </c>
      <c r="D126" s="434">
        <v>83.7</v>
      </c>
      <c r="E126" s="434"/>
      <c r="F126" s="434"/>
      <c r="G126" s="434"/>
    </row>
    <row r="127" spans="1:7" x14ac:dyDescent="0.3">
      <c r="A127" s="454">
        <v>8</v>
      </c>
      <c r="B127" s="434"/>
      <c r="C127" s="434">
        <v>56.8</v>
      </c>
      <c r="D127" s="434">
        <v>81.599999999999994</v>
      </c>
      <c r="E127" s="434"/>
      <c r="F127" s="434"/>
      <c r="G127" s="434"/>
    </row>
    <row r="128" spans="1:7" x14ac:dyDescent="0.3">
      <c r="A128" s="454">
        <v>9</v>
      </c>
      <c r="B128" s="434"/>
      <c r="C128" s="434">
        <v>54.2</v>
      </c>
      <c r="D128" s="434"/>
      <c r="E128" s="434"/>
      <c r="F128" s="434"/>
      <c r="G128" s="434"/>
    </row>
    <row r="129" spans="1:7" x14ac:dyDescent="0.3">
      <c r="A129" s="671" t="s">
        <v>362</v>
      </c>
      <c r="B129" s="672"/>
      <c r="C129" s="672"/>
      <c r="D129" s="672"/>
      <c r="E129" s="672"/>
      <c r="F129" s="672"/>
      <c r="G129" s="673"/>
    </row>
    <row r="130" spans="1:7" x14ac:dyDescent="0.3">
      <c r="A130" s="396"/>
      <c r="B130" s="666" t="s">
        <v>364</v>
      </c>
      <c r="C130" s="675"/>
      <c r="D130" s="667"/>
      <c r="E130" s="666" t="s">
        <v>365</v>
      </c>
      <c r="F130" s="675"/>
      <c r="G130" s="667"/>
    </row>
    <row r="131" spans="1:7" x14ac:dyDescent="0.3">
      <c r="A131" s="454" t="s">
        <v>366</v>
      </c>
      <c r="B131" s="433" t="s">
        <v>344</v>
      </c>
      <c r="C131" s="433" t="s">
        <v>345</v>
      </c>
      <c r="D131" s="433" t="s">
        <v>367</v>
      </c>
      <c r="E131" s="433" t="s">
        <v>368</v>
      </c>
      <c r="F131" s="433" t="s">
        <v>369</v>
      </c>
      <c r="G131" s="433" t="s">
        <v>370</v>
      </c>
    </row>
    <row r="132" spans="1:7" x14ac:dyDescent="0.3">
      <c r="A132" s="454">
        <v>1</v>
      </c>
      <c r="B132" s="434">
        <v>0</v>
      </c>
      <c r="C132" s="434">
        <v>0</v>
      </c>
      <c r="D132" s="434">
        <v>0</v>
      </c>
      <c r="E132" s="434">
        <v>44.3</v>
      </c>
      <c r="F132" s="434">
        <v>63.4</v>
      </c>
      <c r="G132" s="434">
        <v>116.7</v>
      </c>
    </row>
    <row r="133" spans="1:7" x14ac:dyDescent="0.3">
      <c r="A133" s="454">
        <v>2</v>
      </c>
      <c r="B133" s="434"/>
      <c r="C133" s="434"/>
      <c r="D133" s="434"/>
      <c r="E133" s="434">
        <v>48.3</v>
      </c>
      <c r="F133" s="434">
        <v>73</v>
      </c>
      <c r="G133" s="434">
        <v>94.7</v>
      </c>
    </row>
    <row r="134" spans="1:7" x14ac:dyDescent="0.3">
      <c r="A134" s="454">
        <v>3</v>
      </c>
      <c r="B134" s="434"/>
      <c r="C134" s="434"/>
      <c r="D134" s="434"/>
      <c r="E134" s="434">
        <v>54.5</v>
      </c>
      <c r="F134" s="434">
        <v>76.599999999999994</v>
      </c>
      <c r="G134" s="434">
        <v>89.3</v>
      </c>
    </row>
    <row r="135" spans="1:7" x14ac:dyDescent="0.3">
      <c r="A135" s="454">
        <v>4</v>
      </c>
      <c r="B135" s="434"/>
      <c r="C135" s="434"/>
      <c r="D135" s="434"/>
      <c r="E135" s="434">
        <v>47.5</v>
      </c>
      <c r="F135" s="434">
        <v>78.099999999999994</v>
      </c>
      <c r="G135" s="434">
        <v>98.2</v>
      </c>
    </row>
    <row r="136" spans="1:7" x14ac:dyDescent="0.3">
      <c r="A136" s="454">
        <v>5</v>
      </c>
      <c r="B136" s="434"/>
      <c r="C136" s="434"/>
      <c r="D136" s="434"/>
      <c r="E136" s="434"/>
      <c r="F136" s="434">
        <v>76.7</v>
      </c>
      <c r="G136" s="434">
        <v>107.4</v>
      </c>
    </row>
    <row r="137" spans="1:7" x14ac:dyDescent="0.3">
      <c r="A137" s="442"/>
      <c r="B137" s="443"/>
      <c r="C137" s="443"/>
      <c r="D137" s="443"/>
      <c r="E137" s="443"/>
      <c r="F137" s="443"/>
      <c r="G137" s="443"/>
    </row>
    <row r="138" spans="1:7" x14ac:dyDescent="0.3">
      <c r="A138" s="442"/>
      <c r="B138" s="443"/>
      <c r="C138" s="443"/>
      <c r="D138" s="443"/>
      <c r="E138" s="441"/>
      <c r="F138" s="443"/>
      <c r="G138" s="443"/>
    </row>
    <row r="139" spans="1:7" x14ac:dyDescent="0.3">
      <c r="A139" s="442"/>
      <c r="B139" s="443"/>
      <c r="C139" s="443"/>
      <c r="D139" s="443"/>
      <c r="E139" s="441"/>
      <c r="F139" s="441"/>
      <c r="G139" s="443"/>
    </row>
    <row r="140" spans="1:7" x14ac:dyDescent="0.3">
      <c r="A140" s="442"/>
      <c r="B140" s="443"/>
      <c r="C140" s="443"/>
      <c r="D140" s="443"/>
      <c r="E140" s="441"/>
      <c r="F140" s="441"/>
      <c r="G140" s="441"/>
    </row>
    <row r="141" spans="1:7" x14ac:dyDescent="0.3">
      <c r="A141" s="668" t="s">
        <v>160</v>
      </c>
      <c r="B141" s="666" t="s">
        <v>161</v>
      </c>
      <c r="C141" s="667"/>
      <c r="D141" s="666" t="s">
        <v>162</v>
      </c>
      <c r="E141" s="667"/>
      <c r="F141" s="666" t="s">
        <v>163</v>
      </c>
      <c r="G141" s="667"/>
    </row>
    <row r="142" spans="1:7" x14ac:dyDescent="0.3">
      <c r="A142" s="669"/>
      <c r="B142" s="432" t="s">
        <v>164</v>
      </c>
      <c r="C142" s="432" t="s">
        <v>165</v>
      </c>
      <c r="D142" s="432" t="s">
        <v>164</v>
      </c>
      <c r="E142" s="432" t="s">
        <v>165</v>
      </c>
      <c r="F142" s="432" t="s">
        <v>164</v>
      </c>
      <c r="G142" s="432" t="s">
        <v>165</v>
      </c>
    </row>
    <row r="143" spans="1:7" x14ac:dyDescent="0.3">
      <c r="A143" s="433" t="s">
        <v>353</v>
      </c>
      <c r="B143" s="435">
        <f>ROUNDDOWN(AVERAGE(B6:D11),1)</f>
        <v>0</v>
      </c>
      <c r="C143" s="435">
        <f>ROUNDDOWN(AVERAGE(E6:G11),1)</f>
        <v>73.3</v>
      </c>
      <c r="D143" s="432">
        <v>0</v>
      </c>
      <c r="E143" s="432">
        <v>5597</v>
      </c>
      <c r="F143" s="432">
        <f>B143*D143</f>
        <v>0</v>
      </c>
      <c r="G143" s="432">
        <f>C143*E143</f>
        <v>410260.1</v>
      </c>
    </row>
    <row r="144" spans="1:7" x14ac:dyDescent="0.3">
      <c r="A144" s="433" t="s">
        <v>354</v>
      </c>
      <c r="B144" s="435">
        <f>ROUNDDOWN(AVERAGE(B15:D20),1)</f>
        <v>0</v>
      </c>
      <c r="C144" s="435">
        <f>ROUNDDOWN(AVERAGE(E15:G20),1)</f>
        <v>68.8</v>
      </c>
      <c r="D144" s="432">
        <v>0</v>
      </c>
      <c r="E144" s="432">
        <v>7004</v>
      </c>
      <c r="F144" s="432">
        <f t="shared" ref="F144:G152" si="0">B144*D144</f>
        <v>0</v>
      </c>
      <c r="G144" s="432">
        <f t="shared" si="0"/>
        <v>481875.19999999995</v>
      </c>
    </row>
    <row r="145" spans="1:7" x14ac:dyDescent="0.3">
      <c r="A145" s="433" t="s">
        <v>355</v>
      </c>
      <c r="B145" s="435">
        <f>ROUNDDOWN(AVERAGE(B24:D38),1)</f>
        <v>54.1</v>
      </c>
      <c r="C145" s="435">
        <f>ROUNDDOWN(AVERAGE(E24:G38),1)</f>
        <v>77.400000000000006</v>
      </c>
      <c r="D145" s="432">
        <v>16871</v>
      </c>
      <c r="E145" s="432">
        <v>13845</v>
      </c>
      <c r="F145" s="432">
        <f t="shared" si="0"/>
        <v>912721.1</v>
      </c>
      <c r="G145" s="432">
        <f t="shared" si="0"/>
        <v>1071603</v>
      </c>
    </row>
    <row r="146" spans="1:7" x14ac:dyDescent="0.3">
      <c r="A146" s="433" t="s">
        <v>356</v>
      </c>
      <c r="B146" s="435">
        <f>ROUNDDOWN(AVERAGE(B42:D56),1)</f>
        <v>56.5</v>
      </c>
      <c r="C146" s="435">
        <f>ROUNDDOWN(AVERAGE(E42:G56),1)</f>
        <v>78.7</v>
      </c>
      <c r="D146" s="432">
        <v>16520</v>
      </c>
      <c r="E146" s="432">
        <v>15173</v>
      </c>
      <c r="F146" s="432">
        <f t="shared" si="0"/>
        <v>933380</v>
      </c>
      <c r="G146" s="432">
        <f t="shared" si="0"/>
        <v>1194115.1000000001</v>
      </c>
    </row>
    <row r="147" spans="1:7" x14ac:dyDescent="0.3">
      <c r="A147" s="433" t="s">
        <v>357</v>
      </c>
      <c r="B147" s="435">
        <f>ROUNDDOWN(AVERAGE(B60:D68),1)</f>
        <v>53.7</v>
      </c>
      <c r="C147" s="435">
        <f>ROUNDDOWN(AVERAGE(E60:G68),1)</f>
        <v>68.900000000000006</v>
      </c>
      <c r="D147" s="432">
        <v>10059</v>
      </c>
      <c r="E147" s="432">
        <v>6471</v>
      </c>
      <c r="F147" s="432">
        <f t="shared" si="0"/>
        <v>540168.30000000005</v>
      </c>
      <c r="G147" s="432">
        <f t="shared" si="0"/>
        <v>445851.9</v>
      </c>
    </row>
    <row r="148" spans="1:7" x14ac:dyDescent="0.3">
      <c r="A148" s="433" t="s">
        <v>358</v>
      </c>
      <c r="B148" s="435">
        <f>ROUNDDOWN(AVERAGE(B72:D90),1)</f>
        <v>56.4</v>
      </c>
      <c r="C148" s="435">
        <f>ROUNDDOWN(AVERAGE(E72:G90),1)</f>
        <v>74.2</v>
      </c>
      <c r="D148" s="432">
        <v>20494</v>
      </c>
      <c r="E148" s="432">
        <v>19365</v>
      </c>
      <c r="F148" s="432">
        <f t="shared" si="0"/>
        <v>1155861.5999999999</v>
      </c>
      <c r="G148" s="432">
        <f t="shared" si="0"/>
        <v>1436883</v>
      </c>
    </row>
    <row r="149" spans="1:7" x14ac:dyDescent="0.3">
      <c r="A149" s="433" t="s">
        <v>359</v>
      </c>
      <c r="B149" s="435">
        <f>ROUNDDOWN(AVERAGE(B94:D108),1)</f>
        <v>59</v>
      </c>
      <c r="C149" s="435">
        <f>ROUNDDOWN(AVERAGE(E94:G108),1)</f>
        <v>73.599999999999994</v>
      </c>
      <c r="D149" s="432">
        <v>16458</v>
      </c>
      <c r="E149" s="432">
        <v>13880</v>
      </c>
      <c r="F149" s="432">
        <f t="shared" si="0"/>
        <v>971022</v>
      </c>
      <c r="G149" s="432">
        <f t="shared" si="0"/>
        <v>1021567.9999999999</v>
      </c>
    </row>
    <row r="150" spans="1:7" x14ac:dyDescent="0.3">
      <c r="A150" s="433" t="s">
        <v>360</v>
      </c>
      <c r="B150" s="435">
        <f>ROUNDDOWN(AVERAGE(B112:D116),1)</f>
        <v>0</v>
      </c>
      <c r="C150" s="435">
        <f>ROUNDDOWN(AVERAGE(E112:G116),1)</f>
        <v>75.2</v>
      </c>
      <c r="D150" s="432">
        <v>0</v>
      </c>
      <c r="E150" s="432">
        <v>5008</v>
      </c>
      <c r="F150" s="432">
        <f t="shared" si="0"/>
        <v>0</v>
      </c>
      <c r="G150" s="432">
        <f t="shared" si="0"/>
        <v>376601.60000000003</v>
      </c>
    </row>
    <row r="151" spans="1:7" x14ac:dyDescent="0.3">
      <c r="A151" s="433" t="s">
        <v>361</v>
      </c>
      <c r="B151" s="435">
        <f>ROUNDDOWN(AVERAGE(B120:D128),1)</f>
        <v>55.3</v>
      </c>
      <c r="C151" s="435">
        <f>ROUNDDOWN(AVERAGE(E120:G128),1)</f>
        <v>78.8</v>
      </c>
      <c r="D151" s="432">
        <v>9275</v>
      </c>
      <c r="E151" s="432">
        <v>5931</v>
      </c>
      <c r="F151" s="432">
        <f t="shared" si="0"/>
        <v>512907.5</v>
      </c>
      <c r="G151" s="432">
        <f t="shared" si="0"/>
        <v>467362.8</v>
      </c>
    </row>
    <row r="152" spans="1:7" x14ac:dyDescent="0.3">
      <c r="A152" s="433" t="s">
        <v>362</v>
      </c>
      <c r="B152" s="435">
        <f>ROUNDDOWN(AVERAGE(B132:D136),1)</f>
        <v>0</v>
      </c>
      <c r="C152" s="435">
        <f>ROUNDDOWN(AVERAGE(E132:G136),1)</f>
        <v>76.3</v>
      </c>
      <c r="D152" s="432">
        <v>0</v>
      </c>
      <c r="E152" s="432">
        <v>5997</v>
      </c>
      <c r="F152" s="432">
        <f t="shared" si="0"/>
        <v>0</v>
      </c>
      <c r="G152" s="432">
        <f t="shared" si="0"/>
        <v>457571.1</v>
      </c>
    </row>
    <row r="153" spans="1:7" x14ac:dyDescent="0.3">
      <c r="A153" s="433" t="s">
        <v>166</v>
      </c>
      <c r="B153" s="433"/>
      <c r="C153" s="433"/>
      <c r="D153" s="432">
        <f>SUM(D143:D152)</f>
        <v>89677</v>
      </c>
      <c r="E153" s="432">
        <f>SUM(E143:E152)</f>
        <v>98271</v>
      </c>
      <c r="F153" s="432">
        <f>SUM(F143:F152)</f>
        <v>5026060.5</v>
      </c>
      <c r="G153" s="432">
        <f>SUM(G143:G152)</f>
        <v>7363691.7999999989</v>
      </c>
    </row>
    <row r="154" spans="1:7" x14ac:dyDescent="0.3">
      <c r="A154" s="441"/>
      <c r="B154" s="441"/>
      <c r="C154" s="441"/>
      <c r="D154" s="442"/>
      <c r="E154" s="442"/>
      <c r="F154" s="442"/>
      <c r="G154" s="442"/>
    </row>
    <row r="156" spans="1:7" x14ac:dyDescent="0.3">
      <c r="C156" s="666" t="s">
        <v>167</v>
      </c>
      <c r="D156" s="667"/>
    </row>
    <row r="157" spans="1:7" x14ac:dyDescent="0.3">
      <c r="C157" s="432" t="s">
        <v>164</v>
      </c>
      <c r="D157" s="432" t="s">
        <v>165</v>
      </c>
    </row>
    <row r="158" spans="1:7" x14ac:dyDescent="0.3">
      <c r="C158" s="436">
        <f>ROUNDDOWN(F153/D153,1)</f>
        <v>56</v>
      </c>
      <c r="D158" s="437">
        <f>ROUNDDOWN(G153/E153,1)</f>
        <v>74.900000000000006</v>
      </c>
    </row>
  </sheetData>
  <mergeCells count="37">
    <mergeCell ref="C156:D156"/>
    <mergeCell ref="B130:D130"/>
    <mergeCell ref="E130:G130"/>
    <mergeCell ref="A141:A142"/>
    <mergeCell ref="B141:C141"/>
    <mergeCell ref="D141:E141"/>
    <mergeCell ref="F141:G141"/>
    <mergeCell ref="A129:G129"/>
    <mergeCell ref="B70:D70"/>
    <mergeCell ref="E70:G70"/>
    <mergeCell ref="A91:G91"/>
    <mergeCell ref="B92:D92"/>
    <mergeCell ref="E92:G92"/>
    <mergeCell ref="A109:G109"/>
    <mergeCell ref="B110:D110"/>
    <mergeCell ref="E110:G110"/>
    <mergeCell ref="A117:G117"/>
    <mergeCell ref="B118:D118"/>
    <mergeCell ref="E118:G118"/>
    <mergeCell ref="A69:G69"/>
    <mergeCell ref="B13:D13"/>
    <mergeCell ref="E13:G13"/>
    <mergeCell ref="A21:G21"/>
    <mergeCell ref="B22:D22"/>
    <mergeCell ref="E22:G22"/>
    <mergeCell ref="A39:G39"/>
    <mergeCell ref="B40:D40"/>
    <mergeCell ref="E40:G40"/>
    <mergeCell ref="A57:G57"/>
    <mergeCell ref="B58:D58"/>
    <mergeCell ref="E58:G58"/>
    <mergeCell ref="A12:G12"/>
    <mergeCell ref="A1:G1"/>
    <mergeCell ref="A2:G2"/>
    <mergeCell ref="A3:G3"/>
    <mergeCell ref="B4:D4"/>
    <mergeCell ref="E4:G4"/>
  </mergeCells>
  <phoneticPr fontId="69" type="noConversion"/>
  <pageMargins left="0.7" right="0.7" top="0.75" bottom="0.75" header="0.3" footer="0.3"/>
  <pageSetup paperSize="9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5ECBA-442F-4187-A4F1-377F13BDFBB1}">
  <dimension ref="A1:I158"/>
  <sheetViews>
    <sheetView zoomScale="80" zoomScaleNormal="80" workbookViewId="0">
      <selection activeCell="E27" sqref="E27"/>
    </sheetView>
  </sheetViews>
  <sheetFormatPr defaultColWidth="8.7265625" defaultRowHeight="14" x14ac:dyDescent="0.3"/>
  <cols>
    <col min="1" max="1" width="22.453125" style="395" customWidth="1"/>
    <col min="2" max="2" width="16.26953125" style="395" bestFit="1" customWidth="1"/>
    <col min="3" max="3" width="22.90625" style="395" bestFit="1" customWidth="1"/>
    <col min="4" max="4" width="22.6328125" style="395" bestFit="1" customWidth="1"/>
    <col min="5" max="5" width="21.453125" style="395" bestFit="1" customWidth="1"/>
    <col min="6" max="6" width="23.453125" style="395" bestFit="1" customWidth="1"/>
    <col min="7" max="7" width="23.08984375" style="395" bestFit="1" customWidth="1"/>
    <col min="8" max="8" width="14.81640625" style="395" customWidth="1"/>
    <col min="9" max="16384" width="8.7265625" style="395"/>
  </cols>
  <sheetData>
    <row r="1" spans="1:9" x14ac:dyDescent="0.3">
      <c r="A1" s="657" t="s">
        <v>322</v>
      </c>
      <c r="B1" s="658"/>
      <c r="C1" s="658"/>
      <c r="D1" s="658"/>
      <c r="E1" s="658"/>
      <c r="F1" s="658"/>
      <c r="G1" s="659"/>
    </row>
    <row r="2" spans="1:9" ht="33" customHeight="1" x14ac:dyDescent="0.3">
      <c r="A2" s="660" t="s">
        <v>377</v>
      </c>
      <c r="B2" s="661"/>
      <c r="C2" s="661"/>
      <c r="D2" s="661"/>
      <c r="E2" s="661"/>
      <c r="F2" s="661"/>
      <c r="G2" s="662"/>
    </row>
    <row r="3" spans="1:9" x14ac:dyDescent="0.3">
      <c r="A3" s="663" t="s">
        <v>353</v>
      </c>
      <c r="B3" s="663"/>
      <c r="C3" s="663"/>
      <c r="D3" s="663"/>
      <c r="E3" s="663"/>
      <c r="F3" s="663"/>
      <c r="G3" s="663"/>
    </row>
    <row r="4" spans="1:9" x14ac:dyDescent="0.3">
      <c r="A4" s="396"/>
      <c r="B4" s="674" t="s">
        <v>364</v>
      </c>
      <c r="C4" s="674"/>
      <c r="D4" s="674"/>
      <c r="E4" s="674" t="s">
        <v>365</v>
      </c>
      <c r="F4" s="674"/>
      <c r="G4" s="674"/>
    </row>
    <row r="5" spans="1:9" x14ac:dyDescent="0.3">
      <c r="A5" s="454" t="s">
        <v>366</v>
      </c>
      <c r="B5" s="433" t="s">
        <v>344</v>
      </c>
      <c r="C5" s="433" t="s">
        <v>345</v>
      </c>
      <c r="D5" s="433" t="s">
        <v>367</v>
      </c>
      <c r="E5" s="433" t="s">
        <v>368</v>
      </c>
      <c r="F5" s="433" t="s">
        <v>369</v>
      </c>
      <c r="G5" s="433" t="s">
        <v>370</v>
      </c>
      <c r="H5" s="440"/>
      <c r="I5" s="441"/>
    </row>
    <row r="6" spans="1:9" x14ac:dyDescent="0.3">
      <c r="A6" s="454">
        <v>1</v>
      </c>
      <c r="B6" s="434">
        <v>0</v>
      </c>
      <c r="C6" s="434">
        <v>0</v>
      </c>
      <c r="D6" s="434">
        <v>0</v>
      </c>
      <c r="E6" s="434">
        <v>30.1</v>
      </c>
      <c r="F6" s="434">
        <v>66.099999999999994</v>
      </c>
      <c r="G6" s="434">
        <v>119.9</v>
      </c>
    </row>
    <row r="7" spans="1:9" x14ac:dyDescent="0.3">
      <c r="A7" s="454">
        <v>2</v>
      </c>
      <c r="B7" s="434"/>
      <c r="C7" s="434"/>
      <c r="D7" s="434"/>
      <c r="E7" s="434">
        <v>38</v>
      </c>
      <c r="F7" s="434">
        <v>77.2</v>
      </c>
      <c r="G7" s="434">
        <v>88</v>
      </c>
    </row>
    <row r="8" spans="1:9" x14ac:dyDescent="0.3">
      <c r="A8" s="454">
        <v>3</v>
      </c>
      <c r="B8" s="434"/>
      <c r="C8" s="434"/>
      <c r="D8" s="434"/>
      <c r="E8" s="434">
        <v>31.1</v>
      </c>
      <c r="F8" s="434">
        <v>78</v>
      </c>
      <c r="G8" s="434">
        <v>117.8</v>
      </c>
    </row>
    <row r="9" spans="1:9" x14ac:dyDescent="0.3">
      <c r="A9" s="454">
        <v>4</v>
      </c>
      <c r="B9" s="434"/>
      <c r="C9" s="434"/>
      <c r="D9" s="434"/>
      <c r="E9" s="434"/>
      <c r="F9" s="434">
        <v>72</v>
      </c>
      <c r="G9" s="434">
        <v>111.9</v>
      </c>
    </row>
    <row r="10" spans="1:9" x14ac:dyDescent="0.3">
      <c r="A10" s="454">
        <v>5</v>
      </c>
      <c r="B10" s="434"/>
      <c r="C10" s="434"/>
      <c r="D10" s="434"/>
      <c r="E10" s="434"/>
      <c r="F10" s="434">
        <v>73.3</v>
      </c>
      <c r="G10" s="434">
        <v>81.8</v>
      </c>
    </row>
    <row r="11" spans="1:9" x14ac:dyDescent="0.3">
      <c r="A11" s="454">
        <v>6</v>
      </c>
      <c r="B11" s="434"/>
      <c r="C11" s="434"/>
      <c r="D11" s="434"/>
      <c r="E11" s="434"/>
      <c r="F11" s="434"/>
      <c r="G11" s="434">
        <v>114.8</v>
      </c>
    </row>
    <row r="12" spans="1:9" x14ac:dyDescent="0.3">
      <c r="A12" s="670" t="s">
        <v>354</v>
      </c>
      <c r="B12" s="670"/>
      <c r="C12" s="670"/>
      <c r="D12" s="670"/>
      <c r="E12" s="670"/>
      <c r="F12" s="670"/>
      <c r="G12" s="670"/>
    </row>
    <row r="13" spans="1:9" x14ac:dyDescent="0.3">
      <c r="A13" s="396"/>
      <c r="B13" s="674" t="s">
        <v>364</v>
      </c>
      <c r="C13" s="674"/>
      <c r="D13" s="674"/>
      <c r="E13" s="674" t="s">
        <v>365</v>
      </c>
      <c r="F13" s="674"/>
      <c r="G13" s="674"/>
    </row>
    <row r="14" spans="1:9" x14ac:dyDescent="0.3">
      <c r="A14" s="454" t="s">
        <v>366</v>
      </c>
      <c r="B14" s="433" t="s">
        <v>344</v>
      </c>
      <c r="C14" s="433" t="s">
        <v>345</v>
      </c>
      <c r="D14" s="433" t="s">
        <v>367</v>
      </c>
      <c r="E14" s="433" t="s">
        <v>368</v>
      </c>
      <c r="F14" s="433" t="s">
        <v>369</v>
      </c>
      <c r="G14" s="433" t="s">
        <v>370</v>
      </c>
    </row>
    <row r="15" spans="1:9" x14ac:dyDescent="0.3">
      <c r="A15" s="454">
        <v>1</v>
      </c>
      <c r="B15" s="434">
        <v>0</v>
      </c>
      <c r="C15" s="434">
        <v>0</v>
      </c>
      <c r="D15" s="434">
        <v>0</v>
      </c>
      <c r="E15" s="434">
        <v>40.799999999999997</v>
      </c>
      <c r="F15" s="434">
        <v>64.3</v>
      </c>
      <c r="G15" s="434">
        <v>117.9</v>
      </c>
    </row>
    <row r="16" spans="1:9" x14ac:dyDescent="0.3">
      <c r="A16" s="454">
        <v>2</v>
      </c>
      <c r="B16" s="434"/>
      <c r="C16" s="434"/>
      <c r="D16" s="434"/>
      <c r="E16" s="434">
        <v>35.6</v>
      </c>
      <c r="F16" s="434">
        <v>73.599999999999994</v>
      </c>
      <c r="G16" s="434">
        <v>94.9</v>
      </c>
    </row>
    <row r="17" spans="1:7" x14ac:dyDescent="0.3">
      <c r="A17" s="454">
        <v>3</v>
      </c>
      <c r="B17" s="434"/>
      <c r="C17" s="434"/>
      <c r="D17" s="434"/>
      <c r="E17" s="434">
        <v>32.799999999999997</v>
      </c>
      <c r="F17" s="434">
        <v>70.400000000000006</v>
      </c>
      <c r="G17" s="434">
        <v>108</v>
      </c>
    </row>
    <row r="18" spans="1:7" x14ac:dyDescent="0.3">
      <c r="A18" s="454">
        <v>4</v>
      </c>
      <c r="B18" s="434"/>
      <c r="C18" s="434"/>
      <c r="D18" s="434"/>
      <c r="E18" s="434">
        <v>49.4</v>
      </c>
      <c r="F18" s="434">
        <v>71.8</v>
      </c>
      <c r="G18" s="434">
        <v>86.2</v>
      </c>
    </row>
    <row r="19" spans="1:7" x14ac:dyDescent="0.3">
      <c r="A19" s="454">
        <v>5</v>
      </c>
      <c r="B19" s="434"/>
      <c r="C19" s="434"/>
      <c r="D19" s="434"/>
      <c r="E19" s="434"/>
      <c r="F19" s="434">
        <v>61.5</v>
      </c>
      <c r="G19" s="434">
        <v>102.7</v>
      </c>
    </row>
    <row r="20" spans="1:7" x14ac:dyDescent="0.3">
      <c r="A20" s="454">
        <v>6</v>
      </c>
      <c r="B20" s="434"/>
      <c r="C20" s="434"/>
      <c r="D20" s="434"/>
      <c r="E20" s="434"/>
      <c r="F20" s="434">
        <v>71.2</v>
      </c>
      <c r="G20" s="434">
        <v>111</v>
      </c>
    </row>
    <row r="21" spans="1:7" x14ac:dyDescent="0.3">
      <c r="A21" s="663" t="s">
        <v>355</v>
      </c>
      <c r="B21" s="663"/>
      <c r="C21" s="663"/>
      <c r="D21" s="663"/>
      <c r="E21" s="663"/>
      <c r="F21" s="663"/>
      <c r="G21" s="663"/>
    </row>
    <row r="22" spans="1:7" x14ac:dyDescent="0.3">
      <c r="A22" s="396"/>
      <c r="B22" s="674" t="s">
        <v>364</v>
      </c>
      <c r="C22" s="674"/>
      <c r="D22" s="674"/>
      <c r="E22" s="674" t="s">
        <v>365</v>
      </c>
      <c r="F22" s="674"/>
      <c r="G22" s="674"/>
    </row>
    <row r="23" spans="1:7" x14ac:dyDescent="0.3">
      <c r="A23" s="454" t="s">
        <v>366</v>
      </c>
      <c r="B23" s="433" t="s">
        <v>344</v>
      </c>
      <c r="C23" s="433" t="s">
        <v>345</v>
      </c>
      <c r="D23" s="433" t="s">
        <v>367</v>
      </c>
      <c r="E23" s="433" t="s">
        <v>368</v>
      </c>
      <c r="F23" s="433" t="s">
        <v>369</v>
      </c>
      <c r="G23" s="433" t="s">
        <v>370</v>
      </c>
    </row>
    <row r="24" spans="1:7" x14ac:dyDescent="0.3">
      <c r="A24" s="454">
        <v>1</v>
      </c>
      <c r="B24" s="434">
        <v>25.2</v>
      </c>
      <c r="C24" s="434">
        <v>59.3</v>
      </c>
      <c r="D24" s="434">
        <v>83.8</v>
      </c>
      <c r="E24" s="434">
        <v>49.9</v>
      </c>
      <c r="F24" s="434">
        <v>75.5</v>
      </c>
      <c r="G24" s="434">
        <v>115.7</v>
      </c>
    </row>
    <row r="25" spans="1:7" x14ac:dyDescent="0.3">
      <c r="A25" s="454">
        <v>2</v>
      </c>
      <c r="B25" s="434">
        <v>35.799999999999997</v>
      </c>
      <c r="C25" s="434">
        <v>39.6</v>
      </c>
      <c r="D25" s="434">
        <v>100.4</v>
      </c>
      <c r="E25" s="434">
        <v>40.700000000000003</v>
      </c>
      <c r="F25" s="434">
        <v>74.2</v>
      </c>
      <c r="G25" s="434">
        <v>83.9</v>
      </c>
    </row>
    <row r="26" spans="1:7" x14ac:dyDescent="0.3">
      <c r="A26" s="454">
        <v>3</v>
      </c>
      <c r="B26" s="434">
        <v>26.7</v>
      </c>
      <c r="C26" s="434">
        <v>60.2</v>
      </c>
      <c r="D26" s="434">
        <v>101.9</v>
      </c>
      <c r="E26" s="434">
        <v>53.1</v>
      </c>
      <c r="F26" s="434">
        <v>68.8</v>
      </c>
      <c r="G26" s="434">
        <v>102.6</v>
      </c>
    </row>
    <row r="27" spans="1:7" x14ac:dyDescent="0.3">
      <c r="A27" s="454">
        <v>4</v>
      </c>
      <c r="B27" s="434">
        <v>21.4</v>
      </c>
      <c r="C27" s="434">
        <v>47.9</v>
      </c>
      <c r="D27" s="434">
        <v>72.7</v>
      </c>
      <c r="E27" s="434">
        <v>54</v>
      </c>
      <c r="F27" s="434">
        <v>67.2</v>
      </c>
      <c r="G27" s="434">
        <v>82.1</v>
      </c>
    </row>
    <row r="28" spans="1:7" x14ac:dyDescent="0.3">
      <c r="A28" s="454">
        <v>5</v>
      </c>
      <c r="B28" s="434">
        <v>20.100000000000001</v>
      </c>
      <c r="C28" s="434">
        <v>37.299999999999997</v>
      </c>
      <c r="D28" s="434">
        <v>68.599999999999994</v>
      </c>
      <c r="E28" s="434">
        <v>38.9</v>
      </c>
      <c r="F28" s="434">
        <v>61.1</v>
      </c>
      <c r="G28" s="434">
        <v>85.3</v>
      </c>
    </row>
    <row r="29" spans="1:7" x14ac:dyDescent="0.3">
      <c r="A29" s="454">
        <v>6</v>
      </c>
      <c r="B29" s="434">
        <v>20.3</v>
      </c>
      <c r="C29" s="434">
        <v>38.200000000000003</v>
      </c>
      <c r="D29" s="434">
        <v>83</v>
      </c>
      <c r="E29" s="434">
        <v>59.9</v>
      </c>
      <c r="F29" s="434">
        <v>63.9</v>
      </c>
      <c r="G29" s="434">
        <v>90.1</v>
      </c>
    </row>
    <row r="30" spans="1:7" x14ac:dyDescent="0.3">
      <c r="A30" s="454">
        <v>7</v>
      </c>
      <c r="B30" s="434">
        <v>23</v>
      </c>
      <c r="C30" s="434">
        <v>47</v>
      </c>
      <c r="D30" s="434">
        <v>87.3</v>
      </c>
      <c r="E30" s="434">
        <v>58.6</v>
      </c>
      <c r="F30" s="434">
        <v>60.7</v>
      </c>
      <c r="G30" s="434">
        <v>104.8</v>
      </c>
    </row>
    <row r="31" spans="1:7" x14ac:dyDescent="0.3">
      <c r="A31" s="454">
        <v>8</v>
      </c>
      <c r="B31" s="434">
        <v>34.1</v>
      </c>
      <c r="C31" s="434">
        <v>67.400000000000006</v>
      </c>
      <c r="D31" s="434">
        <v>76.3</v>
      </c>
      <c r="E31" s="434"/>
      <c r="F31" s="434">
        <v>76.8</v>
      </c>
      <c r="G31" s="434">
        <v>96.1</v>
      </c>
    </row>
    <row r="32" spans="1:7" x14ac:dyDescent="0.3">
      <c r="A32" s="454">
        <v>9</v>
      </c>
      <c r="B32" s="434">
        <v>35.6</v>
      </c>
      <c r="C32" s="434">
        <v>50.5</v>
      </c>
      <c r="D32" s="434">
        <v>97.4</v>
      </c>
      <c r="E32" s="434"/>
      <c r="F32" s="434">
        <v>60.4</v>
      </c>
      <c r="G32" s="434">
        <v>99.1</v>
      </c>
    </row>
    <row r="33" spans="1:7" x14ac:dyDescent="0.3">
      <c r="A33" s="454">
        <v>10</v>
      </c>
      <c r="B33" s="434">
        <v>26.4</v>
      </c>
      <c r="C33" s="434">
        <v>40.6</v>
      </c>
      <c r="D33" s="434">
        <v>102.3</v>
      </c>
      <c r="E33" s="434"/>
      <c r="F33" s="434">
        <v>74</v>
      </c>
      <c r="G33" s="434">
        <v>117</v>
      </c>
    </row>
    <row r="34" spans="1:7" x14ac:dyDescent="0.3">
      <c r="A34" s="454">
        <v>11</v>
      </c>
      <c r="B34" s="434">
        <v>28</v>
      </c>
      <c r="C34" s="434">
        <v>56.2</v>
      </c>
      <c r="D34" s="434">
        <v>83.4</v>
      </c>
      <c r="E34" s="434"/>
      <c r="F34" s="434">
        <v>68.599999999999994</v>
      </c>
      <c r="G34" s="434">
        <v>93.5</v>
      </c>
    </row>
    <row r="35" spans="1:7" x14ac:dyDescent="0.3">
      <c r="A35" s="454">
        <v>12</v>
      </c>
      <c r="B35" s="434">
        <v>33.9</v>
      </c>
      <c r="C35" s="434">
        <v>39.9</v>
      </c>
      <c r="D35" s="434">
        <v>90</v>
      </c>
      <c r="E35" s="434"/>
      <c r="F35" s="434"/>
      <c r="G35" s="434">
        <v>102.2</v>
      </c>
    </row>
    <row r="36" spans="1:7" x14ac:dyDescent="0.3">
      <c r="A36" s="454">
        <v>13</v>
      </c>
      <c r="B36" s="434">
        <v>15.8</v>
      </c>
      <c r="C36" s="434">
        <v>48.9</v>
      </c>
      <c r="D36" s="434">
        <v>74.5</v>
      </c>
      <c r="E36" s="434"/>
      <c r="F36" s="434"/>
      <c r="G36" s="434"/>
    </row>
    <row r="37" spans="1:7" x14ac:dyDescent="0.3">
      <c r="A37" s="454">
        <v>14</v>
      </c>
      <c r="B37" s="434"/>
      <c r="C37" s="434">
        <v>50.3</v>
      </c>
      <c r="D37" s="434">
        <v>73.099999999999994</v>
      </c>
      <c r="E37" s="434"/>
      <c r="F37" s="434"/>
      <c r="G37" s="434"/>
    </row>
    <row r="38" spans="1:7" x14ac:dyDescent="0.3">
      <c r="A38" s="454">
        <v>15</v>
      </c>
      <c r="B38" s="434"/>
      <c r="C38" s="434">
        <v>64.900000000000006</v>
      </c>
      <c r="D38" s="434">
        <v>101.8</v>
      </c>
      <c r="E38" s="434"/>
      <c r="F38" s="434"/>
      <c r="G38" s="434"/>
    </row>
    <row r="39" spans="1:7" x14ac:dyDescent="0.3">
      <c r="A39" s="670" t="s">
        <v>356</v>
      </c>
      <c r="B39" s="670"/>
      <c r="C39" s="670"/>
      <c r="D39" s="663"/>
      <c r="E39" s="670"/>
      <c r="F39" s="670"/>
      <c r="G39" s="670"/>
    </row>
    <row r="40" spans="1:7" x14ac:dyDescent="0.3">
      <c r="A40" s="396"/>
      <c r="B40" s="674" t="s">
        <v>364</v>
      </c>
      <c r="C40" s="674"/>
      <c r="D40" s="674"/>
      <c r="E40" s="674" t="s">
        <v>365</v>
      </c>
      <c r="F40" s="674"/>
      <c r="G40" s="674"/>
    </row>
    <row r="41" spans="1:7" x14ac:dyDescent="0.3">
      <c r="A41" s="454" t="s">
        <v>366</v>
      </c>
      <c r="B41" s="433" t="s">
        <v>344</v>
      </c>
      <c r="C41" s="433" t="s">
        <v>345</v>
      </c>
      <c r="D41" s="433" t="s">
        <v>367</v>
      </c>
      <c r="E41" s="433" t="s">
        <v>368</v>
      </c>
      <c r="F41" s="433" t="s">
        <v>369</v>
      </c>
      <c r="G41" s="433" t="s">
        <v>370</v>
      </c>
    </row>
    <row r="42" spans="1:7" x14ac:dyDescent="0.3">
      <c r="A42" s="454">
        <v>1</v>
      </c>
      <c r="B42" s="434">
        <v>27.8</v>
      </c>
      <c r="C42" s="434">
        <v>44</v>
      </c>
      <c r="D42" s="434">
        <v>91.8</v>
      </c>
      <c r="E42" s="434">
        <v>48.8</v>
      </c>
      <c r="F42" s="434">
        <v>64.400000000000006</v>
      </c>
      <c r="G42" s="434">
        <v>87</v>
      </c>
    </row>
    <row r="43" spans="1:7" x14ac:dyDescent="0.3">
      <c r="A43" s="454">
        <v>2</v>
      </c>
      <c r="B43" s="434">
        <v>19.100000000000001</v>
      </c>
      <c r="C43" s="434">
        <v>65.900000000000006</v>
      </c>
      <c r="D43" s="434">
        <v>104.2</v>
      </c>
      <c r="E43" s="434">
        <v>50.7</v>
      </c>
      <c r="F43" s="434">
        <v>61.1</v>
      </c>
      <c r="G43" s="434">
        <v>105.9</v>
      </c>
    </row>
    <row r="44" spans="1:7" x14ac:dyDescent="0.3">
      <c r="A44" s="454">
        <v>3</v>
      </c>
      <c r="B44" s="434">
        <v>16.8</v>
      </c>
      <c r="C44" s="434">
        <v>60.5</v>
      </c>
      <c r="D44" s="434">
        <v>74.8</v>
      </c>
      <c r="E44" s="434">
        <v>37.4</v>
      </c>
      <c r="F44" s="434">
        <v>70.599999999999994</v>
      </c>
      <c r="G44" s="434">
        <v>89.4</v>
      </c>
    </row>
    <row r="45" spans="1:7" x14ac:dyDescent="0.3">
      <c r="A45" s="454">
        <v>4</v>
      </c>
      <c r="B45" s="434">
        <v>27.9</v>
      </c>
      <c r="C45" s="434">
        <v>46.6</v>
      </c>
      <c r="D45" s="434">
        <v>98.5</v>
      </c>
      <c r="E45" s="434">
        <v>49.5</v>
      </c>
      <c r="F45" s="434">
        <v>61.8</v>
      </c>
      <c r="G45" s="434">
        <v>82.4</v>
      </c>
    </row>
    <row r="46" spans="1:7" x14ac:dyDescent="0.3">
      <c r="A46" s="454">
        <v>5</v>
      </c>
      <c r="B46" s="434">
        <v>17.899999999999999</v>
      </c>
      <c r="C46" s="434">
        <v>57.2</v>
      </c>
      <c r="D46" s="434">
        <v>104.1</v>
      </c>
      <c r="E46" s="434">
        <v>52</v>
      </c>
      <c r="F46" s="434">
        <v>75.400000000000006</v>
      </c>
      <c r="G46" s="434">
        <v>96.5</v>
      </c>
    </row>
    <row r="47" spans="1:7" x14ac:dyDescent="0.3">
      <c r="A47" s="454">
        <v>6</v>
      </c>
      <c r="B47" s="434">
        <v>31.5</v>
      </c>
      <c r="C47" s="434">
        <v>59.1</v>
      </c>
      <c r="D47" s="434">
        <v>77</v>
      </c>
      <c r="E47" s="434">
        <v>38.9</v>
      </c>
      <c r="F47" s="434">
        <v>63.8</v>
      </c>
      <c r="G47" s="434">
        <v>101.4</v>
      </c>
    </row>
    <row r="48" spans="1:7" x14ac:dyDescent="0.3">
      <c r="A48" s="454">
        <v>7</v>
      </c>
      <c r="B48" s="434">
        <v>26.3</v>
      </c>
      <c r="C48" s="434">
        <v>60.4</v>
      </c>
      <c r="D48" s="434">
        <v>97.1</v>
      </c>
      <c r="E48" s="434">
        <v>51.9</v>
      </c>
      <c r="F48" s="434">
        <v>73.599999999999994</v>
      </c>
      <c r="G48" s="434">
        <v>107.6</v>
      </c>
    </row>
    <row r="49" spans="1:7" x14ac:dyDescent="0.3">
      <c r="A49" s="454">
        <v>8</v>
      </c>
      <c r="B49" s="434">
        <v>23.7</v>
      </c>
      <c r="C49" s="434">
        <v>47.3</v>
      </c>
      <c r="D49" s="434">
        <v>69.3</v>
      </c>
      <c r="E49" s="434"/>
      <c r="F49" s="434">
        <v>77.3</v>
      </c>
      <c r="G49" s="434">
        <v>91.6</v>
      </c>
    </row>
    <row r="50" spans="1:7" x14ac:dyDescent="0.3">
      <c r="A50" s="454">
        <v>9</v>
      </c>
      <c r="B50" s="434">
        <v>28.3</v>
      </c>
      <c r="C50" s="434">
        <v>47.9</v>
      </c>
      <c r="D50" s="434">
        <v>104.1</v>
      </c>
      <c r="E50" s="434"/>
      <c r="F50" s="434">
        <v>66.599999999999994</v>
      </c>
      <c r="G50" s="434">
        <v>105.3</v>
      </c>
    </row>
    <row r="51" spans="1:7" x14ac:dyDescent="0.3">
      <c r="A51" s="454">
        <v>10</v>
      </c>
      <c r="B51" s="434">
        <v>25.4</v>
      </c>
      <c r="C51" s="434">
        <v>59.1</v>
      </c>
      <c r="D51" s="434">
        <v>85</v>
      </c>
      <c r="E51" s="434"/>
      <c r="F51" s="434">
        <v>62.4</v>
      </c>
      <c r="G51" s="434">
        <v>107.9</v>
      </c>
    </row>
    <row r="52" spans="1:7" x14ac:dyDescent="0.3">
      <c r="A52" s="454">
        <v>11</v>
      </c>
      <c r="B52" s="434">
        <v>23</v>
      </c>
      <c r="C52" s="434">
        <v>64.400000000000006</v>
      </c>
      <c r="D52" s="434">
        <v>105</v>
      </c>
      <c r="E52" s="434"/>
      <c r="F52" s="434">
        <v>75.5</v>
      </c>
      <c r="G52" s="434">
        <v>111.8</v>
      </c>
    </row>
    <row r="53" spans="1:7" x14ac:dyDescent="0.3">
      <c r="A53" s="454">
        <v>12</v>
      </c>
      <c r="B53" s="434">
        <v>16.2</v>
      </c>
      <c r="C53" s="434">
        <v>62.1</v>
      </c>
      <c r="D53" s="434">
        <v>78.099999999999994</v>
      </c>
      <c r="E53" s="434"/>
      <c r="F53" s="434">
        <v>60.8</v>
      </c>
      <c r="G53" s="434">
        <v>84.6</v>
      </c>
    </row>
    <row r="54" spans="1:7" x14ac:dyDescent="0.3">
      <c r="A54" s="454">
        <v>13</v>
      </c>
      <c r="B54" s="434">
        <v>21.3</v>
      </c>
      <c r="C54" s="434">
        <v>44.4</v>
      </c>
      <c r="D54" s="434">
        <v>73.900000000000006</v>
      </c>
      <c r="E54" s="434"/>
      <c r="F54" s="434"/>
      <c r="G54" s="434">
        <v>95.4</v>
      </c>
    </row>
    <row r="55" spans="1:7" x14ac:dyDescent="0.3">
      <c r="A55" s="454">
        <v>14</v>
      </c>
      <c r="B55" s="434">
        <v>18.3</v>
      </c>
      <c r="C55" s="434">
        <v>66.5</v>
      </c>
      <c r="D55" s="434">
        <v>78.599999999999994</v>
      </c>
      <c r="E55" s="434"/>
      <c r="F55" s="434"/>
      <c r="G55" s="434">
        <v>90</v>
      </c>
    </row>
    <row r="56" spans="1:7" x14ac:dyDescent="0.3">
      <c r="A56" s="454">
        <v>15</v>
      </c>
      <c r="B56" s="434"/>
      <c r="C56" s="434"/>
      <c r="D56" s="434">
        <v>91.9</v>
      </c>
      <c r="E56" s="434"/>
      <c r="F56" s="434"/>
      <c r="G56" s="434"/>
    </row>
    <row r="57" spans="1:7" x14ac:dyDescent="0.3">
      <c r="A57" s="670" t="s">
        <v>357</v>
      </c>
      <c r="B57" s="670"/>
      <c r="C57" s="670"/>
      <c r="D57" s="663"/>
      <c r="E57" s="670"/>
      <c r="F57" s="670"/>
      <c r="G57" s="670"/>
    </row>
    <row r="58" spans="1:7" x14ac:dyDescent="0.3">
      <c r="A58" s="396"/>
      <c r="B58" s="674" t="s">
        <v>364</v>
      </c>
      <c r="C58" s="674"/>
      <c r="D58" s="674"/>
      <c r="E58" s="674" t="s">
        <v>365</v>
      </c>
      <c r="F58" s="674"/>
      <c r="G58" s="674"/>
    </row>
    <row r="59" spans="1:7" x14ac:dyDescent="0.3">
      <c r="A59" s="454" t="s">
        <v>366</v>
      </c>
      <c r="B59" s="433" t="s">
        <v>344</v>
      </c>
      <c r="C59" s="433" t="s">
        <v>345</v>
      </c>
      <c r="D59" s="433" t="s">
        <v>367</v>
      </c>
      <c r="E59" s="433" t="s">
        <v>368</v>
      </c>
      <c r="F59" s="433" t="s">
        <v>369</v>
      </c>
      <c r="G59" s="433" t="s">
        <v>370</v>
      </c>
    </row>
    <row r="60" spans="1:7" x14ac:dyDescent="0.3">
      <c r="A60" s="454">
        <v>1</v>
      </c>
      <c r="B60" s="434">
        <v>34.799999999999997</v>
      </c>
      <c r="C60" s="434">
        <v>57.5</v>
      </c>
      <c r="D60" s="434">
        <v>91.4</v>
      </c>
      <c r="E60" s="434">
        <v>54.4</v>
      </c>
      <c r="F60" s="434">
        <v>76.099999999999994</v>
      </c>
      <c r="G60" s="434">
        <v>92.3</v>
      </c>
    </row>
    <row r="61" spans="1:7" x14ac:dyDescent="0.3">
      <c r="A61" s="454">
        <v>2</v>
      </c>
      <c r="B61" s="434">
        <v>22.7</v>
      </c>
      <c r="C61" s="434">
        <v>58.6</v>
      </c>
      <c r="D61" s="434">
        <v>92.3</v>
      </c>
      <c r="E61" s="434">
        <v>56.1</v>
      </c>
      <c r="F61" s="434">
        <v>74.099999999999994</v>
      </c>
      <c r="G61" s="434">
        <v>112.8</v>
      </c>
    </row>
    <row r="62" spans="1:7" x14ac:dyDescent="0.3">
      <c r="A62" s="454">
        <v>3</v>
      </c>
      <c r="B62" s="434">
        <v>28.5</v>
      </c>
      <c r="C62" s="434">
        <v>53.3</v>
      </c>
      <c r="D62" s="434">
        <v>70.3</v>
      </c>
      <c r="E62" s="434">
        <v>39.299999999999997</v>
      </c>
      <c r="F62" s="434">
        <v>60.7</v>
      </c>
      <c r="G62" s="434">
        <v>96.5</v>
      </c>
    </row>
    <row r="63" spans="1:7" x14ac:dyDescent="0.3">
      <c r="A63" s="454">
        <v>4</v>
      </c>
      <c r="B63" s="434">
        <v>30.8</v>
      </c>
      <c r="C63" s="434">
        <v>60.9</v>
      </c>
      <c r="D63" s="434">
        <v>84.7</v>
      </c>
      <c r="E63" s="434">
        <v>54.8</v>
      </c>
      <c r="F63" s="434">
        <v>76.8</v>
      </c>
      <c r="G63" s="434">
        <v>101.2</v>
      </c>
    </row>
    <row r="64" spans="1:7" x14ac:dyDescent="0.3">
      <c r="A64" s="454">
        <v>5</v>
      </c>
      <c r="B64" s="434">
        <v>25.5</v>
      </c>
      <c r="C64" s="434">
        <v>51.6</v>
      </c>
      <c r="D64" s="434">
        <v>75.8</v>
      </c>
      <c r="E64" s="434"/>
      <c r="F64" s="434">
        <v>76.8</v>
      </c>
      <c r="G64" s="434">
        <v>93</v>
      </c>
    </row>
    <row r="65" spans="1:7" x14ac:dyDescent="0.3">
      <c r="A65" s="454">
        <v>6</v>
      </c>
      <c r="B65" s="434">
        <v>30.8</v>
      </c>
      <c r="C65" s="434">
        <v>44.5</v>
      </c>
      <c r="D65" s="434">
        <v>102.9</v>
      </c>
      <c r="E65" s="434"/>
      <c r="F65" s="434"/>
      <c r="G65" s="434">
        <v>114.8</v>
      </c>
    </row>
    <row r="66" spans="1:7" x14ac:dyDescent="0.3">
      <c r="A66" s="454">
        <v>7</v>
      </c>
      <c r="B66" s="434">
        <v>19.399999999999999</v>
      </c>
      <c r="C66" s="434">
        <v>48.7</v>
      </c>
      <c r="D66" s="434">
        <v>89.7</v>
      </c>
      <c r="E66" s="434"/>
      <c r="F66" s="434"/>
      <c r="G66" s="434"/>
    </row>
    <row r="67" spans="1:7" x14ac:dyDescent="0.3">
      <c r="A67" s="454">
        <v>8</v>
      </c>
      <c r="B67" s="434">
        <v>34.299999999999997</v>
      </c>
      <c r="C67" s="434">
        <v>37.1</v>
      </c>
      <c r="D67" s="434">
        <v>90.9</v>
      </c>
      <c r="E67" s="434"/>
      <c r="F67" s="434"/>
      <c r="G67" s="434"/>
    </row>
    <row r="68" spans="1:7" x14ac:dyDescent="0.3">
      <c r="A68" s="454">
        <v>9</v>
      </c>
      <c r="B68" s="434">
        <v>20.399999999999999</v>
      </c>
      <c r="C68" s="434"/>
      <c r="D68" s="434">
        <v>73.900000000000006</v>
      </c>
      <c r="E68" s="433"/>
      <c r="F68" s="434"/>
      <c r="G68" s="434"/>
    </row>
    <row r="69" spans="1:7" x14ac:dyDescent="0.3">
      <c r="A69" s="670" t="s">
        <v>358</v>
      </c>
      <c r="B69" s="670"/>
      <c r="C69" s="670"/>
      <c r="D69" s="663"/>
      <c r="E69" s="670"/>
      <c r="F69" s="670"/>
      <c r="G69" s="670"/>
    </row>
    <row r="70" spans="1:7" x14ac:dyDescent="0.3">
      <c r="A70" s="396"/>
      <c r="B70" s="674" t="s">
        <v>364</v>
      </c>
      <c r="C70" s="674"/>
      <c r="D70" s="674"/>
      <c r="E70" s="674" t="s">
        <v>365</v>
      </c>
      <c r="F70" s="674"/>
      <c r="G70" s="674"/>
    </row>
    <row r="71" spans="1:7" x14ac:dyDescent="0.3">
      <c r="A71" s="454" t="s">
        <v>366</v>
      </c>
      <c r="B71" s="433" t="s">
        <v>344</v>
      </c>
      <c r="C71" s="433" t="s">
        <v>345</v>
      </c>
      <c r="D71" s="433" t="s">
        <v>367</v>
      </c>
      <c r="E71" s="433" t="s">
        <v>368</v>
      </c>
      <c r="F71" s="433" t="s">
        <v>369</v>
      </c>
      <c r="G71" s="433" t="s">
        <v>370</v>
      </c>
    </row>
    <row r="72" spans="1:7" x14ac:dyDescent="0.3">
      <c r="A72" s="454">
        <v>1</v>
      </c>
      <c r="B72" s="434">
        <v>17.2</v>
      </c>
      <c r="C72" s="434">
        <v>60.3</v>
      </c>
      <c r="D72" s="434">
        <v>98.5</v>
      </c>
      <c r="E72" s="434">
        <v>38</v>
      </c>
      <c r="F72" s="434">
        <v>69</v>
      </c>
      <c r="G72" s="434">
        <v>91.9</v>
      </c>
    </row>
    <row r="73" spans="1:7" x14ac:dyDescent="0.3">
      <c r="A73" s="454">
        <v>2</v>
      </c>
      <c r="B73" s="434">
        <v>25</v>
      </c>
      <c r="C73" s="434">
        <v>49.9</v>
      </c>
      <c r="D73" s="434">
        <v>93.2</v>
      </c>
      <c r="E73" s="434">
        <v>53.1</v>
      </c>
      <c r="F73" s="434">
        <v>64.599999999999994</v>
      </c>
      <c r="G73" s="434">
        <v>112.7</v>
      </c>
    </row>
    <row r="74" spans="1:7" x14ac:dyDescent="0.3">
      <c r="A74" s="454">
        <v>3</v>
      </c>
      <c r="B74" s="434">
        <v>19.7</v>
      </c>
      <c r="C74" s="434">
        <v>55.2</v>
      </c>
      <c r="D74" s="434">
        <v>99.3</v>
      </c>
      <c r="E74" s="434">
        <v>33.799999999999997</v>
      </c>
      <c r="F74" s="434">
        <v>62.1</v>
      </c>
      <c r="G74" s="434">
        <v>80.3</v>
      </c>
    </row>
    <row r="75" spans="1:7" x14ac:dyDescent="0.3">
      <c r="A75" s="454">
        <v>4</v>
      </c>
      <c r="B75" s="434">
        <v>16</v>
      </c>
      <c r="C75" s="434">
        <v>65.5</v>
      </c>
      <c r="D75" s="434">
        <v>76.2</v>
      </c>
      <c r="E75" s="434">
        <v>45.6</v>
      </c>
      <c r="F75" s="434">
        <v>75</v>
      </c>
      <c r="G75" s="434">
        <v>112.3</v>
      </c>
    </row>
    <row r="76" spans="1:7" x14ac:dyDescent="0.3">
      <c r="A76" s="454">
        <v>5</v>
      </c>
      <c r="B76" s="434">
        <v>18.7</v>
      </c>
      <c r="C76" s="434">
        <v>61</v>
      </c>
      <c r="D76" s="434">
        <v>88.7</v>
      </c>
      <c r="E76" s="434">
        <v>51.3</v>
      </c>
      <c r="F76" s="434">
        <v>70.3</v>
      </c>
      <c r="G76" s="434">
        <v>105.2</v>
      </c>
    </row>
    <row r="77" spans="1:7" x14ac:dyDescent="0.3">
      <c r="A77" s="454">
        <v>6</v>
      </c>
      <c r="B77" s="434">
        <v>21.5</v>
      </c>
      <c r="C77" s="434">
        <v>38.6</v>
      </c>
      <c r="D77" s="434">
        <v>91</v>
      </c>
      <c r="E77" s="434">
        <v>43.4</v>
      </c>
      <c r="F77" s="434">
        <v>63.7</v>
      </c>
      <c r="G77" s="434">
        <v>109.2</v>
      </c>
    </row>
    <row r="78" spans="1:7" x14ac:dyDescent="0.3">
      <c r="A78" s="454">
        <v>7</v>
      </c>
      <c r="B78" s="434">
        <v>16.100000000000001</v>
      </c>
      <c r="C78" s="434">
        <v>52.1</v>
      </c>
      <c r="D78" s="434">
        <v>77.2</v>
      </c>
      <c r="E78" s="434">
        <v>36.4</v>
      </c>
      <c r="F78" s="434">
        <v>65.900000000000006</v>
      </c>
      <c r="G78" s="434">
        <v>97.5</v>
      </c>
    </row>
    <row r="79" spans="1:7" x14ac:dyDescent="0.3">
      <c r="A79" s="454">
        <v>8</v>
      </c>
      <c r="B79" s="434">
        <v>30.8</v>
      </c>
      <c r="C79" s="434">
        <v>36.799999999999997</v>
      </c>
      <c r="D79" s="434">
        <v>85.4</v>
      </c>
      <c r="E79" s="434">
        <v>28</v>
      </c>
      <c r="F79" s="434">
        <v>68.099999999999994</v>
      </c>
      <c r="G79" s="434">
        <v>108.1</v>
      </c>
    </row>
    <row r="80" spans="1:7" x14ac:dyDescent="0.3">
      <c r="A80" s="454">
        <v>9</v>
      </c>
      <c r="B80" s="434">
        <v>19.100000000000001</v>
      </c>
      <c r="C80" s="434">
        <v>51.7</v>
      </c>
      <c r="D80" s="434">
        <v>69.099999999999994</v>
      </c>
      <c r="E80" s="434">
        <v>56.5</v>
      </c>
      <c r="F80" s="434">
        <v>62.9</v>
      </c>
      <c r="G80" s="434">
        <v>90.6</v>
      </c>
    </row>
    <row r="81" spans="1:7" x14ac:dyDescent="0.3">
      <c r="A81" s="454">
        <v>10</v>
      </c>
      <c r="B81" s="434">
        <v>33.1</v>
      </c>
      <c r="C81" s="434">
        <v>65.8</v>
      </c>
      <c r="D81" s="434">
        <v>71</v>
      </c>
      <c r="E81" s="434">
        <v>46</v>
      </c>
      <c r="F81" s="434">
        <v>78.099999999999994</v>
      </c>
      <c r="G81" s="434">
        <v>92.5</v>
      </c>
    </row>
    <row r="82" spans="1:7" x14ac:dyDescent="0.3">
      <c r="A82" s="454">
        <v>11</v>
      </c>
      <c r="B82" s="434">
        <v>20</v>
      </c>
      <c r="C82" s="434">
        <v>59.6</v>
      </c>
      <c r="D82" s="434">
        <v>84.7</v>
      </c>
      <c r="E82" s="434"/>
      <c r="F82" s="434">
        <v>67.900000000000006</v>
      </c>
      <c r="G82" s="434">
        <v>119.1</v>
      </c>
    </row>
    <row r="83" spans="1:7" x14ac:dyDescent="0.3">
      <c r="A83" s="454">
        <v>12</v>
      </c>
      <c r="B83" s="434">
        <v>28.5</v>
      </c>
      <c r="C83" s="434">
        <v>62.1</v>
      </c>
      <c r="D83" s="434">
        <v>96.2</v>
      </c>
      <c r="E83" s="434"/>
      <c r="F83" s="434">
        <v>70</v>
      </c>
      <c r="G83" s="434">
        <v>95.7</v>
      </c>
    </row>
    <row r="84" spans="1:7" x14ac:dyDescent="0.3">
      <c r="A84" s="454">
        <v>13</v>
      </c>
      <c r="B84" s="434">
        <v>24</v>
      </c>
      <c r="C84" s="434">
        <v>41.1</v>
      </c>
      <c r="D84" s="434">
        <v>97.3</v>
      </c>
      <c r="E84" s="434"/>
      <c r="F84" s="434">
        <v>72.400000000000006</v>
      </c>
      <c r="G84" s="434">
        <v>84</v>
      </c>
    </row>
    <row r="85" spans="1:7" x14ac:dyDescent="0.3">
      <c r="A85" s="454">
        <v>14</v>
      </c>
      <c r="B85" s="434">
        <v>36.4</v>
      </c>
      <c r="C85" s="434">
        <v>42.3</v>
      </c>
      <c r="D85" s="434">
        <v>95.6</v>
      </c>
      <c r="E85" s="434"/>
      <c r="F85" s="434">
        <v>64.099999999999994</v>
      </c>
      <c r="G85" s="434">
        <v>105</v>
      </c>
    </row>
    <row r="86" spans="1:7" x14ac:dyDescent="0.3">
      <c r="A86" s="454">
        <v>15</v>
      </c>
      <c r="B86" s="434">
        <v>35.799999999999997</v>
      </c>
      <c r="C86" s="434">
        <v>58.1</v>
      </c>
      <c r="D86" s="434">
        <v>102.3</v>
      </c>
      <c r="E86" s="434"/>
      <c r="F86" s="434"/>
      <c r="G86" s="434">
        <v>96.1</v>
      </c>
    </row>
    <row r="87" spans="1:7" x14ac:dyDescent="0.3">
      <c r="A87" s="454">
        <v>16</v>
      </c>
      <c r="B87" s="434"/>
      <c r="C87" s="434">
        <v>66.5</v>
      </c>
      <c r="D87" s="434">
        <v>101.4</v>
      </c>
      <c r="E87" s="434"/>
      <c r="F87" s="434"/>
      <c r="G87" s="434">
        <v>108</v>
      </c>
    </row>
    <row r="88" spans="1:7" x14ac:dyDescent="0.3">
      <c r="A88" s="454">
        <v>17</v>
      </c>
      <c r="B88" s="434"/>
      <c r="C88" s="434">
        <v>37.799999999999997</v>
      </c>
      <c r="D88" s="434">
        <v>88.9</v>
      </c>
      <c r="E88" s="434"/>
      <c r="F88" s="434"/>
      <c r="G88" s="434">
        <v>99.8</v>
      </c>
    </row>
    <row r="89" spans="1:7" x14ac:dyDescent="0.3">
      <c r="A89" s="454">
        <v>18</v>
      </c>
      <c r="B89" s="434"/>
      <c r="C89" s="434">
        <v>41.3</v>
      </c>
      <c r="D89" s="434">
        <v>89.1</v>
      </c>
      <c r="E89" s="438"/>
      <c r="F89" s="438"/>
      <c r="G89" s="438"/>
    </row>
    <row r="90" spans="1:7" x14ac:dyDescent="0.3">
      <c r="A90" s="454">
        <v>19</v>
      </c>
      <c r="B90" s="434"/>
      <c r="C90" s="434">
        <v>43.9</v>
      </c>
      <c r="D90" s="434"/>
      <c r="E90" s="438"/>
      <c r="F90" s="438"/>
      <c r="G90" s="438"/>
    </row>
    <row r="91" spans="1:7" x14ac:dyDescent="0.3">
      <c r="A91" s="670" t="s">
        <v>359</v>
      </c>
      <c r="B91" s="670"/>
      <c r="C91" s="670"/>
      <c r="D91" s="663"/>
      <c r="E91" s="670"/>
      <c r="F91" s="670"/>
      <c r="G91" s="670"/>
    </row>
    <row r="92" spans="1:7" x14ac:dyDescent="0.3">
      <c r="A92" s="396"/>
      <c r="B92" s="674" t="s">
        <v>364</v>
      </c>
      <c r="C92" s="674"/>
      <c r="D92" s="674"/>
      <c r="E92" s="674" t="s">
        <v>365</v>
      </c>
      <c r="F92" s="674"/>
      <c r="G92" s="674"/>
    </row>
    <row r="93" spans="1:7" x14ac:dyDescent="0.3">
      <c r="A93" s="454" t="s">
        <v>366</v>
      </c>
      <c r="B93" s="433" t="s">
        <v>344</v>
      </c>
      <c r="C93" s="433" t="s">
        <v>345</v>
      </c>
      <c r="D93" s="433" t="s">
        <v>367</v>
      </c>
      <c r="E93" s="433" t="s">
        <v>368</v>
      </c>
      <c r="F93" s="433" t="s">
        <v>369</v>
      </c>
      <c r="G93" s="433" t="s">
        <v>370</v>
      </c>
    </row>
    <row r="94" spans="1:7" x14ac:dyDescent="0.3">
      <c r="A94" s="454">
        <v>1</v>
      </c>
      <c r="B94" s="434">
        <v>21</v>
      </c>
      <c r="C94" s="434">
        <v>53.3</v>
      </c>
      <c r="D94" s="434">
        <v>71</v>
      </c>
      <c r="E94" s="434">
        <v>25.9</v>
      </c>
      <c r="F94" s="434">
        <v>77.7</v>
      </c>
      <c r="G94" s="434">
        <v>111.5</v>
      </c>
    </row>
    <row r="95" spans="1:7" x14ac:dyDescent="0.3">
      <c r="A95" s="454">
        <v>2</v>
      </c>
      <c r="B95" s="434">
        <v>21.3</v>
      </c>
      <c r="C95" s="434">
        <v>37</v>
      </c>
      <c r="D95" s="434">
        <v>76.2</v>
      </c>
      <c r="E95" s="434">
        <v>29.1</v>
      </c>
      <c r="F95" s="434">
        <v>73.3</v>
      </c>
      <c r="G95" s="434">
        <v>113.5</v>
      </c>
    </row>
    <row r="96" spans="1:7" x14ac:dyDescent="0.3">
      <c r="A96" s="454">
        <v>3</v>
      </c>
      <c r="B96" s="434">
        <v>20.100000000000001</v>
      </c>
      <c r="C96" s="434">
        <v>52.2</v>
      </c>
      <c r="D96" s="434">
        <v>79</v>
      </c>
      <c r="E96" s="434">
        <v>58.2</v>
      </c>
      <c r="F96" s="434">
        <v>64.3</v>
      </c>
      <c r="G96" s="434">
        <v>91.3</v>
      </c>
    </row>
    <row r="97" spans="1:7" x14ac:dyDescent="0.3">
      <c r="A97" s="454">
        <v>4</v>
      </c>
      <c r="B97" s="434">
        <v>23</v>
      </c>
      <c r="C97" s="434">
        <v>60</v>
      </c>
      <c r="D97" s="434">
        <v>84.1</v>
      </c>
      <c r="E97" s="434">
        <v>32.6</v>
      </c>
      <c r="F97" s="434">
        <v>79.400000000000006</v>
      </c>
      <c r="G97" s="434">
        <v>111.5</v>
      </c>
    </row>
    <row r="98" spans="1:7" x14ac:dyDescent="0.3">
      <c r="A98" s="454">
        <v>5</v>
      </c>
      <c r="B98" s="434">
        <v>32.799999999999997</v>
      </c>
      <c r="C98" s="434">
        <v>41.7</v>
      </c>
      <c r="D98" s="434">
        <v>82.2</v>
      </c>
      <c r="E98" s="434">
        <v>49.8</v>
      </c>
      <c r="F98" s="434">
        <v>71.5</v>
      </c>
      <c r="G98" s="434">
        <v>95.8</v>
      </c>
    </row>
    <row r="99" spans="1:7" x14ac:dyDescent="0.3">
      <c r="A99" s="454">
        <v>6</v>
      </c>
      <c r="B99" s="434">
        <v>21.1</v>
      </c>
      <c r="C99" s="434">
        <v>65.7</v>
      </c>
      <c r="D99" s="434">
        <v>98.8</v>
      </c>
      <c r="E99" s="434">
        <v>32.299999999999997</v>
      </c>
      <c r="F99" s="434">
        <v>77.5</v>
      </c>
      <c r="G99" s="434">
        <v>96.9</v>
      </c>
    </row>
    <row r="100" spans="1:7" x14ac:dyDescent="0.3">
      <c r="A100" s="454">
        <v>7</v>
      </c>
      <c r="B100" s="434">
        <v>16.5</v>
      </c>
      <c r="C100" s="434">
        <v>57.6</v>
      </c>
      <c r="D100" s="434">
        <v>88.4</v>
      </c>
      <c r="E100" s="434">
        <v>51.3</v>
      </c>
      <c r="F100" s="434">
        <v>74.5</v>
      </c>
      <c r="G100" s="434">
        <v>104.9</v>
      </c>
    </row>
    <row r="101" spans="1:7" x14ac:dyDescent="0.3">
      <c r="A101" s="454">
        <v>8</v>
      </c>
      <c r="B101" s="434">
        <v>17.399999999999999</v>
      </c>
      <c r="C101" s="434">
        <v>67.2</v>
      </c>
      <c r="D101" s="434">
        <v>105.1</v>
      </c>
      <c r="E101" s="434">
        <v>37.5</v>
      </c>
      <c r="F101" s="434">
        <v>79.7</v>
      </c>
      <c r="G101" s="434">
        <v>106.4</v>
      </c>
    </row>
    <row r="102" spans="1:7" x14ac:dyDescent="0.3">
      <c r="A102" s="454">
        <v>9</v>
      </c>
      <c r="B102" s="434">
        <v>35.299999999999997</v>
      </c>
      <c r="C102" s="434">
        <v>60.9</v>
      </c>
      <c r="D102" s="434">
        <v>92.9</v>
      </c>
      <c r="E102" s="434"/>
      <c r="F102" s="434">
        <v>65.3</v>
      </c>
      <c r="G102" s="434">
        <v>87.2</v>
      </c>
    </row>
    <row r="103" spans="1:7" x14ac:dyDescent="0.3">
      <c r="A103" s="454">
        <v>10</v>
      </c>
      <c r="B103" s="434">
        <v>17.8</v>
      </c>
      <c r="C103" s="434">
        <v>42.6</v>
      </c>
      <c r="D103" s="434">
        <v>100.3</v>
      </c>
      <c r="E103" s="434"/>
      <c r="F103" s="434">
        <v>68.599999999999994</v>
      </c>
      <c r="G103" s="434">
        <v>113.9</v>
      </c>
    </row>
    <row r="104" spans="1:7" x14ac:dyDescent="0.3">
      <c r="A104" s="454">
        <v>11</v>
      </c>
      <c r="B104" s="434">
        <v>23</v>
      </c>
      <c r="C104" s="434">
        <v>42.2</v>
      </c>
      <c r="D104" s="434">
        <v>76.8</v>
      </c>
      <c r="E104" s="434"/>
      <c r="F104" s="434"/>
      <c r="G104" s="434">
        <v>87.6</v>
      </c>
    </row>
    <row r="105" spans="1:7" x14ac:dyDescent="0.3">
      <c r="A105" s="454">
        <v>12</v>
      </c>
      <c r="B105" s="434">
        <v>20.399999999999999</v>
      </c>
      <c r="C105" s="434">
        <v>45.1</v>
      </c>
      <c r="D105" s="434">
        <v>73.8</v>
      </c>
      <c r="E105" s="434"/>
      <c r="F105" s="434"/>
      <c r="G105" s="434">
        <v>116.9</v>
      </c>
    </row>
    <row r="106" spans="1:7" x14ac:dyDescent="0.3">
      <c r="A106" s="454">
        <v>13</v>
      </c>
      <c r="B106" s="434"/>
      <c r="C106" s="434">
        <v>62.9</v>
      </c>
      <c r="D106" s="434">
        <v>70.099999999999994</v>
      </c>
      <c r="E106" s="438"/>
      <c r="F106" s="438"/>
      <c r="G106" s="438"/>
    </row>
    <row r="107" spans="1:7" x14ac:dyDescent="0.3">
      <c r="A107" s="454">
        <v>14</v>
      </c>
      <c r="B107" s="434"/>
      <c r="C107" s="434">
        <v>59.7</v>
      </c>
      <c r="D107" s="434">
        <v>77.3</v>
      </c>
      <c r="E107" s="438"/>
      <c r="F107" s="438"/>
      <c r="G107" s="438"/>
    </row>
    <row r="108" spans="1:7" x14ac:dyDescent="0.3">
      <c r="A108" s="454">
        <v>15</v>
      </c>
      <c r="B108" s="434"/>
      <c r="C108" s="434">
        <v>51.4</v>
      </c>
      <c r="D108" s="434">
        <v>69.599999999999994</v>
      </c>
      <c r="E108" s="438"/>
      <c r="F108" s="438"/>
      <c r="G108" s="438"/>
    </row>
    <row r="109" spans="1:7" x14ac:dyDescent="0.3">
      <c r="A109" s="670" t="s">
        <v>360</v>
      </c>
      <c r="B109" s="670"/>
      <c r="C109" s="670"/>
      <c r="D109" s="663"/>
      <c r="E109" s="670"/>
      <c r="F109" s="670"/>
      <c r="G109" s="670"/>
    </row>
    <row r="110" spans="1:7" x14ac:dyDescent="0.3">
      <c r="A110" s="396"/>
      <c r="B110" s="674" t="s">
        <v>364</v>
      </c>
      <c r="C110" s="674"/>
      <c r="D110" s="674"/>
      <c r="E110" s="674" t="s">
        <v>365</v>
      </c>
      <c r="F110" s="674"/>
      <c r="G110" s="674"/>
    </row>
    <row r="111" spans="1:7" x14ac:dyDescent="0.3">
      <c r="A111" s="454" t="s">
        <v>366</v>
      </c>
      <c r="B111" s="433" t="s">
        <v>344</v>
      </c>
      <c r="C111" s="433" t="s">
        <v>345</v>
      </c>
      <c r="D111" s="433" t="s">
        <v>367</v>
      </c>
      <c r="E111" s="433" t="s">
        <v>368</v>
      </c>
      <c r="F111" s="433" t="s">
        <v>369</v>
      </c>
      <c r="G111" s="433" t="s">
        <v>370</v>
      </c>
    </row>
    <row r="112" spans="1:7" x14ac:dyDescent="0.3">
      <c r="A112" s="454">
        <v>1</v>
      </c>
      <c r="B112" s="434">
        <v>0</v>
      </c>
      <c r="C112" s="434">
        <v>0</v>
      </c>
      <c r="D112" s="434">
        <v>0</v>
      </c>
      <c r="E112" s="434">
        <v>39.9</v>
      </c>
      <c r="F112" s="434">
        <v>60.6</v>
      </c>
      <c r="G112" s="434">
        <v>87.1</v>
      </c>
    </row>
    <row r="113" spans="1:7" x14ac:dyDescent="0.3">
      <c r="A113" s="454">
        <v>2</v>
      </c>
      <c r="B113" s="434"/>
      <c r="C113" s="434"/>
      <c r="D113" s="434"/>
      <c r="E113" s="434">
        <v>40.299999999999997</v>
      </c>
      <c r="F113" s="434">
        <v>68.8</v>
      </c>
      <c r="G113" s="434">
        <v>112.2</v>
      </c>
    </row>
    <row r="114" spans="1:7" x14ac:dyDescent="0.3">
      <c r="A114" s="454">
        <v>3</v>
      </c>
      <c r="B114" s="434"/>
      <c r="C114" s="434"/>
      <c r="D114" s="434"/>
      <c r="E114" s="434">
        <v>33.299999999999997</v>
      </c>
      <c r="F114" s="434">
        <v>78.900000000000006</v>
      </c>
      <c r="G114" s="434">
        <v>96.4</v>
      </c>
    </row>
    <row r="115" spans="1:7" x14ac:dyDescent="0.3">
      <c r="A115" s="454">
        <v>4</v>
      </c>
      <c r="B115" s="434"/>
      <c r="C115" s="434"/>
      <c r="D115" s="434"/>
      <c r="E115" s="434"/>
      <c r="F115" s="434">
        <v>70.5</v>
      </c>
      <c r="G115" s="434">
        <v>118.6</v>
      </c>
    </row>
    <row r="116" spans="1:7" x14ac:dyDescent="0.3">
      <c r="A116" s="454">
        <v>5</v>
      </c>
      <c r="B116" s="434"/>
      <c r="C116" s="434"/>
      <c r="D116" s="434"/>
      <c r="E116" s="434"/>
      <c r="F116" s="434">
        <v>76.900000000000006</v>
      </c>
      <c r="G116" s="434">
        <v>83.6</v>
      </c>
    </row>
    <row r="117" spans="1:7" x14ac:dyDescent="0.3">
      <c r="A117" s="670" t="s">
        <v>361</v>
      </c>
      <c r="B117" s="670"/>
      <c r="C117" s="670"/>
      <c r="D117" s="663"/>
      <c r="E117" s="670"/>
      <c r="F117" s="670"/>
      <c r="G117" s="670"/>
    </row>
    <row r="118" spans="1:7" x14ac:dyDescent="0.3">
      <c r="A118" s="396"/>
      <c r="B118" s="674" t="s">
        <v>364</v>
      </c>
      <c r="C118" s="674"/>
      <c r="D118" s="674"/>
      <c r="E118" s="674" t="s">
        <v>365</v>
      </c>
      <c r="F118" s="674"/>
      <c r="G118" s="674"/>
    </row>
    <row r="119" spans="1:7" x14ac:dyDescent="0.3">
      <c r="A119" s="454" t="s">
        <v>366</v>
      </c>
      <c r="B119" s="433" t="s">
        <v>344</v>
      </c>
      <c r="C119" s="433" t="s">
        <v>345</v>
      </c>
      <c r="D119" s="433" t="s">
        <v>367</v>
      </c>
      <c r="E119" s="433" t="s">
        <v>368</v>
      </c>
      <c r="F119" s="433" t="s">
        <v>369</v>
      </c>
      <c r="G119" s="433" t="s">
        <v>370</v>
      </c>
    </row>
    <row r="120" spans="1:7" x14ac:dyDescent="0.3">
      <c r="A120" s="454">
        <v>1</v>
      </c>
      <c r="B120" s="434">
        <v>26.1</v>
      </c>
      <c r="C120" s="434">
        <v>56.3</v>
      </c>
      <c r="D120" s="434">
        <v>97.4</v>
      </c>
      <c r="E120" s="434">
        <v>32.5</v>
      </c>
      <c r="F120" s="434">
        <v>70.7</v>
      </c>
      <c r="G120" s="434">
        <v>117.4</v>
      </c>
    </row>
    <row r="121" spans="1:7" x14ac:dyDescent="0.3">
      <c r="A121" s="454">
        <v>2</v>
      </c>
      <c r="B121" s="434">
        <v>25.2</v>
      </c>
      <c r="C121" s="434">
        <v>65.7</v>
      </c>
      <c r="D121" s="434">
        <v>71.099999999999994</v>
      </c>
      <c r="E121" s="434">
        <v>49.6</v>
      </c>
      <c r="F121" s="434">
        <v>66.400000000000006</v>
      </c>
      <c r="G121" s="434">
        <v>107.8</v>
      </c>
    </row>
    <row r="122" spans="1:7" x14ac:dyDescent="0.3">
      <c r="A122" s="454">
        <v>3</v>
      </c>
      <c r="B122" s="434">
        <v>35.5</v>
      </c>
      <c r="C122" s="434">
        <v>63.7</v>
      </c>
      <c r="D122" s="434">
        <v>68.400000000000006</v>
      </c>
      <c r="E122" s="434">
        <v>54.2</v>
      </c>
      <c r="F122" s="434">
        <v>60.3</v>
      </c>
      <c r="G122" s="434">
        <v>84.5</v>
      </c>
    </row>
    <row r="123" spans="1:7" x14ac:dyDescent="0.3">
      <c r="A123" s="454">
        <v>4</v>
      </c>
      <c r="B123" s="434">
        <v>28.5</v>
      </c>
      <c r="C123" s="434">
        <v>48.9</v>
      </c>
      <c r="D123" s="434">
        <v>72.8</v>
      </c>
      <c r="E123" s="434"/>
      <c r="F123" s="434">
        <v>69.900000000000006</v>
      </c>
      <c r="G123" s="434">
        <v>111.4</v>
      </c>
    </row>
    <row r="124" spans="1:7" x14ac:dyDescent="0.3">
      <c r="A124" s="454">
        <v>5</v>
      </c>
      <c r="B124" s="434">
        <v>25.4</v>
      </c>
      <c r="C124" s="434">
        <v>66.599999999999994</v>
      </c>
      <c r="D124" s="434">
        <v>90.5</v>
      </c>
      <c r="E124" s="434"/>
      <c r="F124" s="434">
        <v>70.400000000000006</v>
      </c>
      <c r="G124" s="434">
        <v>104.7</v>
      </c>
    </row>
    <row r="125" spans="1:7" x14ac:dyDescent="0.3">
      <c r="A125" s="454">
        <v>6</v>
      </c>
      <c r="B125" s="434">
        <v>24.2</v>
      </c>
      <c r="C125" s="434">
        <v>55.6</v>
      </c>
      <c r="D125" s="434">
        <v>99</v>
      </c>
      <c r="E125" s="434"/>
      <c r="F125" s="434"/>
      <c r="G125" s="434">
        <v>86.5</v>
      </c>
    </row>
    <row r="126" spans="1:7" x14ac:dyDescent="0.3">
      <c r="A126" s="454">
        <v>7</v>
      </c>
      <c r="B126" s="434">
        <v>32.299999999999997</v>
      </c>
      <c r="C126" s="434">
        <v>43.2</v>
      </c>
      <c r="D126" s="434">
        <v>99</v>
      </c>
      <c r="E126" s="434"/>
      <c r="F126" s="434"/>
      <c r="G126" s="434"/>
    </row>
    <row r="127" spans="1:7" x14ac:dyDescent="0.3">
      <c r="A127" s="454">
        <v>8</v>
      </c>
      <c r="B127" s="434"/>
      <c r="C127" s="434">
        <v>67</v>
      </c>
      <c r="D127" s="434">
        <v>91.4</v>
      </c>
      <c r="E127" s="434"/>
      <c r="F127" s="434"/>
      <c r="G127" s="434"/>
    </row>
    <row r="128" spans="1:7" x14ac:dyDescent="0.3">
      <c r="A128" s="454">
        <v>9</v>
      </c>
      <c r="B128" s="434"/>
      <c r="C128" s="434">
        <v>60.4</v>
      </c>
      <c r="D128" s="434"/>
      <c r="E128" s="434"/>
      <c r="F128" s="434"/>
      <c r="G128" s="434"/>
    </row>
    <row r="129" spans="1:7" x14ac:dyDescent="0.3">
      <c r="A129" s="670" t="s">
        <v>362</v>
      </c>
      <c r="B129" s="670"/>
      <c r="C129" s="670"/>
      <c r="D129" s="663"/>
      <c r="E129" s="670"/>
      <c r="F129" s="670"/>
      <c r="G129" s="670"/>
    </row>
    <row r="130" spans="1:7" x14ac:dyDescent="0.3">
      <c r="A130" s="396"/>
      <c r="B130" s="674" t="s">
        <v>364</v>
      </c>
      <c r="C130" s="674"/>
      <c r="D130" s="674"/>
      <c r="E130" s="674" t="s">
        <v>365</v>
      </c>
      <c r="F130" s="674"/>
      <c r="G130" s="674"/>
    </row>
    <row r="131" spans="1:7" x14ac:dyDescent="0.3">
      <c r="A131" s="454" t="s">
        <v>366</v>
      </c>
      <c r="B131" s="433" t="s">
        <v>344</v>
      </c>
      <c r="C131" s="433" t="s">
        <v>345</v>
      </c>
      <c r="D131" s="433" t="s">
        <v>367</v>
      </c>
      <c r="E131" s="433" t="s">
        <v>368</v>
      </c>
      <c r="F131" s="433" t="s">
        <v>369</v>
      </c>
      <c r="G131" s="433" t="s">
        <v>370</v>
      </c>
    </row>
    <row r="132" spans="1:7" x14ac:dyDescent="0.3">
      <c r="A132" s="454">
        <v>1</v>
      </c>
      <c r="B132" s="434">
        <v>0</v>
      </c>
      <c r="C132" s="434">
        <v>0</v>
      </c>
      <c r="D132" s="434">
        <v>0</v>
      </c>
      <c r="E132" s="434">
        <v>38.9</v>
      </c>
      <c r="F132" s="434">
        <v>67.5</v>
      </c>
      <c r="G132" s="434">
        <v>116.4</v>
      </c>
    </row>
    <row r="133" spans="1:7" x14ac:dyDescent="0.3">
      <c r="A133" s="454">
        <v>2</v>
      </c>
      <c r="B133" s="434"/>
      <c r="C133" s="434"/>
      <c r="D133" s="434"/>
      <c r="E133" s="434">
        <v>31.8</v>
      </c>
      <c r="F133" s="434">
        <v>73.599999999999994</v>
      </c>
      <c r="G133" s="434">
        <v>99.9</v>
      </c>
    </row>
    <row r="134" spans="1:7" x14ac:dyDescent="0.3">
      <c r="A134" s="454">
        <v>3</v>
      </c>
      <c r="B134" s="434"/>
      <c r="C134" s="434"/>
      <c r="D134" s="434"/>
      <c r="E134" s="434">
        <v>44.2</v>
      </c>
      <c r="F134" s="434">
        <v>73.900000000000006</v>
      </c>
      <c r="G134" s="434">
        <v>119.9</v>
      </c>
    </row>
    <row r="135" spans="1:7" x14ac:dyDescent="0.3">
      <c r="A135" s="454">
        <v>4</v>
      </c>
      <c r="B135" s="434"/>
      <c r="C135" s="434"/>
      <c r="D135" s="434"/>
      <c r="E135" s="434">
        <v>43.7</v>
      </c>
      <c r="F135" s="434">
        <v>65.099999999999994</v>
      </c>
      <c r="G135" s="434">
        <v>115.5</v>
      </c>
    </row>
    <row r="136" spans="1:7" x14ac:dyDescent="0.3">
      <c r="A136" s="454">
        <v>5</v>
      </c>
      <c r="B136" s="434"/>
      <c r="C136" s="434"/>
      <c r="D136" s="434"/>
      <c r="E136" s="434"/>
      <c r="F136" s="434">
        <v>72.099999999999994</v>
      </c>
      <c r="G136" s="434">
        <v>83.3</v>
      </c>
    </row>
    <row r="137" spans="1:7" x14ac:dyDescent="0.3">
      <c r="A137" s="442"/>
      <c r="B137" s="443"/>
      <c r="C137" s="443"/>
      <c r="D137" s="443"/>
      <c r="E137" s="443"/>
      <c r="F137" s="443"/>
      <c r="G137" s="443"/>
    </row>
    <row r="138" spans="1:7" x14ac:dyDescent="0.3">
      <c r="A138" s="442"/>
      <c r="B138" s="443"/>
      <c r="C138" s="443"/>
      <c r="D138" s="443"/>
      <c r="E138" s="441"/>
      <c r="F138" s="443"/>
      <c r="G138" s="443"/>
    </row>
    <row r="139" spans="1:7" x14ac:dyDescent="0.3">
      <c r="A139" s="442"/>
      <c r="B139" s="443"/>
      <c r="C139" s="443"/>
      <c r="D139" s="443"/>
      <c r="E139" s="441"/>
      <c r="F139" s="441"/>
      <c r="G139" s="443"/>
    </row>
    <row r="140" spans="1:7" x14ac:dyDescent="0.3">
      <c r="A140" s="442"/>
      <c r="B140" s="443"/>
      <c r="C140" s="443"/>
      <c r="D140" s="443"/>
      <c r="E140" s="441"/>
      <c r="F140" s="441"/>
      <c r="G140" s="441"/>
    </row>
    <row r="141" spans="1:7" x14ac:dyDescent="0.3">
      <c r="A141" s="668" t="s">
        <v>160</v>
      </c>
      <c r="B141" s="666" t="s">
        <v>161</v>
      </c>
      <c r="C141" s="667"/>
      <c r="D141" s="666" t="s">
        <v>162</v>
      </c>
      <c r="E141" s="667"/>
      <c r="F141" s="666" t="s">
        <v>163</v>
      </c>
      <c r="G141" s="667"/>
    </row>
    <row r="142" spans="1:7" x14ac:dyDescent="0.3">
      <c r="A142" s="669"/>
      <c r="B142" s="432" t="s">
        <v>164</v>
      </c>
      <c r="C142" s="432" t="s">
        <v>165</v>
      </c>
      <c r="D142" s="432" t="s">
        <v>164</v>
      </c>
      <c r="E142" s="432" t="s">
        <v>165</v>
      </c>
      <c r="F142" s="432" t="s">
        <v>164</v>
      </c>
      <c r="G142" s="432" t="s">
        <v>165</v>
      </c>
    </row>
    <row r="143" spans="1:7" x14ac:dyDescent="0.3">
      <c r="A143" s="433" t="s">
        <v>353</v>
      </c>
      <c r="B143" s="435">
        <f>ROUNDDOWN(AVERAGE(B6:D11),1)</f>
        <v>0</v>
      </c>
      <c r="C143" s="435">
        <f>ROUNDDOWN(AVERAGE(E6:G11),1)</f>
        <v>78.5</v>
      </c>
      <c r="D143" s="432">
        <v>0</v>
      </c>
      <c r="E143" s="432">
        <v>5603</v>
      </c>
      <c r="F143" s="432">
        <f>B143*D143</f>
        <v>0</v>
      </c>
      <c r="G143" s="432">
        <f>C143*E143</f>
        <v>439835.5</v>
      </c>
    </row>
    <row r="144" spans="1:7" x14ac:dyDescent="0.3">
      <c r="A144" s="433" t="s">
        <v>354</v>
      </c>
      <c r="B144" s="435">
        <f>ROUNDDOWN(AVERAGE(B15:D20),1)</f>
        <v>0</v>
      </c>
      <c r="C144" s="435">
        <f>ROUNDDOWN(AVERAGE(E15:G20),1)</f>
        <v>74.5</v>
      </c>
      <c r="D144" s="432">
        <v>0</v>
      </c>
      <c r="E144" s="432">
        <v>6978</v>
      </c>
      <c r="F144" s="432">
        <f t="shared" ref="F144:G152" si="0">B144*D144</f>
        <v>0</v>
      </c>
      <c r="G144" s="432">
        <f t="shared" si="0"/>
        <v>519861</v>
      </c>
    </row>
    <row r="145" spans="1:7" x14ac:dyDescent="0.3">
      <c r="A145" s="433" t="s">
        <v>355</v>
      </c>
      <c r="B145" s="435">
        <f>ROUNDDOWN(AVERAGE(B24:D38),1)</f>
        <v>55.6</v>
      </c>
      <c r="C145" s="435">
        <f>ROUNDDOWN(AVERAGE(E24:G38),1)</f>
        <v>75.900000000000006</v>
      </c>
      <c r="D145" s="432">
        <v>16871</v>
      </c>
      <c r="E145" s="432">
        <v>13897</v>
      </c>
      <c r="F145" s="432">
        <f t="shared" si="0"/>
        <v>938027.6</v>
      </c>
      <c r="G145" s="432">
        <f t="shared" si="0"/>
        <v>1054782.3</v>
      </c>
    </row>
    <row r="146" spans="1:7" x14ac:dyDescent="0.3">
      <c r="A146" s="433" t="s">
        <v>356</v>
      </c>
      <c r="B146" s="435">
        <f>ROUNDDOWN(AVERAGE(B42:D56),1)</f>
        <v>56.7</v>
      </c>
      <c r="C146" s="435">
        <f>ROUNDDOWN(AVERAGE(E42:G56),1)</f>
        <v>75.7</v>
      </c>
      <c r="D146" s="432">
        <v>16520</v>
      </c>
      <c r="E146" s="432">
        <v>15166</v>
      </c>
      <c r="F146" s="432">
        <f t="shared" si="0"/>
        <v>936684</v>
      </c>
      <c r="G146" s="432">
        <f t="shared" si="0"/>
        <v>1148066.2</v>
      </c>
    </row>
    <row r="147" spans="1:7" x14ac:dyDescent="0.3">
      <c r="A147" s="433" t="s">
        <v>357</v>
      </c>
      <c r="B147" s="435">
        <f>ROUNDDOWN(AVERAGE(B60:D68),1)</f>
        <v>55</v>
      </c>
      <c r="C147" s="435">
        <f>ROUNDDOWN(AVERAGE(E60:G68),1)</f>
        <v>78.599999999999994</v>
      </c>
      <c r="D147" s="432">
        <v>10059</v>
      </c>
      <c r="E147" s="432">
        <v>6463</v>
      </c>
      <c r="F147" s="432">
        <f t="shared" si="0"/>
        <v>553245</v>
      </c>
      <c r="G147" s="432">
        <f t="shared" si="0"/>
        <v>507991.8</v>
      </c>
    </row>
    <row r="148" spans="1:7" x14ac:dyDescent="0.3">
      <c r="A148" s="433" t="s">
        <v>358</v>
      </c>
      <c r="B148" s="435">
        <f>ROUNDDOWN(AVERAGE(B72:D90),1)</f>
        <v>56.8</v>
      </c>
      <c r="C148" s="435">
        <f>ROUNDDOWN(AVERAGE(E72:G90),1)</f>
        <v>75.400000000000006</v>
      </c>
      <c r="D148" s="432">
        <v>20494</v>
      </c>
      <c r="E148" s="432">
        <v>19267</v>
      </c>
      <c r="F148" s="432">
        <f t="shared" si="0"/>
        <v>1164059.2</v>
      </c>
      <c r="G148" s="432">
        <f t="shared" si="0"/>
        <v>1452731.8</v>
      </c>
    </row>
    <row r="149" spans="1:7" x14ac:dyDescent="0.3">
      <c r="A149" s="433" t="s">
        <v>359</v>
      </c>
      <c r="B149" s="435">
        <f>ROUNDDOWN(AVERAGE(B94:D108),1)</f>
        <v>55.1</v>
      </c>
      <c r="C149" s="435">
        <f>ROUNDDOWN(AVERAGE(E94:G108),1)</f>
        <v>76.099999999999994</v>
      </c>
      <c r="D149" s="432">
        <v>16458</v>
      </c>
      <c r="E149" s="432">
        <v>13895</v>
      </c>
      <c r="F149" s="432">
        <f t="shared" si="0"/>
        <v>906835.8</v>
      </c>
      <c r="G149" s="432">
        <f t="shared" si="0"/>
        <v>1057409.5</v>
      </c>
    </row>
    <row r="150" spans="1:7" x14ac:dyDescent="0.3">
      <c r="A150" s="433" t="s">
        <v>360</v>
      </c>
      <c r="B150" s="435">
        <f>ROUNDDOWN(AVERAGE(B112:D116),1)</f>
        <v>0</v>
      </c>
      <c r="C150" s="435">
        <f>ROUNDDOWN(AVERAGE(E112:G116),1)</f>
        <v>74.3</v>
      </c>
      <c r="D150" s="432">
        <v>0</v>
      </c>
      <c r="E150" s="432">
        <v>5021</v>
      </c>
      <c r="F150" s="432">
        <f t="shared" si="0"/>
        <v>0</v>
      </c>
      <c r="G150" s="432">
        <f t="shared" si="0"/>
        <v>373060.3</v>
      </c>
    </row>
    <row r="151" spans="1:7" x14ac:dyDescent="0.3">
      <c r="A151" s="433" t="s">
        <v>361</v>
      </c>
      <c r="B151" s="435">
        <f>ROUNDDOWN(AVERAGE(B120:D128),1)</f>
        <v>58.9</v>
      </c>
      <c r="C151" s="435">
        <f>ROUNDDOWN(AVERAGE(E120:G128),1)</f>
        <v>77.5</v>
      </c>
      <c r="D151" s="432">
        <v>9275</v>
      </c>
      <c r="E151" s="432">
        <v>5958</v>
      </c>
      <c r="F151" s="432">
        <f t="shared" si="0"/>
        <v>546297.5</v>
      </c>
      <c r="G151" s="432">
        <f t="shared" si="0"/>
        <v>461745</v>
      </c>
    </row>
    <row r="152" spans="1:7" x14ac:dyDescent="0.3">
      <c r="A152" s="433" t="s">
        <v>362</v>
      </c>
      <c r="B152" s="435">
        <f>ROUNDDOWN(AVERAGE(B132:D136),1)</f>
        <v>0</v>
      </c>
      <c r="C152" s="435">
        <f>ROUNDDOWN(AVERAGE(E132:G136),1)</f>
        <v>74.7</v>
      </c>
      <c r="D152" s="432">
        <v>0</v>
      </c>
      <c r="E152" s="432">
        <v>5979</v>
      </c>
      <c r="F152" s="432">
        <f t="shared" si="0"/>
        <v>0</v>
      </c>
      <c r="G152" s="432">
        <f t="shared" si="0"/>
        <v>446631.3</v>
      </c>
    </row>
    <row r="153" spans="1:7" x14ac:dyDescent="0.3">
      <c r="A153" s="433" t="s">
        <v>166</v>
      </c>
      <c r="B153" s="433"/>
      <c r="C153" s="433"/>
      <c r="D153" s="432">
        <f>SUM(D143:D152)</f>
        <v>89677</v>
      </c>
      <c r="E153" s="432">
        <f>SUM(E143:E152)</f>
        <v>98227</v>
      </c>
      <c r="F153" s="432">
        <f>SUM(F143:F152)</f>
        <v>5045149.0999999996</v>
      </c>
      <c r="G153" s="432">
        <f>SUM(G143:G152)</f>
        <v>7462114.6999999993</v>
      </c>
    </row>
    <row r="154" spans="1:7" x14ac:dyDescent="0.3">
      <c r="A154" s="441"/>
      <c r="B154" s="441"/>
      <c r="C154" s="441"/>
      <c r="D154" s="442"/>
      <c r="E154" s="442"/>
      <c r="F154" s="442"/>
      <c r="G154" s="442"/>
    </row>
    <row r="156" spans="1:7" x14ac:dyDescent="0.3">
      <c r="C156" s="666" t="s">
        <v>167</v>
      </c>
      <c r="D156" s="667"/>
    </row>
    <row r="157" spans="1:7" x14ac:dyDescent="0.3">
      <c r="C157" s="432" t="s">
        <v>164</v>
      </c>
      <c r="D157" s="432" t="s">
        <v>165</v>
      </c>
    </row>
    <row r="158" spans="1:7" x14ac:dyDescent="0.3">
      <c r="C158" s="436">
        <f>ROUNDDOWN(F153/D153,1)</f>
        <v>56.2</v>
      </c>
      <c r="D158" s="437">
        <f>ROUNDDOWN(G153/E153,1)</f>
        <v>75.900000000000006</v>
      </c>
    </row>
  </sheetData>
  <mergeCells count="37">
    <mergeCell ref="C156:D156"/>
    <mergeCell ref="B130:D130"/>
    <mergeCell ref="E130:G130"/>
    <mergeCell ref="A141:A142"/>
    <mergeCell ref="B141:C141"/>
    <mergeCell ref="D141:E141"/>
    <mergeCell ref="F141:G141"/>
    <mergeCell ref="A129:G129"/>
    <mergeCell ref="B70:D70"/>
    <mergeCell ref="E70:G70"/>
    <mergeCell ref="A91:G91"/>
    <mergeCell ref="B92:D92"/>
    <mergeCell ref="E92:G92"/>
    <mergeCell ref="A109:G109"/>
    <mergeCell ref="B110:D110"/>
    <mergeCell ref="E110:G110"/>
    <mergeCell ref="A117:G117"/>
    <mergeCell ref="B118:D118"/>
    <mergeCell ref="E118:G118"/>
    <mergeCell ref="A69:G69"/>
    <mergeCell ref="B13:D13"/>
    <mergeCell ref="E13:G13"/>
    <mergeCell ref="A21:G21"/>
    <mergeCell ref="B22:D22"/>
    <mergeCell ref="E22:G22"/>
    <mergeCell ref="A39:G39"/>
    <mergeCell ref="B40:D40"/>
    <mergeCell ref="E40:G40"/>
    <mergeCell ref="A57:G57"/>
    <mergeCell ref="B58:D58"/>
    <mergeCell ref="E58:G58"/>
    <mergeCell ref="A12:G12"/>
    <mergeCell ref="A1:G1"/>
    <mergeCell ref="A2:G2"/>
    <mergeCell ref="A3:G3"/>
    <mergeCell ref="B4:D4"/>
    <mergeCell ref="E4:G4"/>
  </mergeCells>
  <phoneticPr fontId="11" type="noConversion"/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2A511-13F2-4219-ABBF-508503B48880}">
  <dimension ref="A1:I158"/>
  <sheetViews>
    <sheetView zoomScale="80" zoomScaleNormal="80" workbookViewId="0">
      <selection activeCell="I52" sqref="I52"/>
    </sheetView>
  </sheetViews>
  <sheetFormatPr defaultColWidth="8.7265625" defaultRowHeight="14" x14ac:dyDescent="0.3"/>
  <cols>
    <col min="1" max="1" width="22.453125" style="395" customWidth="1"/>
    <col min="2" max="2" width="16.26953125" style="395" bestFit="1" customWidth="1"/>
    <col min="3" max="3" width="22.90625" style="395" bestFit="1" customWidth="1"/>
    <col min="4" max="4" width="22.6328125" style="395" bestFit="1" customWidth="1"/>
    <col min="5" max="5" width="21.453125" style="395" bestFit="1" customWidth="1"/>
    <col min="6" max="6" width="23.453125" style="395" bestFit="1" customWidth="1"/>
    <col min="7" max="7" width="23.08984375" style="395" bestFit="1" customWidth="1"/>
    <col min="8" max="8" width="14.81640625" style="395" customWidth="1"/>
    <col min="9" max="16384" width="8.7265625" style="395"/>
  </cols>
  <sheetData>
    <row r="1" spans="1:9" x14ac:dyDescent="0.3">
      <c r="A1" s="657" t="s">
        <v>322</v>
      </c>
      <c r="B1" s="658"/>
      <c r="C1" s="658"/>
      <c r="D1" s="658"/>
      <c r="E1" s="658"/>
      <c r="F1" s="658"/>
      <c r="G1" s="659"/>
    </row>
    <row r="2" spans="1:9" ht="33" customHeight="1" x14ac:dyDescent="0.3">
      <c r="A2" s="660" t="s">
        <v>374</v>
      </c>
      <c r="B2" s="661"/>
      <c r="C2" s="661"/>
      <c r="D2" s="661"/>
      <c r="E2" s="661"/>
      <c r="F2" s="661"/>
      <c r="G2" s="662"/>
    </row>
    <row r="3" spans="1:9" x14ac:dyDescent="0.3">
      <c r="A3" s="663" t="s">
        <v>353</v>
      </c>
      <c r="B3" s="663"/>
      <c r="C3" s="663"/>
      <c r="D3" s="663"/>
      <c r="E3" s="663"/>
      <c r="F3" s="663"/>
      <c r="G3" s="663"/>
    </row>
    <row r="4" spans="1:9" x14ac:dyDescent="0.3">
      <c r="A4" s="396"/>
      <c r="B4" s="674" t="s">
        <v>364</v>
      </c>
      <c r="C4" s="674"/>
      <c r="D4" s="674"/>
      <c r="E4" s="674" t="s">
        <v>365</v>
      </c>
      <c r="F4" s="674"/>
      <c r="G4" s="674"/>
    </row>
    <row r="5" spans="1:9" x14ac:dyDescent="0.3">
      <c r="A5" s="454" t="s">
        <v>366</v>
      </c>
      <c r="B5" s="433" t="s">
        <v>344</v>
      </c>
      <c r="C5" s="433" t="s">
        <v>345</v>
      </c>
      <c r="D5" s="433" t="s">
        <v>367</v>
      </c>
      <c r="E5" s="433" t="s">
        <v>368</v>
      </c>
      <c r="F5" s="433" t="s">
        <v>369</v>
      </c>
      <c r="G5" s="433" t="s">
        <v>370</v>
      </c>
      <c r="H5" s="440"/>
      <c r="I5" s="441"/>
    </row>
    <row r="6" spans="1:9" x14ac:dyDescent="0.3">
      <c r="A6" s="454">
        <v>1</v>
      </c>
      <c r="B6" s="434">
        <v>0</v>
      </c>
      <c r="C6" s="434">
        <v>0</v>
      </c>
      <c r="D6" s="434">
        <v>0</v>
      </c>
      <c r="E6" s="434">
        <v>38.1</v>
      </c>
      <c r="F6" s="434">
        <v>74.8</v>
      </c>
      <c r="G6" s="434">
        <v>100.1</v>
      </c>
    </row>
    <row r="7" spans="1:9" x14ac:dyDescent="0.3">
      <c r="A7" s="454">
        <v>2</v>
      </c>
      <c r="B7" s="434"/>
      <c r="C7" s="434"/>
      <c r="D7" s="434"/>
      <c r="E7" s="434">
        <v>31.8</v>
      </c>
      <c r="F7" s="434">
        <v>74</v>
      </c>
      <c r="G7" s="434">
        <v>84.5</v>
      </c>
    </row>
    <row r="8" spans="1:9" x14ac:dyDescent="0.3">
      <c r="A8" s="454">
        <v>3</v>
      </c>
      <c r="B8" s="434"/>
      <c r="C8" s="434"/>
      <c r="D8" s="434"/>
      <c r="E8" s="434">
        <v>31.3</v>
      </c>
      <c r="F8" s="434">
        <v>60.1</v>
      </c>
      <c r="G8" s="434">
        <v>88.3</v>
      </c>
    </row>
    <row r="9" spans="1:9" x14ac:dyDescent="0.3">
      <c r="A9" s="454">
        <v>4</v>
      </c>
      <c r="B9" s="434"/>
      <c r="C9" s="434"/>
      <c r="D9" s="434"/>
      <c r="E9" s="434"/>
      <c r="F9" s="434">
        <v>61.4</v>
      </c>
      <c r="G9" s="434">
        <v>104.8</v>
      </c>
    </row>
    <row r="10" spans="1:9" x14ac:dyDescent="0.3">
      <c r="A10" s="454">
        <v>5</v>
      </c>
      <c r="B10" s="434"/>
      <c r="C10" s="434"/>
      <c r="D10" s="434"/>
      <c r="E10" s="434"/>
      <c r="F10" s="434">
        <v>65.5</v>
      </c>
      <c r="G10" s="434">
        <v>92.6</v>
      </c>
    </row>
    <row r="11" spans="1:9" x14ac:dyDescent="0.3">
      <c r="A11" s="454">
        <v>6</v>
      </c>
      <c r="B11" s="434"/>
      <c r="C11" s="434"/>
      <c r="D11" s="434"/>
      <c r="E11" s="434"/>
      <c r="F11" s="434"/>
      <c r="G11" s="434">
        <v>85.4</v>
      </c>
    </row>
    <row r="12" spans="1:9" x14ac:dyDescent="0.3">
      <c r="A12" s="670" t="s">
        <v>354</v>
      </c>
      <c r="B12" s="670"/>
      <c r="C12" s="670"/>
      <c r="D12" s="670"/>
      <c r="E12" s="670"/>
      <c r="F12" s="670"/>
      <c r="G12" s="670"/>
    </row>
    <row r="13" spans="1:9" x14ac:dyDescent="0.3">
      <c r="A13" s="396"/>
      <c r="B13" s="674" t="s">
        <v>364</v>
      </c>
      <c r="C13" s="674"/>
      <c r="D13" s="674"/>
      <c r="E13" s="674" t="s">
        <v>365</v>
      </c>
      <c r="F13" s="674"/>
      <c r="G13" s="674"/>
    </row>
    <row r="14" spans="1:9" x14ac:dyDescent="0.3">
      <c r="A14" s="454" t="s">
        <v>366</v>
      </c>
      <c r="B14" s="433" t="s">
        <v>344</v>
      </c>
      <c r="C14" s="433" t="s">
        <v>345</v>
      </c>
      <c r="D14" s="433" t="s">
        <v>367</v>
      </c>
      <c r="E14" s="433" t="s">
        <v>368</v>
      </c>
      <c r="F14" s="433" t="s">
        <v>369</v>
      </c>
      <c r="G14" s="433" t="s">
        <v>370</v>
      </c>
    </row>
    <row r="15" spans="1:9" x14ac:dyDescent="0.3">
      <c r="A15" s="454">
        <v>1</v>
      </c>
      <c r="B15" s="434">
        <v>0</v>
      </c>
      <c r="C15" s="434">
        <v>0</v>
      </c>
      <c r="D15" s="434">
        <v>0</v>
      </c>
      <c r="E15" s="434">
        <v>53</v>
      </c>
      <c r="F15" s="434">
        <v>77</v>
      </c>
      <c r="G15" s="434">
        <v>104.1</v>
      </c>
    </row>
    <row r="16" spans="1:9" x14ac:dyDescent="0.3">
      <c r="A16" s="454">
        <v>2</v>
      </c>
      <c r="B16" s="434"/>
      <c r="C16" s="434"/>
      <c r="D16" s="434"/>
      <c r="E16" s="434">
        <v>25</v>
      </c>
      <c r="F16" s="434">
        <v>67.900000000000006</v>
      </c>
      <c r="G16" s="434">
        <v>108.4</v>
      </c>
    </row>
    <row r="17" spans="1:7" x14ac:dyDescent="0.3">
      <c r="A17" s="454">
        <v>3</v>
      </c>
      <c r="B17" s="434"/>
      <c r="C17" s="434"/>
      <c r="D17" s="434"/>
      <c r="E17" s="434">
        <v>55.3</v>
      </c>
      <c r="F17" s="434">
        <v>68.900000000000006</v>
      </c>
      <c r="G17" s="434">
        <v>112.9</v>
      </c>
    </row>
    <row r="18" spans="1:7" x14ac:dyDescent="0.3">
      <c r="A18" s="454">
        <v>4</v>
      </c>
      <c r="B18" s="434"/>
      <c r="C18" s="434"/>
      <c r="D18" s="434"/>
      <c r="E18" s="434">
        <v>49.9</v>
      </c>
      <c r="F18" s="434">
        <v>64.3</v>
      </c>
      <c r="G18" s="434">
        <v>97.8</v>
      </c>
    </row>
    <row r="19" spans="1:7" x14ac:dyDescent="0.3">
      <c r="A19" s="454">
        <v>5</v>
      </c>
      <c r="B19" s="434"/>
      <c r="C19" s="434"/>
      <c r="D19" s="434"/>
      <c r="E19" s="434"/>
      <c r="F19" s="434">
        <v>79.8</v>
      </c>
      <c r="G19" s="434">
        <v>99.8</v>
      </c>
    </row>
    <row r="20" spans="1:7" x14ac:dyDescent="0.3">
      <c r="A20" s="454">
        <v>6</v>
      </c>
      <c r="B20" s="434"/>
      <c r="C20" s="434"/>
      <c r="D20" s="434"/>
      <c r="E20" s="434"/>
      <c r="F20" s="434">
        <v>66.8</v>
      </c>
      <c r="G20" s="434">
        <v>82</v>
      </c>
    </row>
    <row r="21" spans="1:7" x14ac:dyDescent="0.3">
      <c r="A21" s="663" t="s">
        <v>355</v>
      </c>
      <c r="B21" s="663"/>
      <c r="C21" s="663"/>
      <c r="D21" s="663"/>
      <c r="E21" s="663"/>
      <c r="F21" s="663"/>
      <c r="G21" s="663"/>
    </row>
    <row r="22" spans="1:7" x14ac:dyDescent="0.3">
      <c r="A22" s="396"/>
      <c r="B22" s="674" t="s">
        <v>364</v>
      </c>
      <c r="C22" s="674"/>
      <c r="D22" s="674"/>
      <c r="E22" s="674" t="s">
        <v>365</v>
      </c>
      <c r="F22" s="674"/>
      <c r="G22" s="674"/>
    </row>
    <row r="23" spans="1:7" x14ac:dyDescent="0.3">
      <c r="A23" s="454" t="s">
        <v>366</v>
      </c>
      <c r="B23" s="433" t="s">
        <v>344</v>
      </c>
      <c r="C23" s="433" t="s">
        <v>345</v>
      </c>
      <c r="D23" s="433" t="s">
        <v>367</v>
      </c>
      <c r="E23" s="433" t="s">
        <v>368</v>
      </c>
      <c r="F23" s="433" t="s">
        <v>369</v>
      </c>
      <c r="G23" s="433" t="s">
        <v>370</v>
      </c>
    </row>
    <row r="24" spans="1:7" x14ac:dyDescent="0.3">
      <c r="A24" s="454">
        <v>1</v>
      </c>
      <c r="B24" s="434">
        <v>23.2</v>
      </c>
      <c r="C24" s="434">
        <v>62.2</v>
      </c>
      <c r="D24" s="434">
        <v>94.9</v>
      </c>
      <c r="E24" s="434">
        <v>40</v>
      </c>
      <c r="F24" s="434">
        <v>70</v>
      </c>
      <c r="G24" s="434">
        <v>116.8</v>
      </c>
    </row>
    <row r="25" spans="1:7" x14ac:dyDescent="0.3">
      <c r="A25" s="454">
        <v>2</v>
      </c>
      <c r="B25" s="434">
        <v>36.5</v>
      </c>
      <c r="C25" s="434">
        <v>63.4</v>
      </c>
      <c r="D25" s="434">
        <v>96.3</v>
      </c>
      <c r="E25" s="434">
        <v>58.5</v>
      </c>
      <c r="F25" s="434">
        <v>77.3</v>
      </c>
      <c r="G25" s="434">
        <v>119.2</v>
      </c>
    </row>
    <row r="26" spans="1:7" x14ac:dyDescent="0.3">
      <c r="A26" s="454">
        <v>3</v>
      </c>
      <c r="B26" s="434">
        <v>21.4</v>
      </c>
      <c r="C26" s="434">
        <v>46</v>
      </c>
      <c r="D26" s="434">
        <v>92.1</v>
      </c>
      <c r="E26" s="434">
        <v>25.1</v>
      </c>
      <c r="F26" s="434">
        <v>70.599999999999994</v>
      </c>
      <c r="G26" s="434">
        <v>88.6</v>
      </c>
    </row>
    <row r="27" spans="1:7" x14ac:dyDescent="0.3">
      <c r="A27" s="454">
        <v>4</v>
      </c>
      <c r="B27" s="434">
        <v>23.7</v>
      </c>
      <c r="C27" s="434">
        <v>42</v>
      </c>
      <c r="D27" s="434">
        <v>81.2</v>
      </c>
      <c r="E27" s="434">
        <v>26.4</v>
      </c>
      <c r="F27" s="434">
        <v>69.5</v>
      </c>
      <c r="G27" s="434">
        <v>82.8</v>
      </c>
    </row>
    <row r="28" spans="1:7" x14ac:dyDescent="0.3">
      <c r="A28" s="454">
        <v>5</v>
      </c>
      <c r="B28" s="434">
        <v>23.4</v>
      </c>
      <c r="C28" s="434">
        <v>56.7</v>
      </c>
      <c r="D28" s="434">
        <v>95.1</v>
      </c>
      <c r="E28" s="434">
        <v>34.9</v>
      </c>
      <c r="F28" s="434">
        <v>79.900000000000006</v>
      </c>
      <c r="G28" s="434">
        <v>91.8</v>
      </c>
    </row>
    <row r="29" spans="1:7" x14ac:dyDescent="0.3">
      <c r="A29" s="454">
        <v>6</v>
      </c>
      <c r="B29" s="434">
        <v>17.8</v>
      </c>
      <c r="C29" s="434">
        <v>42.4</v>
      </c>
      <c r="D29" s="434">
        <v>100.2</v>
      </c>
      <c r="E29" s="434">
        <v>28.3</v>
      </c>
      <c r="F29" s="434">
        <v>65</v>
      </c>
      <c r="G29" s="434">
        <v>92.5</v>
      </c>
    </row>
    <row r="30" spans="1:7" x14ac:dyDescent="0.3">
      <c r="A30" s="454">
        <v>7</v>
      </c>
      <c r="B30" s="434">
        <v>20.399999999999999</v>
      </c>
      <c r="C30" s="434">
        <v>57.9</v>
      </c>
      <c r="D30" s="434">
        <v>68.400000000000006</v>
      </c>
      <c r="E30" s="434">
        <v>32.1</v>
      </c>
      <c r="F30" s="434">
        <v>66.3</v>
      </c>
      <c r="G30" s="434">
        <v>84.7</v>
      </c>
    </row>
    <row r="31" spans="1:7" x14ac:dyDescent="0.3">
      <c r="A31" s="454">
        <v>8</v>
      </c>
      <c r="B31" s="434">
        <v>18.2</v>
      </c>
      <c r="C31" s="434">
        <v>39.4</v>
      </c>
      <c r="D31" s="434">
        <v>100</v>
      </c>
      <c r="E31" s="434"/>
      <c r="F31" s="434">
        <v>69.3</v>
      </c>
      <c r="G31" s="434">
        <v>86.6</v>
      </c>
    </row>
    <row r="32" spans="1:7" x14ac:dyDescent="0.3">
      <c r="A32" s="454">
        <v>9</v>
      </c>
      <c r="B32" s="434">
        <v>23.3</v>
      </c>
      <c r="C32" s="434">
        <v>61.9</v>
      </c>
      <c r="D32" s="434">
        <v>88.6</v>
      </c>
      <c r="E32" s="434"/>
      <c r="F32" s="434">
        <v>76</v>
      </c>
      <c r="G32" s="434">
        <v>84.4</v>
      </c>
    </row>
    <row r="33" spans="1:7" x14ac:dyDescent="0.3">
      <c r="A33" s="454">
        <v>10</v>
      </c>
      <c r="B33" s="434">
        <v>20.3</v>
      </c>
      <c r="C33" s="434">
        <v>42.7</v>
      </c>
      <c r="D33" s="434">
        <v>101.5</v>
      </c>
      <c r="E33" s="434"/>
      <c r="F33" s="434">
        <v>77.599999999999994</v>
      </c>
      <c r="G33" s="434">
        <v>85.4</v>
      </c>
    </row>
    <row r="34" spans="1:7" x14ac:dyDescent="0.3">
      <c r="A34" s="454">
        <v>11</v>
      </c>
      <c r="B34" s="434">
        <v>22</v>
      </c>
      <c r="C34" s="434">
        <v>39.1</v>
      </c>
      <c r="D34" s="434">
        <v>87.2</v>
      </c>
      <c r="E34" s="434"/>
      <c r="F34" s="434">
        <v>62.8</v>
      </c>
      <c r="G34" s="434">
        <v>108.7</v>
      </c>
    </row>
    <row r="35" spans="1:7" x14ac:dyDescent="0.3">
      <c r="A35" s="454">
        <v>12</v>
      </c>
      <c r="B35" s="434">
        <v>30.2</v>
      </c>
      <c r="C35" s="434">
        <v>51.9</v>
      </c>
      <c r="D35" s="434">
        <v>88.4</v>
      </c>
      <c r="E35" s="434"/>
      <c r="F35" s="434"/>
      <c r="G35" s="434">
        <v>98.6</v>
      </c>
    </row>
    <row r="36" spans="1:7" x14ac:dyDescent="0.3">
      <c r="A36" s="454">
        <v>13</v>
      </c>
      <c r="B36" s="434">
        <v>27.5</v>
      </c>
      <c r="C36" s="434">
        <v>61.5</v>
      </c>
      <c r="D36" s="434">
        <v>82.3</v>
      </c>
      <c r="E36" s="434"/>
      <c r="F36" s="434"/>
      <c r="G36" s="434"/>
    </row>
    <row r="37" spans="1:7" x14ac:dyDescent="0.3">
      <c r="A37" s="454">
        <v>14</v>
      </c>
      <c r="B37" s="434"/>
      <c r="C37" s="434">
        <v>44</v>
      </c>
      <c r="D37" s="434">
        <v>81.3</v>
      </c>
      <c r="E37" s="434"/>
      <c r="F37" s="434"/>
      <c r="G37" s="434"/>
    </row>
    <row r="38" spans="1:7" x14ac:dyDescent="0.3">
      <c r="A38" s="454">
        <v>15</v>
      </c>
      <c r="B38" s="434"/>
      <c r="C38" s="434">
        <v>40.700000000000003</v>
      </c>
      <c r="D38" s="434">
        <v>102.4</v>
      </c>
      <c r="E38" s="434"/>
      <c r="F38" s="434"/>
      <c r="G38" s="434"/>
    </row>
    <row r="39" spans="1:7" x14ac:dyDescent="0.3">
      <c r="A39" s="670" t="s">
        <v>356</v>
      </c>
      <c r="B39" s="670"/>
      <c r="C39" s="670"/>
      <c r="D39" s="663"/>
      <c r="E39" s="670"/>
      <c r="F39" s="670"/>
      <c r="G39" s="670"/>
    </row>
    <row r="40" spans="1:7" x14ac:dyDescent="0.3">
      <c r="A40" s="396"/>
      <c r="B40" s="674" t="s">
        <v>364</v>
      </c>
      <c r="C40" s="674"/>
      <c r="D40" s="674"/>
      <c r="E40" s="674" t="s">
        <v>365</v>
      </c>
      <c r="F40" s="674"/>
      <c r="G40" s="674"/>
    </row>
    <row r="41" spans="1:7" x14ac:dyDescent="0.3">
      <c r="A41" s="454" t="s">
        <v>366</v>
      </c>
      <c r="B41" s="433" t="s">
        <v>344</v>
      </c>
      <c r="C41" s="433" t="s">
        <v>345</v>
      </c>
      <c r="D41" s="433" t="s">
        <v>367</v>
      </c>
      <c r="E41" s="433" t="s">
        <v>368</v>
      </c>
      <c r="F41" s="433" t="s">
        <v>369</v>
      </c>
      <c r="G41" s="433" t="s">
        <v>370</v>
      </c>
    </row>
    <row r="42" spans="1:7" x14ac:dyDescent="0.3">
      <c r="A42" s="454">
        <v>1</v>
      </c>
      <c r="B42" s="434">
        <v>28.5</v>
      </c>
      <c r="C42" s="434">
        <v>46.6</v>
      </c>
      <c r="D42" s="434">
        <v>82.9</v>
      </c>
      <c r="E42" s="434">
        <v>56.1</v>
      </c>
      <c r="F42" s="434">
        <v>61.7</v>
      </c>
      <c r="G42" s="434">
        <v>118.7</v>
      </c>
    </row>
    <row r="43" spans="1:7" x14ac:dyDescent="0.3">
      <c r="A43" s="454">
        <v>2</v>
      </c>
      <c r="B43" s="434">
        <v>29</v>
      </c>
      <c r="C43" s="434">
        <v>58.4</v>
      </c>
      <c r="D43" s="434">
        <v>103.7</v>
      </c>
      <c r="E43" s="434">
        <v>38.799999999999997</v>
      </c>
      <c r="F43" s="434">
        <v>68.5</v>
      </c>
      <c r="G43" s="434">
        <v>109.7</v>
      </c>
    </row>
    <row r="44" spans="1:7" x14ac:dyDescent="0.3">
      <c r="A44" s="454">
        <v>3</v>
      </c>
      <c r="B44" s="434">
        <v>36.5</v>
      </c>
      <c r="C44" s="434">
        <v>54.5</v>
      </c>
      <c r="D44" s="434">
        <v>75.5</v>
      </c>
      <c r="E44" s="434">
        <v>59.9</v>
      </c>
      <c r="F44" s="434">
        <v>60.1</v>
      </c>
      <c r="G44" s="434">
        <v>111.3</v>
      </c>
    </row>
    <row r="45" spans="1:7" x14ac:dyDescent="0.3">
      <c r="A45" s="454">
        <v>4</v>
      </c>
      <c r="B45" s="434">
        <v>28</v>
      </c>
      <c r="C45" s="434">
        <v>58.2</v>
      </c>
      <c r="D45" s="434">
        <v>77.7</v>
      </c>
      <c r="E45" s="434">
        <v>34.5</v>
      </c>
      <c r="F45" s="434">
        <v>69.5</v>
      </c>
      <c r="G45" s="434">
        <v>87.1</v>
      </c>
    </row>
    <row r="46" spans="1:7" x14ac:dyDescent="0.3">
      <c r="A46" s="454">
        <v>5</v>
      </c>
      <c r="B46" s="434">
        <v>21.5</v>
      </c>
      <c r="C46" s="434">
        <v>46.2</v>
      </c>
      <c r="D46" s="434">
        <v>91.4</v>
      </c>
      <c r="E46" s="434">
        <v>39.799999999999997</v>
      </c>
      <c r="F46" s="434">
        <v>60.8</v>
      </c>
      <c r="G46" s="434">
        <v>95</v>
      </c>
    </row>
    <row r="47" spans="1:7" x14ac:dyDescent="0.3">
      <c r="A47" s="454">
        <v>6</v>
      </c>
      <c r="B47" s="434">
        <v>31</v>
      </c>
      <c r="C47" s="434">
        <v>40.6</v>
      </c>
      <c r="D47" s="434">
        <v>99.4</v>
      </c>
      <c r="E47" s="434">
        <v>55.3</v>
      </c>
      <c r="F47" s="434">
        <v>65.7</v>
      </c>
      <c r="G47" s="434">
        <v>91.7</v>
      </c>
    </row>
    <row r="48" spans="1:7" x14ac:dyDescent="0.3">
      <c r="A48" s="454">
        <v>7</v>
      </c>
      <c r="B48" s="434">
        <v>32</v>
      </c>
      <c r="C48" s="434">
        <v>46.7</v>
      </c>
      <c r="D48" s="434">
        <v>98.2</v>
      </c>
      <c r="E48" s="434">
        <v>52.8</v>
      </c>
      <c r="F48" s="434">
        <v>64</v>
      </c>
      <c r="G48" s="434">
        <v>96.5</v>
      </c>
    </row>
    <row r="49" spans="1:7" x14ac:dyDescent="0.3">
      <c r="A49" s="454">
        <v>8</v>
      </c>
      <c r="B49" s="434">
        <v>24.7</v>
      </c>
      <c r="C49" s="434">
        <v>67.2</v>
      </c>
      <c r="D49" s="434">
        <v>88.7</v>
      </c>
      <c r="E49" s="434"/>
      <c r="F49" s="434">
        <v>72.400000000000006</v>
      </c>
      <c r="G49" s="434">
        <v>96.6</v>
      </c>
    </row>
    <row r="50" spans="1:7" x14ac:dyDescent="0.3">
      <c r="A50" s="454">
        <v>9</v>
      </c>
      <c r="B50" s="434">
        <v>30.6</v>
      </c>
      <c r="C50" s="434">
        <v>62.8</v>
      </c>
      <c r="D50" s="434">
        <v>79.7</v>
      </c>
      <c r="E50" s="434"/>
      <c r="F50" s="434">
        <v>76.099999999999994</v>
      </c>
      <c r="G50" s="434">
        <v>105.9</v>
      </c>
    </row>
    <row r="51" spans="1:7" x14ac:dyDescent="0.3">
      <c r="A51" s="454">
        <v>10</v>
      </c>
      <c r="B51" s="434">
        <v>32.1</v>
      </c>
      <c r="C51" s="434">
        <v>57.3</v>
      </c>
      <c r="D51" s="434">
        <v>99.3</v>
      </c>
      <c r="E51" s="434"/>
      <c r="F51" s="434">
        <v>73.3</v>
      </c>
      <c r="G51" s="434">
        <v>95.7</v>
      </c>
    </row>
    <row r="52" spans="1:7" x14ac:dyDescent="0.3">
      <c r="A52" s="454">
        <v>11</v>
      </c>
      <c r="B52" s="434">
        <v>33</v>
      </c>
      <c r="C52" s="434">
        <v>40.6</v>
      </c>
      <c r="D52" s="434">
        <v>101.6</v>
      </c>
      <c r="E52" s="434"/>
      <c r="F52" s="434">
        <v>65.599999999999994</v>
      </c>
      <c r="G52" s="434">
        <v>111.1</v>
      </c>
    </row>
    <row r="53" spans="1:7" x14ac:dyDescent="0.3">
      <c r="A53" s="454">
        <v>12</v>
      </c>
      <c r="B53" s="434">
        <v>35.200000000000003</v>
      </c>
      <c r="C53" s="434">
        <v>42.4</v>
      </c>
      <c r="D53" s="434">
        <v>95.7</v>
      </c>
      <c r="E53" s="434"/>
      <c r="F53" s="434">
        <v>66.400000000000006</v>
      </c>
      <c r="G53" s="434">
        <v>110.8</v>
      </c>
    </row>
    <row r="54" spans="1:7" x14ac:dyDescent="0.3">
      <c r="A54" s="454">
        <v>13</v>
      </c>
      <c r="B54" s="434">
        <v>36.1</v>
      </c>
      <c r="C54" s="434">
        <v>39.4</v>
      </c>
      <c r="D54" s="434">
        <v>86.5</v>
      </c>
      <c r="E54" s="434"/>
      <c r="F54" s="434"/>
      <c r="G54" s="434">
        <v>87.9</v>
      </c>
    </row>
    <row r="55" spans="1:7" x14ac:dyDescent="0.3">
      <c r="A55" s="454">
        <v>14</v>
      </c>
      <c r="B55" s="434">
        <v>26.2</v>
      </c>
      <c r="C55" s="434">
        <v>63.3</v>
      </c>
      <c r="D55" s="434">
        <v>79.8</v>
      </c>
      <c r="E55" s="434"/>
      <c r="F55" s="434"/>
      <c r="G55" s="434">
        <v>105.8</v>
      </c>
    </row>
    <row r="56" spans="1:7" x14ac:dyDescent="0.3">
      <c r="A56" s="454">
        <v>15</v>
      </c>
      <c r="B56" s="434"/>
      <c r="C56" s="434"/>
      <c r="D56" s="434">
        <v>98.8</v>
      </c>
      <c r="E56" s="434"/>
      <c r="F56" s="434"/>
      <c r="G56" s="434"/>
    </row>
    <row r="57" spans="1:7" x14ac:dyDescent="0.3">
      <c r="A57" s="670" t="s">
        <v>357</v>
      </c>
      <c r="B57" s="670"/>
      <c r="C57" s="670"/>
      <c r="D57" s="663"/>
      <c r="E57" s="670"/>
      <c r="F57" s="670"/>
      <c r="G57" s="670"/>
    </row>
    <row r="58" spans="1:7" x14ac:dyDescent="0.3">
      <c r="A58" s="396"/>
      <c r="B58" s="674" t="s">
        <v>364</v>
      </c>
      <c r="C58" s="674"/>
      <c r="D58" s="674"/>
      <c r="E58" s="674" t="s">
        <v>365</v>
      </c>
      <c r="F58" s="674"/>
      <c r="G58" s="674"/>
    </row>
    <row r="59" spans="1:7" x14ac:dyDescent="0.3">
      <c r="A59" s="454" t="s">
        <v>366</v>
      </c>
      <c r="B59" s="433" t="s">
        <v>344</v>
      </c>
      <c r="C59" s="433" t="s">
        <v>345</v>
      </c>
      <c r="D59" s="433" t="s">
        <v>367</v>
      </c>
      <c r="E59" s="433" t="s">
        <v>368</v>
      </c>
      <c r="F59" s="433" t="s">
        <v>369</v>
      </c>
      <c r="G59" s="433" t="s">
        <v>370</v>
      </c>
    </row>
    <row r="60" spans="1:7" x14ac:dyDescent="0.3">
      <c r="A60" s="454">
        <v>1</v>
      </c>
      <c r="B60" s="434">
        <v>18.8</v>
      </c>
      <c r="C60" s="434">
        <v>50.1</v>
      </c>
      <c r="D60" s="434">
        <v>105</v>
      </c>
      <c r="E60" s="434">
        <v>37.1</v>
      </c>
      <c r="F60" s="434">
        <v>79.400000000000006</v>
      </c>
      <c r="G60" s="434">
        <v>81.7</v>
      </c>
    </row>
    <row r="61" spans="1:7" x14ac:dyDescent="0.3">
      <c r="A61" s="454">
        <v>2</v>
      </c>
      <c r="B61" s="434">
        <v>34.4</v>
      </c>
      <c r="C61" s="434">
        <v>68.3</v>
      </c>
      <c r="D61" s="434">
        <v>80.099999999999994</v>
      </c>
      <c r="E61" s="434">
        <v>39.6</v>
      </c>
      <c r="F61" s="434">
        <v>79.8</v>
      </c>
      <c r="G61" s="434">
        <v>94.8</v>
      </c>
    </row>
    <row r="62" spans="1:7" x14ac:dyDescent="0.3">
      <c r="A62" s="454">
        <v>3</v>
      </c>
      <c r="B62" s="434">
        <v>33.9</v>
      </c>
      <c r="C62" s="434">
        <v>60.9</v>
      </c>
      <c r="D62" s="434">
        <v>69.7</v>
      </c>
      <c r="E62" s="434">
        <v>46.8</v>
      </c>
      <c r="F62" s="434">
        <v>62.6</v>
      </c>
      <c r="G62" s="434">
        <v>100</v>
      </c>
    </row>
    <row r="63" spans="1:7" x14ac:dyDescent="0.3">
      <c r="A63" s="454">
        <v>4</v>
      </c>
      <c r="B63" s="434">
        <v>18</v>
      </c>
      <c r="C63" s="434">
        <v>58.7</v>
      </c>
      <c r="D63" s="434">
        <v>102.2</v>
      </c>
      <c r="E63" s="434">
        <v>35.6</v>
      </c>
      <c r="F63" s="434">
        <v>72.3</v>
      </c>
      <c r="G63" s="434">
        <v>105.4</v>
      </c>
    </row>
    <row r="64" spans="1:7" x14ac:dyDescent="0.3">
      <c r="A64" s="454">
        <v>5</v>
      </c>
      <c r="B64" s="434">
        <v>34.299999999999997</v>
      </c>
      <c r="C64" s="434">
        <v>64.8</v>
      </c>
      <c r="D64" s="434">
        <v>96.7</v>
      </c>
      <c r="E64" s="434"/>
      <c r="F64" s="434">
        <v>76.7</v>
      </c>
      <c r="G64" s="434">
        <v>85.3</v>
      </c>
    </row>
    <row r="65" spans="1:7" x14ac:dyDescent="0.3">
      <c r="A65" s="454">
        <v>6</v>
      </c>
      <c r="B65" s="434">
        <v>23.3</v>
      </c>
      <c r="C65" s="434">
        <v>61.1</v>
      </c>
      <c r="D65" s="434">
        <v>94.9</v>
      </c>
      <c r="E65" s="434"/>
      <c r="F65" s="434"/>
      <c r="G65" s="434">
        <v>112.8</v>
      </c>
    </row>
    <row r="66" spans="1:7" x14ac:dyDescent="0.3">
      <c r="A66" s="454">
        <v>7</v>
      </c>
      <c r="B66" s="434">
        <v>19.3</v>
      </c>
      <c r="C66" s="434">
        <v>53.2</v>
      </c>
      <c r="D66" s="434">
        <v>87.2</v>
      </c>
      <c r="E66" s="434"/>
      <c r="F66" s="434"/>
      <c r="G66" s="434"/>
    </row>
    <row r="67" spans="1:7" x14ac:dyDescent="0.3">
      <c r="A67" s="454">
        <v>8</v>
      </c>
      <c r="B67" s="434">
        <v>25.5</v>
      </c>
      <c r="C67" s="434">
        <v>54.6</v>
      </c>
      <c r="D67" s="434">
        <v>79.5</v>
      </c>
      <c r="E67" s="434"/>
      <c r="F67" s="434"/>
      <c r="G67" s="434"/>
    </row>
    <row r="68" spans="1:7" x14ac:dyDescent="0.3">
      <c r="A68" s="454">
        <v>9</v>
      </c>
      <c r="B68" s="434">
        <v>28.2</v>
      </c>
      <c r="C68" s="434"/>
      <c r="D68" s="434">
        <v>79.099999999999994</v>
      </c>
      <c r="E68" s="433"/>
      <c r="F68" s="434"/>
      <c r="G68" s="434"/>
    </row>
    <row r="69" spans="1:7" x14ac:dyDescent="0.3">
      <c r="A69" s="670" t="s">
        <v>358</v>
      </c>
      <c r="B69" s="670"/>
      <c r="C69" s="670"/>
      <c r="D69" s="663"/>
      <c r="E69" s="670"/>
      <c r="F69" s="670"/>
      <c r="G69" s="670"/>
    </row>
    <row r="70" spans="1:7" x14ac:dyDescent="0.3">
      <c r="A70" s="396"/>
      <c r="B70" s="674" t="s">
        <v>364</v>
      </c>
      <c r="C70" s="674"/>
      <c r="D70" s="674"/>
      <c r="E70" s="674" t="s">
        <v>365</v>
      </c>
      <c r="F70" s="674"/>
      <c r="G70" s="674"/>
    </row>
    <row r="71" spans="1:7" x14ac:dyDescent="0.3">
      <c r="A71" s="454" t="s">
        <v>366</v>
      </c>
      <c r="B71" s="433" t="s">
        <v>344</v>
      </c>
      <c r="C71" s="433" t="s">
        <v>345</v>
      </c>
      <c r="D71" s="433" t="s">
        <v>367</v>
      </c>
      <c r="E71" s="433" t="s">
        <v>368</v>
      </c>
      <c r="F71" s="433" t="s">
        <v>369</v>
      </c>
      <c r="G71" s="433" t="s">
        <v>370</v>
      </c>
    </row>
    <row r="72" spans="1:7" x14ac:dyDescent="0.3">
      <c r="A72" s="454">
        <v>1</v>
      </c>
      <c r="B72" s="434">
        <v>30.4</v>
      </c>
      <c r="C72" s="434">
        <v>54.8</v>
      </c>
      <c r="D72" s="434">
        <v>96.4</v>
      </c>
      <c r="E72" s="434">
        <v>43.1</v>
      </c>
      <c r="F72" s="434">
        <v>74.7</v>
      </c>
      <c r="G72" s="434">
        <v>94.7</v>
      </c>
    </row>
    <row r="73" spans="1:7" x14ac:dyDescent="0.3">
      <c r="A73" s="454">
        <v>2</v>
      </c>
      <c r="B73" s="434">
        <v>28.1</v>
      </c>
      <c r="C73" s="434">
        <v>37.5</v>
      </c>
      <c r="D73" s="434">
        <v>104.1</v>
      </c>
      <c r="E73" s="434">
        <v>33.200000000000003</v>
      </c>
      <c r="F73" s="434">
        <v>66.900000000000006</v>
      </c>
      <c r="G73" s="434">
        <v>105.5</v>
      </c>
    </row>
    <row r="74" spans="1:7" x14ac:dyDescent="0.3">
      <c r="A74" s="454">
        <v>3</v>
      </c>
      <c r="B74" s="434">
        <v>20.399999999999999</v>
      </c>
      <c r="C74" s="434">
        <v>57.9</v>
      </c>
      <c r="D74" s="434">
        <v>92.6</v>
      </c>
      <c r="E74" s="434">
        <v>30.9</v>
      </c>
      <c r="F74" s="434">
        <v>74.599999999999994</v>
      </c>
      <c r="G74" s="434">
        <v>99.1</v>
      </c>
    </row>
    <row r="75" spans="1:7" x14ac:dyDescent="0.3">
      <c r="A75" s="454">
        <v>4</v>
      </c>
      <c r="B75" s="434">
        <v>36.6</v>
      </c>
      <c r="C75" s="434">
        <v>50.9</v>
      </c>
      <c r="D75" s="434">
        <v>95.7</v>
      </c>
      <c r="E75" s="434">
        <v>27.2</v>
      </c>
      <c r="F75" s="434">
        <v>66.8</v>
      </c>
      <c r="G75" s="434">
        <v>85.8</v>
      </c>
    </row>
    <row r="76" spans="1:7" x14ac:dyDescent="0.3">
      <c r="A76" s="454">
        <v>5</v>
      </c>
      <c r="B76" s="434">
        <v>21.5</v>
      </c>
      <c r="C76" s="434">
        <v>56.3</v>
      </c>
      <c r="D76" s="434">
        <v>80.900000000000006</v>
      </c>
      <c r="E76" s="434">
        <v>26.2</v>
      </c>
      <c r="F76" s="434">
        <v>69.599999999999994</v>
      </c>
      <c r="G76" s="434">
        <v>105.1</v>
      </c>
    </row>
    <row r="77" spans="1:7" x14ac:dyDescent="0.3">
      <c r="A77" s="454">
        <v>6</v>
      </c>
      <c r="B77" s="434">
        <v>36</v>
      </c>
      <c r="C77" s="434">
        <v>57.3</v>
      </c>
      <c r="D77" s="434">
        <v>83.3</v>
      </c>
      <c r="E77" s="434">
        <v>36.9</v>
      </c>
      <c r="F77" s="434">
        <v>62</v>
      </c>
      <c r="G77" s="434">
        <v>87.4</v>
      </c>
    </row>
    <row r="78" spans="1:7" x14ac:dyDescent="0.3">
      <c r="A78" s="454">
        <v>7</v>
      </c>
      <c r="B78" s="434">
        <v>32.9</v>
      </c>
      <c r="C78" s="434">
        <v>62.5</v>
      </c>
      <c r="D78" s="434">
        <v>76.8</v>
      </c>
      <c r="E78" s="434">
        <v>54.8</v>
      </c>
      <c r="F78" s="434">
        <v>63.3</v>
      </c>
      <c r="G78" s="434">
        <v>119.7</v>
      </c>
    </row>
    <row r="79" spans="1:7" x14ac:dyDescent="0.3">
      <c r="A79" s="454">
        <v>8</v>
      </c>
      <c r="B79" s="434">
        <v>36.200000000000003</v>
      </c>
      <c r="C79" s="434">
        <v>40.4</v>
      </c>
      <c r="D79" s="434">
        <v>104.2</v>
      </c>
      <c r="E79" s="434">
        <v>44.6</v>
      </c>
      <c r="F79" s="434">
        <v>70.599999999999994</v>
      </c>
      <c r="G79" s="434">
        <v>106.2</v>
      </c>
    </row>
    <row r="80" spans="1:7" x14ac:dyDescent="0.3">
      <c r="A80" s="454">
        <v>9</v>
      </c>
      <c r="B80" s="434">
        <v>17.5</v>
      </c>
      <c r="C80" s="434">
        <v>41.5</v>
      </c>
      <c r="D80" s="434">
        <v>81.5</v>
      </c>
      <c r="E80" s="434">
        <v>28.8</v>
      </c>
      <c r="F80" s="434">
        <v>75.2</v>
      </c>
      <c r="G80" s="434">
        <v>117.1</v>
      </c>
    </row>
    <row r="81" spans="1:7" x14ac:dyDescent="0.3">
      <c r="A81" s="454">
        <v>10</v>
      </c>
      <c r="B81" s="434">
        <v>25.6</v>
      </c>
      <c r="C81" s="434">
        <v>37.9</v>
      </c>
      <c r="D81" s="434">
        <v>77.099999999999994</v>
      </c>
      <c r="E81" s="434">
        <v>30.1</v>
      </c>
      <c r="F81" s="434">
        <v>74.900000000000006</v>
      </c>
      <c r="G81" s="434">
        <v>109</v>
      </c>
    </row>
    <row r="82" spans="1:7" x14ac:dyDescent="0.3">
      <c r="A82" s="454">
        <v>11</v>
      </c>
      <c r="B82" s="434">
        <v>22.4</v>
      </c>
      <c r="C82" s="434">
        <v>62.2</v>
      </c>
      <c r="D82" s="434">
        <v>97.9</v>
      </c>
      <c r="E82" s="434"/>
      <c r="F82" s="434">
        <v>73.3</v>
      </c>
      <c r="G82" s="434">
        <v>104.2</v>
      </c>
    </row>
    <row r="83" spans="1:7" x14ac:dyDescent="0.3">
      <c r="A83" s="454">
        <v>12</v>
      </c>
      <c r="B83" s="434">
        <v>34.1</v>
      </c>
      <c r="C83" s="434">
        <v>42.2</v>
      </c>
      <c r="D83" s="434">
        <v>98</v>
      </c>
      <c r="E83" s="434"/>
      <c r="F83" s="434">
        <v>69.2</v>
      </c>
      <c r="G83" s="434">
        <v>102.5</v>
      </c>
    </row>
    <row r="84" spans="1:7" x14ac:dyDescent="0.3">
      <c r="A84" s="454">
        <v>13</v>
      </c>
      <c r="B84" s="434">
        <v>25</v>
      </c>
      <c r="C84" s="434">
        <v>45</v>
      </c>
      <c r="D84" s="434">
        <v>93.9</v>
      </c>
      <c r="E84" s="434"/>
      <c r="F84" s="434">
        <v>61.6</v>
      </c>
      <c r="G84" s="434">
        <v>108.8</v>
      </c>
    </row>
    <row r="85" spans="1:7" x14ac:dyDescent="0.3">
      <c r="A85" s="454">
        <v>14</v>
      </c>
      <c r="B85" s="434">
        <v>30.4</v>
      </c>
      <c r="C85" s="434">
        <v>42.9</v>
      </c>
      <c r="D85" s="434">
        <v>88.5</v>
      </c>
      <c r="E85" s="434"/>
      <c r="F85" s="434">
        <v>72.5</v>
      </c>
      <c r="G85" s="434">
        <v>91.4</v>
      </c>
    </row>
    <row r="86" spans="1:7" x14ac:dyDescent="0.3">
      <c r="A86" s="454">
        <v>15</v>
      </c>
      <c r="B86" s="434">
        <v>27.7</v>
      </c>
      <c r="C86" s="434">
        <v>66</v>
      </c>
      <c r="D86" s="434">
        <v>85.8</v>
      </c>
      <c r="E86" s="434"/>
      <c r="F86" s="434"/>
      <c r="G86" s="434">
        <v>102.6</v>
      </c>
    </row>
    <row r="87" spans="1:7" x14ac:dyDescent="0.3">
      <c r="A87" s="454">
        <v>16</v>
      </c>
      <c r="B87" s="434"/>
      <c r="C87" s="434">
        <v>47.6</v>
      </c>
      <c r="D87" s="434">
        <v>100.5</v>
      </c>
      <c r="E87" s="434"/>
      <c r="F87" s="434"/>
      <c r="G87" s="434">
        <v>109.4</v>
      </c>
    </row>
    <row r="88" spans="1:7" x14ac:dyDescent="0.3">
      <c r="A88" s="454">
        <v>17</v>
      </c>
      <c r="B88" s="434"/>
      <c r="C88" s="434">
        <v>45.8</v>
      </c>
      <c r="D88" s="434">
        <v>69</v>
      </c>
      <c r="E88" s="434"/>
      <c r="F88" s="434"/>
      <c r="G88" s="434">
        <v>101.6</v>
      </c>
    </row>
    <row r="89" spans="1:7" x14ac:dyDescent="0.3">
      <c r="A89" s="454">
        <v>18</v>
      </c>
      <c r="B89" s="434"/>
      <c r="C89" s="434">
        <v>53.2</v>
      </c>
      <c r="D89" s="434">
        <v>99.1</v>
      </c>
      <c r="E89" s="438"/>
      <c r="F89" s="438"/>
      <c r="G89" s="438"/>
    </row>
    <row r="90" spans="1:7" x14ac:dyDescent="0.3">
      <c r="A90" s="454">
        <v>19</v>
      </c>
      <c r="B90" s="434"/>
      <c r="C90" s="434">
        <v>67.900000000000006</v>
      </c>
      <c r="D90" s="434"/>
      <c r="E90" s="438"/>
      <c r="F90" s="438"/>
      <c r="G90" s="438"/>
    </row>
    <row r="91" spans="1:7" x14ac:dyDescent="0.3">
      <c r="A91" s="670" t="s">
        <v>359</v>
      </c>
      <c r="B91" s="670"/>
      <c r="C91" s="670"/>
      <c r="D91" s="663"/>
      <c r="E91" s="670"/>
      <c r="F91" s="670"/>
      <c r="G91" s="670"/>
    </row>
    <row r="92" spans="1:7" x14ac:dyDescent="0.3">
      <c r="A92" s="396"/>
      <c r="B92" s="674" t="s">
        <v>364</v>
      </c>
      <c r="C92" s="674"/>
      <c r="D92" s="674"/>
      <c r="E92" s="674" t="s">
        <v>365</v>
      </c>
      <c r="F92" s="674"/>
      <c r="G92" s="674"/>
    </row>
    <row r="93" spans="1:7" x14ac:dyDescent="0.3">
      <c r="A93" s="454" t="s">
        <v>366</v>
      </c>
      <c r="B93" s="433" t="s">
        <v>344</v>
      </c>
      <c r="C93" s="433" t="s">
        <v>345</v>
      </c>
      <c r="D93" s="433" t="s">
        <v>367</v>
      </c>
      <c r="E93" s="433" t="s">
        <v>368</v>
      </c>
      <c r="F93" s="433" t="s">
        <v>369</v>
      </c>
      <c r="G93" s="433" t="s">
        <v>370</v>
      </c>
    </row>
    <row r="94" spans="1:7" x14ac:dyDescent="0.3">
      <c r="A94" s="454">
        <v>1</v>
      </c>
      <c r="B94" s="434">
        <v>20.2</v>
      </c>
      <c r="C94" s="434">
        <v>57.6</v>
      </c>
      <c r="D94" s="434">
        <v>84.5</v>
      </c>
      <c r="E94" s="434">
        <v>43.2</v>
      </c>
      <c r="F94" s="434">
        <v>79</v>
      </c>
      <c r="G94" s="434">
        <v>102.5</v>
      </c>
    </row>
    <row r="95" spans="1:7" x14ac:dyDescent="0.3">
      <c r="A95" s="454">
        <v>2</v>
      </c>
      <c r="B95" s="434">
        <v>23.5</v>
      </c>
      <c r="C95" s="434">
        <v>62.9</v>
      </c>
      <c r="D95" s="434">
        <v>88.5</v>
      </c>
      <c r="E95" s="434">
        <v>27.9</v>
      </c>
      <c r="F95" s="434">
        <v>75.900000000000006</v>
      </c>
      <c r="G95" s="434">
        <v>119.8</v>
      </c>
    </row>
    <row r="96" spans="1:7" x14ac:dyDescent="0.3">
      <c r="A96" s="454">
        <v>3</v>
      </c>
      <c r="B96" s="434">
        <v>36.6</v>
      </c>
      <c r="C96" s="434">
        <v>61.4</v>
      </c>
      <c r="D96" s="434">
        <v>91.4</v>
      </c>
      <c r="E96" s="434">
        <v>32.799999999999997</v>
      </c>
      <c r="F96" s="434">
        <v>65.400000000000006</v>
      </c>
      <c r="G96" s="434">
        <v>115.2</v>
      </c>
    </row>
    <row r="97" spans="1:7" x14ac:dyDescent="0.3">
      <c r="A97" s="454">
        <v>4</v>
      </c>
      <c r="B97" s="434">
        <v>20.3</v>
      </c>
      <c r="C97" s="434">
        <v>67.599999999999994</v>
      </c>
      <c r="D97" s="434">
        <v>83.1</v>
      </c>
      <c r="E97" s="434">
        <v>51.7</v>
      </c>
      <c r="F97" s="434">
        <v>60.8</v>
      </c>
      <c r="G97" s="434">
        <v>89.7</v>
      </c>
    </row>
    <row r="98" spans="1:7" x14ac:dyDescent="0.3">
      <c r="A98" s="454">
        <v>5</v>
      </c>
      <c r="B98" s="434">
        <v>21.7</v>
      </c>
      <c r="C98" s="434">
        <v>45.9</v>
      </c>
      <c r="D98" s="434">
        <v>94.7</v>
      </c>
      <c r="E98" s="434">
        <v>41.1</v>
      </c>
      <c r="F98" s="434">
        <v>73.3</v>
      </c>
      <c r="G98" s="434">
        <v>117.2</v>
      </c>
    </row>
    <row r="99" spans="1:7" x14ac:dyDescent="0.3">
      <c r="A99" s="454">
        <v>6</v>
      </c>
      <c r="B99" s="434">
        <v>33.299999999999997</v>
      </c>
      <c r="C99" s="434">
        <v>55.2</v>
      </c>
      <c r="D99" s="434">
        <v>103.4</v>
      </c>
      <c r="E99" s="434">
        <v>58</v>
      </c>
      <c r="F99" s="434">
        <v>61</v>
      </c>
      <c r="G99" s="434">
        <v>81.900000000000006</v>
      </c>
    </row>
    <row r="100" spans="1:7" x14ac:dyDescent="0.3">
      <c r="A100" s="454">
        <v>7</v>
      </c>
      <c r="B100" s="434">
        <v>17.399999999999999</v>
      </c>
      <c r="C100" s="434">
        <v>55.3</v>
      </c>
      <c r="D100" s="434">
        <v>76.2</v>
      </c>
      <c r="E100" s="434">
        <v>38.9</v>
      </c>
      <c r="F100" s="434">
        <v>60.4</v>
      </c>
      <c r="G100" s="434">
        <v>116.3</v>
      </c>
    </row>
    <row r="101" spans="1:7" x14ac:dyDescent="0.3">
      <c r="A101" s="454">
        <v>8</v>
      </c>
      <c r="B101" s="434">
        <v>24.6</v>
      </c>
      <c r="C101" s="434">
        <v>55.9</v>
      </c>
      <c r="D101" s="434">
        <v>84.1</v>
      </c>
      <c r="E101" s="434">
        <v>40.9</v>
      </c>
      <c r="F101" s="434">
        <v>65.7</v>
      </c>
      <c r="G101" s="434">
        <v>96.7</v>
      </c>
    </row>
    <row r="102" spans="1:7" x14ac:dyDescent="0.3">
      <c r="A102" s="454">
        <v>9</v>
      </c>
      <c r="B102" s="434">
        <v>32.5</v>
      </c>
      <c r="C102" s="434">
        <v>58.8</v>
      </c>
      <c r="D102" s="434">
        <v>69.3</v>
      </c>
      <c r="E102" s="434"/>
      <c r="F102" s="434">
        <v>75.8</v>
      </c>
      <c r="G102" s="434">
        <v>86.4</v>
      </c>
    </row>
    <row r="103" spans="1:7" x14ac:dyDescent="0.3">
      <c r="A103" s="454">
        <v>10</v>
      </c>
      <c r="B103" s="434">
        <v>35.799999999999997</v>
      </c>
      <c r="C103" s="434">
        <v>41.3</v>
      </c>
      <c r="D103" s="434">
        <v>92.7</v>
      </c>
      <c r="E103" s="434"/>
      <c r="F103" s="434">
        <v>69.599999999999994</v>
      </c>
      <c r="G103" s="434">
        <v>100</v>
      </c>
    </row>
    <row r="104" spans="1:7" x14ac:dyDescent="0.3">
      <c r="A104" s="454">
        <v>11</v>
      </c>
      <c r="B104" s="434">
        <v>20.9</v>
      </c>
      <c r="C104" s="434">
        <v>59.4</v>
      </c>
      <c r="D104" s="434">
        <v>99.8</v>
      </c>
      <c r="E104" s="434"/>
      <c r="F104" s="434"/>
      <c r="G104" s="434">
        <v>99.5</v>
      </c>
    </row>
    <row r="105" spans="1:7" x14ac:dyDescent="0.3">
      <c r="A105" s="454">
        <v>12</v>
      </c>
      <c r="B105" s="434">
        <v>21.4</v>
      </c>
      <c r="C105" s="434">
        <v>65.7</v>
      </c>
      <c r="D105" s="434">
        <v>94.3</v>
      </c>
      <c r="E105" s="434"/>
      <c r="F105" s="434"/>
      <c r="G105" s="434">
        <v>110.8</v>
      </c>
    </row>
    <row r="106" spans="1:7" x14ac:dyDescent="0.3">
      <c r="A106" s="454">
        <v>13</v>
      </c>
      <c r="B106" s="434"/>
      <c r="C106" s="434">
        <v>65.2</v>
      </c>
      <c r="D106" s="434">
        <v>101.1</v>
      </c>
      <c r="E106" s="438"/>
      <c r="F106" s="438"/>
      <c r="G106" s="438"/>
    </row>
    <row r="107" spans="1:7" x14ac:dyDescent="0.3">
      <c r="A107" s="454">
        <v>14</v>
      </c>
      <c r="B107" s="434"/>
      <c r="C107" s="434">
        <v>64.400000000000006</v>
      </c>
      <c r="D107" s="434">
        <v>91.1</v>
      </c>
      <c r="E107" s="438"/>
      <c r="F107" s="438"/>
      <c r="G107" s="438"/>
    </row>
    <row r="108" spans="1:7" x14ac:dyDescent="0.3">
      <c r="A108" s="454">
        <v>15</v>
      </c>
      <c r="B108" s="434"/>
      <c r="C108" s="434">
        <v>53.7</v>
      </c>
      <c r="D108" s="434">
        <v>98.2</v>
      </c>
      <c r="E108" s="438"/>
      <c r="F108" s="438"/>
      <c r="G108" s="438"/>
    </row>
    <row r="109" spans="1:7" x14ac:dyDescent="0.3">
      <c r="A109" s="670" t="s">
        <v>360</v>
      </c>
      <c r="B109" s="670"/>
      <c r="C109" s="670"/>
      <c r="D109" s="663"/>
      <c r="E109" s="670"/>
      <c r="F109" s="670"/>
      <c r="G109" s="670"/>
    </row>
    <row r="110" spans="1:7" x14ac:dyDescent="0.3">
      <c r="A110" s="396"/>
      <c r="B110" s="674" t="s">
        <v>364</v>
      </c>
      <c r="C110" s="674"/>
      <c r="D110" s="674"/>
      <c r="E110" s="674" t="s">
        <v>365</v>
      </c>
      <c r="F110" s="674"/>
      <c r="G110" s="674"/>
    </row>
    <row r="111" spans="1:7" x14ac:dyDescent="0.3">
      <c r="A111" s="454" t="s">
        <v>366</v>
      </c>
      <c r="B111" s="433" t="s">
        <v>344</v>
      </c>
      <c r="C111" s="433" t="s">
        <v>345</v>
      </c>
      <c r="D111" s="433" t="s">
        <v>367</v>
      </c>
      <c r="E111" s="433" t="s">
        <v>368</v>
      </c>
      <c r="F111" s="433" t="s">
        <v>369</v>
      </c>
      <c r="G111" s="433" t="s">
        <v>370</v>
      </c>
    </row>
    <row r="112" spans="1:7" x14ac:dyDescent="0.3">
      <c r="A112" s="454">
        <v>1</v>
      </c>
      <c r="B112" s="434">
        <v>0</v>
      </c>
      <c r="C112" s="434">
        <v>0</v>
      </c>
      <c r="D112" s="434">
        <v>0</v>
      </c>
      <c r="E112" s="434">
        <v>35.6</v>
      </c>
      <c r="F112" s="434">
        <v>65.8</v>
      </c>
      <c r="G112" s="434">
        <v>88.4</v>
      </c>
    </row>
    <row r="113" spans="1:7" x14ac:dyDescent="0.3">
      <c r="A113" s="454">
        <v>2</v>
      </c>
      <c r="B113" s="434"/>
      <c r="C113" s="434"/>
      <c r="D113" s="434"/>
      <c r="E113" s="434">
        <v>57.6</v>
      </c>
      <c r="F113" s="434">
        <v>65.3</v>
      </c>
      <c r="G113" s="434">
        <v>85.4</v>
      </c>
    </row>
    <row r="114" spans="1:7" x14ac:dyDescent="0.3">
      <c r="A114" s="454">
        <v>3</v>
      </c>
      <c r="B114" s="434"/>
      <c r="C114" s="434"/>
      <c r="D114" s="434"/>
      <c r="E114" s="434">
        <v>25.4</v>
      </c>
      <c r="F114" s="434">
        <v>76.099999999999994</v>
      </c>
      <c r="G114" s="434">
        <v>116.3</v>
      </c>
    </row>
    <row r="115" spans="1:7" x14ac:dyDescent="0.3">
      <c r="A115" s="454">
        <v>4</v>
      </c>
      <c r="B115" s="434"/>
      <c r="C115" s="434"/>
      <c r="D115" s="434"/>
      <c r="E115" s="434"/>
      <c r="F115" s="434">
        <v>63.7</v>
      </c>
      <c r="G115" s="434">
        <v>88</v>
      </c>
    </row>
    <row r="116" spans="1:7" x14ac:dyDescent="0.3">
      <c r="A116" s="454">
        <v>5</v>
      </c>
      <c r="B116" s="434"/>
      <c r="C116" s="434"/>
      <c r="D116" s="434"/>
      <c r="E116" s="434"/>
      <c r="F116" s="434">
        <v>68.8</v>
      </c>
      <c r="G116" s="434">
        <v>103.7</v>
      </c>
    </row>
    <row r="117" spans="1:7" x14ac:dyDescent="0.3">
      <c r="A117" s="670" t="s">
        <v>361</v>
      </c>
      <c r="B117" s="670"/>
      <c r="C117" s="670"/>
      <c r="D117" s="663"/>
      <c r="E117" s="670"/>
      <c r="F117" s="670"/>
      <c r="G117" s="670"/>
    </row>
    <row r="118" spans="1:7" x14ac:dyDescent="0.3">
      <c r="A118" s="396"/>
      <c r="B118" s="674" t="s">
        <v>364</v>
      </c>
      <c r="C118" s="674"/>
      <c r="D118" s="674"/>
      <c r="E118" s="674" t="s">
        <v>365</v>
      </c>
      <c r="F118" s="674"/>
      <c r="G118" s="674"/>
    </row>
    <row r="119" spans="1:7" x14ac:dyDescent="0.3">
      <c r="A119" s="454" t="s">
        <v>366</v>
      </c>
      <c r="B119" s="433" t="s">
        <v>344</v>
      </c>
      <c r="C119" s="433" t="s">
        <v>345</v>
      </c>
      <c r="D119" s="433" t="s">
        <v>367</v>
      </c>
      <c r="E119" s="433" t="s">
        <v>368</v>
      </c>
      <c r="F119" s="433" t="s">
        <v>369</v>
      </c>
      <c r="G119" s="433" t="s">
        <v>370</v>
      </c>
    </row>
    <row r="120" spans="1:7" x14ac:dyDescent="0.3">
      <c r="A120" s="454">
        <v>1</v>
      </c>
      <c r="B120" s="434">
        <v>18.8</v>
      </c>
      <c r="C120" s="434">
        <v>39.299999999999997</v>
      </c>
      <c r="D120" s="434">
        <v>97.5</v>
      </c>
      <c r="E120" s="434">
        <v>52.7</v>
      </c>
      <c r="F120" s="434">
        <v>72.7</v>
      </c>
      <c r="G120" s="434">
        <v>109.4</v>
      </c>
    </row>
    <row r="121" spans="1:7" x14ac:dyDescent="0.3">
      <c r="A121" s="454">
        <v>2</v>
      </c>
      <c r="B121" s="434">
        <v>30.4</v>
      </c>
      <c r="C121" s="434">
        <v>53.6</v>
      </c>
      <c r="D121" s="434">
        <v>87.8</v>
      </c>
      <c r="E121" s="434">
        <v>29.2</v>
      </c>
      <c r="F121" s="434">
        <v>62.4</v>
      </c>
      <c r="G121" s="434">
        <v>113.7</v>
      </c>
    </row>
    <row r="122" spans="1:7" x14ac:dyDescent="0.3">
      <c r="A122" s="454">
        <v>3</v>
      </c>
      <c r="B122" s="434">
        <v>21.9</v>
      </c>
      <c r="C122" s="434">
        <v>55.3</v>
      </c>
      <c r="D122" s="434">
        <v>103.7</v>
      </c>
      <c r="E122" s="434">
        <v>50.3</v>
      </c>
      <c r="F122" s="434">
        <v>61.6</v>
      </c>
      <c r="G122" s="434">
        <v>88.9</v>
      </c>
    </row>
    <row r="123" spans="1:7" x14ac:dyDescent="0.3">
      <c r="A123" s="454">
        <v>4</v>
      </c>
      <c r="B123" s="434">
        <v>24.5</v>
      </c>
      <c r="C123" s="434">
        <v>38.5</v>
      </c>
      <c r="D123" s="434">
        <v>91</v>
      </c>
      <c r="E123" s="434"/>
      <c r="F123" s="434">
        <v>74.099999999999994</v>
      </c>
      <c r="G123" s="434">
        <v>103.7</v>
      </c>
    </row>
    <row r="124" spans="1:7" x14ac:dyDescent="0.3">
      <c r="A124" s="454">
        <v>5</v>
      </c>
      <c r="B124" s="434">
        <v>36.200000000000003</v>
      </c>
      <c r="C124" s="434">
        <v>46.7</v>
      </c>
      <c r="D124" s="434">
        <v>74.599999999999994</v>
      </c>
      <c r="E124" s="434"/>
      <c r="F124" s="434">
        <v>69.900000000000006</v>
      </c>
      <c r="G124" s="434">
        <v>82</v>
      </c>
    </row>
    <row r="125" spans="1:7" x14ac:dyDescent="0.3">
      <c r="A125" s="454">
        <v>6</v>
      </c>
      <c r="B125" s="434">
        <v>29.5</v>
      </c>
      <c r="C125" s="434">
        <v>55.2</v>
      </c>
      <c r="D125" s="434">
        <v>81.5</v>
      </c>
      <c r="E125" s="434"/>
      <c r="F125" s="434"/>
      <c r="G125" s="434">
        <v>118.2</v>
      </c>
    </row>
    <row r="126" spans="1:7" x14ac:dyDescent="0.3">
      <c r="A126" s="454">
        <v>7</v>
      </c>
      <c r="B126" s="434">
        <v>36.4</v>
      </c>
      <c r="C126" s="434">
        <v>48</v>
      </c>
      <c r="D126" s="434">
        <v>78.7</v>
      </c>
      <c r="E126" s="434"/>
      <c r="F126" s="434"/>
      <c r="G126" s="434"/>
    </row>
    <row r="127" spans="1:7" x14ac:dyDescent="0.3">
      <c r="A127" s="454">
        <v>8</v>
      </c>
      <c r="B127" s="434"/>
      <c r="C127" s="434">
        <v>52.7</v>
      </c>
      <c r="D127" s="434">
        <v>91</v>
      </c>
      <c r="E127" s="434"/>
      <c r="F127" s="434"/>
      <c r="G127" s="434"/>
    </row>
    <row r="128" spans="1:7" x14ac:dyDescent="0.3">
      <c r="A128" s="454">
        <v>9</v>
      </c>
      <c r="B128" s="434"/>
      <c r="C128" s="434">
        <v>54.3</v>
      </c>
      <c r="D128" s="434"/>
      <c r="E128" s="434"/>
      <c r="F128" s="434"/>
      <c r="G128" s="434"/>
    </row>
    <row r="129" spans="1:7" x14ac:dyDescent="0.3">
      <c r="A129" s="670" t="s">
        <v>362</v>
      </c>
      <c r="B129" s="670"/>
      <c r="C129" s="670"/>
      <c r="D129" s="663"/>
      <c r="E129" s="670"/>
      <c r="F129" s="670"/>
      <c r="G129" s="670"/>
    </row>
    <row r="130" spans="1:7" x14ac:dyDescent="0.3">
      <c r="A130" s="396"/>
      <c r="B130" s="674" t="s">
        <v>364</v>
      </c>
      <c r="C130" s="674"/>
      <c r="D130" s="674"/>
      <c r="E130" s="674" t="s">
        <v>365</v>
      </c>
      <c r="F130" s="674"/>
      <c r="G130" s="674"/>
    </row>
    <row r="131" spans="1:7" x14ac:dyDescent="0.3">
      <c r="A131" s="454" t="s">
        <v>366</v>
      </c>
      <c r="B131" s="433" t="s">
        <v>344</v>
      </c>
      <c r="C131" s="433" t="s">
        <v>345</v>
      </c>
      <c r="D131" s="433" t="s">
        <v>367</v>
      </c>
      <c r="E131" s="433" t="s">
        <v>368</v>
      </c>
      <c r="F131" s="433" t="s">
        <v>369</v>
      </c>
      <c r="G131" s="433" t="s">
        <v>370</v>
      </c>
    </row>
    <row r="132" spans="1:7" x14ac:dyDescent="0.3">
      <c r="A132" s="454">
        <v>1</v>
      </c>
      <c r="B132" s="434">
        <v>0</v>
      </c>
      <c r="C132" s="434">
        <v>0</v>
      </c>
      <c r="D132" s="434">
        <v>0</v>
      </c>
      <c r="E132" s="434">
        <v>56.6</v>
      </c>
      <c r="F132" s="434">
        <v>72.3</v>
      </c>
      <c r="G132" s="434">
        <v>119.7</v>
      </c>
    </row>
    <row r="133" spans="1:7" x14ac:dyDescent="0.3">
      <c r="A133" s="454">
        <v>2</v>
      </c>
      <c r="B133" s="434"/>
      <c r="C133" s="434"/>
      <c r="D133" s="434"/>
      <c r="E133" s="434">
        <v>52</v>
      </c>
      <c r="F133" s="434">
        <v>71.2</v>
      </c>
      <c r="G133" s="434">
        <v>98.8</v>
      </c>
    </row>
    <row r="134" spans="1:7" x14ac:dyDescent="0.3">
      <c r="A134" s="454">
        <v>3</v>
      </c>
      <c r="B134" s="434"/>
      <c r="C134" s="434"/>
      <c r="D134" s="434"/>
      <c r="E134" s="434">
        <v>47.9</v>
      </c>
      <c r="F134" s="434">
        <v>78.8</v>
      </c>
      <c r="G134" s="434">
        <v>119.7</v>
      </c>
    </row>
    <row r="135" spans="1:7" x14ac:dyDescent="0.3">
      <c r="A135" s="454">
        <v>4</v>
      </c>
      <c r="B135" s="434"/>
      <c r="C135" s="434"/>
      <c r="D135" s="434"/>
      <c r="E135" s="434">
        <v>30</v>
      </c>
      <c r="F135" s="434">
        <v>71.400000000000006</v>
      </c>
      <c r="G135" s="434">
        <v>94.8</v>
      </c>
    </row>
    <row r="136" spans="1:7" x14ac:dyDescent="0.3">
      <c r="A136" s="454">
        <v>5</v>
      </c>
      <c r="B136" s="434"/>
      <c r="C136" s="434"/>
      <c r="D136" s="434"/>
      <c r="E136" s="434"/>
      <c r="F136" s="434">
        <v>74.900000000000006</v>
      </c>
      <c r="G136" s="434">
        <v>93.5</v>
      </c>
    </row>
    <row r="137" spans="1:7" x14ac:dyDescent="0.3">
      <c r="A137" s="442"/>
      <c r="B137" s="443"/>
      <c r="C137" s="443"/>
      <c r="D137" s="443"/>
      <c r="E137" s="443"/>
      <c r="F137" s="443"/>
      <c r="G137" s="443"/>
    </row>
    <row r="138" spans="1:7" x14ac:dyDescent="0.3">
      <c r="A138" s="442"/>
      <c r="B138" s="443"/>
      <c r="C138" s="443"/>
      <c r="D138" s="443"/>
      <c r="E138" s="441"/>
      <c r="F138" s="443"/>
      <c r="G138" s="443"/>
    </row>
    <row r="139" spans="1:7" x14ac:dyDescent="0.3">
      <c r="A139" s="442"/>
      <c r="B139" s="443"/>
      <c r="C139" s="443"/>
      <c r="D139" s="443"/>
      <c r="E139" s="441"/>
      <c r="F139" s="441"/>
      <c r="G139" s="443"/>
    </row>
    <row r="140" spans="1:7" x14ac:dyDescent="0.3">
      <c r="A140" s="442"/>
      <c r="B140" s="443"/>
      <c r="C140" s="443"/>
      <c r="D140" s="443"/>
      <c r="E140" s="441"/>
      <c r="F140" s="441"/>
      <c r="G140" s="441"/>
    </row>
    <row r="141" spans="1:7" x14ac:dyDescent="0.3">
      <c r="A141" s="668" t="s">
        <v>160</v>
      </c>
      <c r="B141" s="666" t="s">
        <v>161</v>
      </c>
      <c r="C141" s="667"/>
      <c r="D141" s="666" t="s">
        <v>162</v>
      </c>
      <c r="E141" s="667"/>
      <c r="F141" s="666" t="s">
        <v>163</v>
      </c>
      <c r="G141" s="667"/>
    </row>
    <row r="142" spans="1:7" x14ac:dyDescent="0.3">
      <c r="A142" s="669"/>
      <c r="B142" s="432" t="s">
        <v>164</v>
      </c>
      <c r="C142" s="432" t="s">
        <v>165</v>
      </c>
      <c r="D142" s="432" t="s">
        <v>164</v>
      </c>
      <c r="E142" s="432" t="s">
        <v>165</v>
      </c>
      <c r="F142" s="432" t="s">
        <v>164</v>
      </c>
      <c r="G142" s="432" t="s">
        <v>165</v>
      </c>
    </row>
    <row r="143" spans="1:7" x14ac:dyDescent="0.3">
      <c r="A143" s="433" t="s">
        <v>353</v>
      </c>
      <c r="B143" s="435">
        <f>ROUNDDOWN(AVERAGE(B6:D11),1)</f>
        <v>0</v>
      </c>
      <c r="C143" s="435">
        <f>ROUNDDOWN(AVERAGE(E6:G11),1)</f>
        <v>70.900000000000006</v>
      </c>
      <c r="D143" s="432">
        <v>0</v>
      </c>
      <c r="E143" s="432">
        <v>5571</v>
      </c>
      <c r="F143" s="432">
        <f>B143*D143</f>
        <v>0</v>
      </c>
      <c r="G143" s="432">
        <f>C143*E143</f>
        <v>394983.9</v>
      </c>
    </row>
    <row r="144" spans="1:7" x14ac:dyDescent="0.3">
      <c r="A144" s="433" t="s">
        <v>354</v>
      </c>
      <c r="B144" s="435">
        <f>ROUNDDOWN(AVERAGE(B15:D20),1)</f>
        <v>0</v>
      </c>
      <c r="C144" s="435">
        <f>ROUNDDOWN(AVERAGE(E15:G20),1)</f>
        <v>75.8</v>
      </c>
      <c r="D144" s="432">
        <v>0</v>
      </c>
      <c r="E144" s="432">
        <v>6959</v>
      </c>
      <c r="F144" s="432">
        <f t="shared" ref="F144:G152" si="0">B144*D144</f>
        <v>0</v>
      </c>
      <c r="G144" s="432">
        <f t="shared" si="0"/>
        <v>527492.19999999995</v>
      </c>
    </row>
    <row r="145" spans="1:7" x14ac:dyDescent="0.3">
      <c r="A145" s="433" t="s">
        <v>355</v>
      </c>
      <c r="B145" s="435">
        <f>ROUNDDOWN(AVERAGE(B24:D38),1)</f>
        <v>56.2</v>
      </c>
      <c r="C145" s="435">
        <f>ROUNDDOWN(AVERAGE(E24:G38),1)</f>
        <v>72.3</v>
      </c>
      <c r="D145" s="432">
        <v>16871</v>
      </c>
      <c r="E145" s="432">
        <v>13870</v>
      </c>
      <c r="F145" s="432">
        <f t="shared" si="0"/>
        <v>948150.20000000007</v>
      </c>
      <c r="G145" s="432">
        <f t="shared" si="0"/>
        <v>1002801</v>
      </c>
    </row>
    <row r="146" spans="1:7" x14ac:dyDescent="0.3">
      <c r="A146" s="433" t="s">
        <v>356</v>
      </c>
      <c r="B146" s="435">
        <f>ROUNDDOWN(AVERAGE(B42:D56),1)</f>
        <v>58.3</v>
      </c>
      <c r="C146" s="435">
        <f>ROUNDDOWN(AVERAGE(E42:G56),1)</f>
        <v>77.7</v>
      </c>
      <c r="D146" s="432">
        <v>16520</v>
      </c>
      <c r="E146" s="432">
        <v>15233</v>
      </c>
      <c r="F146" s="432">
        <f t="shared" si="0"/>
        <v>963116</v>
      </c>
      <c r="G146" s="432">
        <f t="shared" si="0"/>
        <v>1183604.1000000001</v>
      </c>
    </row>
    <row r="147" spans="1:7" x14ac:dyDescent="0.3">
      <c r="A147" s="433" t="s">
        <v>357</v>
      </c>
      <c r="B147" s="435">
        <f>ROUNDDOWN(AVERAGE(B60:D68),1)</f>
        <v>57.7</v>
      </c>
      <c r="C147" s="435">
        <f>ROUNDDOWN(AVERAGE(E60:G68),1)</f>
        <v>73.900000000000006</v>
      </c>
      <c r="D147" s="432">
        <v>10059</v>
      </c>
      <c r="E147" s="432">
        <v>6439</v>
      </c>
      <c r="F147" s="432">
        <f t="shared" si="0"/>
        <v>580404.30000000005</v>
      </c>
      <c r="G147" s="432">
        <f t="shared" si="0"/>
        <v>475842.10000000003</v>
      </c>
    </row>
    <row r="148" spans="1:7" x14ac:dyDescent="0.3">
      <c r="A148" s="433" t="s">
        <v>358</v>
      </c>
      <c r="B148" s="435">
        <f>ROUNDDOWN(AVERAGE(B72:D90),1)</f>
        <v>58</v>
      </c>
      <c r="C148" s="435">
        <f>ROUNDDOWN(AVERAGE(E72:G90),1)</f>
        <v>75.099999999999994</v>
      </c>
      <c r="D148" s="432">
        <v>20494</v>
      </c>
      <c r="E148" s="432">
        <v>19361</v>
      </c>
      <c r="F148" s="432">
        <f t="shared" si="0"/>
        <v>1188652</v>
      </c>
      <c r="G148" s="432">
        <f t="shared" si="0"/>
        <v>1454011.0999999999</v>
      </c>
    </row>
    <row r="149" spans="1:7" x14ac:dyDescent="0.3">
      <c r="A149" s="433" t="s">
        <v>359</v>
      </c>
      <c r="B149" s="435">
        <f>ROUNDDOWN(AVERAGE(B94:D108),1)</f>
        <v>60.2</v>
      </c>
      <c r="C149" s="435">
        <f>ROUNDDOWN(AVERAGE(E94:G108),1)</f>
        <v>75.2</v>
      </c>
      <c r="D149" s="432">
        <v>16458</v>
      </c>
      <c r="E149" s="432">
        <v>13968</v>
      </c>
      <c r="F149" s="432">
        <f t="shared" si="0"/>
        <v>990771.60000000009</v>
      </c>
      <c r="G149" s="432">
        <f t="shared" si="0"/>
        <v>1050393.6000000001</v>
      </c>
    </row>
    <row r="150" spans="1:7" x14ac:dyDescent="0.3">
      <c r="A150" s="433" t="s">
        <v>360</v>
      </c>
      <c r="B150" s="435">
        <f>ROUNDDOWN(AVERAGE(B112:D116),1)</f>
        <v>0</v>
      </c>
      <c r="C150" s="435">
        <f>ROUNDDOWN(AVERAGE(E112:G116),1)</f>
        <v>72.3</v>
      </c>
      <c r="D150" s="432">
        <v>0</v>
      </c>
      <c r="E150" s="432">
        <v>4991</v>
      </c>
      <c r="F150" s="432">
        <f t="shared" si="0"/>
        <v>0</v>
      </c>
      <c r="G150" s="432">
        <f t="shared" si="0"/>
        <v>360849.3</v>
      </c>
    </row>
    <row r="151" spans="1:7" x14ac:dyDescent="0.3">
      <c r="A151" s="433" t="s">
        <v>361</v>
      </c>
      <c r="B151" s="435">
        <f>ROUNDDOWN(AVERAGE(B120:D128),1)</f>
        <v>56.1</v>
      </c>
      <c r="C151" s="435">
        <f>ROUNDDOWN(AVERAGE(E120:G128),1)</f>
        <v>77.7</v>
      </c>
      <c r="D151" s="432">
        <v>9275</v>
      </c>
      <c r="E151" s="432">
        <v>5973</v>
      </c>
      <c r="F151" s="432">
        <f t="shared" si="0"/>
        <v>520327.5</v>
      </c>
      <c r="G151" s="432">
        <f t="shared" si="0"/>
        <v>464102.10000000003</v>
      </c>
    </row>
    <row r="152" spans="1:7" x14ac:dyDescent="0.3">
      <c r="A152" s="433" t="s">
        <v>362</v>
      </c>
      <c r="B152" s="435">
        <f>ROUNDDOWN(AVERAGE(B132:D136),1)</f>
        <v>0</v>
      </c>
      <c r="C152" s="435">
        <f>ROUNDDOWN(AVERAGE(E132:G136),1)</f>
        <v>77.2</v>
      </c>
      <c r="D152" s="432">
        <v>0</v>
      </c>
      <c r="E152" s="432">
        <v>6020</v>
      </c>
      <c r="F152" s="432">
        <f t="shared" si="0"/>
        <v>0</v>
      </c>
      <c r="G152" s="432">
        <f t="shared" si="0"/>
        <v>464744</v>
      </c>
    </row>
    <row r="153" spans="1:7" x14ac:dyDescent="0.3">
      <c r="A153" s="433" t="s">
        <v>166</v>
      </c>
      <c r="B153" s="433"/>
      <c r="C153" s="433"/>
      <c r="D153" s="432">
        <f>SUM(D143:D152)</f>
        <v>89677</v>
      </c>
      <c r="E153" s="432">
        <f>SUM(E143:E152)</f>
        <v>98385</v>
      </c>
      <c r="F153" s="432">
        <f>SUM(F143:F152)</f>
        <v>5191421.5999999996</v>
      </c>
      <c r="G153" s="432">
        <f>SUM(G143:G152)</f>
        <v>7378823.3999999994</v>
      </c>
    </row>
    <row r="154" spans="1:7" x14ac:dyDescent="0.3">
      <c r="A154" s="441"/>
      <c r="B154" s="441"/>
      <c r="C154" s="441"/>
      <c r="D154" s="442"/>
      <c r="E154" s="442"/>
      <c r="F154" s="442"/>
      <c r="G154" s="442"/>
    </row>
    <row r="156" spans="1:7" x14ac:dyDescent="0.3">
      <c r="C156" s="666" t="s">
        <v>167</v>
      </c>
      <c r="D156" s="667"/>
    </row>
    <row r="157" spans="1:7" x14ac:dyDescent="0.3">
      <c r="C157" s="432" t="s">
        <v>164</v>
      </c>
      <c r="D157" s="432" t="s">
        <v>165</v>
      </c>
    </row>
    <row r="158" spans="1:7" x14ac:dyDescent="0.3">
      <c r="C158" s="436">
        <f>ROUNDDOWN(F153/D153,1)</f>
        <v>57.8</v>
      </c>
      <c r="D158" s="437">
        <f>ROUNDDOWN(G153/E153,1)</f>
        <v>74.900000000000006</v>
      </c>
    </row>
  </sheetData>
  <mergeCells count="37">
    <mergeCell ref="C156:D156"/>
    <mergeCell ref="B130:D130"/>
    <mergeCell ref="E130:G130"/>
    <mergeCell ref="A141:A142"/>
    <mergeCell ref="B141:C141"/>
    <mergeCell ref="D141:E141"/>
    <mergeCell ref="F141:G141"/>
    <mergeCell ref="A129:G129"/>
    <mergeCell ref="B70:D70"/>
    <mergeCell ref="E70:G70"/>
    <mergeCell ref="A91:G91"/>
    <mergeCell ref="B92:D92"/>
    <mergeCell ref="E92:G92"/>
    <mergeCell ref="A109:G109"/>
    <mergeCell ref="B110:D110"/>
    <mergeCell ref="E110:G110"/>
    <mergeCell ref="A117:G117"/>
    <mergeCell ref="B118:D118"/>
    <mergeCell ref="E118:G118"/>
    <mergeCell ref="A69:G69"/>
    <mergeCell ref="B13:D13"/>
    <mergeCell ref="E13:G13"/>
    <mergeCell ref="A21:G21"/>
    <mergeCell ref="B22:D22"/>
    <mergeCell ref="E22:G22"/>
    <mergeCell ref="A39:G39"/>
    <mergeCell ref="B40:D40"/>
    <mergeCell ref="E40:G40"/>
    <mergeCell ref="A57:G57"/>
    <mergeCell ref="B58:D58"/>
    <mergeCell ref="E58:G58"/>
    <mergeCell ref="A12:G12"/>
    <mergeCell ref="A1:G1"/>
    <mergeCell ref="A2:G2"/>
    <mergeCell ref="A3:G3"/>
    <mergeCell ref="B4:D4"/>
    <mergeCell ref="E4:G4"/>
  </mergeCells>
  <phoneticPr fontId="11" type="noConversion"/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5C426-A115-4499-A801-C411AED24539}">
  <dimension ref="A1:I158"/>
  <sheetViews>
    <sheetView zoomScale="80" zoomScaleNormal="80" workbookViewId="0">
      <selection activeCell="E27" sqref="E27"/>
    </sheetView>
  </sheetViews>
  <sheetFormatPr defaultColWidth="8.7265625" defaultRowHeight="14" x14ac:dyDescent="0.3"/>
  <cols>
    <col min="1" max="1" width="22.453125" style="395" customWidth="1"/>
    <col min="2" max="2" width="16.26953125" style="395" bestFit="1" customWidth="1"/>
    <col min="3" max="3" width="22.90625" style="395" bestFit="1" customWidth="1"/>
    <col min="4" max="4" width="22.6328125" style="395" bestFit="1" customWidth="1"/>
    <col min="5" max="5" width="21.453125" style="395" bestFit="1" customWidth="1"/>
    <col min="6" max="6" width="23.453125" style="395" bestFit="1" customWidth="1"/>
    <col min="7" max="7" width="23.08984375" style="395" bestFit="1" customWidth="1"/>
    <col min="8" max="8" width="14.81640625" style="395" customWidth="1"/>
    <col min="9" max="16384" width="8.7265625" style="395"/>
  </cols>
  <sheetData>
    <row r="1" spans="1:9" x14ac:dyDescent="0.3">
      <c r="A1" s="657" t="s">
        <v>322</v>
      </c>
      <c r="B1" s="658"/>
      <c r="C1" s="658"/>
      <c r="D1" s="658"/>
      <c r="E1" s="658"/>
      <c r="F1" s="658"/>
      <c r="G1" s="659"/>
    </row>
    <row r="2" spans="1:9" ht="33" customHeight="1" x14ac:dyDescent="0.3">
      <c r="A2" s="660" t="s">
        <v>378</v>
      </c>
      <c r="B2" s="661"/>
      <c r="C2" s="661"/>
      <c r="D2" s="661"/>
      <c r="E2" s="661"/>
      <c r="F2" s="661"/>
      <c r="G2" s="662"/>
    </row>
    <row r="3" spans="1:9" x14ac:dyDescent="0.3">
      <c r="A3" s="663" t="s">
        <v>353</v>
      </c>
      <c r="B3" s="663"/>
      <c r="C3" s="663"/>
      <c r="D3" s="663"/>
      <c r="E3" s="663"/>
      <c r="F3" s="663"/>
      <c r="G3" s="663"/>
    </row>
    <row r="4" spans="1:9" x14ac:dyDescent="0.3">
      <c r="A4" s="396"/>
      <c r="B4" s="674" t="s">
        <v>364</v>
      </c>
      <c r="C4" s="674"/>
      <c r="D4" s="674"/>
      <c r="E4" s="674" t="s">
        <v>365</v>
      </c>
      <c r="F4" s="674"/>
      <c r="G4" s="674"/>
    </row>
    <row r="5" spans="1:9" x14ac:dyDescent="0.3">
      <c r="A5" s="454" t="s">
        <v>366</v>
      </c>
      <c r="B5" s="433" t="s">
        <v>344</v>
      </c>
      <c r="C5" s="433" t="s">
        <v>345</v>
      </c>
      <c r="D5" s="433" t="s">
        <v>367</v>
      </c>
      <c r="E5" s="433" t="s">
        <v>368</v>
      </c>
      <c r="F5" s="433" t="s">
        <v>369</v>
      </c>
      <c r="G5" s="433" t="s">
        <v>370</v>
      </c>
      <c r="H5" s="440"/>
      <c r="I5" s="441"/>
    </row>
    <row r="6" spans="1:9" x14ac:dyDescent="0.3">
      <c r="A6" s="454">
        <v>1</v>
      </c>
      <c r="B6" s="434">
        <v>0</v>
      </c>
      <c r="C6" s="434">
        <v>0</v>
      </c>
      <c r="D6" s="434">
        <v>0</v>
      </c>
      <c r="E6" s="434">
        <v>34.6</v>
      </c>
      <c r="F6" s="434">
        <v>73.900000000000006</v>
      </c>
      <c r="G6" s="434">
        <v>110</v>
      </c>
    </row>
    <row r="7" spans="1:9" x14ac:dyDescent="0.3">
      <c r="A7" s="454">
        <v>2</v>
      </c>
      <c r="B7" s="434"/>
      <c r="C7" s="434"/>
      <c r="D7" s="434"/>
      <c r="E7" s="434">
        <v>59.6</v>
      </c>
      <c r="F7" s="434">
        <v>78.7</v>
      </c>
      <c r="G7" s="434">
        <v>88.2</v>
      </c>
    </row>
    <row r="8" spans="1:9" x14ac:dyDescent="0.3">
      <c r="A8" s="454">
        <v>3</v>
      </c>
      <c r="B8" s="434"/>
      <c r="C8" s="434"/>
      <c r="D8" s="434"/>
      <c r="E8" s="434">
        <v>52.3</v>
      </c>
      <c r="F8" s="434">
        <v>67.2</v>
      </c>
      <c r="G8" s="434">
        <v>104.7</v>
      </c>
    </row>
    <row r="9" spans="1:9" x14ac:dyDescent="0.3">
      <c r="A9" s="454">
        <v>4</v>
      </c>
      <c r="B9" s="434"/>
      <c r="C9" s="434"/>
      <c r="D9" s="434"/>
      <c r="E9" s="434"/>
      <c r="F9" s="434">
        <v>78.3</v>
      </c>
      <c r="G9" s="434">
        <v>115</v>
      </c>
    </row>
    <row r="10" spans="1:9" x14ac:dyDescent="0.3">
      <c r="A10" s="454">
        <v>5</v>
      </c>
      <c r="B10" s="434"/>
      <c r="C10" s="434"/>
      <c r="D10" s="434"/>
      <c r="E10" s="434"/>
      <c r="F10" s="434">
        <v>64.3</v>
      </c>
      <c r="G10" s="434">
        <v>98.2</v>
      </c>
    </row>
    <row r="11" spans="1:9" x14ac:dyDescent="0.3">
      <c r="A11" s="454">
        <v>6</v>
      </c>
      <c r="B11" s="434"/>
      <c r="C11" s="434"/>
      <c r="D11" s="434"/>
      <c r="E11" s="434"/>
      <c r="F11" s="434"/>
      <c r="G11" s="434">
        <v>94.9</v>
      </c>
    </row>
    <row r="12" spans="1:9" x14ac:dyDescent="0.3">
      <c r="A12" s="670" t="s">
        <v>354</v>
      </c>
      <c r="B12" s="670"/>
      <c r="C12" s="670"/>
      <c r="D12" s="670"/>
      <c r="E12" s="670"/>
      <c r="F12" s="670"/>
      <c r="G12" s="670"/>
    </row>
    <row r="13" spans="1:9" x14ac:dyDescent="0.3">
      <c r="A13" s="396"/>
      <c r="B13" s="674" t="s">
        <v>364</v>
      </c>
      <c r="C13" s="674"/>
      <c r="D13" s="674"/>
      <c r="E13" s="674" t="s">
        <v>365</v>
      </c>
      <c r="F13" s="674"/>
      <c r="G13" s="674"/>
    </row>
    <row r="14" spans="1:9" x14ac:dyDescent="0.3">
      <c r="A14" s="454" t="s">
        <v>366</v>
      </c>
      <c r="B14" s="433" t="s">
        <v>344</v>
      </c>
      <c r="C14" s="433" t="s">
        <v>345</v>
      </c>
      <c r="D14" s="433" t="s">
        <v>367</v>
      </c>
      <c r="E14" s="433" t="s">
        <v>368</v>
      </c>
      <c r="F14" s="433" t="s">
        <v>369</v>
      </c>
      <c r="G14" s="433" t="s">
        <v>370</v>
      </c>
    </row>
    <row r="15" spans="1:9" x14ac:dyDescent="0.3">
      <c r="A15" s="454">
        <v>1</v>
      </c>
      <c r="B15" s="434">
        <v>0</v>
      </c>
      <c r="C15" s="434">
        <v>0</v>
      </c>
      <c r="D15" s="434">
        <v>0</v>
      </c>
      <c r="E15" s="434">
        <v>59.4</v>
      </c>
      <c r="F15" s="434">
        <v>65.3</v>
      </c>
      <c r="G15" s="434">
        <v>85.5</v>
      </c>
    </row>
    <row r="16" spans="1:9" x14ac:dyDescent="0.3">
      <c r="A16" s="454">
        <v>2</v>
      </c>
      <c r="B16" s="434"/>
      <c r="C16" s="434"/>
      <c r="D16" s="434"/>
      <c r="E16" s="434">
        <v>50.7</v>
      </c>
      <c r="F16" s="434">
        <v>77.900000000000006</v>
      </c>
      <c r="G16" s="434">
        <v>83.8</v>
      </c>
    </row>
    <row r="17" spans="1:7" x14ac:dyDescent="0.3">
      <c r="A17" s="454">
        <v>3</v>
      </c>
      <c r="B17" s="434"/>
      <c r="C17" s="434"/>
      <c r="D17" s="434"/>
      <c r="E17" s="434">
        <v>42.8</v>
      </c>
      <c r="F17" s="434">
        <v>63.4</v>
      </c>
      <c r="G17" s="434">
        <v>89.5</v>
      </c>
    </row>
    <row r="18" spans="1:7" x14ac:dyDescent="0.3">
      <c r="A18" s="454">
        <v>4</v>
      </c>
      <c r="B18" s="434"/>
      <c r="C18" s="434"/>
      <c r="D18" s="434"/>
      <c r="E18" s="434">
        <v>40.1</v>
      </c>
      <c r="F18" s="434">
        <v>67.599999999999994</v>
      </c>
      <c r="G18" s="434">
        <v>115</v>
      </c>
    </row>
    <row r="19" spans="1:7" x14ac:dyDescent="0.3">
      <c r="A19" s="454">
        <v>5</v>
      </c>
      <c r="B19" s="434"/>
      <c r="C19" s="434"/>
      <c r="D19" s="434"/>
      <c r="E19" s="434"/>
      <c r="F19" s="434">
        <v>64.2</v>
      </c>
      <c r="G19" s="434">
        <v>91.9</v>
      </c>
    </row>
    <row r="20" spans="1:7" x14ac:dyDescent="0.3">
      <c r="A20" s="454">
        <v>6</v>
      </c>
      <c r="B20" s="434"/>
      <c r="C20" s="434"/>
      <c r="D20" s="434"/>
      <c r="E20" s="434"/>
      <c r="F20" s="434">
        <v>75</v>
      </c>
      <c r="G20" s="434">
        <v>93.4</v>
      </c>
    </row>
    <row r="21" spans="1:7" x14ac:dyDescent="0.3">
      <c r="A21" s="663" t="s">
        <v>355</v>
      </c>
      <c r="B21" s="663"/>
      <c r="C21" s="663"/>
      <c r="D21" s="663"/>
      <c r="E21" s="663"/>
      <c r="F21" s="663"/>
      <c r="G21" s="663"/>
    </row>
    <row r="22" spans="1:7" x14ac:dyDescent="0.3">
      <c r="A22" s="396"/>
      <c r="B22" s="674" t="s">
        <v>364</v>
      </c>
      <c r="C22" s="674"/>
      <c r="D22" s="674"/>
      <c r="E22" s="674" t="s">
        <v>365</v>
      </c>
      <c r="F22" s="674"/>
      <c r="G22" s="674"/>
    </row>
    <row r="23" spans="1:7" x14ac:dyDescent="0.3">
      <c r="A23" s="454" t="s">
        <v>366</v>
      </c>
      <c r="B23" s="433" t="s">
        <v>344</v>
      </c>
      <c r="C23" s="433" t="s">
        <v>345</v>
      </c>
      <c r="D23" s="433" t="s">
        <v>367</v>
      </c>
      <c r="E23" s="433" t="s">
        <v>368</v>
      </c>
      <c r="F23" s="433" t="s">
        <v>369</v>
      </c>
      <c r="G23" s="433" t="s">
        <v>370</v>
      </c>
    </row>
    <row r="24" spans="1:7" x14ac:dyDescent="0.3">
      <c r="A24" s="454">
        <v>1</v>
      </c>
      <c r="B24" s="434">
        <v>31</v>
      </c>
      <c r="C24" s="434">
        <v>55.5</v>
      </c>
      <c r="D24" s="434">
        <v>87.8</v>
      </c>
      <c r="E24" s="434">
        <v>51.8</v>
      </c>
      <c r="F24" s="434">
        <v>79.599999999999994</v>
      </c>
      <c r="G24" s="434">
        <v>94.9</v>
      </c>
    </row>
    <row r="25" spans="1:7" x14ac:dyDescent="0.3">
      <c r="A25" s="454">
        <v>2</v>
      </c>
      <c r="B25" s="434">
        <v>35.1</v>
      </c>
      <c r="C25" s="434">
        <v>56</v>
      </c>
      <c r="D25" s="434">
        <v>73</v>
      </c>
      <c r="E25" s="434">
        <v>53</v>
      </c>
      <c r="F25" s="434">
        <v>77.8</v>
      </c>
      <c r="G25" s="434">
        <v>88.8</v>
      </c>
    </row>
    <row r="26" spans="1:7" x14ac:dyDescent="0.3">
      <c r="A26" s="454">
        <v>3</v>
      </c>
      <c r="B26" s="434">
        <v>19.899999999999999</v>
      </c>
      <c r="C26" s="434">
        <v>56.8</v>
      </c>
      <c r="D26" s="434">
        <v>100.2</v>
      </c>
      <c r="E26" s="434">
        <v>41.3</v>
      </c>
      <c r="F26" s="434">
        <v>79.5</v>
      </c>
      <c r="G26" s="434">
        <v>113.2</v>
      </c>
    </row>
    <row r="27" spans="1:7" x14ac:dyDescent="0.3">
      <c r="A27" s="454">
        <v>4</v>
      </c>
      <c r="B27" s="434">
        <v>34.9</v>
      </c>
      <c r="C27" s="434">
        <v>43.7</v>
      </c>
      <c r="D27" s="434">
        <v>77.900000000000006</v>
      </c>
      <c r="E27" s="434">
        <v>38.299999999999997</v>
      </c>
      <c r="F27" s="434">
        <v>68.8</v>
      </c>
      <c r="G27" s="434">
        <v>84.3</v>
      </c>
    </row>
    <row r="28" spans="1:7" x14ac:dyDescent="0.3">
      <c r="A28" s="454">
        <v>5</v>
      </c>
      <c r="B28" s="434">
        <v>16.8</v>
      </c>
      <c r="C28" s="434">
        <v>38</v>
      </c>
      <c r="D28" s="434">
        <v>93.2</v>
      </c>
      <c r="E28" s="434">
        <v>51.3</v>
      </c>
      <c r="F28" s="434">
        <v>75.7</v>
      </c>
      <c r="G28" s="434">
        <v>110.6</v>
      </c>
    </row>
    <row r="29" spans="1:7" x14ac:dyDescent="0.3">
      <c r="A29" s="454">
        <v>6</v>
      </c>
      <c r="B29" s="434">
        <v>30.3</v>
      </c>
      <c r="C29" s="434">
        <v>67.2</v>
      </c>
      <c r="D29" s="434">
        <v>71.5</v>
      </c>
      <c r="E29" s="434">
        <v>46.5</v>
      </c>
      <c r="F29" s="434">
        <v>64.599999999999994</v>
      </c>
      <c r="G29" s="434">
        <v>109.1</v>
      </c>
    </row>
    <row r="30" spans="1:7" x14ac:dyDescent="0.3">
      <c r="A30" s="454">
        <v>7</v>
      </c>
      <c r="B30" s="434">
        <v>22.1</v>
      </c>
      <c r="C30" s="434">
        <v>41.2</v>
      </c>
      <c r="D30" s="434">
        <v>74.7</v>
      </c>
      <c r="E30" s="434">
        <v>55</v>
      </c>
      <c r="F30" s="434">
        <v>64.8</v>
      </c>
      <c r="G30" s="434">
        <v>112</v>
      </c>
    </row>
    <row r="31" spans="1:7" x14ac:dyDescent="0.3">
      <c r="A31" s="454">
        <v>8</v>
      </c>
      <c r="B31" s="434">
        <v>25.9</v>
      </c>
      <c r="C31" s="434">
        <v>47.7</v>
      </c>
      <c r="D31" s="434">
        <v>72.7</v>
      </c>
      <c r="E31" s="434"/>
      <c r="F31" s="434">
        <v>79.8</v>
      </c>
      <c r="G31" s="434">
        <v>109.6</v>
      </c>
    </row>
    <row r="32" spans="1:7" x14ac:dyDescent="0.3">
      <c r="A32" s="454">
        <v>9</v>
      </c>
      <c r="B32" s="434">
        <v>33.799999999999997</v>
      </c>
      <c r="C32" s="434">
        <v>65.900000000000006</v>
      </c>
      <c r="D32" s="434">
        <v>69.2</v>
      </c>
      <c r="E32" s="434"/>
      <c r="F32" s="434">
        <v>62.2</v>
      </c>
      <c r="G32" s="434">
        <v>83.8</v>
      </c>
    </row>
    <row r="33" spans="1:7" x14ac:dyDescent="0.3">
      <c r="A33" s="454">
        <v>10</v>
      </c>
      <c r="B33" s="434">
        <v>33.4</v>
      </c>
      <c r="C33" s="434">
        <v>62.1</v>
      </c>
      <c r="D33" s="434">
        <v>96</v>
      </c>
      <c r="E33" s="434"/>
      <c r="F33" s="434">
        <v>67.5</v>
      </c>
      <c r="G33" s="434">
        <v>114.6</v>
      </c>
    </row>
    <row r="34" spans="1:7" x14ac:dyDescent="0.3">
      <c r="A34" s="454">
        <v>11</v>
      </c>
      <c r="B34" s="434">
        <v>19.100000000000001</v>
      </c>
      <c r="C34" s="434">
        <v>48.5</v>
      </c>
      <c r="D34" s="434">
        <v>84.4</v>
      </c>
      <c r="E34" s="434"/>
      <c r="F34" s="434">
        <v>72.2</v>
      </c>
      <c r="G34" s="434">
        <v>103.5</v>
      </c>
    </row>
    <row r="35" spans="1:7" x14ac:dyDescent="0.3">
      <c r="A35" s="454">
        <v>12</v>
      </c>
      <c r="B35" s="434">
        <v>33.1</v>
      </c>
      <c r="C35" s="434">
        <v>48.7</v>
      </c>
      <c r="D35" s="434">
        <v>87.3</v>
      </c>
      <c r="E35" s="434"/>
      <c r="F35" s="434"/>
      <c r="G35" s="434">
        <v>108.3</v>
      </c>
    </row>
    <row r="36" spans="1:7" x14ac:dyDescent="0.3">
      <c r="A36" s="454">
        <v>13</v>
      </c>
      <c r="B36" s="434">
        <v>27.4</v>
      </c>
      <c r="C36" s="434">
        <v>44.4</v>
      </c>
      <c r="D36" s="434">
        <v>83.4</v>
      </c>
      <c r="E36" s="434"/>
      <c r="F36" s="434"/>
      <c r="G36" s="434"/>
    </row>
    <row r="37" spans="1:7" x14ac:dyDescent="0.3">
      <c r="A37" s="454">
        <v>14</v>
      </c>
      <c r="B37" s="434"/>
      <c r="C37" s="434">
        <v>59.3</v>
      </c>
      <c r="D37" s="434">
        <v>85</v>
      </c>
      <c r="E37" s="434"/>
      <c r="F37" s="434"/>
      <c r="G37" s="434"/>
    </row>
    <row r="38" spans="1:7" x14ac:dyDescent="0.3">
      <c r="A38" s="454">
        <v>15</v>
      </c>
      <c r="B38" s="434"/>
      <c r="C38" s="434">
        <v>57.2</v>
      </c>
      <c r="D38" s="434">
        <v>73.900000000000006</v>
      </c>
      <c r="E38" s="434"/>
      <c r="F38" s="434"/>
      <c r="G38" s="434"/>
    </row>
    <row r="39" spans="1:7" x14ac:dyDescent="0.3">
      <c r="A39" s="670" t="s">
        <v>356</v>
      </c>
      <c r="B39" s="670"/>
      <c r="C39" s="670"/>
      <c r="D39" s="663"/>
      <c r="E39" s="670"/>
      <c r="F39" s="670"/>
      <c r="G39" s="670"/>
    </row>
    <row r="40" spans="1:7" x14ac:dyDescent="0.3">
      <c r="A40" s="396"/>
      <c r="B40" s="674" t="s">
        <v>364</v>
      </c>
      <c r="C40" s="674"/>
      <c r="D40" s="674"/>
      <c r="E40" s="674" t="s">
        <v>365</v>
      </c>
      <c r="F40" s="674"/>
      <c r="G40" s="674"/>
    </row>
    <row r="41" spans="1:7" x14ac:dyDescent="0.3">
      <c r="A41" s="454" t="s">
        <v>366</v>
      </c>
      <c r="B41" s="433" t="s">
        <v>344</v>
      </c>
      <c r="C41" s="433" t="s">
        <v>345</v>
      </c>
      <c r="D41" s="433" t="s">
        <v>367</v>
      </c>
      <c r="E41" s="433" t="s">
        <v>368</v>
      </c>
      <c r="F41" s="433" t="s">
        <v>369</v>
      </c>
      <c r="G41" s="433" t="s">
        <v>370</v>
      </c>
    </row>
    <row r="42" spans="1:7" x14ac:dyDescent="0.3">
      <c r="A42" s="454">
        <v>1</v>
      </c>
      <c r="B42" s="434">
        <v>35.200000000000003</v>
      </c>
      <c r="C42" s="434">
        <v>65.8</v>
      </c>
      <c r="D42" s="434">
        <v>85.5</v>
      </c>
      <c r="E42" s="434">
        <v>34.4</v>
      </c>
      <c r="F42" s="434">
        <v>65.900000000000006</v>
      </c>
      <c r="G42" s="434">
        <v>84.6</v>
      </c>
    </row>
    <row r="43" spans="1:7" x14ac:dyDescent="0.3">
      <c r="A43" s="454">
        <v>2</v>
      </c>
      <c r="B43" s="434">
        <v>26.2</v>
      </c>
      <c r="C43" s="434">
        <v>39.799999999999997</v>
      </c>
      <c r="D43" s="434">
        <v>77.599999999999994</v>
      </c>
      <c r="E43" s="434">
        <v>37.799999999999997</v>
      </c>
      <c r="F43" s="434">
        <v>60</v>
      </c>
      <c r="G43" s="434">
        <v>103.6</v>
      </c>
    </row>
    <row r="44" spans="1:7" x14ac:dyDescent="0.3">
      <c r="A44" s="454">
        <v>3</v>
      </c>
      <c r="B44" s="434">
        <v>29.7</v>
      </c>
      <c r="C44" s="434">
        <v>48.9</v>
      </c>
      <c r="D44" s="434">
        <v>79</v>
      </c>
      <c r="E44" s="434">
        <v>49.5</v>
      </c>
      <c r="F44" s="434">
        <v>66.7</v>
      </c>
      <c r="G44" s="434">
        <v>118.4</v>
      </c>
    </row>
    <row r="45" spans="1:7" x14ac:dyDescent="0.3">
      <c r="A45" s="454">
        <v>4</v>
      </c>
      <c r="B45" s="434">
        <v>25.2</v>
      </c>
      <c r="C45" s="434">
        <v>44.4</v>
      </c>
      <c r="D45" s="434">
        <v>84.1</v>
      </c>
      <c r="E45" s="434">
        <v>45.5</v>
      </c>
      <c r="F45" s="434">
        <v>76.2</v>
      </c>
      <c r="G45" s="434">
        <v>111.6</v>
      </c>
    </row>
    <row r="46" spans="1:7" x14ac:dyDescent="0.3">
      <c r="A46" s="454">
        <v>5</v>
      </c>
      <c r="B46" s="434">
        <v>32.9</v>
      </c>
      <c r="C46" s="434">
        <v>48.6</v>
      </c>
      <c r="D46" s="434">
        <v>81.8</v>
      </c>
      <c r="E46" s="434">
        <v>49.8</v>
      </c>
      <c r="F46" s="434">
        <v>71.599999999999994</v>
      </c>
      <c r="G46" s="434">
        <v>86.5</v>
      </c>
    </row>
    <row r="47" spans="1:7" x14ac:dyDescent="0.3">
      <c r="A47" s="454">
        <v>6</v>
      </c>
      <c r="B47" s="434">
        <v>18.8</v>
      </c>
      <c r="C47" s="434">
        <v>48.5</v>
      </c>
      <c r="D47" s="434">
        <v>70</v>
      </c>
      <c r="E47" s="434">
        <v>40.4</v>
      </c>
      <c r="F47" s="434">
        <v>62.7</v>
      </c>
      <c r="G47" s="434">
        <v>111.7</v>
      </c>
    </row>
    <row r="48" spans="1:7" x14ac:dyDescent="0.3">
      <c r="A48" s="454">
        <v>7</v>
      </c>
      <c r="B48" s="434">
        <v>23.5</v>
      </c>
      <c r="C48" s="434">
        <v>56</v>
      </c>
      <c r="D48" s="434">
        <v>101.6</v>
      </c>
      <c r="E48" s="434">
        <v>44.6</v>
      </c>
      <c r="F48" s="434">
        <v>60</v>
      </c>
      <c r="G48" s="434">
        <v>118.3</v>
      </c>
    </row>
    <row r="49" spans="1:7" x14ac:dyDescent="0.3">
      <c r="A49" s="454">
        <v>8</v>
      </c>
      <c r="B49" s="434">
        <v>19.3</v>
      </c>
      <c r="C49" s="434">
        <v>63.3</v>
      </c>
      <c r="D49" s="434">
        <v>101.1</v>
      </c>
      <c r="E49" s="434"/>
      <c r="F49" s="434">
        <v>60.5</v>
      </c>
      <c r="G49" s="434">
        <v>119.9</v>
      </c>
    </row>
    <row r="50" spans="1:7" x14ac:dyDescent="0.3">
      <c r="A50" s="454">
        <v>9</v>
      </c>
      <c r="B50" s="434">
        <v>18</v>
      </c>
      <c r="C50" s="434">
        <v>52.8</v>
      </c>
      <c r="D50" s="434">
        <v>73.400000000000006</v>
      </c>
      <c r="E50" s="434"/>
      <c r="F50" s="434">
        <v>72.599999999999994</v>
      </c>
      <c r="G50" s="434">
        <v>118</v>
      </c>
    </row>
    <row r="51" spans="1:7" x14ac:dyDescent="0.3">
      <c r="A51" s="454">
        <v>10</v>
      </c>
      <c r="B51" s="434">
        <v>16.399999999999999</v>
      </c>
      <c r="C51" s="434">
        <v>45.8</v>
      </c>
      <c r="D51" s="434">
        <v>73.7</v>
      </c>
      <c r="E51" s="434"/>
      <c r="F51" s="434">
        <v>79.5</v>
      </c>
      <c r="G51" s="434">
        <v>87</v>
      </c>
    </row>
    <row r="52" spans="1:7" x14ac:dyDescent="0.3">
      <c r="A52" s="454">
        <v>11</v>
      </c>
      <c r="B52" s="434">
        <v>20.2</v>
      </c>
      <c r="C52" s="434">
        <v>50.4</v>
      </c>
      <c r="D52" s="434">
        <v>99.5</v>
      </c>
      <c r="E52" s="434"/>
      <c r="F52" s="434">
        <v>78.099999999999994</v>
      </c>
      <c r="G52" s="434">
        <v>94.7</v>
      </c>
    </row>
    <row r="53" spans="1:7" x14ac:dyDescent="0.3">
      <c r="A53" s="454">
        <v>12</v>
      </c>
      <c r="B53" s="434">
        <v>22.2</v>
      </c>
      <c r="C53" s="434">
        <v>63.8</v>
      </c>
      <c r="D53" s="434">
        <v>90.9</v>
      </c>
      <c r="E53" s="434"/>
      <c r="F53" s="434">
        <v>70.2</v>
      </c>
      <c r="G53" s="434">
        <v>88.2</v>
      </c>
    </row>
    <row r="54" spans="1:7" x14ac:dyDescent="0.3">
      <c r="A54" s="454">
        <v>13</v>
      </c>
      <c r="B54" s="434">
        <v>16</v>
      </c>
      <c r="C54" s="434">
        <v>63.5</v>
      </c>
      <c r="D54" s="434">
        <v>84.6</v>
      </c>
      <c r="E54" s="434"/>
      <c r="F54" s="434"/>
      <c r="G54" s="434">
        <v>105.1</v>
      </c>
    </row>
    <row r="55" spans="1:7" x14ac:dyDescent="0.3">
      <c r="A55" s="454">
        <v>14</v>
      </c>
      <c r="B55" s="434">
        <v>31.8</v>
      </c>
      <c r="C55" s="434">
        <v>42.7</v>
      </c>
      <c r="D55" s="434">
        <v>101.2</v>
      </c>
      <c r="E55" s="434"/>
      <c r="F55" s="434"/>
      <c r="G55" s="434">
        <v>94.5</v>
      </c>
    </row>
    <row r="56" spans="1:7" x14ac:dyDescent="0.3">
      <c r="A56" s="454">
        <v>15</v>
      </c>
      <c r="B56" s="434"/>
      <c r="C56" s="434"/>
      <c r="D56" s="434">
        <v>72.3</v>
      </c>
      <c r="E56" s="434"/>
      <c r="F56" s="434"/>
      <c r="G56" s="434"/>
    </row>
    <row r="57" spans="1:7" x14ac:dyDescent="0.3">
      <c r="A57" s="670" t="s">
        <v>357</v>
      </c>
      <c r="B57" s="670"/>
      <c r="C57" s="670"/>
      <c r="D57" s="663"/>
      <c r="E57" s="670"/>
      <c r="F57" s="670"/>
      <c r="G57" s="670"/>
    </row>
    <row r="58" spans="1:7" x14ac:dyDescent="0.3">
      <c r="A58" s="396"/>
      <c r="B58" s="674" t="s">
        <v>364</v>
      </c>
      <c r="C58" s="674"/>
      <c r="D58" s="674"/>
      <c r="E58" s="674" t="s">
        <v>365</v>
      </c>
      <c r="F58" s="674"/>
      <c r="G58" s="674"/>
    </row>
    <row r="59" spans="1:7" x14ac:dyDescent="0.3">
      <c r="A59" s="454" t="s">
        <v>366</v>
      </c>
      <c r="B59" s="433" t="s">
        <v>344</v>
      </c>
      <c r="C59" s="433" t="s">
        <v>345</v>
      </c>
      <c r="D59" s="433" t="s">
        <v>367</v>
      </c>
      <c r="E59" s="433" t="s">
        <v>368</v>
      </c>
      <c r="F59" s="433" t="s">
        <v>369</v>
      </c>
      <c r="G59" s="433" t="s">
        <v>370</v>
      </c>
    </row>
    <row r="60" spans="1:7" x14ac:dyDescent="0.3">
      <c r="A60" s="454">
        <v>1</v>
      </c>
      <c r="B60" s="434">
        <v>30.1</v>
      </c>
      <c r="C60" s="434">
        <v>64.5</v>
      </c>
      <c r="D60" s="434">
        <v>94</v>
      </c>
      <c r="E60" s="434">
        <v>36.200000000000003</v>
      </c>
      <c r="F60" s="434">
        <v>71.8</v>
      </c>
      <c r="G60" s="434">
        <v>93.6</v>
      </c>
    </row>
    <row r="61" spans="1:7" x14ac:dyDescent="0.3">
      <c r="A61" s="454">
        <v>2</v>
      </c>
      <c r="B61" s="434">
        <v>16.2</v>
      </c>
      <c r="C61" s="434">
        <v>61.6</v>
      </c>
      <c r="D61" s="434">
        <v>91</v>
      </c>
      <c r="E61" s="434">
        <v>50.6</v>
      </c>
      <c r="F61" s="434">
        <v>79.400000000000006</v>
      </c>
      <c r="G61" s="434">
        <v>98.7</v>
      </c>
    </row>
    <row r="62" spans="1:7" x14ac:dyDescent="0.3">
      <c r="A62" s="454">
        <v>3</v>
      </c>
      <c r="B62" s="434">
        <v>36.4</v>
      </c>
      <c r="C62" s="434">
        <v>54.2</v>
      </c>
      <c r="D62" s="434">
        <v>87.1</v>
      </c>
      <c r="E62" s="434">
        <v>41.6</v>
      </c>
      <c r="F62" s="434">
        <v>74.5</v>
      </c>
      <c r="G62" s="434">
        <v>98.4</v>
      </c>
    </row>
    <row r="63" spans="1:7" x14ac:dyDescent="0.3">
      <c r="A63" s="454">
        <v>4</v>
      </c>
      <c r="B63" s="434">
        <v>29</v>
      </c>
      <c r="C63" s="434">
        <v>50.5</v>
      </c>
      <c r="D63" s="434">
        <v>83</v>
      </c>
      <c r="E63" s="434">
        <v>59.4</v>
      </c>
      <c r="F63" s="434">
        <v>76.900000000000006</v>
      </c>
      <c r="G63" s="434">
        <v>108.5</v>
      </c>
    </row>
    <row r="64" spans="1:7" x14ac:dyDescent="0.3">
      <c r="A64" s="454">
        <v>5</v>
      </c>
      <c r="B64" s="434">
        <v>19.600000000000001</v>
      </c>
      <c r="C64" s="434">
        <v>47.2</v>
      </c>
      <c r="D64" s="434">
        <v>94.5</v>
      </c>
      <c r="E64" s="434"/>
      <c r="F64" s="434">
        <v>62</v>
      </c>
      <c r="G64" s="434">
        <v>118.6</v>
      </c>
    </row>
    <row r="65" spans="1:7" x14ac:dyDescent="0.3">
      <c r="A65" s="454">
        <v>6</v>
      </c>
      <c r="B65" s="434">
        <v>17.8</v>
      </c>
      <c r="C65" s="434">
        <v>58</v>
      </c>
      <c r="D65" s="434">
        <v>72.900000000000006</v>
      </c>
      <c r="E65" s="434"/>
      <c r="F65" s="434"/>
      <c r="G65" s="434">
        <v>113.2</v>
      </c>
    </row>
    <row r="66" spans="1:7" x14ac:dyDescent="0.3">
      <c r="A66" s="454">
        <v>7</v>
      </c>
      <c r="B66" s="434">
        <v>27.8</v>
      </c>
      <c r="C66" s="434">
        <v>49.9</v>
      </c>
      <c r="D66" s="434">
        <v>84.6</v>
      </c>
      <c r="E66" s="434"/>
      <c r="F66" s="434"/>
      <c r="G66" s="434"/>
    </row>
    <row r="67" spans="1:7" x14ac:dyDescent="0.3">
      <c r="A67" s="454">
        <v>8</v>
      </c>
      <c r="B67" s="434">
        <v>22.5</v>
      </c>
      <c r="C67" s="434">
        <v>59.8</v>
      </c>
      <c r="D67" s="434">
        <v>92.5</v>
      </c>
      <c r="E67" s="434"/>
      <c r="F67" s="434"/>
      <c r="G67" s="434"/>
    </row>
    <row r="68" spans="1:7" x14ac:dyDescent="0.3">
      <c r="A68" s="454">
        <v>9</v>
      </c>
      <c r="B68" s="434">
        <v>17</v>
      </c>
      <c r="C68" s="434"/>
      <c r="D68" s="434">
        <v>102.6</v>
      </c>
      <c r="E68" s="433"/>
      <c r="F68" s="434"/>
      <c r="G68" s="434"/>
    </row>
    <row r="69" spans="1:7" x14ac:dyDescent="0.3">
      <c r="A69" s="670" t="s">
        <v>358</v>
      </c>
      <c r="B69" s="670"/>
      <c r="C69" s="670"/>
      <c r="D69" s="663"/>
      <c r="E69" s="670"/>
      <c r="F69" s="670"/>
      <c r="G69" s="670"/>
    </row>
    <row r="70" spans="1:7" x14ac:dyDescent="0.3">
      <c r="A70" s="396"/>
      <c r="B70" s="674" t="s">
        <v>364</v>
      </c>
      <c r="C70" s="674"/>
      <c r="D70" s="674"/>
      <c r="E70" s="674" t="s">
        <v>365</v>
      </c>
      <c r="F70" s="674"/>
      <c r="G70" s="674"/>
    </row>
    <row r="71" spans="1:7" x14ac:dyDescent="0.3">
      <c r="A71" s="454" t="s">
        <v>366</v>
      </c>
      <c r="B71" s="433" t="s">
        <v>344</v>
      </c>
      <c r="C71" s="433" t="s">
        <v>345</v>
      </c>
      <c r="D71" s="433" t="s">
        <v>367</v>
      </c>
      <c r="E71" s="433" t="s">
        <v>368</v>
      </c>
      <c r="F71" s="433" t="s">
        <v>369</v>
      </c>
      <c r="G71" s="433" t="s">
        <v>370</v>
      </c>
    </row>
    <row r="72" spans="1:7" x14ac:dyDescent="0.3">
      <c r="A72" s="454">
        <v>1</v>
      </c>
      <c r="B72" s="434">
        <v>15.9</v>
      </c>
      <c r="C72" s="434">
        <v>39.700000000000003</v>
      </c>
      <c r="D72" s="434">
        <v>81</v>
      </c>
      <c r="E72" s="434">
        <v>53.9</v>
      </c>
      <c r="F72" s="434">
        <v>64.099999999999994</v>
      </c>
      <c r="G72" s="434">
        <v>88.1</v>
      </c>
    </row>
    <row r="73" spans="1:7" x14ac:dyDescent="0.3">
      <c r="A73" s="454">
        <v>2</v>
      </c>
      <c r="B73" s="434">
        <v>31.1</v>
      </c>
      <c r="C73" s="434">
        <v>51.1</v>
      </c>
      <c r="D73" s="434">
        <v>88.5</v>
      </c>
      <c r="E73" s="434">
        <v>34.200000000000003</v>
      </c>
      <c r="F73" s="434">
        <v>69.5</v>
      </c>
      <c r="G73" s="434">
        <v>115.8</v>
      </c>
    </row>
    <row r="74" spans="1:7" x14ac:dyDescent="0.3">
      <c r="A74" s="454">
        <v>3</v>
      </c>
      <c r="B74" s="434">
        <v>32.4</v>
      </c>
      <c r="C74" s="434">
        <v>46.2</v>
      </c>
      <c r="D74" s="434">
        <v>83.2</v>
      </c>
      <c r="E74" s="434">
        <v>42.2</v>
      </c>
      <c r="F74" s="434">
        <v>72.3</v>
      </c>
      <c r="G74" s="434">
        <v>96.8</v>
      </c>
    </row>
    <row r="75" spans="1:7" x14ac:dyDescent="0.3">
      <c r="A75" s="454">
        <v>4</v>
      </c>
      <c r="B75" s="434">
        <v>28.6</v>
      </c>
      <c r="C75" s="434">
        <v>63.4</v>
      </c>
      <c r="D75" s="434">
        <v>102.5</v>
      </c>
      <c r="E75" s="434">
        <v>39.200000000000003</v>
      </c>
      <c r="F75" s="434">
        <v>76.3</v>
      </c>
      <c r="G75" s="434">
        <v>118.8</v>
      </c>
    </row>
    <row r="76" spans="1:7" x14ac:dyDescent="0.3">
      <c r="A76" s="454">
        <v>5</v>
      </c>
      <c r="B76" s="434">
        <v>21.5</v>
      </c>
      <c r="C76" s="434">
        <v>48.3</v>
      </c>
      <c r="D76" s="434">
        <v>78</v>
      </c>
      <c r="E76" s="434">
        <v>25.4</v>
      </c>
      <c r="F76" s="434">
        <v>74.900000000000006</v>
      </c>
      <c r="G76" s="434">
        <v>102.4</v>
      </c>
    </row>
    <row r="77" spans="1:7" x14ac:dyDescent="0.3">
      <c r="A77" s="454">
        <v>6</v>
      </c>
      <c r="B77" s="434">
        <v>30.8</v>
      </c>
      <c r="C77" s="434">
        <v>37.299999999999997</v>
      </c>
      <c r="D77" s="434">
        <v>77.599999999999994</v>
      </c>
      <c r="E77" s="434">
        <v>51.1</v>
      </c>
      <c r="F77" s="434">
        <v>74.3</v>
      </c>
      <c r="G77" s="434">
        <v>80</v>
      </c>
    </row>
    <row r="78" spans="1:7" x14ac:dyDescent="0.3">
      <c r="A78" s="454">
        <v>7</v>
      </c>
      <c r="B78" s="434">
        <v>18.899999999999999</v>
      </c>
      <c r="C78" s="434">
        <v>60.9</v>
      </c>
      <c r="D78" s="434">
        <v>88.4</v>
      </c>
      <c r="E78" s="434">
        <v>30.9</v>
      </c>
      <c r="F78" s="434">
        <v>75.900000000000006</v>
      </c>
      <c r="G78" s="434">
        <v>96.9</v>
      </c>
    </row>
    <row r="79" spans="1:7" x14ac:dyDescent="0.3">
      <c r="A79" s="454">
        <v>8</v>
      </c>
      <c r="B79" s="434">
        <v>26.5</v>
      </c>
      <c r="C79" s="434">
        <v>42.9</v>
      </c>
      <c r="D79" s="434">
        <v>80.7</v>
      </c>
      <c r="E79" s="434">
        <v>29.4</v>
      </c>
      <c r="F79" s="434">
        <v>71.599999999999994</v>
      </c>
      <c r="G79" s="434">
        <v>82.7</v>
      </c>
    </row>
    <row r="80" spans="1:7" x14ac:dyDescent="0.3">
      <c r="A80" s="454">
        <v>9</v>
      </c>
      <c r="B80" s="434">
        <v>36</v>
      </c>
      <c r="C80" s="434">
        <v>57.6</v>
      </c>
      <c r="D80" s="434">
        <v>85.8</v>
      </c>
      <c r="E80" s="434">
        <v>29.2</v>
      </c>
      <c r="F80" s="434">
        <v>72</v>
      </c>
      <c r="G80" s="434">
        <v>101.9</v>
      </c>
    </row>
    <row r="81" spans="1:7" x14ac:dyDescent="0.3">
      <c r="A81" s="454">
        <v>10</v>
      </c>
      <c r="B81" s="434">
        <v>35.6</v>
      </c>
      <c r="C81" s="434">
        <v>67.7</v>
      </c>
      <c r="D81" s="434">
        <v>88.4</v>
      </c>
      <c r="E81" s="434">
        <v>36.1</v>
      </c>
      <c r="F81" s="434">
        <v>74.599999999999994</v>
      </c>
      <c r="G81" s="434">
        <v>84.8</v>
      </c>
    </row>
    <row r="82" spans="1:7" x14ac:dyDescent="0.3">
      <c r="A82" s="454">
        <v>11</v>
      </c>
      <c r="B82" s="434">
        <v>21.9</v>
      </c>
      <c r="C82" s="434">
        <v>49.3</v>
      </c>
      <c r="D82" s="434">
        <v>104.8</v>
      </c>
      <c r="E82" s="434"/>
      <c r="F82" s="434">
        <v>73.099999999999994</v>
      </c>
      <c r="G82" s="434">
        <v>80.400000000000006</v>
      </c>
    </row>
    <row r="83" spans="1:7" x14ac:dyDescent="0.3">
      <c r="A83" s="454">
        <v>12</v>
      </c>
      <c r="B83" s="434">
        <v>34.1</v>
      </c>
      <c r="C83" s="434">
        <v>41.2</v>
      </c>
      <c r="D83" s="434">
        <v>104.2</v>
      </c>
      <c r="E83" s="434"/>
      <c r="F83" s="434">
        <v>62</v>
      </c>
      <c r="G83" s="434">
        <v>106</v>
      </c>
    </row>
    <row r="84" spans="1:7" x14ac:dyDescent="0.3">
      <c r="A84" s="454">
        <v>13</v>
      </c>
      <c r="B84" s="434">
        <v>35.799999999999997</v>
      </c>
      <c r="C84" s="434">
        <v>52.8</v>
      </c>
      <c r="D84" s="434">
        <v>85.5</v>
      </c>
      <c r="E84" s="434"/>
      <c r="F84" s="434">
        <v>75.5</v>
      </c>
      <c r="G84" s="434">
        <v>92.5</v>
      </c>
    </row>
    <row r="85" spans="1:7" x14ac:dyDescent="0.3">
      <c r="A85" s="454">
        <v>14</v>
      </c>
      <c r="B85" s="434">
        <v>24.1</v>
      </c>
      <c r="C85" s="434">
        <v>65.7</v>
      </c>
      <c r="D85" s="434">
        <v>72.599999999999994</v>
      </c>
      <c r="E85" s="434"/>
      <c r="F85" s="434">
        <v>79.5</v>
      </c>
      <c r="G85" s="434">
        <v>103.3</v>
      </c>
    </row>
    <row r="86" spans="1:7" x14ac:dyDescent="0.3">
      <c r="A86" s="454">
        <v>15</v>
      </c>
      <c r="B86" s="434">
        <v>20.2</v>
      </c>
      <c r="C86" s="434">
        <v>67.3</v>
      </c>
      <c r="D86" s="434">
        <v>80.400000000000006</v>
      </c>
      <c r="E86" s="434"/>
      <c r="F86" s="434"/>
      <c r="G86" s="434">
        <v>94.6</v>
      </c>
    </row>
    <row r="87" spans="1:7" x14ac:dyDescent="0.3">
      <c r="A87" s="454">
        <v>16</v>
      </c>
      <c r="B87" s="434"/>
      <c r="C87" s="434">
        <v>55.4</v>
      </c>
      <c r="D87" s="434">
        <v>98.5</v>
      </c>
      <c r="E87" s="434"/>
      <c r="F87" s="434"/>
      <c r="G87" s="434">
        <v>116.5</v>
      </c>
    </row>
    <row r="88" spans="1:7" x14ac:dyDescent="0.3">
      <c r="A88" s="454">
        <v>17</v>
      </c>
      <c r="B88" s="434"/>
      <c r="C88" s="434">
        <v>39.6</v>
      </c>
      <c r="D88" s="434">
        <v>90.2</v>
      </c>
      <c r="E88" s="434"/>
      <c r="F88" s="434"/>
      <c r="G88" s="434">
        <v>95.1</v>
      </c>
    </row>
    <row r="89" spans="1:7" x14ac:dyDescent="0.3">
      <c r="A89" s="454">
        <v>18</v>
      </c>
      <c r="B89" s="434"/>
      <c r="C89" s="434">
        <v>54.9</v>
      </c>
      <c r="D89" s="434">
        <v>101.1</v>
      </c>
      <c r="E89" s="438"/>
      <c r="F89" s="438"/>
      <c r="G89" s="438"/>
    </row>
    <row r="90" spans="1:7" x14ac:dyDescent="0.3">
      <c r="A90" s="454">
        <v>19</v>
      </c>
      <c r="B90" s="434"/>
      <c r="C90" s="434">
        <v>53.6</v>
      </c>
      <c r="D90" s="434"/>
      <c r="E90" s="438"/>
      <c r="F90" s="438"/>
      <c r="G90" s="438"/>
    </row>
    <row r="91" spans="1:7" x14ac:dyDescent="0.3">
      <c r="A91" s="670" t="s">
        <v>359</v>
      </c>
      <c r="B91" s="670"/>
      <c r="C91" s="670"/>
      <c r="D91" s="663"/>
      <c r="E91" s="670"/>
      <c r="F91" s="670"/>
      <c r="G91" s="670"/>
    </row>
    <row r="92" spans="1:7" x14ac:dyDescent="0.3">
      <c r="A92" s="396"/>
      <c r="B92" s="674" t="s">
        <v>364</v>
      </c>
      <c r="C92" s="674"/>
      <c r="D92" s="674"/>
      <c r="E92" s="674" t="s">
        <v>365</v>
      </c>
      <c r="F92" s="674"/>
      <c r="G92" s="674"/>
    </row>
    <row r="93" spans="1:7" x14ac:dyDescent="0.3">
      <c r="A93" s="454" t="s">
        <v>366</v>
      </c>
      <c r="B93" s="433" t="s">
        <v>344</v>
      </c>
      <c r="C93" s="433" t="s">
        <v>345</v>
      </c>
      <c r="D93" s="433" t="s">
        <v>367</v>
      </c>
      <c r="E93" s="433" t="s">
        <v>368</v>
      </c>
      <c r="F93" s="433" t="s">
        <v>369</v>
      </c>
      <c r="G93" s="433" t="s">
        <v>370</v>
      </c>
    </row>
    <row r="94" spans="1:7" x14ac:dyDescent="0.3">
      <c r="A94" s="454">
        <v>1</v>
      </c>
      <c r="B94" s="434">
        <v>22.3</v>
      </c>
      <c r="C94" s="434">
        <v>47</v>
      </c>
      <c r="D94" s="434">
        <v>72.099999999999994</v>
      </c>
      <c r="E94" s="434">
        <v>39.5</v>
      </c>
      <c r="F94" s="434">
        <v>70.900000000000006</v>
      </c>
      <c r="G94" s="434">
        <v>96.3</v>
      </c>
    </row>
    <row r="95" spans="1:7" x14ac:dyDescent="0.3">
      <c r="A95" s="454">
        <v>2</v>
      </c>
      <c r="B95" s="434">
        <v>28.6</v>
      </c>
      <c r="C95" s="434">
        <v>58</v>
      </c>
      <c r="D95" s="434">
        <v>72.7</v>
      </c>
      <c r="E95" s="434">
        <v>47.7</v>
      </c>
      <c r="F95" s="434">
        <v>60.9</v>
      </c>
      <c r="G95" s="434">
        <v>112.4</v>
      </c>
    </row>
    <row r="96" spans="1:7" x14ac:dyDescent="0.3">
      <c r="A96" s="454">
        <v>3</v>
      </c>
      <c r="B96" s="434">
        <v>19.899999999999999</v>
      </c>
      <c r="C96" s="434">
        <v>58.6</v>
      </c>
      <c r="D96" s="434">
        <v>89.4</v>
      </c>
      <c r="E96" s="434">
        <v>49.8</v>
      </c>
      <c r="F96" s="434">
        <v>60.4</v>
      </c>
      <c r="G96" s="434">
        <v>86.4</v>
      </c>
    </row>
    <row r="97" spans="1:7" x14ac:dyDescent="0.3">
      <c r="A97" s="454">
        <v>4</v>
      </c>
      <c r="B97" s="434">
        <v>25.6</v>
      </c>
      <c r="C97" s="434">
        <v>39.799999999999997</v>
      </c>
      <c r="D97" s="434">
        <v>91.5</v>
      </c>
      <c r="E97" s="434">
        <v>40.1</v>
      </c>
      <c r="F97" s="434">
        <v>75.900000000000006</v>
      </c>
      <c r="G97" s="434">
        <v>99.5</v>
      </c>
    </row>
    <row r="98" spans="1:7" x14ac:dyDescent="0.3">
      <c r="A98" s="454">
        <v>5</v>
      </c>
      <c r="B98" s="434">
        <v>33.700000000000003</v>
      </c>
      <c r="C98" s="434">
        <v>41.8</v>
      </c>
      <c r="D98" s="434">
        <v>103.9</v>
      </c>
      <c r="E98" s="434">
        <v>35.6</v>
      </c>
      <c r="F98" s="434">
        <v>77.7</v>
      </c>
      <c r="G98" s="434">
        <v>80.900000000000006</v>
      </c>
    </row>
    <row r="99" spans="1:7" x14ac:dyDescent="0.3">
      <c r="A99" s="454">
        <v>6</v>
      </c>
      <c r="B99" s="434">
        <v>15.9</v>
      </c>
      <c r="C99" s="434">
        <v>43.4</v>
      </c>
      <c r="D99" s="434">
        <v>80.7</v>
      </c>
      <c r="E99" s="434">
        <v>40.1</v>
      </c>
      <c r="F99" s="434">
        <v>77.599999999999994</v>
      </c>
      <c r="G99" s="434">
        <v>108.2</v>
      </c>
    </row>
    <row r="100" spans="1:7" x14ac:dyDescent="0.3">
      <c r="A100" s="454">
        <v>7</v>
      </c>
      <c r="B100" s="434">
        <v>32.799999999999997</v>
      </c>
      <c r="C100" s="434">
        <v>64.900000000000006</v>
      </c>
      <c r="D100" s="434">
        <v>96.3</v>
      </c>
      <c r="E100" s="434">
        <v>36.799999999999997</v>
      </c>
      <c r="F100" s="434">
        <v>61.3</v>
      </c>
      <c r="G100" s="434">
        <v>85.9</v>
      </c>
    </row>
    <row r="101" spans="1:7" x14ac:dyDescent="0.3">
      <c r="A101" s="454">
        <v>8</v>
      </c>
      <c r="B101" s="434">
        <v>36.1</v>
      </c>
      <c r="C101" s="434">
        <v>65.7</v>
      </c>
      <c r="D101" s="434">
        <v>96.9</v>
      </c>
      <c r="E101" s="434">
        <v>41.1</v>
      </c>
      <c r="F101" s="434">
        <v>66.5</v>
      </c>
      <c r="G101" s="434">
        <v>110.8</v>
      </c>
    </row>
    <row r="102" spans="1:7" x14ac:dyDescent="0.3">
      <c r="A102" s="454">
        <v>9</v>
      </c>
      <c r="B102" s="434">
        <v>34</v>
      </c>
      <c r="C102" s="434">
        <v>38.799999999999997</v>
      </c>
      <c r="D102" s="434">
        <v>72.2</v>
      </c>
      <c r="E102" s="434"/>
      <c r="F102" s="434">
        <v>69.900000000000006</v>
      </c>
      <c r="G102" s="434">
        <v>118.3</v>
      </c>
    </row>
    <row r="103" spans="1:7" x14ac:dyDescent="0.3">
      <c r="A103" s="454">
        <v>10</v>
      </c>
      <c r="B103" s="434">
        <v>19</v>
      </c>
      <c r="C103" s="434">
        <v>65.099999999999994</v>
      </c>
      <c r="D103" s="434">
        <v>70.5</v>
      </c>
      <c r="E103" s="434"/>
      <c r="F103" s="434">
        <v>71.599999999999994</v>
      </c>
      <c r="G103" s="434">
        <v>102.8</v>
      </c>
    </row>
    <row r="104" spans="1:7" x14ac:dyDescent="0.3">
      <c r="A104" s="454">
        <v>11</v>
      </c>
      <c r="B104" s="434">
        <v>25.6</v>
      </c>
      <c r="C104" s="434">
        <v>45.8</v>
      </c>
      <c r="D104" s="434">
        <v>93</v>
      </c>
      <c r="E104" s="434"/>
      <c r="F104" s="434"/>
      <c r="G104" s="434">
        <v>98.7</v>
      </c>
    </row>
    <row r="105" spans="1:7" x14ac:dyDescent="0.3">
      <c r="A105" s="454">
        <v>12</v>
      </c>
      <c r="B105" s="434">
        <v>36.200000000000003</v>
      </c>
      <c r="C105" s="434">
        <v>40.700000000000003</v>
      </c>
      <c r="D105" s="434">
        <v>89.1</v>
      </c>
      <c r="E105" s="434"/>
      <c r="F105" s="434"/>
      <c r="G105" s="434">
        <v>104.9</v>
      </c>
    </row>
    <row r="106" spans="1:7" x14ac:dyDescent="0.3">
      <c r="A106" s="454">
        <v>13</v>
      </c>
      <c r="B106" s="434"/>
      <c r="C106" s="434">
        <v>44.2</v>
      </c>
      <c r="D106" s="434">
        <v>81.099999999999994</v>
      </c>
      <c r="E106" s="438"/>
      <c r="F106" s="438"/>
      <c r="G106" s="438"/>
    </row>
    <row r="107" spans="1:7" x14ac:dyDescent="0.3">
      <c r="A107" s="454">
        <v>14</v>
      </c>
      <c r="B107" s="434"/>
      <c r="C107" s="434">
        <v>47.8</v>
      </c>
      <c r="D107" s="434">
        <v>71.8</v>
      </c>
      <c r="E107" s="438"/>
      <c r="F107" s="438"/>
      <c r="G107" s="438"/>
    </row>
    <row r="108" spans="1:7" x14ac:dyDescent="0.3">
      <c r="A108" s="454">
        <v>15</v>
      </c>
      <c r="B108" s="434"/>
      <c r="C108" s="434">
        <v>62.6</v>
      </c>
      <c r="D108" s="434">
        <v>89</v>
      </c>
      <c r="E108" s="438"/>
      <c r="F108" s="438"/>
      <c r="G108" s="438"/>
    </row>
    <row r="109" spans="1:7" x14ac:dyDescent="0.3">
      <c r="A109" s="670" t="s">
        <v>360</v>
      </c>
      <c r="B109" s="670"/>
      <c r="C109" s="670"/>
      <c r="D109" s="663"/>
      <c r="E109" s="670"/>
      <c r="F109" s="670"/>
      <c r="G109" s="670"/>
    </row>
    <row r="110" spans="1:7" x14ac:dyDescent="0.3">
      <c r="A110" s="396"/>
      <c r="B110" s="674" t="s">
        <v>364</v>
      </c>
      <c r="C110" s="674"/>
      <c r="D110" s="674"/>
      <c r="E110" s="674" t="s">
        <v>365</v>
      </c>
      <c r="F110" s="674"/>
      <c r="G110" s="674"/>
    </row>
    <row r="111" spans="1:7" x14ac:dyDescent="0.3">
      <c r="A111" s="454" t="s">
        <v>366</v>
      </c>
      <c r="B111" s="433" t="s">
        <v>344</v>
      </c>
      <c r="C111" s="433" t="s">
        <v>345</v>
      </c>
      <c r="D111" s="433" t="s">
        <v>367</v>
      </c>
      <c r="E111" s="433" t="s">
        <v>368</v>
      </c>
      <c r="F111" s="433" t="s">
        <v>369</v>
      </c>
      <c r="G111" s="433" t="s">
        <v>370</v>
      </c>
    </row>
    <row r="112" spans="1:7" x14ac:dyDescent="0.3">
      <c r="A112" s="454">
        <v>1</v>
      </c>
      <c r="B112" s="434">
        <v>0</v>
      </c>
      <c r="C112" s="434">
        <v>0</v>
      </c>
      <c r="D112" s="434">
        <v>0</v>
      </c>
      <c r="E112" s="434">
        <v>36.700000000000003</v>
      </c>
      <c r="F112" s="434">
        <v>64.900000000000006</v>
      </c>
      <c r="G112" s="434">
        <v>100</v>
      </c>
    </row>
    <row r="113" spans="1:7" x14ac:dyDescent="0.3">
      <c r="A113" s="454">
        <v>2</v>
      </c>
      <c r="B113" s="434"/>
      <c r="C113" s="434"/>
      <c r="D113" s="434"/>
      <c r="E113" s="434">
        <v>57.9</v>
      </c>
      <c r="F113" s="434">
        <v>69.400000000000006</v>
      </c>
      <c r="G113" s="434">
        <v>99.4</v>
      </c>
    </row>
    <row r="114" spans="1:7" x14ac:dyDescent="0.3">
      <c r="A114" s="454">
        <v>3</v>
      </c>
      <c r="B114" s="434"/>
      <c r="C114" s="434"/>
      <c r="D114" s="434"/>
      <c r="E114" s="434">
        <v>53</v>
      </c>
      <c r="F114" s="434">
        <v>63.9</v>
      </c>
      <c r="G114" s="434">
        <v>103.5</v>
      </c>
    </row>
    <row r="115" spans="1:7" x14ac:dyDescent="0.3">
      <c r="A115" s="454">
        <v>4</v>
      </c>
      <c r="B115" s="434"/>
      <c r="C115" s="434"/>
      <c r="D115" s="434"/>
      <c r="E115" s="434"/>
      <c r="F115" s="434">
        <v>66.2</v>
      </c>
      <c r="G115" s="434">
        <v>107.9</v>
      </c>
    </row>
    <row r="116" spans="1:7" x14ac:dyDescent="0.3">
      <c r="A116" s="454">
        <v>5</v>
      </c>
      <c r="B116" s="434"/>
      <c r="C116" s="434"/>
      <c r="D116" s="434"/>
      <c r="E116" s="434"/>
      <c r="F116" s="434">
        <v>66.900000000000006</v>
      </c>
      <c r="G116" s="434">
        <v>116.9</v>
      </c>
    </row>
    <row r="117" spans="1:7" x14ac:dyDescent="0.3">
      <c r="A117" s="670" t="s">
        <v>361</v>
      </c>
      <c r="B117" s="670"/>
      <c r="C117" s="670"/>
      <c r="D117" s="663"/>
      <c r="E117" s="670"/>
      <c r="F117" s="670"/>
      <c r="G117" s="670"/>
    </row>
    <row r="118" spans="1:7" x14ac:dyDescent="0.3">
      <c r="A118" s="396"/>
      <c r="B118" s="674" t="s">
        <v>364</v>
      </c>
      <c r="C118" s="674"/>
      <c r="D118" s="674"/>
      <c r="E118" s="674" t="s">
        <v>365</v>
      </c>
      <c r="F118" s="674"/>
      <c r="G118" s="674"/>
    </row>
    <row r="119" spans="1:7" x14ac:dyDescent="0.3">
      <c r="A119" s="454" t="s">
        <v>366</v>
      </c>
      <c r="B119" s="433" t="s">
        <v>344</v>
      </c>
      <c r="C119" s="433" t="s">
        <v>345</v>
      </c>
      <c r="D119" s="433" t="s">
        <v>367</v>
      </c>
      <c r="E119" s="433" t="s">
        <v>368</v>
      </c>
      <c r="F119" s="433" t="s">
        <v>369</v>
      </c>
      <c r="G119" s="433" t="s">
        <v>370</v>
      </c>
    </row>
    <row r="120" spans="1:7" x14ac:dyDescent="0.3">
      <c r="A120" s="454">
        <v>1</v>
      </c>
      <c r="B120" s="434">
        <v>25.4</v>
      </c>
      <c r="C120" s="434">
        <v>46.7</v>
      </c>
      <c r="D120" s="434">
        <v>87</v>
      </c>
      <c r="E120" s="434">
        <v>43.6</v>
      </c>
      <c r="F120" s="434">
        <v>69.900000000000006</v>
      </c>
      <c r="G120" s="434">
        <v>82.4</v>
      </c>
    </row>
    <row r="121" spans="1:7" x14ac:dyDescent="0.3">
      <c r="A121" s="454">
        <v>2</v>
      </c>
      <c r="B121" s="434">
        <v>23.8</v>
      </c>
      <c r="C121" s="434">
        <v>36.799999999999997</v>
      </c>
      <c r="D121" s="434">
        <v>79.3</v>
      </c>
      <c r="E121" s="434">
        <v>48</v>
      </c>
      <c r="F121" s="434">
        <v>70.099999999999994</v>
      </c>
      <c r="G121" s="434">
        <v>80.7</v>
      </c>
    </row>
    <row r="122" spans="1:7" x14ac:dyDescent="0.3">
      <c r="A122" s="454">
        <v>3</v>
      </c>
      <c r="B122" s="434">
        <v>28.2</v>
      </c>
      <c r="C122" s="434">
        <v>39.799999999999997</v>
      </c>
      <c r="D122" s="434">
        <v>74.099999999999994</v>
      </c>
      <c r="E122" s="434">
        <v>29</v>
      </c>
      <c r="F122" s="434">
        <v>62.7</v>
      </c>
      <c r="G122" s="434">
        <v>91.8</v>
      </c>
    </row>
    <row r="123" spans="1:7" x14ac:dyDescent="0.3">
      <c r="A123" s="454">
        <v>4</v>
      </c>
      <c r="B123" s="434">
        <v>27.1</v>
      </c>
      <c r="C123" s="434">
        <v>63.6</v>
      </c>
      <c r="D123" s="434">
        <v>74.400000000000006</v>
      </c>
      <c r="E123" s="434"/>
      <c r="F123" s="434">
        <v>65.5</v>
      </c>
      <c r="G123" s="434">
        <v>113.4</v>
      </c>
    </row>
    <row r="124" spans="1:7" x14ac:dyDescent="0.3">
      <c r="A124" s="454">
        <v>5</v>
      </c>
      <c r="B124" s="434">
        <v>31.2</v>
      </c>
      <c r="C124" s="434">
        <v>49.2</v>
      </c>
      <c r="D124" s="434">
        <v>73.3</v>
      </c>
      <c r="E124" s="434"/>
      <c r="F124" s="434">
        <v>61.1</v>
      </c>
      <c r="G124" s="434">
        <v>95</v>
      </c>
    </row>
    <row r="125" spans="1:7" x14ac:dyDescent="0.3">
      <c r="A125" s="454">
        <v>6</v>
      </c>
      <c r="B125" s="434">
        <v>23.1</v>
      </c>
      <c r="C125" s="434">
        <v>38.299999999999997</v>
      </c>
      <c r="D125" s="434">
        <v>80.8</v>
      </c>
      <c r="E125" s="434"/>
      <c r="F125" s="434"/>
      <c r="G125" s="434">
        <v>89.4</v>
      </c>
    </row>
    <row r="126" spans="1:7" x14ac:dyDescent="0.3">
      <c r="A126" s="454">
        <v>7</v>
      </c>
      <c r="B126" s="434">
        <v>17</v>
      </c>
      <c r="C126" s="434">
        <v>56.7</v>
      </c>
      <c r="D126" s="434">
        <v>78</v>
      </c>
      <c r="E126" s="434"/>
      <c r="F126" s="434"/>
      <c r="G126" s="434"/>
    </row>
    <row r="127" spans="1:7" x14ac:dyDescent="0.3">
      <c r="A127" s="454">
        <v>8</v>
      </c>
      <c r="B127" s="434"/>
      <c r="C127" s="434">
        <v>65.099999999999994</v>
      </c>
      <c r="D127" s="434">
        <v>99.6</v>
      </c>
      <c r="E127" s="434"/>
      <c r="F127" s="434"/>
      <c r="G127" s="434"/>
    </row>
    <row r="128" spans="1:7" x14ac:dyDescent="0.3">
      <c r="A128" s="454">
        <v>9</v>
      </c>
      <c r="B128" s="434"/>
      <c r="C128" s="434">
        <v>61</v>
      </c>
      <c r="D128" s="434"/>
      <c r="E128" s="434"/>
      <c r="F128" s="434"/>
      <c r="G128" s="434"/>
    </row>
    <row r="129" spans="1:7" x14ac:dyDescent="0.3">
      <c r="A129" s="670" t="s">
        <v>362</v>
      </c>
      <c r="B129" s="670"/>
      <c r="C129" s="670"/>
      <c r="D129" s="663"/>
      <c r="E129" s="670"/>
      <c r="F129" s="670"/>
      <c r="G129" s="670"/>
    </row>
    <row r="130" spans="1:7" x14ac:dyDescent="0.3">
      <c r="A130" s="396"/>
      <c r="B130" s="674" t="s">
        <v>364</v>
      </c>
      <c r="C130" s="674"/>
      <c r="D130" s="674"/>
      <c r="E130" s="674" t="s">
        <v>365</v>
      </c>
      <c r="F130" s="674"/>
      <c r="G130" s="674"/>
    </row>
    <row r="131" spans="1:7" x14ac:dyDescent="0.3">
      <c r="A131" s="454" t="s">
        <v>366</v>
      </c>
      <c r="B131" s="433" t="s">
        <v>344</v>
      </c>
      <c r="C131" s="433" t="s">
        <v>345</v>
      </c>
      <c r="D131" s="433" t="s">
        <v>367</v>
      </c>
      <c r="E131" s="433" t="s">
        <v>368</v>
      </c>
      <c r="F131" s="433" t="s">
        <v>369</v>
      </c>
      <c r="G131" s="433" t="s">
        <v>370</v>
      </c>
    </row>
    <row r="132" spans="1:7" x14ac:dyDescent="0.3">
      <c r="A132" s="454">
        <v>1</v>
      </c>
      <c r="B132" s="434">
        <v>0</v>
      </c>
      <c r="C132" s="434">
        <v>0</v>
      </c>
      <c r="D132" s="434">
        <v>0</v>
      </c>
      <c r="E132" s="434">
        <v>27.1</v>
      </c>
      <c r="F132" s="434">
        <v>79.8</v>
      </c>
      <c r="G132" s="434">
        <v>109.4</v>
      </c>
    </row>
    <row r="133" spans="1:7" x14ac:dyDescent="0.3">
      <c r="A133" s="454">
        <v>2</v>
      </c>
      <c r="B133" s="434"/>
      <c r="C133" s="434"/>
      <c r="D133" s="434"/>
      <c r="E133" s="434">
        <v>59.8</v>
      </c>
      <c r="F133" s="434">
        <v>70.2</v>
      </c>
      <c r="G133" s="434">
        <v>117.5</v>
      </c>
    </row>
    <row r="134" spans="1:7" x14ac:dyDescent="0.3">
      <c r="A134" s="454">
        <v>3</v>
      </c>
      <c r="B134" s="434"/>
      <c r="C134" s="434"/>
      <c r="D134" s="434"/>
      <c r="E134" s="434">
        <v>48.9</v>
      </c>
      <c r="F134" s="434">
        <v>64.099999999999994</v>
      </c>
      <c r="G134" s="434">
        <v>108</v>
      </c>
    </row>
    <row r="135" spans="1:7" x14ac:dyDescent="0.3">
      <c r="A135" s="454">
        <v>4</v>
      </c>
      <c r="B135" s="434"/>
      <c r="C135" s="434"/>
      <c r="D135" s="434"/>
      <c r="E135" s="434">
        <v>59.6</v>
      </c>
      <c r="F135" s="434">
        <v>70</v>
      </c>
      <c r="G135" s="434">
        <v>112.5</v>
      </c>
    </row>
    <row r="136" spans="1:7" x14ac:dyDescent="0.3">
      <c r="A136" s="454">
        <v>5</v>
      </c>
      <c r="B136" s="434"/>
      <c r="C136" s="434"/>
      <c r="D136" s="434"/>
      <c r="E136" s="434"/>
      <c r="F136" s="434">
        <v>78.099999999999994</v>
      </c>
      <c r="G136" s="434">
        <v>84.3</v>
      </c>
    </row>
    <row r="137" spans="1:7" x14ac:dyDescent="0.3">
      <c r="A137" s="442"/>
      <c r="B137" s="443"/>
      <c r="C137" s="443"/>
      <c r="D137" s="443"/>
      <c r="E137" s="443"/>
      <c r="F137" s="443"/>
      <c r="G137" s="443"/>
    </row>
    <row r="138" spans="1:7" x14ac:dyDescent="0.3">
      <c r="A138" s="442"/>
      <c r="B138" s="443"/>
      <c r="C138" s="443"/>
      <c r="D138" s="443"/>
      <c r="E138" s="441"/>
      <c r="F138" s="443"/>
      <c r="G138" s="443"/>
    </row>
    <row r="139" spans="1:7" x14ac:dyDescent="0.3">
      <c r="A139" s="442"/>
      <c r="B139" s="443"/>
      <c r="C139" s="443"/>
      <c r="D139" s="443"/>
      <c r="E139" s="441"/>
      <c r="F139" s="441"/>
      <c r="G139" s="443"/>
    </row>
    <row r="140" spans="1:7" x14ac:dyDescent="0.3">
      <c r="A140" s="442"/>
      <c r="B140" s="443"/>
      <c r="C140" s="443"/>
      <c r="D140" s="443"/>
      <c r="E140" s="441"/>
      <c r="F140" s="441"/>
      <c r="G140" s="441"/>
    </row>
    <row r="141" spans="1:7" x14ac:dyDescent="0.3">
      <c r="A141" s="668" t="s">
        <v>160</v>
      </c>
      <c r="B141" s="666" t="s">
        <v>161</v>
      </c>
      <c r="C141" s="667"/>
      <c r="D141" s="666" t="s">
        <v>162</v>
      </c>
      <c r="E141" s="667"/>
      <c r="F141" s="666" t="s">
        <v>163</v>
      </c>
      <c r="G141" s="667"/>
    </row>
    <row r="142" spans="1:7" x14ac:dyDescent="0.3">
      <c r="A142" s="669"/>
      <c r="B142" s="432" t="s">
        <v>164</v>
      </c>
      <c r="C142" s="432" t="s">
        <v>165</v>
      </c>
      <c r="D142" s="432" t="s">
        <v>164</v>
      </c>
      <c r="E142" s="432" t="s">
        <v>165</v>
      </c>
      <c r="F142" s="432" t="s">
        <v>164</v>
      </c>
      <c r="G142" s="432" t="s">
        <v>165</v>
      </c>
    </row>
    <row r="143" spans="1:7" x14ac:dyDescent="0.3">
      <c r="A143" s="433" t="s">
        <v>353</v>
      </c>
      <c r="B143" s="435">
        <f>ROUNDDOWN(AVERAGE(B6:D11),1)</f>
        <v>0</v>
      </c>
      <c r="C143" s="435">
        <f>ROUNDDOWN(AVERAGE(E6:G11),1)</f>
        <v>79.900000000000006</v>
      </c>
      <c r="D143" s="432">
        <v>0</v>
      </c>
      <c r="E143" s="432">
        <v>5581</v>
      </c>
      <c r="F143" s="432">
        <f>B143*D143</f>
        <v>0</v>
      </c>
      <c r="G143" s="432">
        <f>C143*E143</f>
        <v>445921.9</v>
      </c>
    </row>
    <row r="144" spans="1:7" x14ac:dyDescent="0.3">
      <c r="A144" s="433" t="s">
        <v>354</v>
      </c>
      <c r="B144" s="435">
        <f>ROUNDDOWN(AVERAGE(B15:D20),1)</f>
        <v>0</v>
      </c>
      <c r="C144" s="435">
        <f>ROUNDDOWN(AVERAGE(E15:G20),1)</f>
        <v>72.8</v>
      </c>
      <c r="D144" s="432">
        <v>0</v>
      </c>
      <c r="E144" s="432">
        <v>7002</v>
      </c>
      <c r="F144" s="432">
        <f t="shared" ref="F144:G152" si="0">B144*D144</f>
        <v>0</v>
      </c>
      <c r="G144" s="432">
        <f t="shared" si="0"/>
        <v>509745.6</v>
      </c>
    </row>
    <row r="145" spans="1:7" x14ac:dyDescent="0.3">
      <c r="A145" s="433" t="s">
        <v>355</v>
      </c>
      <c r="B145" s="435">
        <f>ROUNDDOWN(AVERAGE(B24:D38),1)</f>
        <v>55.4</v>
      </c>
      <c r="C145" s="435">
        <f>ROUNDDOWN(AVERAGE(E24:G38),1)</f>
        <v>78.7</v>
      </c>
      <c r="D145" s="432">
        <v>16871</v>
      </c>
      <c r="E145" s="432">
        <v>13840</v>
      </c>
      <c r="F145" s="432">
        <f t="shared" si="0"/>
        <v>934653.4</v>
      </c>
      <c r="G145" s="432">
        <f t="shared" si="0"/>
        <v>1089208</v>
      </c>
    </row>
    <row r="146" spans="1:7" x14ac:dyDescent="0.3">
      <c r="A146" s="433" t="s">
        <v>356</v>
      </c>
      <c r="B146" s="435">
        <f>ROUNDDOWN(AVERAGE(B42:D56),1)</f>
        <v>54.5</v>
      </c>
      <c r="C146" s="435">
        <f>ROUNDDOWN(AVERAGE(E42:G56),1)</f>
        <v>77.8</v>
      </c>
      <c r="D146" s="432">
        <v>16520</v>
      </c>
      <c r="E146" s="432">
        <v>15143</v>
      </c>
      <c r="F146" s="432">
        <f t="shared" si="0"/>
        <v>900340</v>
      </c>
      <c r="G146" s="432">
        <f t="shared" si="0"/>
        <v>1178125.3999999999</v>
      </c>
    </row>
    <row r="147" spans="1:7" x14ac:dyDescent="0.3">
      <c r="A147" s="433" t="s">
        <v>357</v>
      </c>
      <c r="B147" s="435">
        <f>ROUNDDOWN(AVERAGE(B60:D68),1)</f>
        <v>56.3</v>
      </c>
      <c r="C147" s="435">
        <f>ROUNDDOWN(AVERAGE(E60:G68),1)</f>
        <v>78.8</v>
      </c>
      <c r="D147" s="432">
        <v>10059</v>
      </c>
      <c r="E147" s="432">
        <v>6440</v>
      </c>
      <c r="F147" s="432">
        <f t="shared" si="0"/>
        <v>566321.69999999995</v>
      </c>
      <c r="G147" s="432">
        <f t="shared" si="0"/>
        <v>507472</v>
      </c>
    </row>
    <row r="148" spans="1:7" x14ac:dyDescent="0.3">
      <c r="A148" s="433" t="s">
        <v>358</v>
      </c>
      <c r="B148" s="435">
        <f>ROUNDDOWN(AVERAGE(B72:D90),1)</f>
        <v>57.6</v>
      </c>
      <c r="C148" s="435">
        <f>ROUNDDOWN(AVERAGE(E72:G90),1)</f>
        <v>74.2</v>
      </c>
      <c r="D148" s="432">
        <v>20494</v>
      </c>
      <c r="E148" s="432">
        <v>19314</v>
      </c>
      <c r="F148" s="432">
        <f t="shared" si="0"/>
        <v>1180454.4000000001</v>
      </c>
      <c r="G148" s="432">
        <f t="shared" si="0"/>
        <v>1433098.8</v>
      </c>
    </row>
    <row r="149" spans="1:7" x14ac:dyDescent="0.3">
      <c r="A149" s="433" t="s">
        <v>359</v>
      </c>
      <c r="B149" s="435">
        <f>ROUNDDOWN(AVERAGE(B94:D108),1)</f>
        <v>56.2</v>
      </c>
      <c r="C149" s="435">
        <f>ROUNDDOWN(AVERAGE(E94:G108),1)</f>
        <v>74.2</v>
      </c>
      <c r="D149" s="432">
        <v>16458</v>
      </c>
      <c r="E149" s="432">
        <v>13963</v>
      </c>
      <c r="F149" s="432">
        <f t="shared" si="0"/>
        <v>924939.60000000009</v>
      </c>
      <c r="G149" s="432">
        <f t="shared" si="0"/>
        <v>1036054.6000000001</v>
      </c>
    </row>
    <row r="150" spans="1:7" x14ac:dyDescent="0.3">
      <c r="A150" s="433" t="s">
        <v>360</v>
      </c>
      <c r="B150" s="435">
        <f>ROUNDDOWN(AVERAGE(B112:D116),1)</f>
        <v>0</v>
      </c>
      <c r="C150" s="435">
        <f>ROUNDDOWN(AVERAGE(E112:G116),1)</f>
        <v>77.400000000000006</v>
      </c>
      <c r="D150" s="432">
        <v>0</v>
      </c>
      <c r="E150" s="432">
        <v>5002</v>
      </c>
      <c r="F150" s="432">
        <f t="shared" si="0"/>
        <v>0</v>
      </c>
      <c r="G150" s="432">
        <f t="shared" si="0"/>
        <v>387154.80000000005</v>
      </c>
    </row>
    <row r="151" spans="1:7" x14ac:dyDescent="0.3">
      <c r="A151" s="433" t="s">
        <v>361</v>
      </c>
      <c r="B151" s="435">
        <f>ROUNDDOWN(AVERAGE(B120:D128),1)</f>
        <v>53.3</v>
      </c>
      <c r="C151" s="435">
        <f>ROUNDDOWN(AVERAGE(E120:G128),1)</f>
        <v>71.599999999999994</v>
      </c>
      <c r="D151" s="432">
        <v>9275</v>
      </c>
      <c r="E151" s="432">
        <v>5955</v>
      </c>
      <c r="F151" s="432">
        <f t="shared" si="0"/>
        <v>494357.5</v>
      </c>
      <c r="G151" s="432">
        <f t="shared" si="0"/>
        <v>426377.99999999994</v>
      </c>
    </row>
    <row r="152" spans="1:7" x14ac:dyDescent="0.3">
      <c r="A152" s="433" t="s">
        <v>362</v>
      </c>
      <c r="B152" s="435">
        <f>ROUNDDOWN(AVERAGE(B132:D136),1)</f>
        <v>0</v>
      </c>
      <c r="C152" s="435">
        <f>ROUNDDOWN(AVERAGE(E132:G136),1)</f>
        <v>77.8</v>
      </c>
      <c r="D152" s="432">
        <v>0</v>
      </c>
      <c r="E152" s="432">
        <v>5992</v>
      </c>
      <c r="F152" s="432">
        <f t="shared" si="0"/>
        <v>0</v>
      </c>
      <c r="G152" s="432">
        <f t="shared" si="0"/>
        <v>466177.6</v>
      </c>
    </row>
    <row r="153" spans="1:7" x14ac:dyDescent="0.3">
      <c r="A153" s="433" t="s">
        <v>166</v>
      </c>
      <c r="B153" s="433"/>
      <c r="C153" s="433"/>
      <c r="D153" s="432">
        <f>SUM(D143:D152)</f>
        <v>89677</v>
      </c>
      <c r="E153" s="432">
        <f>SUM(E143:E152)</f>
        <v>98232</v>
      </c>
      <c r="F153" s="432">
        <f>SUM(F143:F152)</f>
        <v>5001066.5999999996</v>
      </c>
      <c r="G153" s="432">
        <f>SUM(G143:G152)</f>
        <v>7479336.7000000002</v>
      </c>
    </row>
    <row r="154" spans="1:7" x14ac:dyDescent="0.3">
      <c r="A154" s="441"/>
      <c r="B154" s="441"/>
      <c r="C154" s="441"/>
      <c r="D154" s="442"/>
      <c r="E154" s="442"/>
      <c r="F154" s="442"/>
      <c r="G154" s="442"/>
    </row>
    <row r="156" spans="1:7" x14ac:dyDescent="0.3">
      <c r="C156" s="666" t="s">
        <v>167</v>
      </c>
      <c r="D156" s="667"/>
    </row>
    <row r="157" spans="1:7" x14ac:dyDescent="0.3">
      <c r="C157" s="432" t="s">
        <v>164</v>
      </c>
      <c r="D157" s="432" t="s">
        <v>165</v>
      </c>
    </row>
    <row r="158" spans="1:7" x14ac:dyDescent="0.3">
      <c r="C158" s="436">
        <f>ROUNDDOWN(F153/D153,1)</f>
        <v>55.7</v>
      </c>
      <c r="D158" s="437">
        <f>ROUNDDOWN(G153/E153,1)</f>
        <v>76.099999999999994</v>
      </c>
    </row>
  </sheetData>
  <mergeCells count="37">
    <mergeCell ref="C156:D156"/>
    <mergeCell ref="B130:D130"/>
    <mergeCell ref="E130:G130"/>
    <mergeCell ref="A141:A142"/>
    <mergeCell ref="B141:C141"/>
    <mergeCell ref="D141:E141"/>
    <mergeCell ref="F141:G141"/>
    <mergeCell ref="A129:G129"/>
    <mergeCell ref="B70:D70"/>
    <mergeCell ref="E70:G70"/>
    <mergeCell ref="A91:G91"/>
    <mergeCell ref="B92:D92"/>
    <mergeCell ref="E92:G92"/>
    <mergeCell ref="A109:G109"/>
    <mergeCell ref="B110:D110"/>
    <mergeCell ref="E110:G110"/>
    <mergeCell ref="A117:G117"/>
    <mergeCell ref="B118:D118"/>
    <mergeCell ref="E118:G118"/>
    <mergeCell ref="A69:G69"/>
    <mergeCell ref="B13:D13"/>
    <mergeCell ref="E13:G13"/>
    <mergeCell ref="A21:G21"/>
    <mergeCell ref="B22:D22"/>
    <mergeCell ref="E22:G22"/>
    <mergeCell ref="A39:G39"/>
    <mergeCell ref="B40:D40"/>
    <mergeCell ref="E40:G40"/>
    <mergeCell ref="A57:G57"/>
    <mergeCell ref="B58:D58"/>
    <mergeCell ref="E58:G58"/>
    <mergeCell ref="A12:G12"/>
    <mergeCell ref="A1:G1"/>
    <mergeCell ref="A2:G2"/>
    <mergeCell ref="A3:G3"/>
    <mergeCell ref="B4:D4"/>
    <mergeCell ref="E4:G4"/>
  </mergeCells>
  <phoneticPr fontId="11" type="noConversion"/>
  <pageMargins left="0.7" right="0.7" top="0.75" bottom="0.75" header="0.3" footer="0.3"/>
  <pageSetup paperSize="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43646-A27A-4D68-8190-667FADF4989A}">
  <dimension ref="A1:I158"/>
  <sheetViews>
    <sheetView zoomScale="80" zoomScaleNormal="80" workbookViewId="0">
      <selection activeCell="E160" sqref="E160"/>
    </sheetView>
  </sheetViews>
  <sheetFormatPr defaultColWidth="8.7265625" defaultRowHeight="14" x14ac:dyDescent="0.3"/>
  <cols>
    <col min="1" max="1" width="22.453125" style="395" customWidth="1"/>
    <col min="2" max="2" width="16.26953125" style="395" bestFit="1" customWidth="1"/>
    <col min="3" max="3" width="22.90625" style="395" bestFit="1" customWidth="1"/>
    <col min="4" max="4" width="22.6328125" style="395" bestFit="1" customWidth="1"/>
    <col min="5" max="5" width="21.453125" style="395" bestFit="1" customWidth="1"/>
    <col min="6" max="6" width="23.453125" style="395" bestFit="1" customWidth="1"/>
    <col min="7" max="7" width="23.08984375" style="395" bestFit="1" customWidth="1"/>
    <col min="8" max="8" width="14.81640625" style="395" customWidth="1"/>
    <col min="9" max="16384" width="8.7265625" style="395"/>
  </cols>
  <sheetData>
    <row r="1" spans="1:9" x14ac:dyDescent="0.3">
      <c r="A1" s="657" t="s">
        <v>322</v>
      </c>
      <c r="B1" s="658"/>
      <c r="C1" s="658"/>
      <c r="D1" s="658"/>
      <c r="E1" s="658"/>
      <c r="F1" s="658"/>
      <c r="G1" s="659"/>
    </row>
    <row r="2" spans="1:9" ht="33" customHeight="1" x14ac:dyDescent="0.3">
      <c r="A2" s="660" t="s">
        <v>379</v>
      </c>
      <c r="B2" s="661"/>
      <c r="C2" s="661"/>
      <c r="D2" s="661"/>
      <c r="E2" s="661"/>
      <c r="F2" s="661"/>
      <c r="G2" s="662"/>
    </row>
    <row r="3" spans="1:9" x14ac:dyDescent="0.3">
      <c r="A3" s="663" t="s">
        <v>353</v>
      </c>
      <c r="B3" s="663"/>
      <c r="C3" s="663"/>
      <c r="D3" s="663"/>
      <c r="E3" s="663"/>
      <c r="F3" s="663"/>
      <c r="G3" s="663"/>
    </row>
    <row r="4" spans="1:9" x14ac:dyDescent="0.3">
      <c r="A4" s="396"/>
      <c r="B4" s="674" t="s">
        <v>364</v>
      </c>
      <c r="C4" s="674"/>
      <c r="D4" s="674"/>
      <c r="E4" s="674" t="s">
        <v>365</v>
      </c>
      <c r="F4" s="674"/>
      <c r="G4" s="674"/>
    </row>
    <row r="5" spans="1:9" x14ac:dyDescent="0.3">
      <c r="A5" s="454" t="s">
        <v>366</v>
      </c>
      <c r="B5" s="433" t="s">
        <v>344</v>
      </c>
      <c r="C5" s="433" t="s">
        <v>345</v>
      </c>
      <c r="D5" s="433" t="s">
        <v>367</v>
      </c>
      <c r="E5" s="433" t="s">
        <v>368</v>
      </c>
      <c r="F5" s="433" t="s">
        <v>369</v>
      </c>
      <c r="G5" s="433" t="s">
        <v>370</v>
      </c>
      <c r="H5" s="440"/>
      <c r="I5" s="441"/>
    </row>
    <row r="6" spans="1:9" x14ac:dyDescent="0.3">
      <c r="A6" s="454">
        <v>1</v>
      </c>
      <c r="B6" s="434">
        <v>0</v>
      </c>
      <c r="C6" s="434">
        <v>0</v>
      </c>
      <c r="D6" s="434">
        <v>0</v>
      </c>
      <c r="E6" s="434">
        <v>53</v>
      </c>
      <c r="F6" s="434">
        <v>61.6</v>
      </c>
      <c r="G6" s="434">
        <v>117.6</v>
      </c>
    </row>
    <row r="7" spans="1:9" x14ac:dyDescent="0.3">
      <c r="A7" s="454">
        <v>2</v>
      </c>
      <c r="B7" s="434"/>
      <c r="C7" s="434"/>
      <c r="D7" s="434"/>
      <c r="E7" s="434">
        <v>58.1</v>
      </c>
      <c r="F7" s="434">
        <v>78.2</v>
      </c>
      <c r="G7" s="434">
        <v>82.4</v>
      </c>
    </row>
    <row r="8" spans="1:9" x14ac:dyDescent="0.3">
      <c r="A8" s="454">
        <v>3</v>
      </c>
      <c r="B8" s="434"/>
      <c r="C8" s="434"/>
      <c r="D8" s="434"/>
      <c r="E8" s="434">
        <v>38.9</v>
      </c>
      <c r="F8" s="434">
        <v>71</v>
      </c>
      <c r="G8" s="434">
        <v>98.3</v>
      </c>
    </row>
    <row r="9" spans="1:9" x14ac:dyDescent="0.3">
      <c r="A9" s="454">
        <v>4</v>
      </c>
      <c r="B9" s="434"/>
      <c r="C9" s="434"/>
      <c r="D9" s="434"/>
      <c r="E9" s="434"/>
      <c r="F9" s="434">
        <v>70.900000000000006</v>
      </c>
      <c r="G9" s="434">
        <v>96</v>
      </c>
    </row>
    <row r="10" spans="1:9" x14ac:dyDescent="0.3">
      <c r="A10" s="454">
        <v>5</v>
      </c>
      <c r="B10" s="434"/>
      <c r="C10" s="434"/>
      <c r="D10" s="434"/>
      <c r="E10" s="434"/>
      <c r="F10" s="434">
        <v>60.4</v>
      </c>
      <c r="G10" s="434">
        <v>107.2</v>
      </c>
    </row>
    <row r="11" spans="1:9" x14ac:dyDescent="0.3">
      <c r="A11" s="454">
        <v>6</v>
      </c>
      <c r="B11" s="434"/>
      <c r="C11" s="434"/>
      <c r="D11" s="434"/>
      <c r="E11" s="434"/>
      <c r="F11" s="434"/>
      <c r="G11" s="434">
        <v>80.099999999999994</v>
      </c>
    </row>
    <row r="12" spans="1:9" x14ac:dyDescent="0.3">
      <c r="A12" s="670" t="s">
        <v>354</v>
      </c>
      <c r="B12" s="670"/>
      <c r="C12" s="670"/>
      <c r="D12" s="670"/>
      <c r="E12" s="670"/>
      <c r="F12" s="670"/>
      <c r="G12" s="670"/>
    </row>
    <row r="13" spans="1:9" x14ac:dyDescent="0.3">
      <c r="A13" s="396"/>
      <c r="B13" s="674" t="s">
        <v>364</v>
      </c>
      <c r="C13" s="674"/>
      <c r="D13" s="674"/>
      <c r="E13" s="674" t="s">
        <v>365</v>
      </c>
      <c r="F13" s="674"/>
      <c r="G13" s="674"/>
    </row>
    <row r="14" spans="1:9" x14ac:dyDescent="0.3">
      <c r="A14" s="454" t="s">
        <v>366</v>
      </c>
      <c r="B14" s="433" t="s">
        <v>344</v>
      </c>
      <c r="C14" s="433" t="s">
        <v>345</v>
      </c>
      <c r="D14" s="433" t="s">
        <v>367</v>
      </c>
      <c r="E14" s="433" t="s">
        <v>368</v>
      </c>
      <c r="F14" s="433" t="s">
        <v>369</v>
      </c>
      <c r="G14" s="433" t="s">
        <v>370</v>
      </c>
    </row>
    <row r="15" spans="1:9" x14ac:dyDescent="0.3">
      <c r="A15" s="454">
        <v>1</v>
      </c>
      <c r="B15" s="434">
        <v>0</v>
      </c>
      <c r="C15" s="434">
        <v>0</v>
      </c>
      <c r="D15" s="434">
        <v>0</v>
      </c>
      <c r="E15" s="434">
        <v>27.4</v>
      </c>
      <c r="F15" s="434">
        <v>76.7</v>
      </c>
      <c r="G15" s="434">
        <v>114.6</v>
      </c>
    </row>
    <row r="16" spans="1:9" x14ac:dyDescent="0.3">
      <c r="A16" s="454">
        <v>2</v>
      </c>
      <c r="B16" s="434"/>
      <c r="C16" s="434"/>
      <c r="D16" s="434"/>
      <c r="E16" s="434">
        <v>57.4</v>
      </c>
      <c r="F16" s="434">
        <v>68.5</v>
      </c>
      <c r="G16" s="434">
        <v>102.7</v>
      </c>
    </row>
    <row r="17" spans="1:7" x14ac:dyDescent="0.3">
      <c r="A17" s="454">
        <v>3</v>
      </c>
      <c r="B17" s="434"/>
      <c r="C17" s="434"/>
      <c r="D17" s="434"/>
      <c r="E17" s="434">
        <v>26.9</v>
      </c>
      <c r="F17" s="434">
        <v>69</v>
      </c>
      <c r="G17" s="434">
        <v>81.099999999999994</v>
      </c>
    </row>
    <row r="18" spans="1:7" x14ac:dyDescent="0.3">
      <c r="A18" s="454">
        <v>4</v>
      </c>
      <c r="B18" s="434"/>
      <c r="C18" s="434"/>
      <c r="D18" s="434"/>
      <c r="E18" s="434">
        <v>35.4</v>
      </c>
      <c r="F18" s="434">
        <v>64.5</v>
      </c>
      <c r="G18" s="434">
        <v>107</v>
      </c>
    </row>
    <row r="19" spans="1:7" x14ac:dyDescent="0.3">
      <c r="A19" s="454">
        <v>5</v>
      </c>
      <c r="B19" s="434"/>
      <c r="C19" s="434"/>
      <c r="D19" s="434"/>
      <c r="E19" s="434"/>
      <c r="F19" s="434">
        <v>62.7</v>
      </c>
      <c r="G19" s="434">
        <v>119.4</v>
      </c>
    </row>
    <row r="20" spans="1:7" x14ac:dyDescent="0.3">
      <c r="A20" s="454">
        <v>6</v>
      </c>
      <c r="B20" s="434"/>
      <c r="C20" s="434"/>
      <c r="D20" s="434"/>
      <c r="E20" s="434"/>
      <c r="F20" s="434">
        <v>72.5</v>
      </c>
      <c r="G20" s="434">
        <v>104.5</v>
      </c>
    </row>
    <row r="21" spans="1:7" x14ac:dyDescent="0.3">
      <c r="A21" s="663" t="s">
        <v>355</v>
      </c>
      <c r="B21" s="663"/>
      <c r="C21" s="663"/>
      <c r="D21" s="663"/>
      <c r="E21" s="663"/>
      <c r="F21" s="663"/>
      <c r="G21" s="663"/>
    </row>
    <row r="22" spans="1:7" x14ac:dyDescent="0.3">
      <c r="A22" s="396"/>
      <c r="B22" s="674" t="s">
        <v>364</v>
      </c>
      <c r="C22" s="674"/>
      <c r="D22" s="674"/>
      <c r="E22" s="674" t="s">
        <v>365</v>
      </c>
      <c r="F22" s="674"/>
      <c r="G22" s="674"/>
    </row>
    <row r="23" spans="1:7" x14ac:dyDescent="0.3">
      <c r="A23" s="454" t="s">
        <v>366</v>
      </c>
      <c r="B23" s="433" t="s">
        <v>344</v>
      </c>
      <c r="C23" s="433" t="s">
        <v>345</v>
      </c>
      <c r="D23" s="433" t="s">
        <v>367</v>
      </c>
      <c r="E23" s="433" t="s">
        <v>368</v>
      </c>
      <c r="F23" s="433" t="s">
        <v>369</v>
      </c>
      <c r="G23" s="433" t="s">
        <v>370</v>
      </c>
    </row>
    <row r="24" spans="1:7" x14ac:dyDescent="0.3">
      <c r="A24" s="454">
        <v>1</v>
      </c>
      <c r="B24" s="434">
        <v>33.9</v>
      </c>
      <c r="C24" s="434">
        <v>50.2</v>
      </c>
      <c r="D24" s="434">
        <v>81.099999999999994</v>
      </c>
      <c r="E24" s="434">
        <v>58.2</v>
      </c>
      <c r="F24" s="434">
        <v>75.5</v>
      </c>
      <c r="G24" s="434">
        <v>84.2</v>
      </c>
    </row>
    <row r="25" spans="1:7" x14ac:dyDescent="0.3">
      <c r="A25" s="454">
        <v>2</v>
      </c>
      <c r="B25" s="434">
        <v>21</v>
      </c>
      <c r="C25" s="434">
        <v>50.8</v>
      </c>
      <c r="D25" s="434">
        <v>89.1</v>
      </c>
      <c r="E25" s="434">
        <v>36.5</v>
      </c>
      <c r="F25" s="434">
        <v>64.900000000000006</v>
      </c>
      <c r="G25" s="434">
        <v>109.2</v>
      </c>
    </row>
    <row r="26" spans="1:7" x14ac:dyDescent="0.3">
      <c r="A26" s="454">
        <v>3</v>
      </c>
      <c r="B26" s="434">
        <v>23.5</v>
      </c>
      <c r="C26" s="434">
        <v>50.3</v>
      </c>
      <c r="D26" s="434">
        <v>68.7</v>
      </c>
      <c r="E26" s="434">
        <v>39.6</v>
      </c>
      <c r="F26" s="434">
        <v>69.400000000000006</v>
      </c>
      <c r="G26" s="434">
        <v>117.6</v>
      </c>
    </row>
    <row r="27" spans="1:7" x14ac:dyDescent="0.3">
      <c r="A27" s="454">
        <v>4</v>
      </c>
      <c r="B27" s="434">
        <v>19.3</v>
      </c>
      <c r="C27" s="434">
        <v>37.1</v>
      </c>
      <c r="D27" s="434">
        <v>97.3</v>
      </c>
      <c r="E27" s="434">
        <v>44.7</v>
      </c>
      <c r="F27" s="434">
        <v>75.5</v>
      </c>
      <c r="G27" s="434">
        <v>118.6</v>
      </c>
    </row>
    <row r="28" spans="1:7" x14ac:dyDescent="0.3">
      <c r="A28" s="454">
        <v>5</v>
      </c>
      <c r="B28" s="434">
        <v>35.9</v>
      </c>
      <c r="C28" s="434">
        <v>54</v>
      </c>
      <c r="D28" s="434">
        <v>69.5</v>
      </c>
      <c r="E28" s="434">
        <v>58.8</v>
      </c>
      <c r="F28" s="434">
        <v>67.7</v>
      </c>
      <c r="G28" s="434">
        <v>110.6</v>
      </c>
    </row>
    <row r="29" spans="1:7" x14ac:dyDescent="0.3">
      <c r="A29" s="454">
        <v>6</v>
      </c>
      <c r="B29" s="434">
        <v>18.8</v>
      </c>
      <c r="C29" s="434">
        <v>59.7</v>
      </c>
      <c r="D29" s="434">
        <v>97.7</v>
      </c>
      <c r="E29" s="434">
        <v>29.1</v>
      </c>
      <c r="F29" s="434">
        <v>73.8</v>
      </c>
      <c r="G29" s="434">
        <v>118.5</v>
      </c>
    </row>
    <row r="30" spans="1:7" x14ac:dyDescent="0.3">
      <c r="A30" s="454">
        <v>7</v>
      </c>
      <c r="B30" s="434">
        <v>23.7</v>
      </c>
      <c r="C30" s="434">
        <v>60.7</v>
      </c>
      <c r="D30" s="434">
        <v>100.6</v>
      </c>
      <c r="E30" s="434">
        <v>54.6</v>
      </c>
      <c r="F30" s="434">
        <v>72</v>
      </c>
      <c r="G30" s="434">
        <v>115.5</v>
      </c>
    </row>
    <row r="31" spans="1:7" x14ac:dyDescent="0.3">
      <c r="A31" s="454">
        <v>8</v>
      </c>
      <c r="B31" s="434">
        <v>28.4</v>
      </c>
      <c r="C31" s="434">
        <v>64.099999999999994</v>
      </c>
      <c r="D31" s="434">
        <v>96</v>
      </c>
      <c r="E31" s="434"/>
      <c r="F31" s="434">
        <v>64.599999999999994</v>
      </c>
      <c r="G31" s="434">
        <v>108.6</v>
      </c>
    </row>
    <row r="32" spans="1:7" x14ac:dyDescent="0.3">
      <c r="A32" s="454">
        <v>9</v>
      </c>
      <c r="B32" s="434">
        <v>20.9</v>
      </c>
      <c r="C32" s="434">
        <v>66.3</v>
      </c>
      <c r="D32" s="434">
        <v>102.3</v>
      </c>
      <c r="E32" s="434"/>
      <c r="F32" s="434">
        <v>62</v>
      </c>
      <c r="G32" s="434">
        <v>104.8</v>
      </c>
    </row>
    <row r="33" spans="1:7" x14ac:dyDescent="0.3">
      <c r="A33" s="454">
        <v>10</v>
      </c>
      <c r="B33" s="434">
        <v>19.3</v>
      </c>
      <c r="C33" s="434">
        <v>50.3</v>
      </c>
      <c r="D33" s="434">
        <v>93.1</v>
      </c>
      <c r="E33" s="434"/>
      <c r="F33" s="434">
        <v>60.1</v>
      </c>
      <c r="G33" s="434">
        <v>111.3</v>
      </c>
    </row>
    <row r="34" spans="1:7" x14ac:dyDescent="0.3">
      <c r="A34" s="454">
        <v>11</v>
      </c>
      <c r="B34" s="434">
        <v>29.6</v>
      </c>
      <c r="C34" s="434">
        <v>51.4</v>
      </c>
      <c r="D34" s="434">
        <v>72.3</v>
      </c>
      <c r="E34" s="434"/>
      <c r="F34" s="434">
        <v>63.9</v>
      </c>
      <c r="G34" s="434">
        <v>93.2</v>
      </c>
    </row>
    <row r="35" spans="1:7" x14ac:dyDescent="0.3">
      <c r="A35" s="454">
        <v>12</v>
      </c>
      <c r="B35" s="434">
        <v>17.899999999999999</v>
      </c>
      <c r="C35" s="434">
        <v>50.9</v>
      </c>
      <c r="D35" s="434">
        <v>90.8</v>
      </c>
      <c r="E35" s="434"/>
      <c r="F35" s="434"/>
      <c r="G35" s="434">
        <v>84.6</v>
      </c>
    </row>
    <row r="36" spans="1:7" x14ac:dyDescent="0.3">
      <c r="A36" s="454">
        <v>13</v>
      </c>
      <c r="B36" s="434">
        <v>31.6</v>
      </c>
      <c r="C36" s="434">
        <v>37.299999999999997</v>
      </c>
      <c r="D36" s="434">
        <v>73.5</v>
      </c>
      <c r="E36" s="434"/>
      <c r="F36" s="434"/>
      <c r="G36" s="434"/>
    </row>
    <row r="37" spans="1:7" x14ac:dyDescent="0.3">
      <c r="A37" s="454">
        <v>14</v>
      </c>
      <c r="B37" s="434"/>
      <c r="C37" s="434">
        <v>53.7</v>
      </c>
      <c r="D37" s="434">
        <v>70.5</v>
      </c>
      <c r="E37" s="434"/>
      <c r="F37" s="434"/>
      <c r="G37" s="434"/>
    </row>
    <row r="38" spans="1:7" x14ac:dyDescent="0.3">
      <c r="A38" s="454">
        <v>15</v>
      </c>
      <c r="B38" s="434"/>
      <c r="C38" s="434">
        <v>62.8</v>
      </c>
      <c r="D38" s="434">
        <v>90.9</v>
      </c>
      <c r="E38" s="434"/>
      <c r="F38" s="434"/>
      <c r="G38" s="434"/>
    </row>
    <row r="39" spans="1:7" x14ac:dyDescent="0.3">
      <c r="A39" s="670" t="s">
        <v>356</v>
      </c>
      <c r="B39" s="670"/>
      <c r="C39" s="670"/>
      <c r="D39" s="663"/>
      <c r="E39" s="670"/>
      <c r="F39" s="670"/>
      <c r="G39" s="670"/>
    </row>
    <row r="40" spans="1:7" x14ac:dyDescent="0.3">
      <c r="A40" s="396"/>
      <c r="B40" s="674" t="s">
        <v>364</v>
      </c>
      <c r="C40" s="674"/>
      <c r="D40" s="674"/>
      <c r="E40" s="674" t="s">
        <v>365</v>
      </c>
      <c r="F40" s="674"/>
      <c r="G40" s="674"/>
    </row>
    <row r="41" spans="1:7" x14ac:dyDescent="0.3">
      <c r="A41" s="454" t="s">
        <v>366</v>
      </c>
      <c r="B41" s="433" t="s">
        <v>344</v>
      </c>
      <c r="C41" s="433" t="s">
        <v>345</v>
      </c>
      <c r="D41" s="433" t="s">
        <v>367</v>
      </c>
      <c r="E41" s="433" t="s">
        <v>368</v>
      </c>
      <c r="F41" s="433" t="s">
        <v>369</v>
      </c>
      <c r="G41" s="433" t="s">
        <v>370</v>
      </c>
    </row>
    <row r="42" spans="1:7" x14ac:dyDescent="0.3">
      <c r="A42" s="454">
        <v>1</v>
      </c>
      <c r="B42" s="434">
        <v>31.1</v>
      </c>
      <c r="C42" s="434">
        <v>57.6</v>
      </c>
      <c r="D42" s="434">
        <v>101.8</v>
      </c>
      <c r="E42" s="434">
        <v>57.3</v>
      </c>
      <c r="F42" s="434">
        <v>62.9</v>
      </c>
      <c r="G42" s="434">
        <v>94.4</v>
      </c>
    </row>
    <row r="43" spans="1:7" x14ac:dyDescent="0.3">
      <c r="A43" s="454">
        <v>2</v>
      </c>
      <c r="B43" s="434">
        <v>33.6</v>
      </c>
      <c r="C43" s="434">
        <v>49.2</v>
      </c>
      <c r="D43" s="434">
        <v>83</v>
      </c>
      <c r="E43" s="434">
        <v>45.5</v>
      </c>
      <c r="F43" s="434">
        <v>76.8</v>
      </c>
      <c r="G43" s="434">
        <v>94.1</v>
      </c>
    </row>
    <row r="44" spans="1:7" x14ac:dyDescent="0.3">
      <c r="A44" s="454">
        <v>3</v>
      </c>
      <c r="B44" s="434">
        <v>18.399999999999999</v>
      </c>
      <c r="C44" s="434">
        <v>65.900000000000006</v>
      </c>
      <c r="D44" s="434">
        <v>92.9</v>
      </c>
      <c r="E44" s="434">
        <v>54.9</v>
      </c>
      <c r="F44" s="434">
        <v>61.4</v>
      </c>
      <c r="G44" s="434">
        <v>102.7</v>
      </c>
    </row>
    <row r="45" spans="1:7" x14ac:dyDescent="0.3">
      <c r="A45" s="454">
        <v>4</v>
      </c>
      <c r="B45" s="434">
        <v>34.200000000000003</v>
      </c>
      <c r="C45" s="434">
        <v>51.1</v>
      </c>
      <c r="D45" s="434">
        <v>91.9</v>
      </c>
      <c r="E45" s="434">
        <v>56.4</v>
      </c>
      <c r="F45" s="434">
        <v>69.2</v>
      </c>
      <c r="G45" s="434">
        <v>99.8</v>
      </c>
    </row>
    <row r="46" spans="1:7" x14ac:dyDescent="0.3">
      <c r="A46" s="454">
        <v>5</v>
      </c>
      <c r="B46" s="434">
        <v>20.8</v>
      </c>
      <c r="C46" s="434">
        <v>63.7</v>
      </c>
      <c r="D46" s="434">
        <v>73.2</v>
      </c>
      <c r="E46" s="434">
        <v>53.6</v>
      </c>
      <c r="F46" s="434">
        <v>67.099999999999994</v>
      </c>
      <c r="G46" s="434">
        <v>90.6</v>
      </c>
    </row>
    <row r="47" spans="1:7" x14ac:dyDescent="0.3">
      <c r="A47" s="454">
        <v>6</v>
      </c>
      <c r="B47" s="434">
        <v>17.600000000000001</v>
      </c>
      <c r="C47" s="434">
        <v>51.7</v>
      </c>
      <c r="D47" s="434">
        <v>94.7</v>
      </c>
      <c r="E47" s="434">
        <v>48.5</v>
      </c>
      <c r="F47" s="434">
        <v>75.8</v>
      </c>
      <c r="G47" s="434">
        <v>84.6</v>
      </c>
    </row>
    <row r="48" spans="1:7" x14ac:dyDescent="0.3">
      <c r="A48" s="454">
        <v>7</v>
      </c>
      <c r="B48" s="434">
        <v>31.9</v>
      </c>
      <c r="C48" s="434">
        <v>61.3</v>
      </c>
      <c r="D48" s="434">
        <v>77.599999999999994</v>
      </c>
      <c r="E48" s="434">
        <v>38.6</v>
      </c>
      <c r="F48" s="434">
        <v>69.5</v>
      </c>
      <c r="G48" s="434">
        <v>101.3</v>
      </c>
    </row>
    <row r="49" spans="1:7" x14ac:dyDescent="0.3">
      <c r="A49" s="454">
        <v>8</v>
      </c>
      <c r="B49" s="434">
        <v>21.2</v>
      </c>
      <c r="C49" s="434">
        <v>65.7</v>
      </c>
      <c r="D49" s="434">
        <v>76.599999999999994</v>
      </c>
      <c r="E49" s="434"/>
      <c r="F49" s="434">
        <v>77</v>
      </c>
      <c r="G49" s="434">
        <v>83</v>
      </c>
    </row>
    <row r="50" spans="1:7" x14ac:dyDescent="0.3">
      <c r="A50" s="454">
        <v>9</v>
      </c>
      <c r="B50" s="434">
        <v>22.9</v>
      </c>
      <c r="C50" s="434">
        <v>49</v>
      </c>
      <c r="D50" s="434">
        <v>68.599999999999994</v>
      </c>
      <c r="E50" s="434"/>
      <c r="F50" s="434">
        <v>73.5</v>
      </c>
      <c r="G50" s="434">
        <v>81.5</v>
      </c>
    </row>
    <row r="51" spans="1:7" x14ac:dyDescent="0.3">
      <c r="A51" s="454">
        <v>10</v>
      </c>
      <c r="B51" s="434">
        <v>28.1</v>
      </c>
      <c r="C51" s="434">
        <v>45.1</v>
      </c>
      <c r="D51" s="434">
        <v>94.5</v>
      </c>
      <c r="E51" s="434"/>
      <c r="F51" s="434">
        <v>74.099999999999994</v>
      </c>
      <c r="G51" s="434">
        <v>80.900000000000006</v>
      </c>
    </row>
    <row r="52" spans="1:7" x14ac:dyDescent="0.3">
      <c r="A52" s="454">
        <v>11</v>
      </c>
      <c r="B52" s="434">
        <v>30.8</v>
      </c>
      <c r="C52" s="434">
        <v>53.5</v>
      </c>
      <c r="D52" s="434">
        <v>86.4</v>
      </c>
      <c r="E52" s="434"/>
      <c r="F52" s="434">
        <v>68.2</v>
      </c>
      <c r="G52" s="434">
        <v>91.2</v>
      </c>
    </row>
    <row r="53" spans="1:7" x14ac:dyDescent="0.3">
      <c r="A53" s="454">
        <v>12</v>
      </c>
      <c r="B53" s="434">
        <v>26.9</v>
      </c>
      <c r="C53" s="434">
        <v>66.2</v>
      </c>
      <c r="D53" s="434">
        <v>80.2</v>
      </c>
      <c r="E53" s="434"/>
      <c r="F53" s="434">
        <v>67.2</v>
      </c>
      <c r="G53" s="434">
        <v>91</v>
      </c>
    </row>
    <row r="54" spans="1:7" x14ac:dyDescent="0.3">
      <c r="A54" s="454">
        <v>13</v>
      </c>
      <c r="B54" s="434">
        <v>20.6</v>
      </c>
      <c r="C54" s="434">
        <v>64</v>
      </c>
      <c r="D54" s="434">
        <v>85.5</v>
      </c>
      <c r="E54" s="434"/>
      <c r="F54" s="434"/>
      <c r="G54" s="434">
        <v>113.5</v>
      </c>
    </row>
    <row r="55" spans="1:7" x14ac:dyDescent="0.3">
      <c r="A55" s="454">
        <v>14</v>
      </c>
      <c r="B55" s="434">
        <v>20.6</v>
      </c>
      <c r="C55" s="434">
        <v>67</v>
      </c>
      <c r="D55" s="434">
        <v>77.599999999999994</v>
      </c>
      <c r="E55" s="434"/>
      <c r="F55" s="434"/>
      <c r="G55" s="434">
        <v>89.3</v>
      </c>
    </row>
    <row r="56" spans="1:7" x14ac:dyDescent="0.3">
      <c r="A56" s="454">
        <v>15</v>
      </c>
      <c r="B56" s="434"/>
      <c r="C56" s="434"/>
      <c r="D56" s="434">
        <v>86.9</v>
      </c>
      <c r="E56" s="434"/>
      <c r="F56" s="434"/>
      <c r="G56" s="434"/>
    </row>
    <row r="57" spans="1:7" x14ac:dyDescent="0.3">
      <c r="A57" s="670" t="s">
        <v>357</v>
      </c>
      <c r="B57" s="670"/>
      <c r="C57" s="670"/>
      <c r="D57" s="663"/>
      <c r="E57" s="670"/>
      <c r="F57" s="670"/>
      <c r="G57" s="670"/>
    </row>
    <row r="58" spans="1:7" x14ac:dyDescent="0.3">
      <c r="A58" s="396"/>
      <c r="B58" s="674" t="s">
        <v>364</v>
      </c>
      <c r="C58" s="674"/>
      <c r="D58" s="674"/>
      <c r="E58" s="674" t="s">
        <v>365</v>
      </c>
      <c r="F58" s="674"/>
      <c r="G58" s="674"/>
    </row>
    <row r="59" spans="1:7" x14ac:dyDescent="0.3">
      <c r="A59" s="454" t="s">
        <v>366</v>
      </c>
      <c r="B59" s="433" t="s">
        <v>344</v>
      </c>
      <c r="C59" s="433" t="s">
        <v>345</v>
      </c>
      <c r="D59" s="433" t="s">
        <v>367</v>
      </c>
      <c r="E59" s="433" t="s">
        <v>368</v>
      </c>
      <c r="F59" s="433" t="s">
        <v>369</v>
      </c>
      <c r="G59" s="433" t="s">
        <v>370</v>
      </c>
    </row>
    <row r="60" spans="1:7" x14ac:dyDescent="0.3">
      <c r="A60" s="454">
        <v>1</v>
      </c>
      <c r="B60" s="434">
        <v>20</v>
      </c>
      <c r="C60" s="434">
        <v>59.8</v>
      </c>
      <c r="D60" s="434">
        <v>103.8</v>
      </c>
      <c r="E60" s="434">
        <v>36.799999999999997</v>
      </c>
      <c r="F60" s="434">
        <v>67.599999999999994</v>
      </c>
      <c r="G60" s="434">
        <v>116.4</v>
      </c>
    </row>
    <row r="61" spans="1:7" x14ac:dyDescent="0.3">
      <c r="A61" s="454">
        <v>2</v>
      </c>
      <c r="B61" s="434">
        <v>35.299999999999997</v>
      </c>
      <c r="C61" s="434">
        <v>63.6</v>
      </c>
      <c r="D61" s="434">
        <v>77</v>
      </c>
      <c r="E61" s="434">
        <v>52.4</v>
      </c>
      <c r="F61" s="434">
        <v>75.099999999999994</v>
      </c>
      <c r="G61" s="434">
        <v>104.5</v>
      </c>
    </row>
    <row r="62" spans="1:7" x14ac:dyDescent="0.3">
      <c r="A62" s="454">
        <v>3</v>
      </c>
      <c r="B62" s="434">
        <v>21</v>
      </c>
      <c r="C62" s="434">
        <v>47.5</v>
      </c>
      <c r="D62" s="434">
        <v>86.4</v>
      </c>
      <c r="E62" s="434">
        <v>48.4</v>
      </c>
      <c r="F62" s="434">
        <v>69.7</v>
      </c>
      <c r="G62" s="434">
        <v>117.8</v>
      </c>
    </row>
    <row r="63" spans="1:7" x14ac:dyDescent="0.3">
      <c r="A63" s="454">
        <v>4</v>
      </c>
      <c r="B63" s="434">
        <v>29.6</v>
      </c>
      <c r="C63" s="434">
        <v>41.5</v>
      </c>
      <c r="D63" s="434">
        <v>69.599999999999994</v>
      </c>
      <c r="E63" s="434">
        <v>33.299999999999997</v>
      </c>
      <c r="F63" s="434">
        <v>66.099999999999994</v>
      </c>
      <c r="G63" s="434">
        <v>95.7</v>
      </c>
    </row>
    <row r="64" spans="1:7" x14ac:dyDescent="0.3">
      <c r="A64" s="454">
        <v>5</v>
      </c>
      <c r="B64" s="434">
        <v>27.3</v>
      </c>
      <c r="C64" s="434">
        <v>50.9</v>
      </c>
      <c r="D64" s="434">
        <v>89.7</v>
      </c>
      <c r="E64" s="434"/>
      <c r="F64" s="434">
        <v>65.5</v>
      </c>
      <c r="G64" s="434">
        <v>85.3</v>
      </c>
    </row>
    <row r="65" spans="1:7" x14ac:dyDescent="0.3">
      <c r="A65" s="454">
        <v>6</v>
      </c>
      <c r="B65" s="434">
        <v>35.799999999999997</v>
      </c>
      <c r="C65" s="434">
        <v>48</v>
      </c>
      <c r="D65" s="434">
        <v>70.7</v>
      </c>
      <c r="E65" s="434"/>
      <c r="F65" s="434"/>
      <c r="G65" s="434">
        <v>109.3</v>
      </c>
    </row>
    <row r="66" spans="1:7" x14ac:dyDescent="0.3">
      <c r="A66" s="454">
        <v>7</v>
      </c>
      <c r="B66" s="434">
        <v>22.9</v>
      </c>
      <c r="C66" s="434">
        <v>52.2</v>
      </c>
      <c r="D66" s="434">
        <v>97.4</v>
      </c>
      <c r="E66" s="434"/>
      <c r="F66" s="434"/>
      <c r="G66" s="434"/>
    </row>
    <row r="67" spans="1:7" x14ac:dyDescent="0.3">
      <c r="A67" s="454">
        <v>8</v>
      </c>
      <c r="B67" s="434">
        <v>29</v>
      </c>
      <c r="C67" s="434">
        <v>48.5</v>
      </c>
      <c r="D67" s="434">
        <v>85.2</v>
      </c>
      <c r="E67" s="434"/>
      <c r="F67" s="434"/>
      <c r="G67" s="434"/>
    </row>
    <row r="68" spans="1:7" x14ac:dyDescent="0.3">
      <c r="A68" s="454">
        <v>9</v>
      </c>
      <c r="B68" s="434">
        <v>25.9</v>
      </c>
      <c r="C68" s="434"/>
      <c r="D68" s="434">
        <v>75.900000000000006</v>
      </c>
      <c r="E68" s="433"/>
      <c r="F68" s="434"/>
      <c r="G68" s="434"/>
    </row>
    <row r="69" spans="1:7" x14ac:dyDescent="0.3">
      <c r="A69" s="670" t="s">
        <v>358</v>
      </c>
      <c r="B69" s="670"/>
      <c r="C69" s="670"/>
      <c r="D69" s="663"/>
      <c r="E69" s="670"/>
      <c r="F69" s="670"/>
      <c r="G69" s="670"/>
    </row>
    <row r="70" spans="1:7" x14ac:dyDescent="0.3">
      <c r="A70" s="396"/>
      <c r="B70" s="674" t="s">
        <v>364</v>
      </c>
      <c r="C70" s="674"/>
      <c r="D70" s="674"/>
      <c r="E70" s="674" t="s">
        <v>365</v>
      </c>
      <c r="F70" s="674"/>
      <c r="G70" s="674"/>
    </row>
    <row r="71" spans="1:7" x14ac:dyDescent="0.3">
      <c r="A71" s="454" t="s">
        <v>366</v>
      </c>
      <c r="B71" s="433" t="s">
        <v>344</v>
      </c>
      <c r="C71" s="433" t="s">
        <v>345</v>
      </c>
      <c r="D71" s="433" t="s">
        <v>367</v>
      </c>
      <c r="E71" s="433" t="s">
        <v>368</v>
      </c>
      <c r="F71" s="433" t="s">
        <v>369</v>
      </c>
      <c r="G71" s="433" t="s">
        <v>370</v>
      </c>
    </row>
    <row r="72" spans="1:7" x14ac:dyDescent="0.3">
      <c r="A72" s="454">
        <v>1</v>
      </c>
      <c r="B72" s="434">
        <v>32</v>
      </c>
      <c r="C72" s="434">
        <v>46.5</v>
      </c>
      <c r="D72" s="434">
        <v>92.9</v>
      </c>
      <c r="E72" s="434">
        <v>48.9</v>
      </c>
      <c r="F72" s="434">
        <v>61.6</v>
      </c>
      <c r="G72" s="434">
        <v>113.7</v>
      </c>
    </row>
    <row r="73" spans="1:7" x14ac:dyDescent="0.3">
      <c r="A73" s="454">
        <v>2</v>
      </c>
      <c r="B73" s="434">
        <v>29.4</v>
      </c>
      <c r="C73" s="434">
        <v>37.200000000000003</v>
      </c>
      <c r="D73" s="434">
        <v>83.2</v>
      </c>
      <c r="E73" s="434">
        <v>30</v>
      </c>
      <c r="F73" s="434">
        <v>69.2</v>
      </c>
      <c r="G73" s="434">
        <v>119.1</v>
      </c>
    </row>
    <row r="74" spans="1:7" x14ac:dyDescent="0.3">
      <c r="A74" s="454">
        <v>3</v>
      </c>
      <c r="B74" s="434">
        <v>33.299999999999997</v>
      </c>
      <c r="C74" s="434">
        <v>60.4</v>
      </c>
      <c r="D74" s="434">
        <v>75.599999999999994</v>
      </c>
      <c r="E74" s="434">
        <v>57.8</v>
      </c>
      <c r="F74" s="434">
        <v>79.099999999999994</v>
      </c>
      <c r="G74" s="434">
        <v>84.5</v>
      </c>
    </row>
    <row r="75" spans="1:7" x14ac:dyDescent="0.3">
      <c r="A75" s="454">
        <v>4</v>
      </c>
      <c r="B75" s="434">
        <v>25</v>
      </c>
      <c r="C75" s="434">
        <v>43.9</v>
      </c>
      <c r="D75" s="434">
        <v>74.900000000000006</v>
      </c>
      <c r="E75" s="434">
        <v>55.3</v>
      </c>
      <c r="F75" s="434">
        <v>67.3</v>
      </c>
      <c r="G75" s="434">
        <v>117.2</v>
      </c>
    </row>
    <row r="76" spans="1:7" x14ac:dyDescent="0.3">
      <c r="A76" s="454">
        <v>5</v>
      </c>
      <c r="B76" s="434">
        <v>24.9</v>
      </c>
      <c r="C76" s="434">
        <v>38.4</v>
      </c>
      <c r="D76" s="434">
        <v>98.5</v>
      </c>
      <c r="E76" s="434">
        <v>30.2</v>
      </c>
      <c r="F76" s="434">
        <v>61.9</v>
      </c>
      <c r="G76" s="434">
        <v>104.3</v>
      </c>
    </row>
    <row r="77" spans="1:7" x14ac:dyDescent="0.3">
      <c r="A77" s="454">
        <v>6</v>
      </c>
      <c r="B77" s="434">
        <v>33.299999999999997</v>
      </c>
      <c r="C77" s="434">
        <v>46</v>
      </c>
      <c r="D77" s="434">
        <v>96.2</v>
      </c>
      <c r="E77" s="434">
        <v>51</v>
      </c>
      <c r="F77" s="434">
        <v>67.8</v>
      </c>
      <c r="G77" s="434">
        <v>85</v>
      </c>
    </row>
    <row r="78" spans="1:7" x14ac:dyDescent="0.3">
      <c r="A78" s="454">
        <v>7</v>
      </c>
      <c r="B78" s="434">
        <v>26.3</v>
      </c>
      <c r="C78" s="434">
        <v>55.5</v>
      </c>
      <c r="D78" s="434">
        <v>76.5</v>
      </c>
      <c r="E78" s="434">
        <v>46.6</v>
      </c>
      <c r="F78" s="434">
        <v>67.5</v>
      </c>
      <c r="G78" s="434">
        <v>100.4</v>
      </c>
    </row>
    <row r="79" spans="1:7" x14ac:dyDescent="0.3">
      <c r="A79" s="454">
        <v>8</v>
      </c>
      <c r="B79" s="434">
        <v>29.1</v>
      </c>
      <c r="C79" s="434">
        <v>51</v>
      </c>
      <c r="D79" s="434">
        <v>100.6</v>
      </c>
      <c r="E79" s="434">
        <v>32.700000000000003</v>
      </c>
      <c r="F79" s="434">
        <v>60.1</v>
      </c>
      <c r="G79" s="434">
        <v>86</v>
      </c>
    </row>
    <row r="80" spans="1:7" x14ac:dyDescent="0.3">
      <c r="A80" s="454">
        <v>9</v>
      </c>
      <c r="B80" s="434">
        <v>34.9</v>
      </c>
      <c r="C80" s="434">
        <v>43.1</v>
      </c>
      <c r="D80" s="434">
        <v>79</v>
      </c>
      <c r="E80" s="434">
        <v>38.299999999999997</v>
      </c>
      <c r="F80" s="434">
        <v>78.400000000000006</v>
      </c>
      <c r="G80" s="434">
        <v>90.9</v>
      </c>
    </row>
    <row r="81" spans="1:7" x14ac:dyDescent="0.3">
      <c r="A81" s="454">
        <v>10</v>
      </c>
      <c r="B81" s="434">
        <v>28.3</v>
      </c>
      <c r="C81" s="434">
        <v>52.1</v>
      </c>
      <c r="D81" s="434">
        <v>101.2</v>
      </c>
      <c r="E81" s="434">
        <v>52.4</v>
      </c>
      <c r="F81" s="434">
        <v>61.6</v>
      </c>
      <c r="G81" s="434">
        <v>88</v>
      </c>
    </row>
    <row r="82" spans="1:7" x14ac:dyDescent="0.3">
      <c r="A82" s="454">
        <v>11</v>
      </c>
      <c r="B82" s="434">
        <v>34.6</v>
      </c>
      <c r="C82" s="434">
        <v>55</v>
      </c>
      <c r="D82" s="434">
        <v>80.5</v>
      </c>
      <c r="E82" s="434"/>
      <c r="F82" s="434">
        <v>66.599999999999994</v>
      </c>
      <c r="G82" s="434">
        <v>88.1</v>
      </c>
    </row>
    <row r="83" spans="1:7" x14ac:dyDescent="0.3">
      <c r="A83" s="454">
        <v>12</v>
      </c>
      <c r="B83" s="434">
        <v>16.7</v>
      </c>
      <c r="C83" s="434">
        <v>56</v>
      </c>
      <c r="D83" s="434">
        <v>78.099999999999994</v>
      </c>
      <c r="E83" s="434"/>
      <c r="F83" s="434">
        <v>61.2</v>
      </c>
      <c r="G83" s="434">
        <v>84.5</v>
      </c>
    </row>
    <row r="84" spans="1:7" x14ac:dyDescent="0.3">
      <c r="A84" s="454">
        <v>13</v>
      </c>
      <c r="B84" s="434">
        <v>23</v>
      </c>
      <c r="C84" s="434">
        <v>51.5</v>
      </c>
      <c r="D84" s="434">
        <v>90</v>
      </c>
      <c r="E84" s="434"/>
      <c r="F84" s="434">
        <v>69.099999999999994</v>
      </c>
      <c r="G84" s="434">
        <v>89</v>
      </c>
    </row>
    <row r="85" spans="1:7" x14ac:dyDescent="0.3">
      <c r="A85" s="454">
        <v>14</v>
      </c>
      <c r="B85" s="434">
        <v>25</v>
      </c>
      <c r="C85" s="434">
        <v>45.7</v>
      </c>
      <c r="D85" s="434">
        <v>92.7</v>
      </c>
      <c r="E85" s="434"/>
      <c r="F85" s="434">
        <v>71</v>
      </c>
      <c r="G85" s="434">
        <v>93</v>
      </c>
    </row>
    <row r="86" spans="1:7" x14ac:dyDescent="0.3">
      <c r="A86" s="454">
        <v>15</v>
      </c>
      <c r="B86" s="434">
        <v>36</v>
      </c>
      <c r="C86" s="434">
        <v>58.4</v>
      </c>
      <c r="D86" s="434">
        <v>70</v>
      </c>
      <c r="E86" s="434"/>
      <c r="F86" s="434"/>
      <c r="G86" s="434">
        <v>83.1</v>
      </c>
    </row>
    <row r="87" spans="1:7" x14ac:dyDescent="0.3">
      <c r="A87" s="454">
        <v>16</v>
      </c>
      <c r="B87" s="434"/>
      <c r="C87" s="434">
        <v>45.6</v>
      </c>
      <c r="D87" s="434">
        <v>77.400000000000006</v>
      </c>
      <c r="E87" s="434"/>
      <c r="F87" s="434"/>
      <c r="G87" s="434">
        <v>81.7</v>
      </c>
    </row>
    <row r="88" spans="1:7" x14ac:dyDescent="0.3">
      <c r="A88" s="454">
        <v>17</v>
      </c>
      <c r="B88" s="434"/>
      <c r="C88" s="434">
        <v>64.400000000000006</v>
      </c>
      <c r="D88" s="434">
        <v>87.7</v>
      </c>
      <c r="E88" s="434"/>
      <c r="F88" s="434"/>
      <c r="G88" s="434">
        <v>81.3</v>
      </c>
    </row>
    <row r="89" spans="1:7" x14ac:dyDescent="0.3">
      <c r="A89" s="454">
        <v>18</v>
      </c>
      <c r="B89" s="434"/>
      <c r="C89" s="434">
        <v>39.5</v>
      </c>
      <c r="D89" s="434">
        <v>71.3</v>
      </c>
      <c r="E89" s="438"/>
      <c r="F89" s="438"/>
      <c r="G89" s="438"/>
    </row>
    <row r="90" spans="1:7" x14ac:dyDescent="0.3">
      <c r="A90" s="454">
        <v>19</v>
      </c>
      <c r="B90" s="434"/>
      <c r="C90" s="434">
        <v>48.5</v>
      </c>
      <c r="D90" s="434"/>
      <c r="E90" s="438"/>
      <c r="F90" s="438"/>
      <c r="G90" s="438"/>
    </row>
    <row r="91" spans="1:7" x14ac:dyDescent="0.3">
      <c r="A91" s="670" t="s">
        <v>359</v>
      </c>
      <c r="B91" s="670"/>
      <c r="C91" s="670"/>
      <c r="D91" s="663"/>
      <c r="E91" s="670"/>
      <c r="F91" s="670"/>
      <c r="G91" s="670"/>
    </row>
    <row r="92" spans="1:7" x14ac:dyDescent="0.3">
      <c r="A92" s="396"/>
      <c r="B92" s="674" t="s">
        <v>364</v>
      </c>
      <c r="C92" s="674"/>
      <c r="D92" s="674"/>
      <c r="E92" s="674" t="s">
        <v>365</v>
      </c>
      <c r="F92" s="674"/>
      <c r="G92" s="674"/>
    </row>
    <row r="93" spans="1:7" x14ac:dyDescent="0.3">
      <c r="A93" s="454" t="s">
        <v>366</v>
      </c>
      <c r="B93" s="433" t="s">
        <v>344</v>
      </c>
      <c r="C93" s="433" t="s">
        <v>345</v>
      </c>
      <c r="D93" s="433" t="s">
        <v>367</v>
      </c>
      <c r="E93" s="433" t="s">
        <v>368</v>
      </c>
      <c r="F93" s="433" t="s">
        <v>369</v>
      </c>
      <c r="G93" s="433" t="s">
        <v>370</v>
      </c>
    </row>
    <row r="94" spans="1:7" x14ac:dyDescent="0.3">
      <c r="A94" s="454">
        <v>1</v>
      </c>
      <c r="B94" s="434">
        <v>25</v>
      </c>
      <c r="C94" s="434">
        <v>38.799999999999997</v>
      </c>
      <c r="D94" s="434">
        <v>89.6</v>
      </c>
      <c r="E94" s="434">
        <v>51.8</v>
      </c>
      <c r="F94" s="434">
        <v>75.400000000000006</v>
      </c>
      <c r="G94" s="434">
        <v>109.5</v>
      </c>
    </row>
    <row r="95" spans="1:7" x14ac:dyDescent="0.3">
      <c r="A95" s="454">
        <v>2</v>
      </c>
      <c r="B95" s="434">
        <v>17.8</v>
      </c>
      <c r="C95" s="434">
        <v>47</v>
      </c>
      <c r="D95" s="434">
        <v>84.1</v>
      </c>
      <c r="E95" s="434">
        <v>59.4</v>
      </c>
      <c r="F95" s="434">
        <v>70.8</v>
      </c>
      <c r="G95" s="434">
        <v>104.4</v>
      </c>
    </row>
    <row r="96" spans="1:7" x14ac:dyDescent="0.3">
      <c r="A96" s="454">
        <v>3</v>
      </c>
      <c r="B96" s="434">
        <v>19.600000000000001</v>
      </c>
      <c r="C96" s="434">
        <v>51.7</v>
      </c>
      <c r="D96" s="434">
        <v>104.1</v>
      </c>
      <c r="E96" s="434">
        <v>57</v>
      </c>
      <c r="F96" s="434">
        <v>63.4</v>
      </c>
      <c r="G96" s="434">
        <v>99.9</v>
      </c>
    </row>
    <row r="97" spans="1:7" x14ac:dyDescent="0.3">
      <c r="A97" s="454">
        <v>4</v>
      </c>
      <c r="B97" s="434">
        <v>18.2</v>
      </c>
      <c r="C97" s="434">
        <v>61.3</v>
      </c>
      <c r="D97" s="434">
        <v>84.9</v>
      </c>
      <c r="E97" s="434">
        <v>27.9</v>
      </c>
      <c r="F97" s="434">
        <v>63.5</v>
      </c>
      <c r="G97" s="434">
        <v>94.8</v>
      </c>
    </row>
    <row r="98" spans="1:7" x14ac:dyDescent="0.3">
      <c r="A98" s="454">
        <v>5</v>
      </c>
      <c r="B98" s="434">
        <v>25.3</v>
      </c>
      <c r="C98" s="434">
        <v>63</v>
      </c>
      <c r="D98" s="434">
        <v>76.5</v>
      </c>
      <c r="E98" s="434">
        <v>37.200000000000003</v>
      </c>
      <c r="F98" s="434">
        <v>64</v>
      </c>
      <c r="G98" s="434">
        <v>91.2</v>
      </c>
    </row>
    <row r="99" spans="1:7" x14ac:dyDescent="0.3">
      <c r="A99" s="454">
        <v>6</v>
      </c>
      <c r="B99" s="434">
        <v>25.2</v>
      </c>
      <c r="C99" s="434">
        <v>61.4</v>
      </c>
      <c r="D99" s="434">
        <v>81.2</v>
      </c>
      <c r="E99" s="434">
        <v>36.299999999999997</v>
      </c>
      <c r="F99" s="434">
        <v>65</v>
      </c>
      <c r="G99" s="434">
        <v>115.6</v>
      </c>
    </row>
    <row r="100" spans="1:7" x14ac:dyDescent="0.3">
      <c r="A100" s="454">
        <v>7</v>
      </c>
      <c r="B100" s="434">
        <v>35.700000000000003</v>
      </c>
      <c r="C100" s="434">
        <v>43.8</v>
      </c>
      <c r="D100" s="434">
        <v>69.3</v>
      </c>
      <c r="E100" s="434">
        <v>29.4</v>
      </c>
      <c r="F100" s="434">
        <v>71.8</v>
      </c>
      <c r="G100" s="434">
        <v>87.8</v>
      </c>
    </row>
    <row r="101" spans="1:7" x14ac:dyDescent="0.3">
      <c r="A101" s="454">
        <v>8</v>
      </c>
      <c r="B101" s="434">
        <v>23.6</v>
      </c>
      <c r="C101" s="434">
        <v>46</v>
      </c>
      <c r="D101" s="434">
        <v>103.6</v>
      </c>
      <c r="E101" s="434">
        <v>50</v>
      </c>
      <c r="F101" s="434">
        <v>73</v>
      </c>
      <c r="G101" s="434">
        <v>91.7</v>
      </c>
    </row>
    <row r="102" spans="1:7" x14ac:dyDescent="0.3">
      <c r="A102" s="454">
        <v>9</v>
      </c>
      <c r="B102" s="434">
        <v>26</v>
      </c>
      <c r="C102" s="434">
        <v>43.6</v>
      </c>
      <c r="D102" s="434">
        <v>86.2</v>
      </c>
      <c r="E102" s="434"/>
      <c r="F102" s="434">
        <v>60.7</v>
      </c>
      <c r="G102" s="434">
        <v>93.9</v>
      </c>
    </row>
    <row r="103" spans="1:7" x14ac:dyDescent="0.3">
      <c r="A103" s="454">
        <v>10</v>
      </c>
      <c r="B103" s="434">
        <v>33</v>
      </c>
      <c r="C103" s="434">
        <v>63.7</v>
      </c>
      <c r="D103" s="434">
        <v>72.7</v>
      </c>
      <c r="E103" s="434"/>
      <c r="F103" s="434">
        <v>67.2</v>
      </c>
      <c r="G103" s="434">
        <v>119.8</v>
      </c>
    </row>
    <row r="104" spans="1:7" x14ac:dyDescent="0.3">
      <c r="A104" s="454">
        <v>11</v>
      </c>
      <c r="B104" s="434">
        <v>36</v>
      </c>
      <c r="C104" s="434">
        <v>48.9</v>
      </c>
      <c r="D104" s="434">
        <v>71.400000000000006</v>
      </c>
      <c r="E104" s="434"/>
      <c r="F104" s="434"/>
      <c r="G104" s="434">
        <v>87.9</v>
      </c>
    </row>
    <row r="105" spans="1:7" x14ac:dyDescent="0.3">
      <c r="A105" s="454">
        <v>12</v>
      </c>
      <c r="B105" s="434">
        <v>28</v>
      </c>
      <c r="C105" s="434">
        <v>55.6</v>
      </c>
      <c r="D105" s="434">
        <v>97.4</v>
      </c>
      <c r="E105" s="434"/>
      <c r="F105" s="434"/>
      <c r="G105" s="434">
        <v>80.8</v>
      </c>
    </row>
    <row r="106" spans="1:7" x14ac:dyDescent="0.3">
      <c r="A106" s="454">
        <v>13</v>
      </c>
      <c r="B106" s="434"/>
      <c r="C106" s="434">
        <v>68.2</v>
      </c>
      <c r="D106" s="434">
        <v>96.1</v>
      </c>
      <c r="E106" s="438"/>
      <c r="F106" s="438"/>
      <c r="G106" s="438"/>
    </row>
    <row r="107" spans="1:7" x14ac:dyDescent="0.3">
      <c r="A107" s="454">
        <v>14</v>
      </c>
      <c r="B107" s="434"/>
      <c r="C107" s="434">
        <v>60.5</v>
      </c>
      <c r="D107" s="434">
        <v>83.6</v>
      </c>
      <c r="E107" s="438"/>
      <c r="F107" s="438"/>
      <c r="G107" s="438"/>
    </row>
    <row r="108" spans="1:7" x14ac:dyDescent="0.3">
      <c r="A108" s="454">
        <v>15</v>
      </c>
      <c r="B108" s="434"/>
      <c r="C108" s="434">
        <v>59</v>
      </c>
      <c r="D108" s="434">
        <v>104.5</v>
      </c>
      <c r="E108" s="438"/>
      <c r="F108" s="438"/>
      <c r="G108" s="438"/>
    </row>
    <row r="109" spans="1:7" x14ac:dyDescent="0.3">
      <c r="A109" s="670" t="s">
        <v>360</v>
      </c>
      <c r="B109" s="670"/>
      <c r="C109" s="670"/>
      <c r="D109" s="663"/>
      <c r="E109" s="670"/>
      <c r="F109" s="670"/>
      <c r="G109" s="670"/>
    </row>
    <row r="110" spans="1:7" x14ac:dyDescent="0.3">
      <c r="A110" s="396"/>
      <c r="B110" s="674" t="s">
        <v>364</v>
      </c>
      <c r="C110" s="674"/>
      <c r="D110" s="674"/>
      <c r="E110" s="674" t="s">
        <v>365</v>
      </c>
      <c r="F110" s="674"/>
      <c r="G110" s="674"/>
    </row>
    <row r="111" spans="1:7" x14ac:dyDescent="0.3">
      <c r="A111" s="454" t="s">
        <v>366</v>
      </c>
      <c r="B111" s="433" t="s">
        <v>344</v>
      </c>
      <c r="C111" s="433" t="s">
        <v>345</v>
      </c>
      <c r="D111" s="433" t="s">
        <v>367</v>
      </c>
      <c r="E111" s="433" t="s">
        <v>368</v>
      </c>
      <c r="F111" s="433" t="s">
        <v>369</v>
      </c>
      <c r="G111" s="433" t="s">
        <v>370</v>
      </c>
    </row>
    <row r="112" spans="1:7" x14ac:dyDescent="0.3">
      <c r="A112" s="454">
        <v>1</v>
      </c>
      <c r="B112" s="434">
        <v>0</v>
      </c>
      <c r="C112" s="434">
        <v>0</v>
      </c>
      <c r="D112" s="434">
        <v>0</v>
      </c>
      <c r="E112" s="434">
        <v>57.5</v>
      </c>
      <c r="F112" s="434">
        <v>76.8</v>
      </c>
      <c r="G112" s="434">
        <v>81.400000000000006</v>
      </c>
    </row>
    <row r="113" spans="1:7" x14ac:dyDescent="0.3">
      <c r="A113" s="454">
        <v>2</v>
      </c>
      <c r="B113" s="434"/>
      <c r="C113" s="434"/>
      <c r="D113" s="434"/>
      <c r="E113" s="434">
        <v>59.9</v>
      </c>
      <c r="F113" s="434">
        <v>61.3</v>
      </c>
      <c r="G113" s="434">
        <v>85.3</v>
      </c>
    </row>
    <row r="114" spans="1:7" x14ac:dyDescent="0.3">
      <c r="A114" s="454">
        <v>3</v>
      </c>
      <c r="B114" s="434"/>
      <c r="C114" s="434"/>
      <c r="D114" s="434"/>
      <c r="E114" s="434">
        <v>54.9</v>
      </c>
      <c r="F114" s="434">
        <v>70.7</v>
      </c>
      <c r="G114" s="434">
        <v>104.9</v>
      </c>
    </row>
    <row r="115" spans="1:7" x14ac:dyDescent="0.3">
      <c r="A115" s="454">
        <v>4</v>
      </c>
      <c r="B115" s="434"/>
      <c r="C115" s="434"/>
      <c r="D115" s="434"/>
      <c r="E115" s="434"/>
      <c r="F115" s="434">
        <v>77.5</v>
      </c>
      <c r="G115" s="434">
        <v>95.6</v>
      </c>
    </row>
    <row r="116" spans="1:7" x14ac:dyDescent="0.3">
      <c r="A116" s="454">
        <v>5</v>
      </c>
      <c r="B116" s="434"/>
      <c r="C116" s="434"/>
      <c r="D116" s="434"/>
      <c r="E116" s="434"/>
      <c r="F116" s="434">
        <v>66.400000000000006</v>
      </c>
      <c r="G116" s="434">
        <v>102.3</v>
      </c>
    </row>
    <row r="117" spans="1:7" x14ac:dyDescent="0.3">
      <c r="A117" s="670" t="s">
        <v>361</v>
      </c>
      <c r="B117" s="670"/>
      <c r="C117" s="670"/>
      <c r="D117" s="663"/>
      <c r="E117" s="670"/>
      <c r="F117" s="670"/>
      <c r="G117" s="670"/>
    </row>
    <row r="118" spans="1:7" x14ac:dyDescent="0.3">
      <c r="A118" s="396"/>
      <c r="B118" s="674" t="s">
        <v>364</v>
      </c>
      <c r="C118" s="674"/>
      <c r="D118" s="674"/>
      <c r="E118" s="674" t="s">
        <v>365</v>
      </c>
      <c r="F118" s="674"/>
      <c r="G118" s="674"/>
    </row>
    <row r="119" spans="1:7" x14ac:dyDescent="0.3">
      <c r="A119" s="454" t="s">
        <v>366</v>
      </c>
      <c r="B119" s="433" t="s">
        <v>344</v>
      </c>
      <c r="C119" s="433" t="s">
        <v>345</v>
      </c>
      <c r="D119" s="433" t="s">
        <v>367</v>
      </c>
      <c r="E119" s="433" t="s">
        <v>368</v>
      </c>
      <c r="F119" s="433" t="s">
        <v>369</v>
      </c>
      <c r="G119" s="433" t="s">
        <v>370</v>
      </c>
    </row>
    <row r="120" spans="1:7" x14ac:dyDescent="0.3">
      <c r="A120" s="454">
        <v>1</v>
      </c>
      <c r="B120" s="434">
        <v>30.6</v>
      </c>
      <c r="C120" s="434">
        <v>48.4</v>
      </c>
      <c r="D120" s="434">
        <v>83.1</v>
      </c>
      <c r="E120" s="434">
        <v>27.2</v>
      </c>
      <c r="F120" s="434">
        <v>72.900000000000006</v>
      </c>
      <c r="G120" s="434">
        <v>80.400000000000006</v>
      </c>
    </row>
    <row r="121" spans="1:7" x14ac:dyDescent="0.3">
      <c r="A121" s="454">
        <v>2</v>
      </c>
      <c r="B121" s="434">
        <v>35.1</v>
      </c>
      <c r="C121" s="434">
        <v>49.3</v>
      </c>
      <c r="D121" s="434">
        <v>90.2</v>
      </c>
      <c r="E121" s="434">
        <v>26.1</v>
      </c>
      <c r="F121" s="434">
        <v>70.099999999999994</v>
      </c>
      <c r="G121" s="434">
        <v>95.7</v>
      </c>
    </row>
    <row r="122" spans="1:7" x14ac:dyDescent="0.3">
      <c r="A122" s="454">
        <v>3</v>
      </c>
      <c r="B122" s="434">
        <v>31.7</v>
      </c>
      <c r="C122" s="434">
        <v>60.7</v>
      </c>
      <c r="D122" s="434">
        <v>79.8</v>
      </c>
      <c r="E122" s="434">
        <v>45</v>
      </c>
      <c r="F122" s="434">
        <v>69.400000000000006</v>
      </c>
      <c r="G122" s="434">
        <v>114</v>
      </c>
    </row>
    <row r="123" spans="1:7" x14ac:dyDescent="0.3">
      <c r="A123" s="454">
        <v>4</v>
      </c>
      <c r="B123" s="434">
        <v>32.4</v>
      </c>
      <c r="C123" s="434">
        <v>56.2</v>
      </c>
      <c r="D123" s="434">
        <v>99.2</v>
      </c>
      <c r="E123" s="434"/>
      <c r="F123" s="434">
        <v>70.400000000000006</v>
      </c>
      <c r="G123" s="434">
        <v>103.6</v>
      </c>
    </row>
    <row r="124" spans="1:7" x14ac:dyDescent="0.3">
      <c r="A124" s="454">
        <v>5</v>
      </c>
      <c r="B124" s="434">
        <v>21.1</v>
      </c>
      <c r="C124" s="434">
        <v>49.6</v>
      </c>
      <c r="D124" s="434">
        <v>99.5</v>
      </c>
      <c r="E124" s="434"/>
      <c r="F124" s="434">
        <v>75.7</v>
      </c>
      <c r="G124" s="434">
        <v>110.6</v>
      </c>
    </row>
    <row r="125" spans="1:7" x14ac:dyDescent="0.3">
      <c r="A125" s="454">
        <v>6</v>
      </c>
      <c r="B125" s="434">
        <v>26.8</v>
      </c>
      <c r="C125" s="434">
        <v>55.6</v>
      </c>
      <c r="D125" s="434">
        <v>83.6</v>
      </c>
      <c r="E125" s="434"/>
      <c r="F125" s="434"/>
      <c r="G125" s="434">
        <v>106.9</v>
      </c>
    </row>
    <row r="126" spans="1:7" x14ac:dyDescent="0.3">
      <c r="A126" s="454">
        <v>7</v>
      </c>
      <c r="B126" s="434">
        <v>22.2</v>
      </c>
      <c r="C126" s="434">
        <v>43.2</v>
      </c>
      <c r="D126" s="434">
        <v>86.8</v>
      </c>
      <c r="E126" s="434"/>
      <c r="F126" s="434"/>
      <c r="G126" s="434"/>
    </row>
    <row r="127" spans="1:7" x14ac:dyDescent="0.3">
      <c r="A127" s="454">
        <v>8</v>
      </c>
      <c r="B127" s="434"/>
      <c r="C127" s="434">
        <v>67.900000000000006</v>
      </c>
      <c r="D127" s="434">
        <v>75.2</v>
      </c>
      <c r="E127" s="434"/>
      <c r="F127" s="434"/>
      <c r="G127" s="434"/>
    </row>
    <row r="128" spans="1:7" x14ac:dyDescent="0.3">
      <c r="A128" s="454">
        <v>9</v>
      </c>
      <c r="B128" s="434"/>
      <c r="C128" s="434">
        <v>47.4</v>
      </c>
      <c r="D128" s="434"/>
      <c r="E128" s="434"/>
      <c r="F128" s="434"/>
      <c r="G128" s="434"/>
    </row>
    <row r="129" spans="1:7" x14ac:dyDescent="0.3">
      <c r="A129" s="670" t="s">
        <v>362</v>
      </c>
      <c r="B129" s="670"/>
      <c r="C129" s="670"/>
      <c r="D129" s="663"/>
      <c r="E129" s="670"/>
      <c r="F129" s="670"/>
      <c r="G129" s="670"/>
    </row>
    <row r="130" spans="1:7" x14ac:dyDescent="0.3">
      <c r="A130" s="396"/>
      <c r="B130" s="674" t="s">
        <v>364</v>
      </c>
      <c r="C130" s="674"/>
      <c r="D130" s="674"/>
      <c r="E130" s="674" t="s">
        <v>365</v>
      </c>
      <c r="F130" s="674"/>
      <c r="G130" s="674"/>
    </row>
    <row r="131" spans="1:7" x14ac:dyDescent="0.3">
      <c r="A131" s="454" t="s">
        <v>366</v>
      </c>
      <c r="B131" s="433" t="s">
        <v>344</v>
      </c>
      <c r="C131" s="433" t="s">
        <v>345</v>
      </c>
      <c r="D131" s="433" t="s">
        <v>367</v>
      </c>
      <c r="E131" s="433" t="s">
        <v>368</v>
      </c>
      <c r="F131" s="433" t="s">
        <v>369</v>
      </c>
      <c r="G131" s="433" t="s">
        <v>370</v>
      </c>
    </row>
    <row r="132" spans="1:7" x14ac:dyDescent="0.3">
      <c r="A132" s="454">
        <v>1</v>
      </c>
      <c r="B132" s="434">
        <v>0</v>
      </c>
      <c r="C132" s="434">
        <v>0</v>
      </c>
      <c r="D132" s="434">
        <v>0</v>
      </c>
      <c r="E132" s="434">
        <v>57.1</v>
      </c>
      <c r="F132" s="434">
        <v>69.599999999999994</v>
      </c>
      <c r="G132" s="434">
        <v>80.3</v>
      </c>
    </row>
    <row r="133" spans="1:7" x14ac:dyDescent="0.3">
      <c r="A133" s="454">
        <v>2</v>
      </c>
      <c r="B133" s="434"/>
      <c r="C133" s="434"/>
      <c r="D133" s="434"/>
      <c r="E133" s="434">
        <v>25.8</v>
      </c>
      <c r="F133" s="434">
        <v>64</v>
      </c>
      <c r="G133" s="434">
        <v>108.4</v>
      </c>
    </row>
    <row r="134" spans="1:7" x14ac:dyDescent="0.3">
      <c r="A134" s="454">
        <v>3</v>
      </c>
      <c r="B134" s="434"/>
      <c r="C134" s="434"/>
      <c r="D134" s="434"/>
      <c r="E134" s="434">
        <v>26.7</v>
      </c>
      <c r="F134" s="434">
        <v>73</v>
      </c>
      <c r="G134" s="434">
        <v>108.5</v>
      </c>
    </row>
    <row r="135" spans="1:7" x14ac:dyDescent="0.3">
      <c r="A135" s="454">
        <v>4</v>
      </c>
      <c r="B135" s="434"/>
      <c r="C135" s="434"/>
      <c r="D135" s="434"/>
      <c r="E135" s="434">
        <v>54.7</v>
      </c>
      <c r="F135" s="434">
        <v>68.7</v>
      </c>
      <c r="G135" s="434">
        <v>116.4</v>
      </c>
    </row>
    <row r="136" spans="1:7" x14ac:dyDescent="0.3">
      <c r="A136" s="454">
        <v>5</v>
      </c>
      <c r="B136" s="434"/>
      <c r="C136" s="434"/>
      <c r="D136" s="434"/>
      <c r="E136" s="434"/>
      <c r="F136" s="434">
        <v>73.8</v>
      </c>
      <c r="G136" s="434">
        <v>88.3</v>
      </c>
    </row>
    <row r="137" spans="1:7" x14ac:dyDescent="0.3">
      <c r="A137" s="442"/>
      <c r="B137" s="443"/>
      <c r="C137" s="443"/>
      <c r="D137" s="443"/>
      <c r="E137" s="443"/>
      <c r="F137" s="443"/>
      <c r="G137" s="443"/>
    </row>
    <row r="138" spans="1:7" x14ac:dyDescent="0.3">
      <c r="A138" s="442"/>
      <c r="B138" s="443"/>
      <c r="C138" s="443"/>
      <c r="D138" s="443"/>
      <c r="E138" s="441"/>
      <c r="F138" s="443"/>
      <c r="G138" s="443"/>
    </row>
    <row r="139" spans="1:7" x14ac:dyDescent="0.3">
      <c r="A139" s="442"/>
      <c r="B139" s="443"/>
      <c r="C139" s="443"/>
      <c r="D139" s="443"/>
      <c r="E139" s="441"/>
      <c r="F139" s="441"/>
      <c r="G139" s="443"/>
    </row>
    <row r="140" spans="1:7" x14ac:dyDescent="0.3">
      <c r="A140" s="442"/>
      <c r="B140" s="443"/>
      <c r="C140" s="443"/>
      <c r="D140" s="443"/>
      <c r="E140" s="441"/>
      <c r="F140" s="441"/>
      <c r="G140" s="441"/>
    </row>
    <row r="141" spans="1:7" x14ac:dyDescent="0.3">
      <c r="A141" s="668" t="s">
        <v>160</v>
      </c>
      <c r="B141" s="666" t="s">
        <v>161</v>
      </c>
      <c r="C141" s="667"/>
      <c r="D141" s="666" t="s">
        <v>162</v>
      </c>
      <c r="E141" s="667"/>
      <c r="F141" s="666" t="s">
        <v>163</v>
      </c>
      <c r="G141" s="667"/>
    </row>
    <row r="142" spans="1:7" x14ac:dyDescent="0.3">
      <c r="A142" s="669"/>
      <c r="B142" s="432" t="s">
        <v>164</v>
      </c>
      <c r="C142" s="432" t="s">
        <v>165</v>
      </c>
      <c r="D142" s="432" t="s">
        <v>164</v>
      </c>
      <c r="E142" s="432" t="s">
        <v>165</v>
      </c>
      <c r="F142" s="432" t="s">
        <v>164</v>
      </c>
      <c r="G142" s="432" t="s">
        <v>165</v>
      </c>
    </row>
    <row r="143" spans="1:7" x14ac:dyDescent="0.3">
      <c r="A143" s="433" t="s">
        <v>353</v>
      </c>
      <c r="B143" s="435">
        <f>ROUNDDOWN(AVERAGE(B6:D11),1)</f>
        <v>0</v>
      </c>
      <c r="C143" s="435">
        <f>ROUNDDOWN(AVERAGE(E6:G11),1)</f>
        <v>76.599999999999994</v>
      </c>
      <c r="D143" s="432">
        <v>0</v>
      </c>
      <c r="E143" s="432">
        <v>5586</v>
      </c>
      <c r="F143" s="432">
        <f>B143*D143</f>
        <v>0</v>
      </c>
      <c r="G143" s="432">
        <f>C143*E143</f>
        <v>427887.6</v>
      </c>
    </row>
    <row r="144" spans="1:7" x14ac:dyDescent="0.3">
      <c r="A144" s="433" t="s">
        <v>354</v>
      </c>
      <c r="B144" s="435">
        <f>ROUNDDOWN(AVERAGE(B15:D20),1)</f>
        <v>0</v>
      </c>
      <c r="C144" s="435">
        <f>ROUNDDOWN(AVERAGE(E15:G20),1)</f>
        <v>74.3</v>
      </c>
      <c r="D144" s="432">
        <v>0</v>
      </c>
      <c r="E144" s="432">
        <v>6981</v>
      </c>
      <c r="F144" s="432">
        <f t="shared" ref="F144:G152" si="0">B144*D144</f>
        <v>0</v>
      </c>
      <c r="G144" s="432">
        <f t="shared" si="0"/>
        <v>518688.3</v>
      </c>
    </row>
    <row r="145" spans="1:7" x14ac:dyDescent="0.3">
      <c r="A145" s="433" t="s">
        <v>355</v>
      </c>
      <c r="B145" s="435">
        <f>ROUNDDOWN(AVERAGE(B24:D38),1)</f>
        <v>56.2</v>
      </c>
      <c r="C145" s="435">
        <f>ROUNDDOWN(AVERAGE(E24:G38),1)</f>
        <v>78.2</v>
      </c>
      <c r="D145" s="432">
        <v>16871</v>
      </c>
      <c r="E145" s="432">
        <v>13898</v>
      </c>
      <c r="F145" s="432">
        <f t="shared" si="0"/>
        <v>948150.20000000007</v>
      </c>
      <c r="G145" s="432">
        <f t="shared" si="0"/>
        <v>1086823.6000000001</v>
      </c>
    </row>
    <row r="146" spans="1:7" x14ac:dyDescent="0.3">
      <c r="A146" s="433" t="s">
        <v>356</v>
      </c>
      <c r="B146" s="435">
        <f>ROUNDDOWN(AVERAGE(B42:D56),1)</f>
        <v>56.7</v>
      </c>
      <c r="C146" s="435">
        <f>ROUNDDOWN(AVERAGE(E42:G56),1)</f>
        <v>75.599999999999994</v>
      </c>
      <c r="D146" s="432">
        <v>16520</v>
      </c>
      <c r="E146" s="432">
        <v>15146</v>
      </c>
      <c r="F146" s="432">
        <f t="shared" si="0"/>
        <v>936684</v>
      </c>
      <c r="G146" s="432">
        <f t="shared" si="0"/>
        <v>1145037.5999999999</v>
      </c>
    </row>
    <row r="147" spans="1:7" x14ac:dyDescent="0.3">
      <c r="A147" s="433" t="s">
        <v>357</v>
      </c>
      <c r="B147" s="435">
        <f>ROUNDDOWN(AVERAGE(B60:D68),1)</f>
        <v>54.4</v>
      </c>
      <c r="C147" s="435">
        <f>ROUNDDOWN(AVERAGE(E60:G68),1)</f>
        <v>76.2</v>
      </c>
      <c r="D147" s="432">
        <v>10059</v>
      </c>
      <c r="E147" s="432">
        <v>6470</v>
      </c>
      <c r="F147" s="432">
        <f t="shared" si="0"/>
        <v>547209.6</v>
      </c>
      <c r="G147" s="432">
        <f t="shared" si="0"/>
        <v>493014</v>
      </c>
    </row>
    <row r="148" spans="1:7" x14ac:dyDescent="0.3">
      <c r="A148" s="433" t="s">
        <v>358</v>
      </c>
      <c r="B148" s="435">
        <f>ROUNDDOWN(AVERAGE(B72:D90),1)</f>
        <v>55.7</v>
      </c>
      <c r="C148" s="435">
        <f>ROUNDDOWN(AVERAGE(E72:G90),1)</f>
        <v>72.5</v>
      </c>
      <c r="D148" s="432">
        <v>20494</v>
      </c>
      <c r="E148" s="432">
        <v>19307</v>
      </c>
      <c r="F148" s="432">
        <f t="shared" si="0"/>
        <v>1141515.8</v>
      </c>
      <c r="G148" s="432">
        <f t="shared" si="0"/>
        <v>1399757.5</v>
      </c>
    </row>
    <row r="149" spans="1:7" x14ac:dyDescent="0.3">
      <c r="A149" s="433" t="s">
        <v>359</v>
      </c>
      <c r="B149" s="435">
        <f>ROUNDDOWN(AVERAGE(B94:D108),1)</f>
        <v>57.8</v>
      </c>
      <c r="C149" s="435">
        <f>ROUNDDOWN(AVERAGE(E94:G108),1)</f>
        <v>73.3</v>
      </c>
      <c r="D149" s="432">
        <v>16458</v>
      </c>
      <c r="E149" s="432">
        <v>13963</v>
      </c>
      <c r="F149" s="432">
        <f t="shared" si="0"/>
        <v>951272.39999999991</v>
      </c>
      <c r="G149" s="432">
        <f t="shared" si="0"/>
        <v>1023487.8999999999</v>
      </c>
    </row>
    <row r="150" spans="1:7" x14ac:dyDescent="0.3">
      <c r="A150" s="433" t="s">
        <v>360</v>
      </c>
      <c r="B150" s="435">
        <f>ROUNDDOWN(AVERAGE(B112:D116),1)</f>
        <v>0</v>
      </c>
      <c r="C150" s="435">
        <f>ROUNDDOWN(AVERAGE(E112:G116),1)</f>
        <v>76.5</v>
      </c>
      <c r="D150" s="432">
        <v>0</v>
      </c>
      <c r="E150" s="432">
        <v>4983</v>
      </c>
      <c r="F150" s="432">
        <f t="shared" si="0"/>
        <v>0</v>
      </c>
      <c r="G150" s="432">
        <f t="shared" si="0"/>
        <v>381199.5</v>
      </c>
    </row>
    <row r="151" spans="1:7" x14ac:dyDescent="0.3">
      <c r="A151" s="433" t="s">
        <v>361</v>
      </c>
      <c r="B151" s="435">
        <f>ROUNDDOWN(AVERAGE(B120:D128),1)</f>
        <v>57.3</v>
      </c>
      <c r="C151" s="435">
        <f>ROUNDDOWN(AVERAGE(E120:G128),1)</f>
        <v>76.2</v>
      </c>
      <c r="D151" s="432">
        <v>9275</v>
      </c>
      <c r="E151" s="432">
        <v>5950</v>
      </c>
      <c r="F151" s="432">
        <f t="shared" si="0"/>
        <v>531457.5</v>
      </c>
      <c r="G151" s="432">
        <f t="shared" si="0"/>
        <v>453390</v>
      </c>
    </row>
    <row r="152" spans="1:7" x14ac:dyDescent="0.3">
      <c r="A152" s="433" t="s">
        <v>362</v>
      </c>
      <c r="B152" s="435">
        <f>ROUNDDOWN(AVERAGE(B132:D136),1)</f>
        <v>0</v>
      </c>
      <c r="C152" s="435">
        <f>ROUNDDOWN(AVERAGE(E132:G136),1)</f>
        <v>72.5</v>
      </c>
      <c r="D152" s="432">
        <v>0</v>
      </c>
      <c r="E152" s="432">
        <v>6014</v>
      </c>
      <c r="F152" s="432">
        <f t="shared" si="0"/>
        <v>0</v>
      </c>
      <c r="G152" s="432">
        <f t="shared" si="0"/>
        <v>436015</v>
      </c>
    </row>
    <row r="153" spans="1:7" x14ac:dyDescent="0.3">
      <c r="A153" s="433" t="s">
        <v>166</v>
      </c>
      <c r="B153" s="433"/>
      <c r="C153" s="433"/>
      <c r="D153" s="432">
        <f>SUM(D143:D152)</f>
        <v>89677</v>
      </c>
      <c r="E153" s="432">
        <f>SUM(E143:E152)</f>
        <v>98298</v>
      </c>
      <c r="F153" s="432">
        <f>SUM(F143:F152)</f>
        <v>5056289.5</v>
      </c>
      <c r="G153" s="432">
        <f>SUM(G143:G152)</f>
        <v>7365301</v>
      </c>
    </row>
    <row r="154" spans="1:7" x14ac:dyDescent="0.3">
      <c r="A154" s="441"/>
      <c r="B154" s="441"/>
      <c r="C154" s="441"/>
      <c r="D154" s="442"/>
      <c r="E154" s="442"/>
      <c r="F154" s="442"/>
      <c r="G154" s="442"/>
    </row>
    <row r="156" spans="1:7" x14ac:dyDescent="0.3">
      <c r="C156" s="666" t="s">
        <v>167</v>
      </c>
      <c r="D156" s="667"/>
    </row>
    <row r="157" spans="1:7" x14ac:dyDescent="0.3">
      <c r="C157" s="432" t="s">
        <v>164</v>
      </c>
      <c r="D157" s="432" t="s">
        <v>165</v>
      </c>
    </row>
    <row r="158" spans="1:7" x14ac:dyDescent="0.3">
      <c r="C158" s="436">
        <f>ROUNDDOWN(F153/D153,1)</f>
        <v>56.3</v>
      </c>
      <c r="D158" s="437">
        <f>ROUNDDOWN(G153/E153,1)</f>
        <v>74.900000000000006</v>
      </c>
    </row>
  </sheetData>
  <mergeCells count="37">
    <mergeCell ref="C156:D156"/>
    <mergeCell ref="B130:D130"/>
    <mergeCell ref="E130:G130"/>
    <mergeCell ref="A141:A142"/>
    <mergeCell ref="B141:C141"/>
    <mergeCell ref="D141:E141"/>
    <mergeCell ref="F141:G141"/>
    <mergeCell ref="A129:G129"/>
    <mergeCell ref="B70:D70"/>
    <mergeCell ref="E70:G70"/>
    <mergeCell ref="A91:G91"/>
    <mergeCell ref="B92:D92"/>
    <mergeCell ref="E92:G92"/>
    <mergeCell ref="A109:G109"/>
    <mergeCell ref="B110:D110"/>
    <mergeCell ref="E110:G110"/>
    <mergeCell ref="A117:G117"/>
    <mergeCell ref="B118:D118"/>
    <mergeCell ref="E118:G118"/>
    <mergeCell ref="A69:G69"/>
    <mergeCell ref="B13:D13"/>
    <mergeCell ref="E13:G13"/>
    <mergeCell ref="A21:G21"/>
    <mergeCell ref="B22:D22"/>
    <mergeCell ref="E22:G22"/>
    <mergeCell ref="A39:G39"/>
    <mergeCell ref="B40:D40"/>
    <mergeCell ref="E40:G40"/>
    <mergeCell ref="A57:G57"/>
    <mergeCell ref="B58:D58"/>
    <mergeCell ref="E58:G58"/>
    <mergeCell ref="A12:G12"/>
    <mergeCell ref="A1:G1"/>
    <mergeCell ref="A2:G2"/>
    <mergeCell ref="A3:G3"/>
    <mergeCell ref="B4:D4"/>
    <mergeCell ref="E4:G4"/>
  </mergeCells>
  <phoneticPr fontId="11" type="noConversion"/>
  <pageMargins left="0.7" right="0.7" top="0.75" bottom="0.75" header="0.3" footer="0.3"/>
  <pageSetup paperSize="9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5474A-A26D-4BBC-A164-453A7E1FBDBF}">
  <dimension ref="A1:I158"/>
  <sheetViews>
    <sheetView zoomScale="80" zoomScaleNormal="80" workbookViewId="0">
      <selection activeCell="E8" sqref="E8"/>
    </sheetView>
  </sheetViews>
  <sheetFormatPr defaultColWidth="8.7265625" defaultRowHeight="14" x14ac:dyDescent="0.3"/>
  <cols>
    <col min="1" max="1" width="22.453125" style="395" customWidth="1"/>
    <col min="2" max="2" width="16.26953125" style="395" bestFit="1" customWidth="1"/>
    <col min="3" max="3" width="22.90625" style="395" bestFit="1" customWidth="1"/>
    <col min="4" max="4" width="22.6328125" style="395" bestFit="1" customWidth="1"/>
    <col min="5" max="5" width="21.453125" style="395" bestFit="1" customWidth="1"/>
    <col min="6" max="6" width="23.453125" style="395" bestFit="1" customWidth="1"/>
    <col min="7" max="7" width="23.08984375" style="395" bestFit="1" customWidth="1"/>
    <col min="8" max="8" width="14.81640625" style="395" customWidth="1"/>
    <col min="9" max="16384" width="8.7265625" style="395"/>
  </cols>
  <sheetData>
    <row r="1" spans="1:9" x14ac:dyDescent="0.3">
      <c r="A1" s="657" t="s">
        <v>322</v>
      </c>
      <c r="B1" s="658"/>
      <c r="C1" s="658"/>
      <c r="D1" s="658"/>
      <c r="E1" s="658"/>
      <c r="F1" s="658"/>
      <c r="G1" s="659"/>
    </row>
    <row r="2" spans="1:9" ht="33" customHeight="1" x14ac:dyDescent="0.3">
      <c r="A2" s="660" t="s">
        <v>375</v>
      </c>
      <c r="B2" s="661"/>
      <c r="C2" s="661"/>
      <c r="D2" s="661"/>
      <c r="E2" s="661"/>
      <c r="F2" s="661"/>
      <c r="G2" s="662"/>
    </row>
    <row r="3" spans="1:9" x14ac:dyDescent="0.3">
      <c r="A3" s="663" t="s">
        <v>353</v>
      </c>
      <c r="B3" s="663"/>
      <c r="C3" s="663"/>
      <c r="D3" s="663"/>
      <c r="E3" s="663"/>
      <c r="F3" s="663"/>
      <c r="G3" s="663"/>
    </row>
    <row r="4" spans="1:9" x14ac:dyDescent="0.3">
      <c r="A4" s="396"/>
      <c r="B4" s="674" t="s">
        <v>364</v>
      </c>
      <c r="C4" s="674"/>
      <c r="D4" s="674"/>
      <c r="E4" s="674" t="s">
        <v>365</v>
      </c>
      <c r="F4" s="674"/>
      <c r="G4" s="674"/>
    </row>
    <row r="5" spans="1:9" x14ac:dyDescent="0.3">
      <c r="A5" s="454" t="s">
        <v>366</v>
      </c>
      <c r="B5" s="433" t="s">
        <v>344</v>
      </c>
      <c r="C5" s="433" t="s">
        <v>345</v>
      </c>
      <c r="D5" s="433" t="s">
        <v>367</v>
      </c>
      <c r="E5" s="433" t="s">
        <v>368</v>
      </c>
      <c r="F5" s="433" t="s">
        <v>369</v>
      </c>
      <c r="G5" s="433" t="s">
        <v>370</v>
      </c>
      <c r="H5" s="440"/>
      <c r="I5" s="441"/>
    </row>
    <row r="6" spans="1:9" x14ac:dyDescent="0.3">
      <c r="A6" s="454">
        <v>1</v>
      </c>
      <c r="B6" s="434">
        <v>0</v>
      </c>
      <c r="C6" s="434">
        <v>0</v>
      </c>
      <c r="D6" s="434">
        <v>0</v>
      </c>
      <c r="E6" s="434">
        <v>26.7</v>
      </c>
      <c r="F6" s="434">
        <v>73.599999999999994</v>
      </c>
      <c r="G6" s="434">
        <v>84.1</v>
      </c>
    </row>
    <row r="7" spans="1:9" x14ac:dyDescent="0.3">
      <c r="A7" s="454">
        <v>2</v>
      </c>
      <c r="B7" s="434"/>
      <c r="C7" s="434"/>
      <c r="D7" s="434"/>
      <c r="E7" s="434">
        <v>26.9</v>
      </c>
      <c r="F7" s="434">
        <v>75.400000000000006</v>
      </c>
      <c r="G7" s="434">
        <v>116.3</v>
      </c>
    </row>
    <row r="8" spans="1:9" x14ac:dyDescent="0.3">
      <c r="A8" s="454">
        <v>3</v>
      </c>
      <c r="B8" s="434"/>
      <c r="C8" s="434"/>
      <c r="D8" s="434"/>
      <c r="E8" s="434">
        <v>41.6</v>
      </c>
      <c r="F8" s="434">
        <v>77.5</v>
      </c>
      <c r="G8" s="434">
        <v>109.3</v>
      </c>
    </row>
    <row r="9" spans="1:9" x14ac:dyDescent="0.3">
      <c r="A9" s="454">
        <v>4</v>
      </c>
      <c r="B9" s="434"/>
      <c r="C9" s="434"/>
      <c r="D9" s="434"/>
      <c r="E9" s="434"/>
      <c r="F9" s="434">
        <v>68</v>
      </c>
      <c r="G9" s="434">
        <v>119</v>
      </c>
    </row>
    <row r="10" spans="1:9" x14ac:dyDescent="0.3">
      <c r="A10" s="454">
        <v>5</v>
      </c>
      <c r="B10" s="434"/>
      <c r="C10" s="434"/>
      <c r="D10" s="434"/>
      <c r="E10" s="434"/>
      <c r="F10" s="434">
        <v>68.2</v>
      </c>
      <c r="G10" s="434">
        <v>114.6</v>
      </c>
    </row>
    <row r="11" spans="1:9" x14ac:dyDescent="0.3">
      <c r="A11" s="454">
        <v>6</v>
      </c>
      <c r="B11" s="434"/>
      <c r="C11" s="434"/>
      <c r="D11" s="434"/>
      <c r="E11" s="434"/>
      <c r="F11" s="434"/>
      <c r="G11" s="434">
        <v>101.8</v>
      </c>
    </row>
    <row r="12" spans="1:9" x14ac:dyDescent="0.3">
      <c r="A12" s="670" t="s">
        <v>354</v>
      </c>
      <c r="B12" s="670"/>
      <c r="C12" s="670"/>
      <c r="D12" s="670"/>
      <c r="E12" s="670"/>
      <c r="F12" s="670"/>
      <c r="G12" s="670"/>
    </row>
    <row r="13" spans="1:9" x14ac:dyDescent="0.3">
      <c r="A13" s="396"/>
      <c r="B13" s="674" t="s">
        <v>364</v>
      </c>
      <c r="C13" s="674"/>
      <c r="D13" s="674"/>
      <c r="E13" s="674" t="s">
        <v>365</v>
      </c>
      <c r="F13" s="674"/>
      <c r="G13" s="674"/>
    </row>
    <row r="14" spans="1:9" x14ac:dyDescent="0.3">
      <c r="A14" s="454" t="s">
        <v>366</v>
      </c>
      <c r="B14" s="433" t="s">
        <v>344</v>
      </c>
      <c r="C14" s="433" t="s">
        <v>345</v>
      </c>
      <c r="D14" s="433" t="s">
        <v>367</v>
      </c>
      <c r="E14" s="433" t="s">
        <v>368</v>
      </c>
      <c r="F14" s="433" t="s">
        <v>369</v>
      </c>
      <c r="G14" s="433" t="s">
        <v>370</v>
      </c>
    </row>
    <row r="15" spans="1:9" x14ac:dyDescent="0.3">
      <c r="A15" s="454">
        <v>1</v>
      </c>
      <c r="B15" s="434">
        <v>0</v>
      </c>
      <c r="C15" s="434">
        <v>0</v>
      </c>
      <c r="D15" s="434">
        <v>0</v>
      </c>
      <c r="E15" s="434">
        <v>33.5</v>
      </c>
      <c r="F15" s="434">
        <v>75.599999999999994</v>
      </c>
      <c r="G15" s="434">
        <v>85</v>
      </c>
    </row>
    <row r="16" spans="1:9" x14ac:dyDescent="0.3">
      <c r="A16" s="454">
        <v>2</v>
      </c>
      <c r="B16" s="434"/>
      <c r="C16" s="434"/>
      <c r="D16" s="434"/>
      <c r="E16" s="434">
        <v>29.5</v>
      </c>
      <c r="F16" s="434">
        <v>76</v>
      </c>
      <c r="G16" s="434">
        <v>117.6</v>
      </c>
    </row>
    <row r="17" spans="1:7" x14ac:dyDescent="0.3">
      <c r="A17" s="454">
        <v>3</v>
      </c>
      <c r="B17" s="434"/>
      <c r="C17" s="434"/>
      <c r="D17" s="434"/>
      <c r="E17" s="434">
        <v>34.200000000000003</v>
      </c>
      <c r="F17" s="434">
        <v>65</v>
      </c>
      <c r="G17" s="434">
        <v>82.7</v>
      </c>
    </row>
    <row r="18" spans="1:7" x14ac:dyDescent="0.3">
      <c r="A18" s="454">
        <v>4</v>
      </c>
      <c r="B18" s="434"/>
      <c r="C18" s="434"/>
      <c r="D18" s="434"/>
      <c r="E18" s="434">
        <v>26.2</v>
      </c>
      <c r="F18" s="434">
        <v>72.099999999999994</v>
      </c>
      <c r="G18" s="434">
        <v>109.6</v>
      </c>
    </row>
    <row r="19" spans="1:7" x14ac:dyDescent="0.3">
      <c r="A19" s="454">
        <v>5</v>
      </c>
      <c r="B19" s="434"/>
      <c r="C19" s="434"/>
      <c r="D19" s="434"/>
      <c r="E19" s="434"/>
      <c r="F19" s="434">
        <v>77.400000000000006</v>
      </c>
      <c r="G19" s="434">
        <v>103</v>
      </c>
    </row>
    <row r="20" spans="1:7" x14ac:dyDescent="0.3">
      <c r="A20" s="454">
        <v>6</v>
      </c>
      <c r="B20" s="434"/>
      <c r="C20" s="434"/>
      <c r="D20" s="434"/>
      <c r="E20" s="434"/>
      <c r="F20" s="434">
        <v>61.4</v>
      </c>
      <c r="G20" s="434">
        <v>100</v>
      </c>
    </row>
    <row r="21" spans="1:7" x14ac:dyDescent="0.3">
      <c r="A21" s="663" t="s">
        <v>355</v>
      </c>
      <c r="B21" s="663"/>
      <c r="C21" s="663"/>
      <c r="D21" s="663"/>
      <c r="E21" s="663"/>
      <c r="F21" s="663"/>
      <c r="G21" s="663"/>
    </row>
    <row r="22" spans="1:7" x14ac:dyDescent="0.3">
      <c r="A22" s="396"/>
      <c r="B22" s="674" t="s">
        <v>364</v>
      </c>
      <c r="C22" s="674"/>
      <c r="D22" s="674"/>
      <c r="E22" s="674" t="s">
        <v>365</v>
      </c>
      <c r="F22" s="674"/>
      <c r="G22" s="674"/>
    </row>
    <row r="23" spans="1:7" x14ac:dyDescent="0.3">
      <c r="A23" s="454" t="s">
        <v>366</v>
      </c>
      <c r="B23" s="433" t="s">
        <v>344</v>
      </c>
      <c r="C23" s="433" t="s">
        <v>345</v>
      </c>
      <c r="D23" s="433" t="s">
        <v>367</v>
      </c>
      <c r="E23" s="433" t="s">
        <v>368</v>
      </c>
      <c r="F23" s="433" t="s">
        <v>369</v>
      </c>
      <c r="G23" s="433" t="s">
        <v>370</v>
      </c>
    </row>
    <row r="24" spans="1:7" x14ac:dyDescent="0.3">
      <c r="A24" s="454">
        <v>1</v>
      </c>
      <c r="B24" s="434">
        <v>35.1</v>
      </c>
      <c r="C24" s="434">
        <v>61.9</v>
      </c>
      <c r="D24" s="434">
        <v>89.7</v>
      </c>
      <c r="E24" s="434">
        <v>35.9</v>
      </c>
      <c r="F24" s="434">
        <v>77.599999999999994</v>
      </c>
      <c r="G24" s="434">
        <v>113.8</v>
      </c>
    </row>
    <row r="25" spans="1:7" x14ac:dyDescent="0.3">
      <c r="A25" s="454">
        <v>2</v>
      </c>
      <c r="B25" s="434">
        <v>21.6</v>
      </c>
      <c r="C25" s="434">
        <v>56.1</v>
      </c>
      <c r="D25" s="434">
        <v>82.3</v>
      </c>
      <c r="E25" s="434">
        <v>59.4</v>
      </c>
      <c r="F25" s="434">
        <v>69.900000000000006</v>
      </c>
      <c r="G25" s="434">
        <v>109</v>
      </c>
    </row>
    <row r="26" spans="1:7" x14ac:dyDescent="0.3">
      <c r="A26" s="454">
        <v>3</v>
      </c>
      <c r="B26" s="434">
        <v>16</v>
      </c>
      <c r="C26" s="434">
        <v>54.4</v>
      </c>
      <c r="D26" s="434">
        <v>98.5</v>
      </c>
      <c r="E26" s="434">
        <v>27.4</v>
      </c>
      <c r="F26" s="434">
        <v>78.5</v>
      </c>
      <c r="G26" s="434">
        <v>80.3</v>
      </c>
    </row>
    <row r="27" spans="1:7" x14ac:dyDescent="0.3">
      <c r="A27" s="454">
        <v>4</v>
      </c>
      <c r="B27" s="434">
        <v>18.7</v>
      </c>
      <c r="C27" s="434">
        <v>37</v>
      </c>
      <c r="D27" s="434">
        <v>84</v>
      </c>
      <c r="E27" s="434">
        <v>32.4</v>
      </c>
      <c r="F27" s="434">
        <v>79.099999999999994</v>
      </c>
      <c r="G27" s="434">
        <v>97.2</v>
      </c>
    </row>
    <row r="28" spans="1:7" x14ac:dyDescent="0.3">
      <c r="A28" s="454">
        <v>5</v>
      </c>
      <c r="B28" s="434">
        <v>21.7</v>
      </c>
      <c r="C28" s="434">
        <v>65.7</v>
      </c>
      <c r="D28" s="434">
        <v>80.099999999999994</v>
      </c>
      <c r="E28" s="434">
        <v>41.6</v>
      </c>
      <c r="F28" s="434">
        <v>68.5</v>
      </c>
      <c r="G28" s="434">
        <v>113.9</v>
      </c>
    </row>
    <row r="29" spans="1:7" x14ac:dyDescent="0.3">
      <c r="A29" s="454">
        <v>6</v>
      </c>
      <c r="B29" s="434">
        <v>23.8</v>
      </c>
      <c r="C29" s="434">
        <v>60.8</v>
      </c>
      <c r="D29" s="434">
        <v>95.1</v>
      </c>
      <c r="E29" s="434">
        <v>56.8</v>
      </c>
      <c r="F29" s="434">
        <v>75.400000000000006</v>
      </c>
      <c r="G29" s="434">
        <v>102.4</v>
      </c>
    </row>
    <row r="30" spans="1:7" x14ac:dyDescent="0.3">
      <c r="A30" s="454">
        <v>7</v>
      </c>
      <c r="B30" s="434">
        <v>25.6</v>
      </c>
      <c r="C30" s="434">
        <v>48.7</v>
      </c>
      <c r="D30" s="434">
        <v>76.400000000000006</v>
      </c>
      <c r="E30" s="434">
        <v>29.8</v>
      </c>
      <c r="F30" s="434">
        <v>66.400000000000006</v>
      </c>
      <c r="G30" s="434">
        <v>120</v>
      </c>
    </row>
    <row r="31" spans="1:7" x14ac:dyDescent="0.3">
      <c r="A31" s="454">
        <v>8</v>
      </c>
      <c r="B31" s="434">
        <v>24.6</v>
      </c>
      <c r="C31" s="434">
        <v>39.700000000000003</v>
      </c>
      <c r="D31" s="434">
        <v>76</v>
      </c>
      <c r="E31" s="434"/>
      <c r="F31" s="434">
        <v>78.900000000000006</v>
      </c>
      <c r="G31" s="434">
        <v>99.6</v>
      </c>
    </row>
    <row r="32" spans="1:7" x14ac:dyDescent="0.3">
      <c r="A32" s="454">
        <v>9</v>
      </c>
      <c r="B32" s="434">
        <v>28.2</v>
      </c>
      <c r="C32" s="434">
        <v>62.2</v>
      </c>
      <c r="D32" s="434">
        <v>77.3</v>
      </c>
      <c r="E32" s="434"/>
      <c r="F32" s="434">
        <v>76.5</v>
      </c>
      <c r="G32" s="434">
        <v>112.8</v>
      </c>
    </row>
    <row r="33" spans="1:7" x14ac:dyDescent="0.3">
      <c r="A33" s="454">
        <v>10</v>
      </c>
      <c r="B33" s="434">
        <v>25</v>
      </c>
      <c r="C33" s="434">
        <v>60.7</v>
      </c>
      <c r="D33" s="434">
        <v>72</v>
      </c>
      <c r="E33" s="434"/>
      <c r="F33" s="434">
        <v>72.3</v>
      </c>
      <c r="G33" s="434">
        <v>107</v>
      </c>
    </row>
    <row r="34" spans="1:7" x14ac:dyDescent="0.3">
      <c r="A34" s="454">
        <v>11</v>
      </c>
      <c r="B34" s="434">
        <v>36.700000000000003</v>
      </c>
      <c r="C34" s="434">
        <v>55.8</v>
      </c>
      <c r="D34" s="434">
        <v>77.8</v>
      </c>
      <c r="E34" s="434"/>
      <c r="F34" s="434">
        <v>72</v>
      </c>
      <c r="G34" s="434">
        <v>81.3</v>
      </c>
    </row>
    <row r="35" spans="1:7" x14ac:dyDescent="0.3">
      <c r="A35" s="454">
        <v>12</v>
      </c>
      <c r="B35" s="434">
        <v>25.5</v>
      </c>
      <c r="C35" s="434">
        <v>46.1</v>
      </c>
      <c r="D35" s="434">
        <v>80.099999999999994</v>
      </c>
      <c r="E35" s="434"/>
      <c r="F35" s="434"/>
      <c r="G35" s="434">
        <v>102.8</v>
      </c>
    </row>
    <row r="36" spans="1:7" x14ac:dyDescent="0.3">
      <c r="A36" s="454">
        <v>13</v>
      </c>
      <c r="B36" s="434">
        <v>28.5</v>
      </c>
      <c r="C36" s="434">
        <v>46.8</v>
      </c>
      <c r="D36" s="434">
        <v>102.7</v>
      </c>
      <c r="E36" s="434"/>
      <c r="F36" s="434"/>
      <c r="G36" s="434"/>
    </row>
    <row r="37" spans="1:7" x14ac:dyDescent="0.3">
      <c r="A37" s="454">
        <v>14</v>
      </c>
      <c r="B37" s="434"/>
      <c r="C37" s="434">
        <v>49.7</v>
      </c>
      <c r="D37" s="434">
        <v>104.6</v>
      </c>
      <c r="E37" s="434"/>
      <c r="F37" s="434"/>
      <c r="G37" s="434"/>
    </row>
    <row r="38" spans="1:7" x14ac:dyDescent="0.3">
      <c r="A38" s="454">
        <v>15</v>
      </c>
      <c r="B38" s="434"/>
      <c r="C38" s="434">
        <v>49.1</v>
      </c>
      <c r="D38" s="434">
        <v>96.9</v>
      </c>
      <c r="E38" s="434"/>
      <c r="F38" s="434"/>
      <c r="G38" s="434"/>
    </row>
    <row r="39" spans="1:7" x14ac:dyDescent="0.3">
      <c r="A39" s="670" t="s">
        <v>356</v>
      </c>
      <c r="B39" s="670"/>
      <c r="C39" s="670"/>
      <c r="D39" s="663"/>
      <c r="E39" s="670"/>
      <c r="F39" s="670"/>
      <c r="G39" s="670"/>
    </row>
    <row r="40" spans="1:7" x14ac:dyDescent="0.3">
      <c r="A40" s="396"/>
      <c r="B40" s="674" t="s">
        <v>364</v>
      </c>
      <c r="C40" s="674"/>
      <c r="D40" s="674"/>
      <c r="E40" s="674" t="s">
        <v>365</v>
      </c>
      <c r="F40" s="674"/>
      <c r="G40" s="674"/>
    </row>
    <row r="41" spans="1:7" x14ac:dyDescent="0.3">
      <c r="A41" s="454" t="s">
        <v>366</v>
      </c>
      <c r="B41" s="433" t="s">
        <v>344</v>
      </c>
      <c r="C41" s="433" t="s">
        <v>345</v>
      </c>
      <c r="D41" s="433" t="s">
        <v>367</v>
      </c>
      <c r="E41" s="433" t="s">
        <v>368</v>
      </c>
      <c r="F41" s="433" t="s">
        <v>369</v>
      </c>
      <c r="G41" s="433" t="s">
        <v>370</v>
      </c>
    </row>
    <row r="42" spans="1:7" x14ac:dyDescent="0.3">
      <c r="A42" s="454">
        <v>1</v>
      </c>
      <c r="B42" s="434">
        <v>30</v>
      </c>
      <c r="C42" s="434">
        <v>43.1</v>
      </c>
      <c r="D42" s="434">
        <v>81.900000000000006</v>
      </c>
      <c r="E42" s="434">
        <v>29.9</v>
      </c>
      <c r="F42" s="434">
        <v>60.5</v>
      </c>
      <c r="G42" s="434">
        <v>116.7</v>
      </c>
    </row>
    <row r="43" spans="1:7" x14ac:dyDescent="0.3">
      <c r="A43" s="454">
        <v>2</v>
      </c>
      <c r="B43" s="434">
        <v>19.2</v>
      </c>
      <c r="C43" s="434">
        <v>45</v>
      </c>
      <c r="D43" s="434">
        <v>92</v>
      </c>
      <c r="E43" s="434">
        <v>56.4</v>
      </c>
      <c r="F43" s="434">
        <v>70.3</v>
      </c>
      <c r="G43" s="434">
        <v>92.9</v>
      </c>
    </row>
    <row r="44" spans="1:7" x14ac:dyDescent="0.3">
      <c r="A44" s="454">
        <v>3</v>
      </c>
      <c r="B44" s="434">
        <v>21</v>
      </c>
      <c r="C44" s="434">
        <v>41.4</v>
      </c>
      <c r="D44" s="434">
        <v>86.7</v>
      </c>
      <c r="E44" s="434">
        <v>51.2</v>
      </c>
      <c r="F44" s="434">
        <v>77.7</v>
      </c>
      <c r="G44" s="434">
        <v>119.1</v>
      </c>
    </row>
    <row r="45" spans="1:7" x14ac:dyDescent="0.3">
      <c r="A45" s="454">
        <v>4</v>
      </c>
      <c r="B45" s="434">
        <v>31.7</v>
      </c>
      <c r="C45" s="434">
        <v>57</v>
      </c>
      <c r="D45" s="434">
        <v>87.3</v>
      </c>
      <c r="E45" s="434">
        <v>45.5</v>
      </c>
      <c r="F45" s="434">
        <v>79</v>
      </c>
      <c r="G45" s="434">
        <v>100</v>
      </c>
    </row>
    <row r="46" spans="1:7" x14ac:dyDescent="0.3">
      <c r="A46" s="454">
        <v>5</v>
      </c>
      <c r="B46" s="434">
        <v>27.7</v>
      </c>
      <c r="C46" s="434">
        <v>38.9</v>
      </c>
      <c r="D46" s="434">
        <v>75</v>
      </c>
      <c r="E46" s="434">
        <v>47</v>
      </c>
      <c r="F46" s="434">
        <v>68.7</v>
      </c>
      <c r="G46" s="434">
        <v>95.1</v>
      </c>
    </row>
    <row r="47" spans="1:7" x14ac:dyDescent="0.3">
      <c r="A47" s="454">
        <v>6</v>
      </c>
      <c r="B47" s="434">
        <v>26.2</v>
      </c>
      <c r="C47" s="434">
        <v>61.1</v>
      </c>
      <c r="D47" s="434">
        <v>83.8</v>
      </c>
      <c r="E47" s="434">
        <v>51.1</v>
      </c>
      <c r="F47" s="434">
        <v>68</v>
      </c>
      <c r="G47" s="434">
        <v>90.8</v>
      </c>
    </row>
    <row r="48" spans="1:7" x14ac:dyDescent="0.3">
      <c r="A48" s="454">
        <v>7</v>
      </c>
      <c r="B48" s="434">
        <v>15.8</v>
      </c>
      <c r="C48" s="434">
        <v>68.3</v>
      </c>
      <c r="D48" s="434">
        <v>76.099999999999994</v>
      </c>
      <c r="E48" s="434">
        <v>26.6</v>
      </c>
      <c r="F48" s="434">
        <v>66.400000000000006</v>
      </c>
      <c r="G48" s="434">
        <v>97.6</v>
      </c>
    </row>
    <row r="49" spans="1:7" x14ac:dyDescent="0.3">
      <c r="A49" s="454">
        <v>8</v>
      </c>
      <c r="B49" s="434">
        <v>18.600000000000001</v>
      </c>
      <c r="C49" s="434">
        <v>49.3</v>
      </c>
      <c r="D49" s="434">
        <v>79.7</v>
      </c>
      <c r="E49" s="434"/>
      <c r="F49" s="434">
        <v>74.400000000000006</v>
      </c>
      <c r="G49" s="434">
        <v>83.9</v>
      </c>
    </row>
    <row r="50" spans="1:7" x14ac:dyDescent="0.3">
      <c r="A50" s="454">
        <v>9</v>
      </c>
      <c r="B50" s="434">
        <v>35.700000000000003</v>
      </c>
      <c r="C50" s="434">
        <v>38.4</v>
      </c>
      <c r="D50" s="434">
        <v>78.7</v>
      </c>
      <c r="E50" s="434"/>
      <c r="F50" s="434">
        <v>73.8</v>
      </c>
      <c r="G50" s="434">
        <v>111.1</v>
      </c>
    </row>
    <row r="51" spans="1:7" x14ac:dyDescent="0.3">
      <c r="A51" s="454">
        <v>10</v>
      </c>
      <c r="B51" s="434">
        <v>35.700000000000003</v>
      </c>
      <c r="C51" s="434">
        <v>45.1</v>
      </c>
      <c r="D51" s="434">
        <v>76.599999999999994</v>
      </c>
      <c r="E51" s="434"/>
      <c r="F51" s="434">
        <v>61.7</v>
      </c>
      <c r="G51" s="434">
        <v>93.2</v>
      </c>
    </row>
    <row r="52" spans="1:7" x14ac:dyDescent="0.3">
      <c r="A52" s="454">
        <v>11</v>
      </c>
      <c r="B52" s="434">
        <v>22.5</v>
      </c>
      <c r="C52" s="434">
        <v>67.400000000000006</v>
      </c>
      <c r="D52" s="434">
        <v>95</v>
      </c>
      <c r="E52" s="434"/>
      <c r="F52" s="434">
        <v>64.8</v>
      </c>
      <c r="G52" s="434">
        <v>115.3</v>
      </c>
    </row>
    <row r="53" spans="1:7" x14ac:dyDescent="0.3">
      <c r="A53" s="454">
        <v>12</v>
      </c>
      <c r="B53" s="434">
        <v>36.5</v>
      </c>
      <c r="C53" s="434">
        <v>63.3</v>
      </c>
      <c r="D53" s="434">
        <v>94.9</v>
      </c>
      <c r="E53" s="434"/>
      <c r="F53" s="434">
        <v>61.6</v>
      </c>
      <c r="G53" s="434">
        <v>105.2</v>
      </c>
    </row>
    <row r="54" spans="1:7" x14ac:dyDescent="0.3">
      <c r="A54" s="454">
        <v>13</v>
      </c>
      <c r="B54" s="434">
        <v>23.4</v>
      </c>
      <c r="C54" s="434">
        <v>55.9</v>
      </c>
      <c r="D54" s="434">
        <v>71.900000000000006</v>
      </c>
      <c r="E54" s="434"/>
      <c r="F54" s="434"/>
      <c r="G54" s="434">
        <v>89</v>
      </c>
    </row>
    <row r="55" spans="1:7" x14ac:dyDescent="0.3">
      <c r="A55" s="454">
        <v>14</v>
      </c>
      <c r="B55" s="434">
        <v>29.7</v>
      </c>
      <c r="C55" s="434">
        <v>41.7</v>
      </c>
      <c r="D55" s="434">
        <v>94.4</v>
      </c>
      <c r="E55" s="434"/>
      <c r="F55" s="434"/>
      <c r="G55" s="434">
        <v>105.9</v>
      </c>
    </row>
    <row r="56" spans="1:7" x14ac:dyDescent="0.3">
      <c r="A56" s="454">
        <v>15</v>
      </c>
      <c r="B56" s="434"/>
      <c r="C56" s="434"/>
      <c r="D56" s="434">
        <v>71.3</v>
      </c>
      <c r="E56" s="434"/>
      <c r="F56" s="434"/>
      <c r="G56" s="434"/>
    </row>
    <row r="57" spans="1:7" x14ac:dyDescent="0.3">
      <c r="A57" s="670" t="s">
        <v>357</v>
      </c>
      <c r="B57" s="670"/>
      <c r="C57" s="670"/>
      <c r="D57" s="663"/>
      <c r="E57" s="670"/>
      <c r="F57" s="670"/>
      <c r="G57" s="670"/>
    </row>
    <row r="58" spans="1:7" x14ac:dyDescent="0.3">
      <c r="A58" s="396"/>
      <c r="B58" s="674" t="s">
        <v>364</v>
      </c>
      <c r="C58" s="674"/>
      <c r="D58" s="674"/>
      <c r="E58" s="674" t="s">
        <v>365</v>
      </c>
      <c r="F58" s="674"/>
      <c r="G58" s="674"/>
    </row>
    <row r="59" spans="1:7" x14ac:dyDescent="0.3">
      <c r="A59" s="454" t="s">
        <v>366</v>
      </c>
      <c r="B59" s="433" t="s">
        <v>344</v>
      </c>
      <c r="C59" s="433" t="s">
        <v>345</v>
      </c>
      <c r="D59" s="433" t="s">
        <v>367</v>
      </c>
      <c r="E59" s="433" t="s">
        <v>368</v>
      </c>
      <c r="F59" s="433" t="s">
        <v>369</v>
      </c>
      <c r="G59" s="433" t="s">
        <v>370</v>
      </c>
    </row>
    <row r="60" spans="1:7" x14ac:dyDescent="0.3">
      <c r="A60" s="454">
        <v>1</v>
      </c>
      <c r="B60" s="434">
        <v>26.4</v>
      </c>
      <c r="C60" s="434">
        <v>61.9</v>
      </c>
      <c r="D60" s="434">
        <v>87.6</v>
      </c>
      <c r="E60" s="434">
        <v>52.3</v>
      </c>
      <c r="F60" s="434">
        <v>65.5</v>
      </c>
      <c r="G60" s="434">
        <v>86.6</v>
      </c>
    </row>
    <row r="61" spans="1:7" x14ac:dyDescent="0.3">
      <c r="A61" s="454">
        <v>2</v>
      </c>
      <c r="B61" s="434">
        <v>33.4</v>
      </c>
      <c r="C61" s="434">
        <v>63.6</v>
      </c>
      <c r="D61" s="434">
        <v>70.900000000000006</v>
      </c>
      <c r="E61" s="434">
        <v>59.8</v>
      </c>
      <c r="F61" s="434">
        <v>74</v>
      </c>
      <c r="G61" s="434">
        <v>94.3</v>
      </c>
    </row>
    <row r="62" spans="1:7" x14ac:dyDescent="0.3">
      <c r="A62" s="454">
        <v>3</v>
      </c>
      <c r="B62" s="434">
        <v>16.2</v>
      </c>
      <c r="C62" s="434">
        <v>61.4</v>
      </c>
      <c r="D62" s="434">
        <v>90.1</v>
      </c>
      <c r="E62" s="434">
        <v>57.7</v>
      </c>
      <c r="F62" s="434">
        <v>69.3</v>
      </c>
      <c r="G62" s="434">
        <v>105.2</v>
      </c>
    </row>
    <row r="63" spans="1:7" x14ac:dyDescent="0.3">
      <c r="A63" s="454">
        <v>4</v>
      </c>
      <c r="B63" s="434">
        <v>25.9</v>
      </c>
      <c r="C63" s="434">
        <v>58.2</v>
      </c>
      <c r="D63" s="434">
        <v>74.599999999999994</v>
      </c>
      <c r="E63" s="434">
        <v>29.5</v>
      </c>
      <c r="F63" s="434">
        <v>60.8</v>
      </c>
      <c r="G63" s="434">
        <v>109.5</v>
      </c>
    </row>
    <row r="64" spans="1:7" x14ac:dyDescent="0.3">
      <c r="A64" s="454">
        <v>5</v>
      </c>
      <c r="B64" s="434">
        <v>28.2</v>
      </c>
      <c r="C64" s="434">
        <v>40.6</v>
      </c>
      <c r="D64" s="434">
        <v>82.5</v>
      </c>
      <c r="E64" s="434"/>
      <c r="F64" s="434">
        <v>70.900000000000006</v>
      </c>
      <c r="G64" s="434">
        <v>96.6</v>
      </c>
    </row>
    <row r="65" spans="1:7" x14ac:dyDescent="0.3">
      <c r="A65" s="454">
        <v>6</v>
      </c>
      <c r="B65" s="434">
        <v>19.8</v>
      </c>
      <c r="C65" s="434">
        <v>48.6</v>
      </c>
      <c r="D65" s="434">
        <v>70.7</v>
      </c>
      <c r="E65" s="434"/>
      <c r="F65" s="434"/>
      <c r="G65" s="434">
        <v>106.8</v>
      </c>
    </row>
    <row r="66" spans="1:7" x14ac:dyDescent="0.3">
      <c r="A66" s="454">
        <v>7</v>
      </c>
      <c r="B66" s="434">
        <v>33.700000000000003</v>
      </c>
      <c r="C66" s="434">
        <v>41.5</v>
      </c>
      <c r="D66" s="434">
        <v>79.5</v>
      </c>
      <c r="E66" s="434"/>
      <c r="F66" s="434"/>
      <c r="G66" s="434"/>
    </row>
    <row r="67" spans="1:7" x14ac:dyDescent="0.3">
      <c r="A67" s="454">
        <v>8</v>
      </c>
      <c r="B67" s="434">
        <v>24.7</v>
      </c>
      <c r="C67" s="434">
        <v>45.8</v>
      </c>
      <c r="D67" s="434">
        <v>98.8</v>
      </c>
      <c r="E67" s="434"/>
      <c r="F67" s="434"/>
      <c r="G67" s="434"/>
    </row>
    <row r="68" spans="1:7" x14ac:dyDescent="0.3">
      <c r="A68" s="454">
        <v>9</v>
      </c>
      <c r="B68" s="434">
        <v>33.1</v>
      </c>
      <c r="C68" s="434"/>
      <c r="D68" s="434">
        <v>84</v>
      </c>
      <c r="E68" s="433"/>
      <c r="F68" s="434"/>
      <c r="G68" s="434"/>
    </row>
    <row r="69" spans="1:7" x14ac:dyDescent="0.3">
      <c r="A69" s="670" t="s">
        <v>358</v>
      </c>
      <c r="B69" s="670"/>
      <c r="C69" s="670"/>
      <c r="D69" s="663"/>
      <c r="E69" s="670"/>
      <c r="F69" s="670"/>
      <c r="G69" s="670"/>
    </row>
    <row r="70" spans="1:7" x14ac:dyDescent="0.3">
      <c r="A70" s="396"/>
      <c r="B70" s="674" t="s">
        <v>364</v>
      </c>
      <c r="C70" s="674"/>
      <c r="D70" s="674"/>
      <c r="E70" s="674" t="s">
        <v>365</v>
      </c>
      <c r="F70" s="674"/>
      <c r="G70" s="674"/>
    </row>
    <row r="71" spans="1:7" x14ac:dyDescent="0.3">
      <c r="A71" s="454" t="s">
        <v>366</v>
      </c>
      <c r="B71" s="433" t="s">
        <v>344</v>
      </c>
      <c r="C71" s="433" t="s">
        <v>345</v>
      </c>
      <c r="D71" s="433" t="s">
        <v>367</v>
      </c>
      <c r="E71" s="433" t="s">
        <v>368</v>
      </c>
      <c r="F71" s="433" t="s">
        <v>369</v>
      </c>
      <c r="G71" s="433" t="s">
        <v>370</v>
      </c>
    </row>
    <row r="72" spans="1:7" x14ac:dyDescent="0.3">
      <c r="A72" s="454">
        <v>1</v>
      </c>
      <c r="B72" s="434">
        <v>31</v>
      </c>
      <c r="C72" s="434">
        <v>55</v>
      </c>
      <c r="D72" s="434">
        <v>90.4</v>
      </c>
      <c r="E72" s="434">
        <v>40.9</v>
      </c>
      <c r="F72" s="434">
        <v>74.900000000000006</v>
      </c>
      <c r="G72" s="434">
        <v>86.1</v>
      </c>
    </row>
    <row r="73" spans="1:7" x14ac:dyDescent="0.3">
      <c r="A73" s="454">
        <v>2</v>
      </c>
      <c r="B73" s="434">
        <v>31.5</v>
      </c>
      <c r="C73" s="434">
        <v>56.6</v>
      </c>
      <c r="D73" s="434">
        <v>85.5</v>
      </c>
      <c r="E73" s="434">
        <v>52.7</v>
      </c>
      <c r="F73" s="434">
        <v>67</v>
      </c>
      <c r="G73" s="434">
        <v>104.1</v>
      </c>
    </row>
    <row r="74" spans="1:7" x14ac:dyDescent="0.3">
      <c r="A74" s="454">
        <v>3</v>
      </c>
      <c r="B74" s="434">
        <v>25.2</v>
      </c>
      <c r="C74" s="434">
        <v>63.7</v>
      </c>
      <c r="D74" s="434">
        <v>72.5</v>
      </c>
      <c r="E74" s="434">
        <v>35.9</v>
      </c>
      <c r="F74" s="434">
        <v>62.6</v>
      </c>
      <c r="G74" s="434">
        <v>99.1</v>
      </c>
    </row>
    <row r="75" spans="1:7" x14ac:dyDescent="0.3">
      <c r="A75" s="454">
        <v>4</v>
      </c>
      <c r="B75" s="434">
        <v>29.4</v>
      </c>
      <c r="C75" s="434">
        <v>61.9</v>
      </c>
      <c r="D75" s="434">
        <v>99.3</v>
      </c>
      <c r="E75" s="434">
        <v>38.4</v>
      </c>
      <c r="F75" s="434">
        <v>74.599999999999994</v>
      </c>
      <c r="G75" s="434">
        <v>109</v>
      </c>
    </row>
    <row r="76" spans="1:7" x14ac:dyDescent="0.3">
      <c r="A76" s="454">
        <v>5</v>
      </c>
      <c r="B76" s="434">
        <v>21.3</v>
      </c>
      <c r="C76" s="434">
        <v>63.4</v>
      </c>
      <c r="D76" s="434">
        <v>103.6</v>
      </c>
      <c r="E76" s="434">
        <v>57.5</v>
      </c>
      <c r="F76" s="434">
        <v>64.400000000000006</v>
      </c>
      <c r="G76" s="434">
        <v>99.9</v>
      </c>
    </row>
    <row r="77" spans="1:7" x14ac:dyDescent="0.3">
      <c r="A77" s="454">
        <v>6</v>
      </c>
      <c r="B77" s="434">
        <v>19.100000000000001</v>
      </c>
      <c r="C77" s="434">
        <v>44.1</v>
      </c>
      <c r="D77" s="434">
        <v>74.8</v>
      </c>
      <c r="E77" s="434">
        <v>36.700000000000003</v>
      </c>
      <c r="F77" s="434">
        <v>79.2</v>
      </c>
      <c r="G77" s="434">
        <v>112</v>
      </c>
    </row>
    <row r="78" spans="1:7" x14ac:dyDescent="0.3">
      <c r="A78" s="454">
        <v>7</v>
      </c>
      <c r="B78" s="434">
        <v>21.8</v>
      </c>
      <c r="C78" s="434">
        <v>58.2</v>
      </c>
      <c r="D78" s="434">
        <v>71</v>
      </c>
      <c r="E78" s="434">
        <v>25.3</v>
      </c>
      <c r="F78" s="434">
        <v>80</v>
      </c>
      <c r="G78" s="434">
        <v>98.4</v>
      </c>
    </row>
    <row r="79" spans="1:7" x14ac:dyDescent="0.3">
      <c r="A79" s="454">
        <v>8</v>
      </c>
      <c r="B79" s="434">
        <v>34.5</v>
      </c>
      <c r="C79" s="434">
        <v>60.8</v>
      </c>
      <c r="D79" s="434">
        <v>103.7</v>
      </c>
      <c r="E79" s="434">
        <v>36.299999999999997</v>
      </c>
      <c r="F79" s="434">
        <v>68.2</v>
      </c>
      <c r="G79" s="434">
        <v>83.5</v>
      </c>
    </row>
    <row r="80" spans="1:7" x14ac:dyDescent="0.3">
      <c r="A80" s="454">
        <v>9</v>
      </c>
      <c r="B80" s="434">
        <v>25.7</v>
      </c>
      <c r="C80" s="434">
        <v>65.400000000000006</v>
      </c>
      <c r="D80" s="434">
        <v>92.9</v>
      </c>
      <c r="E80" s="434">
        <v>41</v>
      </c>
      <c r="F80" s="434">
        <v>79.400000000000006</v>
      </c>
      <c r="G80" s="434">
        <v>84.1</v>
      </c>
    </row>
    <row r="81" spans="1:7" x14ac:dyDescent="0.3">
      <c r="A81" s="454">
        <v>10</v>
      </c>
      <c r="B81" s="434">
        <v>20.9</v>
      </c>
      <c r="C81" s="434">
        <v>58.6</v>
      </c>
      <c r="D81" s="434">
        <v>96.7</v>
      </c>
      <c r="E81" s="434">
        <v>47.6</v>
      </c>
      <c r="F81" s="434">
        <v>75.900000000000006</v>
      </c>
      <c r="G81" s="434">
        <v>97.6</v>
      </c>
    </row>
    <row r="82" spans="1:7" x14ac:dyDescent="0.3">
      <c r="A82" s="454">
        <v>11</v>
      </c>
      <c r="B82" s="434">
        <v>25.6</v>
      </c>
      <c r="C82" s="434">
        <v>38.9</v>
      </c>
      <c r="D82" s="434">
        <v>81.400000000000006</v>
      </c>
      <c r="E82" s="434"/>
      <c r="F82" s="434">
        <v>71.2</v>
      </c>
      <c r="G82" s="434">
        <v>92</v>
      </c>
    </row>
    <row r="83" spans="1:7" x14ac:dyDescent="0.3">
      <c r="A83" s="454">
        <v>12</v>
      </c>
      <c r="B83" s="434">
        <v>24.5</v>
      </c>
      <c r="C83" s="434">
        <v>36.700000000000003</v>
      </c>
      <c r="D83" s="434">
        <v>68.7</v>
      </c>
      <c r="E83" s="434"/>
      <c r="F83" s="434">
        <v>64.900000000000006</v>
      </c>
      <c r="G83" s="434">
        <v>118.5</v>
      </c>
    </row>
    <row r="84" spans="1:7" x14ac:dyDescent="0.3">
      <c r="A84" s="454">
        <v>13</v>
      </c>
      <c r="B84" s="434">
        <v>27</v>
      </c>
      <c r="C84" s="434">
        <v>37.9</v>
      </c>
      <c r="D84" s="434">
        <v>95.6</v>
      </c>
      <c r="E84" s="434"/>
      <c r="F84" s="434">
        <v>72.2</v>
      </c>
      <c r="G84" s="434">
        <v>82</v>
      </c>
    </row>
    <row r="85" spans="1:7" x14ac:dyDescent="0.3">
      <c r="A85" s="454">
        <v>14</v>
      </c>
      <c r="B85" s="434">
        <v>23.1</v>
      </c>
      <c r="C85" s="434">
        <v>66.7</v>
      </c>
      <c r="D85" s="434">
        <v>89.8</v>
      </c>
      <c r="E85" s="434"/>
      <c r="F85" s="434">
        <v>66.2</v>
      </c>
      <c r="G85" s="434">
        <v>97.9</v>
      </c>
    </row>
    <row r="86" spans="1:7" x14ac:dyDescent="0.3">
      <c r="A86" s="454">
        <v>15</v>
      </c>
      <c r="B86" s="434">
        <v>29.5</v>
      </c>
      <c r="C86" s="434">
        <v>65.900000000000006</v>
      </c>
      <c r="D86" s="434">
        <v>103.1</v>
      </c>
      <c r="E86" s="434"/>
      <c r="F86" s="434"/>
      <c r="G86" s="434">
        <v>105.6</v>
      </c>
    </row>
    <row r="87" spans="1:7" x14ac:dyDescent="0.3">
      <c r="A87" s="454">
        <v>16</v>
      </c>
      <c r="B87" s="434"/>
      <c r="C87" s="434">
        <v>66.3</v>
      </c>
      <c r="D87" s="434">
        <v>79</v>
      </c>
      <c r="E87" s="434"/>
      <c r="F87" s="434"/>
      <c r="G87" s="434">
        <v>102.8</v>
      </c>
    </row>
    <row r="88" spans="1:7" x14ac:dyDescent="0.3">
      <c r="A88" s="454">
        <v>17</v>
      </c>
      <c r="B88" s="434"/>
      <c r="C88" s="434">
        <v>62.7</v>
      </c>
      <c r="D88" s="434">
        <v>102.3</v>
      </c>
      <c r="E88" s="434"/>
      <c r="F88" s="434"/>
      <c r="G88" s="434">
        <v>113</v>
      </c>
    </row>
    <row r="89" spans="1:7" x14ac:dyDescent="0.3">
      <c r="A89" s="454">
        <v>18</v>
      </c>
      <c r="B89" s="434"/>
      <c r="C89" s="434">
        <v>37.799999999999997</v>
      </c>
      <c r="D89" s="434">
        <v>101.9</v>
      </c>
      <c r="E89" s="438"/>
      <c r="F89" s="438"/>
      <c r="G89" s="438"/>
    </row>
    <row r="90" spans="1:7" x14ac:dyDescent="0.3">
      <c r="A90" s="454">
        <v>19</v>
      </c>
      <c r="B90" s="434"/>
      <c r="C90" s="434">
        <v>61.2</v>
      </c>
      <c r="D90" s="434"/>
      <c r="E90" s="438"/>
      <c r="F90" s="438"/>
      <c r="G90" s="438"/>
    </row>
    <row r="91" spans="1:7" x14ac:dyDescent="0.3">
      <c r="A91" s="670" t="s">
        <v>359</v>
      </c>
      <c r="B91" s="670"/>
      <c r="C91" s="670"/>
      <c r="D91" s="663"/>
      <c r="E91" s="670"/>
      <c r="F91" s="670"/>
      <c r="G91" s="670"/>
    </row>
    <row r="92" spans="1:7" x14ac:dyDescent="0.3">
      <c r="A92" s="396"/>
      <c r="B92" s="674" t="s">
        <v>364</v>
      </c>
      <c r="C92" s="674"/>
      <c r="D92" s="674"/>
      <c r="E92" s="674" t="s">
        <v>365</v>
      </c>
      <c r="F92" s="674"/>
      <c r="G92" s="674"/>
    </row>
    <row r="93" spans="1:7" x14ac:dyDescent="0.3">
      <c r="A93" s="454" t="s">
        <v>366</v>
      </c>
      <c r="B93" s="433" t="s">
        <v>344</v>
      </c>
      <c r="C93" s="433" t="s">
        <v>345</v>
      </c>
      <c r="D93" s="433" t="s">
        <v>367</v>
      </c>
      <c r="E93" s="433" t="s">
        <v>368</v>
      </c>
      <c r="F93" s="433" t="s">
        <v>369</v>
      </c>
      <c r="G93" s="433" t="s">
        <v>370</v>
      </c>
    </row>
    <row r="94" spans="1:7" x14ac:dyDescent="0.3">
      <c r="A94" s="454">
        <v>1</v>
      </c>
      <c r="B94" s="434">
        <v>28.7</v>
      </c>
      <c r="C94" s="434">
        <v>38.700000000000003</v>
      </c>
      <c r="D94" s="434">
        <v>74.7</v>
      </c>
      <c r="E94" s="434">
        <v>57.6</v>
      </c>
      <c r="F94" s="434">
        <v>72</v>
      </c>
      <c r="G94" s="434">
        <v>118.1</v>
      </c>
    </row>
    <row r="95" spans="1:7" x14ac:dyDescent="0.3">
      <c r="A95" s="454">
        <v>2</v>
      </c>
      <c r="B95" s="434">
        <v>32.200000000000003</v>
      </c>
      <c r="C95" s="434">
        <v>43.3</v>
      </c>
      <c r="D95" s="434">
        <v>101.2</v>
      </c>
      <c r="E95" s="434">
        <v>27.6</v>
      </c>
      <c r="F95" s="434">
        <v>71.2</v>
      </c>
      <c r="G95" s="434">
        <v>84.7</v>
      </c>
    </row>
    <row r="96" spans="1:7" x14ac:dyDescent="0.3">
      <c r="A96" s="454">
        <v>3</v>
      </c>
      <c r="B96" s="434">
        <v>21.5</v>
      </c>
      <c r="C96" s="434">
        <v>46.4</v>
      </c>
      <c r="D96" s="434">
        <v>81.2</v>
      </c>
      <c r="E96" s="434">
        <v>59.5</v>
      </c>
      <c r="F96" s="434">
        <v>66.400000000000006</v>
      </c>
      <c r="G96" s="434">
        <v>97.4</v>
      </c>
    </row>
    <row r="97" spans="1:7" x14ac:dyDescent="0.3">
      <c r="A97" s="454">
        <v>4</v>
      </c>
      <c r="B97" s="434">
        <v>15.9</v>
      </c>
      <c r="C97" s="434">
        <v>67.900000000000006</v>
      </c>
      <c r="D97" s="434">
        <v>72.599999999999994</v>
      </c>
      <c r="E97" s="434">
        <v>30.2</v>
      </c>
      <c r="F97" s="434">
        <v>76.5</v>
      </c>
      <c r="G97" s="434">
        <v>85.2</v>
      </c>
    </row>
    <row r="98" spans="1:7" x14ac:dyDescent="0.3">
      <c r="A98" s="454">
        <v>5</v>
      </c>
      <c r="B98" s="434">
        <v>18.100000000000001</v>
      </c>
      <c r="C98" s="434">
        <v>63.7</v>
      </c>
      <c r="D98" s="434">
        <v>100.4</v>
      </c>
      <c r="E98" s="434">
        <v>54.8</v>
      </c>
      <c r="F98" s="434">
        <v>66.8</v>
      </c>
      <c r="G98" s="434">
        <v>112.5</v>
      </c>
    </row>
    <row r="99" spans="1:7" x14ac:dyDescent="0.3">
      <c r="A99" s="454">
        <v>6</v>
      </c>
      <c r="B99" s="434">
        <v>20.5</v>
      </c>
      <c r="C99" s="434">
        <v>40.799999999999997</v>
      </c>
      <c r="D99" s="434">
        <v>94.7</v>
      </c>
      <c r="E99" s="434">
        <v>27.4</v>
      </c>
      <c r="F99" s="434">
        <v>76.599999999999994</v>
      </c>
      <c r="G99" s="434">
        <v>95.8</v>
      </c>
    </row>
    <row r="100" spans="1:7" x14ac:dyDescent="0.3">
      <c r="A100" s="454">
        <v>7</v>
      </c>
      <c r="B100" s="434">
        <v>26.4</v>
      </c>
      <c r="C100" s="434">
        <v>50.8</v>
      </c>
      <c r="D100" s="434">
        <v>81.8</v>
      </c>
      <c r="E100" s="434">
        <v>58.3</v>
      </c>
      <c r="F100" s="434">
        <v>70.3</v>
      </c>
      <c r="G100" s="434">
        <v>107.2</v>
      </c>
    </row>
    <row r="101" spans="1:7" x14ac:dyDescent="0.3">
      <c r="A101" s="454">
        <v>8</v>
      </c>
      <c r="B101" s="434">
        <v>32.5</v>
      </c>
      <c r="C101" s="434">
        <v>43.2</v>
      </c>
      <c r="D101" s="434">
        <v>100.1</v>
      </c>
      <c r="E101" s="434">
        <v>33.1</v>
      </c>
      <c r="F101" s="434">
        <v>64</v>
      </c>
      <c r="G101" s="434">
        <v>98.3</v>
      </c>
    </row>
    <row r="102" spans="1:7" x14ac:dyDescent="0.3">
      <c r="A102" s="454">
        <v>9</v>
      </c>
      <c r="B102" s="434">
        <v>17.899999999999999</v>
      </c>
      <c r="C102" s="434">
        <v>48</v>
      </c>
      <c r="D102" s="434">
        <v>85.7</v>
      </c>
      <c r="E102" s="434"/>
      <c r="F102" s="434">
        <v>64.2</v>
      </c>
      <c r="G102" s="434">
        <v>86.2</v>
      </c>
    </row>
    <row r="103" spans="1:7" x14ac:dyDescent="0.3">
      <c r="A103" s="454">
        <v>10</v>
      </c>
      <c r="B103" s="434">
        <v>32.200000000000003</v>
      </c>
      <c r="C103" s="434">
        <v>38.4</v>
      </c>
      <c r="D103" s="434">
        <v>77.2</v>
      </c>
      <c r="E103" s="434"/>
      <c r="F103" s="434">
        <v>66.7</v>
      </c>
      <c r="G103" s="434">
        <v>108.9</v>
      </c>
    </row>
    <row r="104" spans="1:7" x14ac:dyDescent="0.3">
      <c r="A104" s="454">
        <v>11</v>
      </c>
      <c r="B104" s="434">
        <v>27</v>
      </c>
      <c r="C104" s="434">
        <v>59.5</v>
      </c>
      <c r="D104" s="434">
        <v>72.2</v>
      </c>
      <c r="E104" s="434"/>
      <c r="F104" s="434"/>
      <c r="G104" s="434">
        <v>110.1</v>
      </c>
    </row>
    <row r="105" spans="1:7" x14ac:dyDescent="0.3">
      <c r="A105" s="454">
        <v>12</v>
      </c>
      <c r="B105" s="434">
        <v>27.3</v>
      </c>
      <c r="C105" s="434">
        <v>62.3</v>
      </c>
      <c r="D105" s="434">
        <v>70.7</v>
      </c>
      <c r="E105" s="434"/>
      <c r="F105" s="434"/>
      <c r="G105" s="434">
        <v>103.5</v>
      </c>
    </row>
    <row r="106" spans="1:7" x14ac:dyDescent="0.3">
      <c r="A106" s="454">
        <v>13</v>
      </c>
      <c r="B106" s="434"/>
      <c r="C106" s="434">
        <v>57.9</v>
      </c>
      <c r="D106" s="434">
        <v>102.1</v>
      </c>
      <c r="E106" s="438"/>
      <c r="F106" s="438"/>
      <c r="G106" s="438"/>
    </row>
    <row r="107" spans="1:7" x14ac:dyDescent="0.3">
      <c r="A107" s="454">
        <v>14</v>
      </c>
      <c r="B107" s="434"/>
      <c r="C107" s="434">
        <v>54.7</v>
      </c>
      <c r="D107" s="434">
        <v>83.1</v>
      </c>
      <c r="E107" s="438"/>
      <c r="F107" s="438"/>
      <c r="G107" s="438"/>
    </row>
    <row r="108" spans="1:7" x14ac:dyDescent="0.3">
      <c r="A108" s="454">
        <v>15</v>
      </c>
      <c r="B108" s="434"/>
      <c r="C108" s="434">
        <v>67.599999999999994</v>
      </c>
      <c r="D108" s="434">
        <v>68.7</v>
      </c>
      <c r="E108" s="438"/>
      <c r="F108" s="438"/>
      <c r="G108" s="438"/>
    </row>
    <row r="109" spans="1:7" x14ac:dyDescent="0.3">
      <c r="A109" s="670" t="s">
        <v>360</v>
      </c>
      <c r="B109" s="670"/>
      <c r="C109" s="670"/>
      <c r="D109" s="663"/>
      <c r="E109" s="670"/>
      <c r="F109" s="670"/>
      <c r="G109" s="670"/>
    </row>
    <row r="110" spans="1:7" x14ac:dyDescent="0.3">
      <c r="A110" s="396"/>
      <c r="B110" s="674" t="s">
        <v>364</v>
      </c>
      <c r="C110" s="674"/>
      <c r="D110" s="674"/>
      <c r="E110" s="674" t="s">
        <v>365</v>
      </c>
      <c r="F110" s="674"/>
      <c r="G110" s="674"/>
    </row>
    <row r="111" spans="1:7" x14ac:dyDescent="0.3">
      <c r="A111" s="454" t="s">
        <v>366</v>
      </c>
      <c r="B111" s="433" t="s">
        <v>344</v>
      </c>
      <c r="C111" s="433" t="s">
        <v>345</v>
      </c>
      <c r="D111" s="433" t="s">
        <v>367</v>
      </c>
      <c r="E111" s="433" t="s">
        <v>368</v>
      </c>
      <c r="F111" s="433" t="s">
        <v>369</v>
      </c>
      <c r="G111" s="433" t="s">
        <v>370</v>
      </c>
    </row>
    <row r="112" spans="1:7" x14ac:dyDescent="0.3">
      <c r="A112" s="454">
        <v>1</v>
      </c>
      <c r="B112" s="434">
        <v>0</v>
      </c>
      <c r="C112" s="434">
        <v>0</v>
      </c>
      <c r="D112" s="434">
        <v>0</v>
      </c>
      <c r="E112" s="434">
        <v>26.9</v>
      </c>
      <c r="F112" s="434">
        <v>70.3</v>
      </c>
      <c r="G112" s="434">
        <v>112.3</v>
      </c>
    </row>
    <row r="113" spans="1:7" x14ac:dyDescent="0.3">
      <c r="A113" s="454">
        <v>2</v>
      </c>
      <c r="B113" s="434"/>
      <c r="C113" s="434"/>
      <c r="D113" s="434"/>
      <c r="E113" s="434">
        <v>34.6</v>
      </c>
      <c r="F113" s="434">
        <v>74.599999999999994</v>
      </c>
      <c r="G113" s="434">
        <v>83.9</v>
      </c>
    </row>
    <row r="114" spans="1:7" x14ac:dyDescent="0.3">
      <c r="A114" s="454">
        <v>3</v>
      </c>
      <c r="B114" s="434"/>
      <c r="C114" s="434"/>
      <c r="D114" s="434"/>
      <c r="E114" s="434">
        <v>26.7</v>
      </c>
      <c r="F114" s="434">
        <v>61.2</v>
      </c>
      <c r="G114" s="434">
        <v>104.9</v>
      </c>
    </row>
    <row r="115" spans="1:7" x14ac:dyDescent="0.3">
      <c r="A115" s="454">
        <v>4</v>
      </c>
      <c r="B115" s="434"/>
      <c r="C115" s="434"/>
      <c r="D115" s="434"/>
      <c r="E115" s="434"/>
      <c r="F115" s="434">
        <v>77</v>
      </c>
      <c r="G115" s="434">
        <v>119.7</v>
      </c>
    </row>
    <row r="116" spans="1:7" x14ac:dyDescent="0.3">
      <c r="A116" s="454">
        <v>5</v>
      </c>
      <c r="B116" s="434"/>
      <c r="C116" s="434"/>
      <c r="D116" s="434"/>
      <c r="E116" s="434"/>
      <c r="F116" s="434">
        <v>73.5</v>
      </c>
      <c r="G116" s="434">
        <v>115.1</v>
      </c>
    </row>
    <row r="117" spans="1:7" x14ac:dyDescent="0.3">
      <c r="A117" s="670" t="s">
        <v>361</v>
      </c>
      <c r="B117" s="670"/>
      <c r="C117" s="670"/>
      <c r="D117" s="663"/>
      <c r="E117" s="670"/>
      <c r="F117" s="670"/>
      <c r="G117" s="670"/>
    </row>
    <row r="118" spans="1:7" x14ac:dyDescent="0.3">
      <c r="A118" s="396"/>
      <c r="B118" s="674" t="s">
        <v>364</v>
      </c>
      <c r="C118" s="674"/>
      <c r="D118" s="674"/>
      <c r="E118" s="674" t="s">
        <v>365</v>
      </c>
      <c r="F118" s="674"/>
      <c r="G118" s="674"/>
    </row>
    <row r="119" spans="1:7" x14ac:dyDescent="0.3">
      <c r="A119" s="454" t="s">
        <v>366</v>
      </c>
      <c r="B119" s="433" t="s">
        <v>344</v>
      </c>
      <c r="C119" s="433" t="s">
        <v>345</v>
      </c>
      <c r="D119" s="433" t="s">
        <v>367</v>
      </c>
      <c r="E119" s="433" t="s">
        <v>368</v>
      </c>
      <c r="F119" s="433" t="s">
        <v>369</v>
      </c>
      <c r="G119" s="433" t="s">
        <v>370</v>
      </c>
    </row>
    <row r="120" spans="1:7" x14ac:dyDescent="0.3">
      <c r="A120" s="454">
        <v>1</v>
      </c>
      <c r="B120" s="434">
        <v>17.399999999999999</v>
      </c>
      <c r="C120" s="434">
        <v>65.5</v>
      </c>
      <c r="D120" s="434">
        <v>91.3</v>
      </c>
      <c r="E120" s="434">
        <v>28</v>
      </c>
      <c r="F120" s="434">
        <v>68.7</v>
      </c>
      <c r="G120" s="434">
        <v>110.8</v>
      </c>
    </row>
    <row r="121" spans="1:7" x14ac:dyDescent="0.3">
      <c r="A121" s="454">
        <v>2</v>
      </c>
      <c r="B121" s="434">
        <v>19.100000000000001</v>
      </c>
      <c r="C121" s="434">
        <v>43.7</v>
      </c>
      <c r="D121" s="434">
        <v>74.2</v>
      </c>
      <c r="E121" s="434">
        <v>29.3</v>
      </c>
      <c r="F121" s="434">
        <v>75.400000000000006</v>
      </c>
      <c r="G121" s="434">
        <v>116.9</v>
      </c>
    </row>
    <row r="122" spans="1:7" x14ac:dyDescent="0.3">
      <c r="A122" s="454">
        <v>3</v>
      </c>
      <c r="B122" s="434">
        <v>20</v>
      </c>
      <c r="C122" s="434">
        <v>57</v>
      </c>
      <c r="D122" s="434">
        <v>102.8</v>
      </c>
      <c r="E122" s="434">
        <v>58.4</v>
      </c>
      <c r="F122" s="434">
        <v>60.3</v>
      </c>
      <c r="G122" s="434">
        <v>106.2</v>
      </c>
    </row>
    <row r="123" spans="1:7" x14ac:dyDescent="0.3">
      <c r="A123" s="454">
        <v>4</v>
      </c>
      <c r="B123" s="434">
        <v>20.2</v>
      </c>
      <c r="C123" s="434">
        <v>48.8</v>
      </c>
      <c r="D123" s="434">
        <v>88.5</v>
      </c>
      <c r="E123" s="434"/>
      <c r="F123" s="434">
        <v>75.400000000000006</v>
      </c>
      <c r="G123" s="434">
        <v>105.4</v>
      </c>
    </row>
    <row r="124" spans="1:7" x14ac:dyDescent="0.3">
      <c r="A124" s="454">
        <v>5</v>
      </c>
      <c r="B124" s="434">
        <v>32.299999999999997</v>
      </c>
      <c r="C124" s="434">
        <v>59</v>
      </c>
      <c r="D124" s="434">
        <v>84.1</v>
      </c>
      <c r="E124" s="434"/>
      <c r="F124" s="434">
        <v>65.900000000000006</v>
      </c>
      <c r="G124" s="434">
        <v>80.5</v>
      </c>
    </row>
    <row r="125" spans="1:7" x14ac:dyDescent="0.3">
      <c r="A125" s="454">
        <v>6</v>
      </c>
      <c r="B125" s="434">
        <v>32</v>
      </c>
      <c r="C125" s="434">
        <v>54.8</v>
      </c>
      <c r="D125" s="434">
        <v>71.5</v>
      </c>
      <c r="E125" s="434"/>
      <c r="F125" s="434"/>
      <c r="G125" s="434">
        <v>113.7</v>
      </c>
    </row>
    <row r="126" spans="1:7" x14ac:dyDescent="0.3">
      <c r="A126" s="454">
        <v>7</v>
      </c>
      <c r="B126" s="434">
        <v>18.3</v>
      </c>
      <c r="C126" s="434">
        <v>36.799999999999997</v>
      </c>
      <c r="D126" s="434">
        <v>73.400000000000006</v>
      </c>
      <c r="E126" s="434"/>
      <c r="F126" s="434"/>
      <c r="G126" s="434"/>
    </row>
    <row r="127" spans="1:7" x14ac:dyDescent="0.3">
      <c r="A127" s="454">
        <v>8</v>
      </c>
      <c r="B127" s="434"/>
      <c r="C127" s="434">
        <v>63.4</v>
      </c>
      <c r="D127" s="434">
        <v>103.6</v>
      </c>
      <c r="E127" s="434"/>
      <c r="F127" s="434"/>
      <c r="G127" s="434"/>
    </row>
    <row r="128" spans="1:7" x14ac:dyDescent="0.3">
      <c r="A128" s="454">
        <v>9</v>
      </c>
      <c r="B128" s="434"/>
      <c r="C128" s="434">
        <v>57.2</v>
      </c>
      <c r="D128" s="434"/>
      <c r="E128" s="434"/>
      <c r="F128" s="434"/>
      <c r="G128" s="434"/>
    </row>
    <row r="129" spans="1:7" x14ac:dyDescent="0.3">
      <c r="A129" s="670" t="s">
        <v>362</v>
      </c>
      <c r="B129" s="670"/>
      <c r="C129" s="670"/>
      <c r="D129" s="663"/>
      <c r="E129" s="670"/>
      <c r="F129" s="670"/>
      <c r="G129" s="670"/>
    </row>
    <row r="130" spans="1:7" x14ac:dyDescent="0.3">
      <c r="A130" s="396"/>
      <c r="B130" s="674" t="s">
        <v>364</v>
      </c>
      <c r="C130" s="674"/>
      <c r="D130" s="674"/>
      <c r="E130" s="674" t="s">
        <v>365</v>
      </c>
      <c r="F130" s="674"/>
      <c r="G130" s="674"/>
    </row>
    <row r="131" spans="1:7" x14ac:dyDescent="0.3">
      <c r="A131" s="454" t="s">
        <v>366</v>
      </c>
      <c r="B131" s="433" t="s">
        <v>344</v>
      </c>
      <c r="C131" s="433" t="s">
        <v>345</v>
      </c>
      <c r="D131" s="433" t="s">
        <v>367</v>
      </c>
      <c r="E131" s="433" t="s">
        <v>368</v>
      </c>
      <c r="F131" s="433" t="s">
        <v>369</v>
      </c>
      <c r="G131" s="433" t="s">
        <v>370</v>
      </c>
    </row>
    <row r="132" spans="1:7" x14ac:dyDescent="0.3">
      <c r="A132" s="454">
        <v>1</v>
      </c>
      <c r="B132" s="434">
        <v>0</v>
      </c>
      <c r="C132" s="434">
        <v>0</v>
      </c>
      <c r="D132" s="434">
        <v>0</v>
      </c>
      <c r="E132" s="434">
        <v>50.8</v>
      </c>
      <c r="F132" s="434">
        <v>74</v>
      </c>
      <c r="G132" s="434">
        <v>80.7</v>
      </c>
    </row>
    <row r="133" spans="1:7" x14ac:dyDescent="0.3">
      <c r="A133" s="454">
        <v>2</v>
      </c>
      <c r="B133" s="434"/>
      <c r="C133" s="434"/>
      <c r="D133" s="434"/>
      <c r="E133" s="434">
        <v>38.5</v>
      </c>
      <c r="F133" s="434">
        <v>64.3</v>
      </c>
      <c r="G133" s="434">
        <v>107</v>
      </c>
    </row>
    <row r="134" spans="1:7" x14ac:dyDescent="0.3">
      <c r="A134" s="454">
        <v>3</v>
      </c>
      <c r="B134" s="434"/>
      <c r="C134" s="434"/>
      <c r="D134" s="434"/>
      <c r="E134" s="434">
        <v>54.3</v>
      </c>
      <c r="F134" s="434">
        <v>60.9</v>
      </c>
      <c r="G134" s="434">
        <v>96</v>
      </c>
    </row>
    <row r="135" spans="1:7" x14ac:dyDescent="0.3">
      <c r="A135" s="454">
        <v>4</v>
      </c>
      <c r="B135" s="434"/>
      <c r="C135" s="434"/>
      <c r="D135" s="434"/>
      <c r="E135" s="434">
        <v>39.6</v>
      </c>
      <c r="F135" s="434">
        <v>61</v>
      </c>
      <c r="G135" s="434">
        <v>112.5</v>
      </c>
    </row>
    <row r="136" spans="1:7" x14ac:dyDescent="0.3">
      <c r="A136" s="454">
        <v>5</v>
      </c>
      <c r="B136" s="434"/>
      <c r="C136" s="434"/>
      <c r="D136" s="434"/>
      <c r="E136" s="434"/>
      <c r="F136" s="434">
        <v>61.2</v>
      </c>
      <c r="G136" s="434">
        <v>106.7</v>
      </c>
    </row>
    <row r="137" spans="1:7" x14ac:dyDescent="0.3">
      <c r="A137" s="442"/>
      <c r="B137" s="443"/>
      <c r="C137" s="443"/>
      <c r="D137" s="443"/>
      <c r="E137" s="443"/>
      <c r="F137" s="443"/>
      <c r="G137" s="443"/>
    </row>
    <row r="138" spans="1:7" x14ac:dyDescent="0.3">
      <c r="A138" s="442"/>
      <c r="B138" s="443"/>
      <c r="C138" s="443"/>
      <c r="D138" s="443"/>
      <c r="E138" s="441"/>
      <c r="F138" s="443"/>
      <c r="G138" s="443"/>
    </row>
    <row r="139" spans="1:7" x14ac:dyDescent="0.3">
      <c r="A139" s="442"/>
      <c r="B139" s="443"/>
      <c r="C139" s="443"/>
      <c r="D139" s="443"/>
      <c r="E139" s="441"/>
      <c r="F139" s="441"/>
      <c r="G139" s="443"/>
    </row>
    <row r="140" spans="1:7" x14ac:dyDescent="0.3">
      <c r="A140" s="442"/>
      <c r="B140" s="443"/>
      <c r="C140" s="443"/>
      <c r="D140" s="443"/>
      <c r="E140" s="441"/>
      <c r="F140" s="441"/>
      <c r="G140" s="441"/>
    </row>
    <row r="141" spans="1:7" x14ac:dyDescent="0.3">
      <c r="A141" s="668" t="s">
        <v>160</v>
      </c>
      <c r="B141" s="666" t="s">
        <v>161</v>
      </c>
      <c r="C141" s="667"/>
      <c r="D141" s="666" t="s">
        <v>162</v>
      </c>
      <c r="E141" s="667"/>
      <c r="F141" s="666" t="s">
        <v>163</v>
      </c>
      <c r="G141" s="667"/>
    </row>
    <row r="142" spans="1:7" x14ac:dyDescent="0.3">
      <c r="A142" s="669"/>
      <c r="B142" s="432" t="s">
        <v>164</v>
      </c>
      <c r="C142" s="432" t="s">
        <v>165</v>
      </c>
      <c r="D142" s="432" t="s">
        <v>164</v>
      </c>
      <c r="E142" s="432" t="s">
        <v>165</v>
      </c>
      <c r="F142" s="432" t="s">
        <v>164</v>
      </c>
      <c r="G142" s="432" t="s">
        <v>165</v>
      </c>
    </row>
    <row r="143" spans="1:7" x14ac:dyDescent="0.3">
      <c r="A143" s="433" t="s">
        <v>353</v>
      </c>
      <c r="B143" s="435">
        <f>ROUNDDOWN(AVERAGE(B6:D11),1)</f>
        <v>0</v>
      </c>
      <c r="C143" s="435">
        <f>ROUNDDOWN(AVERAGE(E6:G11),1)</f>
        <v>78.7</v>
      </c>
      <c r="D143" s="432">
        <v>0</v>
      </c>
      <c r="E143" s="432">
        <v>5590</v>
      </c>
      <c r="F143" s="432">
        <f>B143*D143</f>
        <v>0</v>
      </c>
      <c r="G143" s="432">
        <f>C143*E143</f>
        <v>439933</v>
      </c>
    </row>
    <row r="144" spans="1:7" x14ac:dyDescent="0.3">
      <c r="A144" s="433" t="s">
        <v>354</v>
      </c>
      <c r="B144" s="435">
        <f>ROUNDDOWN(AVERAGE(B15:D20),1)</f>
        <v>0</v>
      </c>
      <c r="C144" s="435">
        <f>ROUNDDOWN(AVERAGE(E15:G20),1)</f>
        <v>71.8</v>
      </c>
      <c r="D144" s="432">
        <v>0</v>
      </c>
      <c r="E144" s="432">
        <v>6995</v>
      </c>
      <c r="F144" s="432">
        <f t="shared" ref="F144:G152" si="0">B144*D144</f>
        <v>0</v>
      </c>
      <c r="G144" s="432">
        <f t="shared" si="0"/>
        <v>502241</v>
      </c>
    </row>
    <row r="145" spans="1:7" x14ac:dyDescent="0.3">
      <c r="A145" s="433" t="s">
        <v>355</v>
      </c>
      <c r="B145" s="435">
        <f>ROUNDDOWN(AVERAGE(B24:D38),1)</f>
        <v>56.2</v>
      </c>
      <c r="C145" s="435">
        <f>ROUNDDOWN(AVERAGE(E24:G38),1)</f>
        <v>77.900000000000006</v>
      </c>
      <c r="D145" s="432">
        <v>16871</v>
      </c>
      <c r="E145" s="432">
        <v>13912</v>
      </c>
      <c r="F145" s="432">
        <f t="shared" si="0"/>
        <v>948150.20000000007</v>
      </c>
      <c r="G145" s="432">
        <f t="shared" si="0"/>
        <v>1083744.8</v>
      </c>
    </row>
    <row r="146" spans="1:7" x14ac:dyDescent="0.3">
      <c r="A146" s="433" t="s">
        <v>356</v>
      </c>
      <c r="B146" s="435">
        <f>ROUNDDOWN(AVERAGE(B42:D56),1)</f>
        <v>54.3</v>
      </c>
      <c r="C146" s="435">
        <f>ROUNDDOWN(AVERAGE(E42:G56),1)</f>
        <v>77.2</v>
      </c>
      <c r="D146" s="432">
        <v>16520</v>
      </c>
      <c r="E146" s="432">
        <v>15199</v>
      </c>
      <c r="F146" s="432">
        <f t="shared" si="0"/>
        <v>897036</v>
      </c>
      <c r="G146" s="432">
        <f t="shared" si="0"/>
        <v>1173362.8</v>
      </c>
    </row>
    <row r="147" spans="1:7" x14ac:dyDescent="0.3">
      <c r="A147" s="433" t="s">
        <v>357</v>
      </c>
      <c r="B147" s="435">
        <f>ROUNDDOWN(AVERAGE(B60:D68),1)</f>
        <v>53.9</v>
      </c>
      <c r="C147" s="435">
        <f>ROUNDDOWN(AVERAGE(E60:G68),1)</f>
        <v>75.900000000000006</v>
      </c>
      <c r="D147" s="432">
        <v>10059</v>
      </c>
      <c r="E147" s="432">
        <v>6423</v>
      </c>
      <c r="F147" s="432">
        <f t="shared" si="0"/>
        <v>542180.1</v>
      </c>
      <c r="G147" s="432">
        <f t="shared" si="0"/>
        <v>487505.7</v>
      </c>
    </row>
    <row r="148" spans="1:7" x14ac:dyDescent="0.3">
      <c r="A148" s="433" t="s">
        <v>358</v>
      </c>
      <c r="B148" s="435">
        <f>ROUNDDOWN(AVERAGE(B72:D90),1)</f>
        <v>58.9</v>
      </c>
      <c r="C148" s="435">
        <f>ROUNDDOWN(AVERAGE(E72:G90),1)</f>
        <v>75.5</v>
      </c>
      <c r="D148" s="432">
        <v>20494</v>
      </c>
      <c r="E148" s="432">
        <v>19318</v>
      </c>
      <c r="F148" s="432">
        <f t="shared" si="0"/>
        <v>1207096.5999999999</v>
      </c>
      <c r="G148" s="432">
        <f t="shared" si="0"/>
        <v>1458509</v>
      </c>
    </row>
    <row r="149" spans="1:7" x14ac:dyDescent="0.3">
      <c r="A149" s="433" t="s">
        <v>359</v>
      </c>
      <c r="B149" s="435">
        <f>ROUNDDOWN(AVERAGE(B94:D108),1)</f>
        <v>55.9</v>
      </c>
      <c r="C149" s="435">
        <f>ROUNDDOWN(AVERAGE(E94:G108),1)</f>
        <v>75</v>
      </c>
      <c r="D149" s="432">
        <v>16458</v>
      </c>
      <c r="E149" s="432">
        <v>13944</v>
      </c>
      <c r="F149" s="432">
        <f t="shared" si="0"/>
        <v>920002.2</v>
      </c>
      <c r="G149" s="432">
        <f t="shared" si="0"/>
        <v>1045800</v>
      </c>
    </row>
    <row r="150" spans="1:7" x14ac:dyDescent="0.3">
      <c r="A150" s="433" t="s">
        <v>360</v>
      </c>
      <c r="B150" s="435">
        <f>ROUNDDOWN(AVERAGE(B112:D116),1)</f>
        <v>0</v>
      </c>
      <c r="C150" s="435">
        <f>ROUNDDOWN(AVERAGE(E112:G116),1)</f>
        <v>75.400000000000006</v>
      </c>
      <c r="D150" s="432">
        <v>0</v>
      </c>
      <c r="E150" s="432">
        <v>4987</v>
      </c>
      <c r="F150" s="432">
        <f t="shared" si="0"/>
        <v>0</v>
      </c>
      <c r="G150" s="432">
        <f t="shared" si="0"/>
        <v>376019.80000000005</v>
      </c>
    </row>
    <row r="151" spans="1:7" x14ac:dyDescent="0.3">
      <c r="A151" s="433" t="s">
        <v>361</v>
      </c>
      <c r="B151" s="435">
        <f>ROUNDDOWN(AVERAGE(B120:D128),1)</f>
        <v>55.6</v>
      </c>
      <c r="C151" s="435">
        <f>ROUNDDOWN(AVERAGE(E120:G128),1)</f>
        <v>78.2</v>
      </c>
      <c r="D151" s="432">
        <v>9275</v>
      </c>
      <c r="E151" s="432">
        <v>5935</v>
      </c>
      <c r="F151" s="432">
        <f t="shared" si="0"/>
        <v>515690</v>
      </c>
      <c r="G151" s="432">
        <f t="shared" si="0"/>
        <v>464117</v>
      </c>
    </row>
    <row r="152" spans="1:7" x14ac:dyDescent="0.3">
      <c r="A152" s="433" t="s">
        <v>362</v>
      </c>
      <c r="B152" s="435">
        <f>ROUNDDOWN(AVERAGE(B132:D136),1)</f>
        <v>0</v>
      </c>
      <c r="C152" s="435">
        <f>ROUNDDOWN(AVERAGE(E132:G136),1)</f>
        <v>71.900000000000006</v>
      </c>
      <c r="D152" s="432">
        <v>0</v>
      </c>
      <c r="E152" s="432">
        <v>5999</v>
      </c>
      <c r="F152" s="432">
        <f t="shared" si="0"/>
        <v>0</v>
      </c>
      <c r="G152" s="432">
        <f t="shared" si="0"/>
        <v>431328.10000000003</v>
      </c>
    </row>
    <row r="153" spans="1:7" x14ac:dyDescent="0.3">
      <c r="A153" s="433" t="s">
        <v>166</v>
      </c>
      <c r="B153" s="433"/>
      <c r="C153" s="433"/>
      <c r="D153" s="432">
        <f>SUM(D143:D152)</f>
        <v>89677</v>
      </c>
      <c r="E153" s="432">
        <f>SUM(E143:E152)</f>
        <v>98302</v>
      </c>
      <c r="F153" s="432">
        <f>SUM(F143:F152)</f>
        <v>5030155.1000000006</v>
      </c>
      <c r="G153" s="432">
        <f>SUM(G143:G152)</f>
        <v>7462561.2000000002</v>
      </c>
    </row>
    <row r="154" spans="1:7" x14ac:dyDescent="0.3">
      <c r="A154" s="441"/>
      <c r="B154" s="441"/>
      <c r="C154" s="441"/>
      <c r="D154" s="442"/>
      <c r="E154" s="442"/>
      <c r="F154" s="442"/>
      <c r="G154" s="442"/>
    </row>
    <row r="156" spans="1:7" x14ac:dyDescent="0.3">
      <c r="C156" s="666" t="s">
        <v>167</v>
      </c>
      <c r="D156" s="667"/>
    </row>
    <row r="157" spans="1:7" x14ac:dyDescent="0.3">
      <c r="C157" s="432" t="s">
        <v>164</v>
      </c>
      <c r="D157" s="432" t="s">
        <v>165</v>
      </c>
    </row>
    <row r="158" spans="1:7" x14ac:dyDescent="0.3">
      <c r="C158" s="436">
        <f>ROUNDDOWN(F153/D153,1)</f>
        <v>56</v>
      </c>
      <c r="D158" s="437">
        <f>ROUNDDOWN(G153/E153,1)</f>
        <v>75.900000000000006</v>
      </c>
    </row>
  </sheetData>
  <mergeCells count="37">
    <mergeCell ref="C156:D156"/>
    <mergeCell ref="B130:D130"/>
    <mergeCell ref="E130:G130"/>
    <mergeCell ref="A141:A142"/>
    <mergeCell ref="B141:C141"/>
    <mergeCell ref="D141:E141"/>
    <mergeCell ref="F141:G141"/>
    <mergeCell ref="A129:G129"/>
    <mergeCell ref="B70:D70"/>
    <mergeCell ref="E70:G70"/>
    <mergeCell ref="A91:G91"/>
    <mergeCell ref="B92:D92"/>
    <mergeCell ref="E92:G92"/>
    <mergeCell ref="A109:G109"/>
    <mergeCell ref="B110:D110"/>
    <mergeCell ref="E110:G110"/>
    <mergeCell ref="A117:G117"/>
    <mergeCell ref="B118:D118"/>
    <mergeCell ref="E118:G118"/>
    <mergeCell ref="A69:G69"/>
    <mergeCell ref="B13:D13"/>
    <mergeCell ref="E13:G13"/>
    <mergeCell ref="A21:G21"/>
    <mergeCell ref="B22:D22"/>
    <mergeCell ref="E22:G22"/>
    <mergeCell ref="A39:G39"/>
    <mergeCell ref="B40:D40"/>
    <mergeCell ref="E40:G40"/>
    <mergeCell ref="A57:G57"/>
    <mergeCell ref="B58:D58"/>
    <mergeCell ref="E58:G58"/>
    <mergeCell ref="A12:G12"/>
    <mergeCell ref="A1:G1"/>
    <mergeCell ref="A2:G2"/>
    <mergeCell ref="A3:G3"/>
    <mergeCell ref="B4:D4"/>
    <mergeCell ref="E4:G4"/>
  </mergeCells>
  <phoneticPr fontId="11" type="noConversion"/>
  <pageMargins left="0.7" right="0.7" top="0.75" bottom="0.75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CD550-9598-43A8-84EB-E50E2E097B08}">
  <dimension ref="A1:I158"/>
  <sheetViews>
    <sheetView zoomScale="80" zoomScaleNormal="80" workbookViewId="0">
      <selection activeCell="F168" sqref="F168"/>
    </sheetView>
  </sheetViews>
  <sheetFormatPr defaultColWidth="8.7265625" defaultRowHeight="14" x14ac:dyDescent="0.3"/>
  <cols>
    <col min="1" max="1" width="22.453125" style="395" customWidth="1"/>
    <col min="2" max="2" width="16.26953125" style="395" bestFit="1" customWidth="1"/>
    <col min="3" max="3" width="22.90625" style="395" bestFit="1" customWidth="1"/>
    <col min="4" max="4" width="22.6328125" style="395" bestFit="1" customWidth="1"/>
    <col min="5" max="5" width="21.453125" style="395" bestFit="1" customWidth="1"/>
    <col min="6" max="6" width="23.453125" style="395" bestFit="1" customWidth="1"/>
    <col min="7" max="7" width="23.08984375" style="395" bestFit="1" customWidth="1"/>
    <col min="8" max="8" width="14.81640625" style="395" customWidth="1"/>
    <col min="9" max="16384" width="8.7265625" style="395"/>
  </cols>
  <sheetData>
    <row r="1" spans="1:9" x14ac:dyDescent="0.3">
      <c r="A1" s="657" t="s">
        <v>322</v>
      </c>
      <c r="B1" s="658"/>
      <c r="C1" s="658"/>
      <c r="D1" s="658"/>
      <c r="E1" s="658"/>
      <c r="F1" s="658"/>
      <c r="G1" s="659"/>
    </row>
    <row r="2" spans="1:9" ht="33" customHeight="1" x14ac:dyDescent="0.3">
      <c r="A2" s="660" t="s">
        <v>376</v>
      </c>
      <c r="B2" s="661"/>
      <c r="C2" s="661"/>
      <c r="D2" s="661"/>
      <c r="E2" s="661"/>
      <c r="F2" s="661"/>
      <c r="G2" s="662"/>
    </row>
    <row r="3" spans="1:9" x14ac:dyDescent="0.3">
      <c r="A3" s="663" t="s">
        <v>353</v>
      </c>
      <c r="B3" s="663"/>
      <c r="C3" s="663"/>
      <c r="D3" s="663"/>
      <c r="E3" s="663"/>
      <c r="F3" s="663"/>
      <c r="G3" s="663"/>
    </row>
    <row r="4" spans="1:9" x14ac:dyDescent="0.3">
      <c r="A4" s="396"/>
      <c r="B4" s="674" t="s">
        <v>364</v>
      </c>
      <c r="C4" s="674"/>
      <c r="D4" s="674"/>
      <c r="E4" s="674" t="s">
        <v>365</v>
      </c>
      <c r="F4" s="674"/>
      <c r="G4" s="674"/>
    </row>
    <row r="5" spans="1:9" x14ac:dyDescent="0.3">
      <c r="A5" s="454" t="s">
        <v>366</v>
      </c>
      <c r="B5" s="433" t="s">
        <v>344</v>
      </c>
      <c r="C5" s="433" t="s">
        <v>345</v>
      </c>
      <c r="D5" s="433" t="s">
        <v>367</v>
      </c>
      <c r="E5" s="433" t="s">
        <v>368</v>
      </c>
      <c r="F5" s="433" t="s">
        <v>369</v>
      </c>
      <c r="G5" s="433" t="s">
        <v>370</v>
      </c>
      <c r="H5" s="440"/>
      <c r="I5" s="441"/>
    </row>
    <row r="6" spans="1:9" x14ac:dyDescent="0.3">
      <c r="A6" s="454">
        <v>1</v>
      </c>
      <c r="B6" s="434">
        <v>0</v>
      </c>
      <c r="C6" s="434">
        <v>0</v>
      </c>
      <c r="D6" s="434">
        <v>0</v>
      </c>
      <c r="E6" s="434">
        <v>56.9</v>
      </c>
      <c r="F6" s="434">
        <v>75.8</v>
      </c>
      <c r="G6" s="434">
        <v>85.5</v>
      </c>
    </row>
    <row r="7" spans="1:9" x14ac:dyDescent="0.3">
      <c r="A7" s="454">
        <v>2</v>
      </c>
      <c r="B7" s="434"/>
      <c r="C7" s="434"/>
      <c r="D7" s="434"/>
      <c r="E7" s="434">
        <v>31.6</v>
      </c>
      <c r="F7" s="434">
        <v>71.2</v>
      </c>
      <c r="G7" s="434">
        <v>97</v>
      </c>
    </row>
    <row r="8" spans="1:9" x14ac:dyDescent="0.3">
      <c r="A8" s="454">
        <v>3</v>
      </c>
      <c r="B8" s="434"/>
      <c r="C8" s="434"/>
      <c r="D8" s="434"/>
      <c r="E8" s="434">
        <v>56</v>
      </c>
      <c r="F8" s="434">
        <v>65.599999999999994</v>
      </c>
      <c r="G8" s="434">
        <v>88.7</v>
      </c>
    </row>
    <row r="9" spans="1:9" x14ac:dyDescent="0.3">
      <c r="A9" s="454">
        <v>4</v>
      </c>
      <c r="B9" s="434"/>
      <c r="C9" s="434"/>
      <c r="D9" s="434"/>
      <c r="E9" s="434"/>
      <c r="F9" s="434">
        <v>68.099999999999994</v>
      </c>
      <c r="G9" s="434">
        <v>119.9</v>
      </c>
    </row>
    <row r="10" spans="1:9" x14ac:dyDescent="0.3">
      <c r="A10" s="454">
        <v>5</v>
      </c>
      <c r="B10" s="434"/>
      <c r="C10" s="434"/>
      <c r="D10" s="434"/>
      <c r="E10" s="434"/>
      <c r="F10" s="434">
        <v>75.900000000000006</v>
      </c>
      <c r="G10" s="434">
        <v>106.4</v>
      </c>
    </row>
    <row r="11" spans="1:9" x14ac:dyDescent="0.3">
      <c r="A11" s="454">
        <v>6</v>
      </c>
      <c r="B11" s="434"/>
      <c r="C11" s="434"/>
      <c r="D11" s="434"/>
      <c r="E11" s="434"/>
      <c r="F11" s="434"/>
      <c r="G11" s="434">
        <v>83.7</v>
      </c>
    </row>
    <row r="12" spans="1:9" x14ac:dyDescent="0.3">
      <c r="A12" s="670" t="s">
        <v>354</v>
      </c>
      <c r="B12" s="670"/>
      <c r="C12" s="670"/>
      <c r="D12" s="670"/>
      <c r="E12" s="670"/>
      <c r="F12" s="670"/>
      <c r="G12" s="670"/>
    </row>
    <row r="13" spans="1:9" x14ac:dyDescent="0.3">
      <c r="A13" s="396"/>
      <c r="B13" s="674" t="s">
        <v>364</v>
      </c>
      <c r="C13" s="674"/>
      <c r="D13" s="674"/>
      <c r="E13" s="674" t="s">
        <v>365</v>
      </c>
      <c r="F13" s="674"/>
      <c r="G13" s="674"/>
    </row>
    <row r="14" spans="1:9" x14ac:dyDescent="0.3">
      <c r="A14" s="454" t="s">
        <v>366</v>
      </c>
      <c r="B14" s="433" t="s">
        <v>344</v>
      </c>
      <c r="C14" s="433" t="s">
        <v>345</v>
      </c>
      <c r="D14" s="433" t="s">
        <v>367</v>
      </c>
      <c r="E14" s="433" t="s">
        <v>368</v>
      </c>
      <c r="F14" s="433" t="s">
        <v>369</v>
      </c>
      <c r="G14" s="433" t="s">
        <v>370</v>
      </c>
    </row>
    <row r="15" spans="1:9" x14ac:dyDescent="0.3">
      <c r="A15" s="454">
        <v>1</v>
      </c>
      <c r="B15" s="434">
        <v>0</v>
      </c>
      <c r="C15" s="434">
        <v>0</v>
      </c>
      <c r="D15" s="434">
        <v>0</v>
      </c>
      <c r="E15" s="434">
        <v>26.8</v>
      </c>
      <c r="F15" s="434">
        <v>76.7</v>
      </c>
      <c r="G15" s="434">
        <v>107.4</v>
      </c>
    </row>
    <row r="16" spans="1:9" x14ac:dyDescent="0.3">
      <c r="A16" s="454">
        <v>2</v>
      </c>
      <c r="B16" s="434"/>
      <c r="C16" s="434"/>
      <c r="D16" s="434"/>
      <c r="E16" s="434">
        <v>42.3</v>
      </c>
      <c r="F16" s="434">
        <v>71.7</v>
      </c>
      <c r="G16" s="434">
        <v>117.4</v>
      </c>
    </row>
    <row r="17" spans="1:7" x14ac:dyDescent="0.3">
      <c r="A17" s="454">
        <v>3</v>
      </c>
      <c r="B17" s="434"/>
      <c r="C17" s="434"/>
      <c r="D17" s="434"/>
      <c r="E17" s="434">
        <v>33.6</v>
      </c>
      <c r="F17" s="434">
        <v>69</v>
      </c>
      <c r="G17" s="434">
        <v>86.3</v>
      </c>
    </row>
    <row r="18" spans="1:7" x14ac:dyDescent="0.3">
      <c r="A18" s="454">
        <v>4</v>
      </c>
      <c r="B18" s="434"/>
      <c r="C18" s="434"/>
      <c r="D18" s="434"/>
      <c r="E18" s="434">
        <v>33</v>
      </c>
      <c r="F18" s="434">
        <v>75.5</v>
      </c>
      <c r="G18" s="434">
        <v>116.4</v>
      </c>
    </row>
    <row r="19" spans="1:7" x14ac:dyDescent="0.3">
      <c r="A19" s="454">
        <v>5</v>
      </c>
      <c r="B19" s="434"/>
      <c r="C19" s="434"/>
      <c r="D19" s="434"/>
      <c r="E19" s="434"/>
      <c r="F19" s="434">
        <v>60.5</v>
      </c>
      <c r="G19" s="434">
        <v>114.2</v>
      </c>
    </row>
    <row r="20" spans="1:7" x14ac:dyDescent="0.3">
      <c r="A20" s="454">
        <v>6</v>
      </c>
      <c r="B20" s="434"/>
      <c r="C20" s="434"/>
      <c r="D20" s="434"/>
      <c r="E20" s="434"/>
      <c r="F20" s="434">
        <v>66.5</v>
      </c>
      <c r="G20" s="434">
        <v>107.9</v>
      </c>
    </row>
    <row r="21" spans="1:7" x14ac:dyDescent="0.3">
      <c r="A21" s="663" t="s">
        <v>355</v>
      </c>
      <c r="B21" s="663"/>
      <c r="C21" s="663"/>
      <c r="D21" s="663"/>
      <c r="E21" s="663"/>
      <c r="F21" s="663"/>
      <c r="G21" s="663"/>
    </row>
    <row r="22" spans="1:7" x14ac:dyDescent="0.3">
      <c r="A22" s="396"/>
      <c r="B22" s="674" t="s">
        <v>364</v>
      </c>
      <c r="C22" s="674"/>
      <c r="D22" s="674"/>
      <c r="E22" s="674" t="s">
        <v>365</v>
      </c>
      <c r="F22" s="674"/>
      <c r="G22" s="674"/>
    </row>
    <row r="23" spans="1:7" x14ac:dyDescent="0.3">
      <c r="A23" s="454" t="s">
        <v>366</v>
      </c>
      <c r="B23" s="433" t="s">
        <v>344</v>
      </c>
      <c r="C23" s="433" t="s">
        <v>345</v>
      </c>
      <c r="D23" s="433" t="s">
        <v>367</v>
      </c>
      <c r="E23" s="433" t="s">
        <v>368</v>
      </c>
      <c r="F23" s="433" t="s">
        <v>369</v>
      </c>
      <c r="G23" s="433" t="s">
        <v>370</v>
      </c>
    </row>
    <row r="24" spans="1:7" x14ac:dyDescent="0.3">
      <c r="A24" s="454">
        <v>1</v>
      </c>
      <c r="B24" s="434">
        <v>16.600000000000001</v>
      </c>
      <c r="C24" s="434">
        <v>41.8</v>
      </c>
      <c r="D24" s="434">
        <v>76.7</v>
      </c>
      <c r="E24" s="434">
        <v>39.200000000000003</v>
      </c>
      <c r="F24" s="434">
        <v>64.2</v>
      </c>
      <c r="G24" s="434">
        <v>84.2</v>
      </c>
    </row>
    <row r="25" spans="1:7" x14ac:dyDescent="0.3">
      <c r="A25" s="454">
        <v>2</v>
      </c>
      <c r="B25" s="434">
        <v>20.3</v>
      </c>
      <c r="C25" s="434">
        <v>44.1</v>
      </c>
      <c r="D25" s="434">
        <v>71.900000000000006</v>
      </c>
      <c r="E25" s="434">
        <v>25.5</v>
      </c>
      <c r="F25" s="434">
        <v>64.599999999999994</v>
      </c>
      <c r="G25" s="434">
        <v>87.5</v>
      </c>
    </row>
    <row r="26" spans="1:7" x14ac:dyDescent="0.3">
      <c r="A26" s="454">
        <v>3</v>
      </c>
      <c r="B26" s="434">
        <v>22.6</v>
      </c>
      <c r="C26" s="434">
        <v>68</v>
      </c>
      <c r="D26" s="434">
        <v>72.099999999999994</v>
      </c>
      <c r="E26" s="434">
        <v>30.4</v>
      </c>
      <c r="F26" s="434">
        <v>70.099999999999994</v>
      </c>
      <c r="G26" s="434">
        <v>119.3</v>
      </c>
    </row>
    <row r="27" spans="1:7" x14ac:dyDescent="0.3">
      <c r="A27" s="454">
        <v>4</v>
      </c>
      <c r="B27" s="434">
        <v>16.5</v>
      </c>
      <c r="C27" s="434">
        <v>37.4</v>
      </c>
      <c r="D27" s="434">
        <v>85.1</v>
      </c>
      <c r="E27" s="434">
        <v>53.9</v>
      </c>
      <c r="F27" s="434">
        <v>62.3</v>
      </c>
      <c r="G27" s="434">
        <v>92.7</v>
      </c>
    </row>
    <row r="28" spans="1:7" x14ac:dyDescent="0.3">
      <c r="A28" s="454">
        <v>5</v>
      </c>
      <c r="B28" s="434">
        <v>31.8</v>
      </c>
      <c r="C28" s="434">
        <v>39.799999999999997</v>
      </c>
      <c r="D28" s="434">
        <v>88.5</v>
      </c>
      <c r="E28" s="434">
        <v>37.5</v>
      </c>
      <c r="F28" s="434">
        <v>67.3</v>
      </c>
      <c r="G28" s="434">
        <v>115.5</v>
      </c>
    </row>
    <row r="29" spans="1:7" x14ac:dyDescent="0.3">
      <c r="A29" s="454">
        <v>6</v>
      </c>
      <c r="B29" s="434">
        <v>30.1</v>
      </c>
      <c r="C29" s="434">
        <v>65.2</v>
      </c>
      <c r="D29" s="434">
        <v>90.2</v>
      </c>
      <c r="E29" s="434">
        <v>47.3</v>
      </c>
      <c r="F29" s="434">
        <v>73.7</v>
      </c>
      <c r="G29" s="434">
        <v>82.4</v>
      </c>
    </row>
    <row r="30" spans="1:7" x14ac:dyDescent="0.3">
      <c r="A30" s="454">
        <v>7</v>
      </c>
      <c r="B30" s="434">
        <v>25.3</v>
      </c>
      <c r="C30" s="434">
        <v>46</v>
      </c>
      <c r="D30" s="434">
        <v>77.7</v>
      </c>
      <c r="E30" s="434">
        <v>51</v>
      </c>
      <c r="F30" s="434">
        <v>75.400000000000006</v>
      </c>
      <c r="G30" s="434">
        <v>106.6</v>
      </c>
    </row>
    <row r="31" spans="1:7" x14ac:dyDescent="0.3">
      <c r="A31" s="454">
        <v>8</v>
      </c>
      <c r="B31" s="434">
        <v>32.6</v>
      </c>
      <c r="C31" s="434">
        <v>36.700000000000003</v>
      </c>
      <c r="D31" s="434">
        <v>101.9</v>
      </c>
      <c r="E31" s="434"/>
      <c r="F31" s="434">
        <v>62.8</v>
      </c>
      <c r="G31" s="434">
        <v>82.1</v>
      </c>
    </row>
    <row r="32" spans="1:7" x14ac:dyDescent="0.3">
      <c r="A32" s="454">
        <v>9</v>
      </c>
      <c r="B32" s="434">
        <v>35.4</v>
      </c>
      <c r="C32" s="434">
        <v>43.8</v>
      </c>
      <c r="D32" s="434">
        <v>100.8</v>
      </c>
      <c r="E32" s="434"/>
      <c r="F32" s="434">
        <v>62.7</v>
      </c>
      <c r="G32" s="434">
        <v>109.2</v>
      </c>
    </row>
    <row r="33" spans="1:7" x14ac:dyDescent="0.3">
      <c r="A33" s="454">
        <v>10</v>
      </c>
      <c r="B33" s="434">
        <v>30.5</v>
      </c>
      <c r="C33" s="434">
        <v>62.1</v>
      </c>
      <c r="D33" s="434">
        <v>94.5</v>
      </c>
      <c r="E33" s="434"/>
      <c r="F33" s="434">
        <v>68.5</v>
      </c>
      <c r="G33" s="434">
        <v>110.9</v>
      </c>
    </row>
    <row r="34" spans="1:7" x14ac:dyDescent="0.3">
      <c r="A34" s="454">
        <v>11</v>
      </c>
      <c r="B34" s="434">
        <v>24.4</v>
      </c>
      <c r="C34" s="434">
        <v>52.5</v>
      </c>
      <c r="D34" s="434">
        <v>98.3</v>
      </c>
      <c r="E34" s="434"/>
      <c r="F34" s="434">
        <v>75</v>
      </c>
      <c r="G34" s="434">
        <v>99.7</v>
      </c>
    </row>
    <row r="35" spans="1:7" x14ac:dyDescent="0.3">
      <c r="A35" s="454">
        <v>12</v>
      </c>
      <c r="B35" s="434">
        <v>34.200000000000003</v>
      </c>
      <c r="C35" s="434">
        <v>55.6</v>
      </c>
      <c r="D35" s="434">
        <v>91.2</v>
      </c>
      <c r="E35" s="434"/>
      <c r="F35" s="434"/>
      <c r="G35" s="434">
        <v>88.8</v>
      </c>
    </row>
    <row r="36" spans="1:7" x14ac:dyDescent="0.3">
      <c r="A36" s="454">
        <v>13</v>
      </c>
      <c r="B36" s="434">
        <v>23.2</v>
      </c>
      <c r="C36" s="434">
        <v>47.9</v>
      </c>
      <c r="D36" s="434">
        <v>87.5</v>
      </c>
      <c r="E36" s="434"/>
      <c r="F36" s="434"/>
      <c r="G36" s="434"/>
    </row>
    <row r="37" spans="1:7" x14ac:dyDescent="0.3">
      <c r="A37" s="454">
        <v>14</v>
      </c>
      <c r="B37" s="434"/>
      <c r="C37" s="434">
        <v>52.3</v>
      </c>
      <c r="D37" s="434">
        <v>103.8</v>
      </c>
      <c r="E37" s="434"/>
      <c r="F37" s="434"/>
      <c r="G37" s="434"/>
    </row>
    <row r="38" spans="1:7" x14ac:dyDescent="0.3">
      <c r="A38" s="454">
        <v>15</v>
      </c>
      <c r="B38" s="434"/>
      <c r="C38" s="434">
        <v>54</v>
      </c>
      <c r="D38" s="434">
        <v>89.6</v>
      </c>
      <c r="E38" s="434"/>
      <c r="F38" s="434"/>
      <c r="G38" s="434"/>
    </row>
    <row r="39" spans="1:7" x14ac:dyDescent="0.3">
      <c r="A39" s="670" t="s">
        <v>356</v>
      </c>
      <c r="B39" s="670"/>
      <c r="C39" s="670"/>
      <c r="D39" s="663"/>
      <c r="E39" s="670"/>
      <c r="F39" s="670"/>
      <c r="G39" s="670"/>
    </row>
    <row r="40" spans="1:7" x14ac:dyDescent="0.3">
      <c r="A40" s="396"/>
      <c r="B40" s="674" t="s">
        <v>364</v>
      </c>
      <c r="C40" s="674"/>
      <c r="D40" s="674"/>
      <c r="E40" s="674" t="s">
        <v>365</v>
      </c>
      <c r="F40" s="674"/>
      <c r="G40" s="674"/>
    </row>
    <row r="41" spans="1:7" x14ac:dyDescent="0.3">
      <c r="A41" s="454" t="s">
        <v>366</v>
      </c>
      <c r="B41" s="433" t="s">
        <v>344</v>
      </c>
      <c r="C41" s="433" t="s">
        <v>345</v>
      </c>
      <c r="D41" s="433" t="s">
        <v>367</v>
      </c>
      <c r="E41" s="433" t="s">
        <v>368</v>
      </c>
      <c r="F41" s="433" t="s">
        <v>369</v>
      </c>
      <c r="G41" s="433" t="s">
        <v>370</v>
      </c>
    </row>
    <row r="42" spans="1:7" x14ac:dyDescent="0.3">
      <c r="A42" s="454">
        <v>1</v>
      </c>
      <c r="B42" s="434">
        <v>27.3</v>
      </c>
      <c r="C42" s="434">
        <v>40.9</v>
      </c>
      <c r="D42" s="434">
        <v>77.099999999999994</v>
      </c>
      <c r="E42" s="434">
        <v>51.7</v>
      </c>
      <c r="F42" s="434">
        <v>66.599999999999994</v>
      </c>
      <c r="G42" s="434">
        <v>98</v>
      </c>
    </row>
    <row r="43" spans="1:7" x14ac:dyDescent="0.3">
      <c r="A43" s="454">
        <v>2</v>
      </c>
      <c r="B43" s="434">
        <v>33.799999999999997</v>
      </c>
      <c r="C43" s="434">
        <v>49.8</v>
      </c>
      <c r="D43" s="434">
        <v>102</v>
      </c>
      <c r="E43" s="434">
        <v>42.5</v>
      </c>
      <c r="F43" s="434">
        <v>71.5</v>
      </c>
      <c r="G43" s="434">
        <v>116.9</v>
      </c>
    </row>
    <row r="44" spans="1:7" x14ac:dyDescent="0.3">
      <c r="A44" s="454">
        <v>3</v>
      </c>
      <c r="B44" s="434">
        <v>33.700000000000003</v>
      </c>
      <c r="C44" s="434">
        <v>47.4</v>
      </c>
      <c r="D44" s="434">
        <v>73.2</v>
      </c>
      <c r="E44" s="434">
        <v>57.9</v>
      </c>
      <c r="F44" s="434">
        <v>61.4</v>
      </c>
      <c r="G44" s="434">
        <v>101.8</v>
      </c>
    </row>
    <row r="45" spans="1:7" x14ac:dyDescent="0.3">
      <c r="A45" s="454">
        <v>4</v>
      </c>
      <c r="B45" s="434">
        <v>35.4</v>
      </c>
      <c r="C45" s="434">
        <v>49.2</v>
      </c>
      <c r="D45" s="434">
        <v>79.099999999999994</v>
      </c>
      <c r="E45" s="434">
        <v>58.1</v>
      </c>
      <c r="F45" s="434">
        <v>64.2</v>
      </c>
      <c r="G45" s="434">
        <v>87.5</v>
      </c>
    </row>
    <row r="46" spans="1:7" x14ac:dyDescent="0.3">
      <c r="A46" s="454">
        <v>5</v>
      </c>
      <c r="B46" s="434">
        <v>18.5</v>
      </c>
      <c r="C46" s="434">
        <v>55.6</v>
      </c>
      <c r="D46" s="434">
        <v>87.3</v>
      </c>
      <c r="E46" s="434">
        <v>46.2</v>
      </c>
      <c r="F46" s="434">
        <v>67</v>
      </c>
      <c r="G46" s="434">
        <v>80.7</v>
      </c>
    </row>
    <row r="47" spans="1:7" x14ac:dyDescent="0.3">
      <c r="A47" s="454">
        <v>6</v>
      </c>
      <c r="B47" s="434">
        <v>34.6</v>
      </c>
      <c r="C47" s="434">
        <v>42</v>
      </c>
      <c r="D47" s="434">
        <v>85.4</v>
      </c>
      <c r="E47" s="434">
        <v>48.4</v>
      </c>
      <c r="F47" s="434">
        <v>64.900000000000006</v>
      </c>
      <c r="G47" s="434">
        <v>114.6</v>
      </c>
    </row>
    <row r="48" spans="1:7" x14ac:dyDescent="0.3">
      <c r="A48" s="454">
        <v>7</v>
      </c>
      <c r="B48" s="434">
        <v>26.5</v>
      </c>
      <c r="C48" s="434">
        <v>40.700000000000003</v>
      </c>
      <c r="D48" s="434">
        <v>82.6</v>
      </c>
      <c r="E48" s="434">
        <v>36.700000000000003</v>
      </c>
      <c r="F48" s="434">
        <v>66</v>
      </c>
      <c r="G48" s="434">
        <v>93.9</v>
      </c>
    </row>
    <row r="49" spans="1:7" x14ac:dyDescent="0.3">
      <c r="A49" s="454">
        <v>8</v>
      </c>
      <c r="B49" s="434">
        <v>22.6</v>
      </c>
      <c r="C49" s="434">
        <v>48.3</v>
      </c>
      <c r="D49" s="434">
        <v>86</v>
      </c>
      <c r="E49" s="434"/>
      <c r="F49" s="434">
        <v>73.8</v>
      </c>
      <c r="G49" s="434">
        <v>111</v>
      </c>
    </row>
    <row r="50" spans="1:7" x14ac:dyDescent="0.3">
      <c r="A50" s="454">
        <v>9</v>
      </c>
      <c r="B50" s="434">
        <v>29.7</v>
      </c>
      <c r="C50" s="434">
        <v>59.7</v>
      </c>
      <c r="D50" s="434">
        <v>93.9</v>
      </c>
      <c r="E50" s="434"/>
      <c r="F50" s="434">
        <v>64.400000000000006</v>
      </c>
      <c r="G50" s="434">
        <v>115.5</v>
      </c>
    </row>
    <row r="51" spans="1:7" x14ac:dyDescent="0.3">
      <c r="A51" s="454">
        <v>10</v>
      </c>
      <c r="B51" s="434">
        <v>32.5</v>
      </c>
      <c r="C51" s="434">
        <v>47.4</v>
      </c>
      <c r="D51" s="434">
        <v>70.8</v>
      </c>
      <c r="E51" s="434"/>
      <c r="F51" s="434">
        <v>60.7</v>
      </c>
      <c r="G51" s="434">
        <v>81.900000000000006</v>
      </c>
    </row>
    <row r="52" spans="1:7" x14ac:dyDescent="0.3">
      <c r="A52" s="454">
        <v>11</v>
      </c>
      <c r="B52" s="434">
        <v>26.1</v>
      </c>
      <c r="C52" s="434">
        <v>54.2</v>
      </c>
      <c r="D52" s="434">
        <v>79.900000000000006</v>
      </c>
      <c r="E52" s="434"/>
      <c r="F52" s="434">
        <v>63.3</v>
      </c>
      <c r="G52" s="434">
        <v>93.5</v>
      </c>
    </row>
    <row r="53" spans="1:7" x14ac:dyDescent="0.3">
      <c r="A53" s="454">
        <v>12</v>
      </c>
      <c r="B53" s="434">
        <v>16.100000000000001</v>
      </c>
      <c r="C53" s="434">
        <v>39.4</v>
      </c>
      <c r="D53" s="434">
        <v>70.900000000000006</v>
      </c>
      <c r="E53" s="434"/>
      <c r="F53" s="434">
        <v>71.3</v>
      </c>
      <c r="G53" s="434">
        <v>93.3</v>
      </c>
    </row>
    <row r="54" spans="1:7" x14ac:dyDescent="0.3">
      <c r="A54" s="454">
        <v>13</v>
      </c>
      <c r="B54" s="434">
        <v>30.4</v>
      </c>
      <c r="C54" s="434">
        <v>50.1</v>
      </c>
      <c r="D54" s="434">
        <v>100.6</v>
      </c>
      <c r="E54" s="434"/>
      <c r="F54" s="434"/>
      <c r="G54" s="434">
        <v>99.1</v>
      </c>
    </row>
    <row r="55" spans="1:7" x14ac:dyDescent="0.3">
      <c r="A55" s="454">
        <v>14</v>
      </c>
      <c r="B55" s="434">
        <v>33.700000000000003</v>
      </c>
      <c r="C55" s="434">
        <v>58.9</v>
      </c>
      <c r="D55" s="434">
        <v>77.7</v>
      </c>
      <c r="E55" s="434"/>
      <c r="F55" s="434"/>
      <c r="G55" s="434">
        <v>80.5</v>
      </c>
    </row>
    <row r="56" spans="1:7" x14ac:dyDescent="0.3">
      <c r="A56" s="454">
        <v>15</v>
      </c>
      <c r="B56" s="434"/>
      <c r="C56" s="434"/>
      <c r="D56" s="434">
        <v>103.6</v>
      </c>
      <c r="E56" s="434"/>
      <c r="F56" s="434"/>
      <c r="G56" s="434"/>
    </row>
    <row r="57" spans="1:7" x14ac:dyDescent="0.3">
      <c r="A57" s="670" t="s">
        <v>357</v>
      </c>
      <c r="B57" s="670"/>
      <c r="C57" s="670"/>
      <c r="D57" s="663"/>
      <c r="E57" s="670"/>
      <c r="F57" s="670"/>
      <c r="G57" s="670"/>
    </row>
    <row r="58" spans="1:7" x14ac:dyDescent="0.3">
      <c r="A58" s="396"/>
      <c r="B58" s="674" t="s">
        <v>364</v>
      </c>
      <c r="C58" s="674"/>
      <c r="D58" s="674"/>
      <c r="E58" s="674" t="s">
        <v>365</v>
      </c>
      <c r="F58" s="674"/>
      <c r="G58" s="674"/>
    </row>
    <row r="59" spans="1:7" x14ac:dyDescent="0.3">
      <c r="A59" s="454" t="s">
        <v>366</v>
      </c>
      <c r="B59" s="433" t="s">
        <v>344</v>
      </c>
      <c r="C59" s="433" t="s">
        <v>345</v>
      </c>
      <c r="D59" s="433" t="s">
        <v>367</v>
      </c>
      <c r="E59" s="433" t="s">
        <v>368</v>
      </c>
      <c r="F59" s="433" t="s">
        <v>369</v>
      </c>
      <c r="G59" s="433" t="s">
        <v>370</v>
      </c>
    </row>
    <row r="60" spans="1:7" x14ac:dyDescent="0.3">
      <c r="A60" s="454">
        <v>1</v>
      </c>
      <c r="B60" s="434">
        <v>31.4</v>
      </c>
      <c r="C60" s="434">
        <v>50.9</v>
      </c>
      <c r="D60" s="434">
        <v>83.3</v>
      </c>
      <c r="E60" s="434">
        <v>37.299999999999997</v>
      </c>
      <c r="F60" s="434">
        <v>70.2</v>
      </c>
      <c r="G60" s="434">
        <v>103</v>
      </c>
    </row>
    <row r="61" spans="1:7" x14ac:dyDescent="0.3">
      <c r="A61" s="454">
        <v>2</v>
      </c>
      <c r="B61" s="434">
        <v>32.799999999999997</v>
      </c>
      <c r="C61" s="434">
        <v>54.8</v>
      </c>
      <c r="D61" s="434">
        <v>82.2</v>
      </c>
      <c r="E61" s="434">
        <v>42.7</v>
      </c>
      <c r="F61" s="434">
        <v>73.900000000000006</v>
      </c>
      <c r="G61" s="434">
        <v>113.7</v>
      </c>
    </row>
    <row r="62" spans="1:7" x14ac:dyDescent="0.3">
      <c r="A62" s="454">
        <v>3</v>
      </c>
      <c r="B62" s="434">
        <v>33.299999999999997</v>
      </c>
      <c r="C62" s="434">
        <v>52.1</v>
      </c>
      <c r="D62" s="434">
        <v>72.400000000000006</v>
      </c>
      <c r="E62" s="434">
        <v>59.9</v>
      </c>
      <c r="F62" s="434">
        <v>62</v>
      </c>
      <c r="G62" s="434">
        <v>98</v>
      </c>
    </row>
    <row r="63" spans="1:7" x14ac:dyDescent="0.3">
      <c r="A63" s="454">
        <v>4</v>
      </c>
      <c r="B63" s="434">
        <v>32.9</v>
      </c>
      <c r="C63" s="434">
        <v>50.2</v>
      </c>
      <c r="D63" s="434">
        <v>85.8</v>
      </c>
      <c r="E63" s="434">
        <v>45.6</v>
      </c>
      <c r="F63" s="434">
        <v>70.900000000000006</v>
      </c>
      <c r="G63" s="434">
        <v>80.400000000000006</v>
      </c>
    </row>
    <row r="64" spans="1:7" x14ac:dyDescent="0.3">
      <c r="A64" s="454">
        <v>5</v>
      </c>
      <c r="B64" s="434">
        <v>17.3</v>
      </c>
      <c r="C64" s="434">
        <v>38</v>
      </c>
      <c r="D64" s="434">
        <v>79.8</v>
      </c>
      <c r="E64" s="434"/>
      <c r="F64" s="434">
        <v>78.400000000000006</v>
      </c>
      <c r="G64" s="434">
        <v>103</v>
      </c>
    </row>
    <row r="65" spans="1:7" x14ac:dyDescent="0.3">
      <c r="A65" s="454">
        <v>6</v>
      </c>
      <c r="B65" s="434">
        <v>19</v>
      </c>
      <c r="C65" s="434">
        <v>63</v>
      </c>
      <c r="D65" s="434">
        <v>88</v>
      </c>
      <c r="E65" s="434"/>
      <c r="F65" s="434"/>
      <c r="G65" s="434">
        <v>111.2</v>
      </c>
    </row>
    <row r="66" spans="1:7" x14ac:dyDescent="0.3">
      <c r="A66" s="454">
        <v>7</v>
      </c>
      <c r="B66" s="434">
        <v>24.7</v>
      </c>
      <c r="C66" s="434">
        <v>63.2</v>
      </c>
      <c r="D66" s="434">
        <v>89</v>
      </c>
      <c r="E66" s="434"/>
      <c r="F66" s="434"/>
      <c r="G66" s="434"/>
    </row>
    <row r="67" spans="1:7" x14ac:dyDescent="0.3">
      <c r="A67" s="454">
        <v>8</v>
      </c>
      <c r="B67" s="434">
        <v>24.7</v>
      </c>
      <c r="C67" s="434">
        <v>53.7</v>
      </c>
      <c r="D67" s="434">
        <v>88.3</v>
      </c>
      <c r="E67" s="434"/>
      <c r="F67" s="434"/>
      <c r="G67" s="434"/>
    </row>
    <row r="68" spans="1:7" x14ac:dyDescent="0.3">
      <c r="A68" s="454">
        <v>9</v>
      </c>
      <c r="B68" s="434">
        <v>24.9</v>
      </c>
      <c r="C68" s="434"/>
      <c r="D68" s="434">
        <v>89.4</v>
      </c>
      <c r="E68" s="433"/>
      <c r="F68" s="434"/>
      <c r="G68" s="434"/>
    </row>
    <row r="69" spans="1:7" x14ac:dyDescent="0.3">
      <c r="A69" s="670" t="s">
        <v>358</v>
      </c>
      <c r="B69" s="670"/>
      <c r="C69" s="670"/>
      <c r="D69" s="663"/>
      <c r="E69" s="670"/>
      <c r="F69" s="670"/>
      <c r="G69" s="670"/>
    </row>
    <row r="70" spans="1:7" x14ac:dyDescent="0.3">
      <c r="A70" s="396"/>
      <c r="B70" s="674" t="s">
        <v>364</v>
      </c>
      <c r="C70" s="674"/>
      <c r="D70" s="674"/>
      <c r="E70" s="674" t="s">
        <v>365</v>
      </c>
      <c r="F70" s="674"/>
      <c r="G70" s="674"/>
    </row>
    <row r="71" spans="1:7" x14ac:dyDescent="0.3">
      <c r="A71" s="454" t="s">
        <v>366</v>
      </c>
      <c r="B71" s="433" t="s">
        <v>344</v>
      </c>
      <c r="C71" s="433" t="s">
        <v>345</v>
      </c>
      <c r="D71" s="433" t="s">
        <v>367</v>
      </c>
      <c r="E71" s="433" t="s">
        <v>368</v>
      </c>
      <c r="F71" s="433" t="s">
        <v>369</v>
      </c>
      <c r="G71" s="433" t="s">
        <v>370</v>
      </c>
    </row>
    <row r="72" spans="1:7" x14ac:dyDescent="0.3">
      <c r="A72" s="454">
        <v>1</v>
      </c>
      <c r="B72" s="434">
        <v>19.8</v>
      </c>
      <c r="C72" s="434">
        <v>41</v>
      </c>
      <c r="D72" s="434">
        <v>76.099999999999994</v>
      </c>
      <c r="E72" s="434">
        <v>25.5</v>
      </c>
      <c r="F72" s="434">
        <v>60.1</v>
      </c>
      <c r="G72" s="434">
        <v>94</v>
      </c>
    </row>
    <row r="73" spans="1:7" x14ac:dyDescent="0.3">
      <c r="A73" s="454">
        <v>2</v>
      </c>
      <c r="B73" s="434">
        <v>21.5</v>
      </c>
      <c r="C73" s="434">
        <v>38.1</v>
      </c>
      <c r="D73" s="434">
        <v>102.7</v>
      </c>
      <c r="E73" s="434">
        <v>42.4</v>
      </c>
      <c r="F73" s="434">
        <v>78</v>
      </c>
      <c r="G73" s="434">
        <v>86.6</v>
      </c>
    </row>
    <row r="74" spans="1:7" x14ac:dyDescent="0.3">
      <c r="A74" s="454">
        <v>3</v>
      </c>
      <c r="B74" s="434">
        <v>17.600000000000001</v>
      </c>
      <c r="C74" s="434">
        <v>38.299999999999997</v>
      </c>
      <c r="D74" s="434">
        <v>69.8</v>
      </c>
      <c r="E74" s="434">
        <v>50.2</v>
      </c>
      <c r="F74" s="434">
        <v>61</v>
      </c>
      <c r="G74" s="434">
        <v>102.2</v>
      </c>
    </row>
    <row r="75" spans="1:7" x14ac:dyDescent="0.3">
      <c r="A75" s="454">
        <v>4</v>
      </c>
      <c r="B75" s="434">
        <v>35.6</v>
      </c>
      <c r="C75" s="434">
        <v>55</v>
      </c>
      <c r="D75" s="434">
        <v>102.8</v>
      </c>
      <c r="E75" s="434">
        <v>40.700000000000003</v>
      </c>
      <c r="F75" s="434">
        <v>77.3</v>
      </c>
      <c r="G75" s="434">
        <v>111.3</v>
      </c>
    </row>
    <row r="76" spans="1:7" x14ac:dyDescent="0.3">
      <c r="A76" s="454">
        <v>5</v>
      </c>
      <c r="B76" s="434">
        <v>25.9</v>
      </c>
      <c r="C76" s="434">
        <v>43.7</v>
      </c>
      <c r="D76" s="434">
        <v>68.5</v>
      </c>
      <c r="E76" s="434">
        <v>38.9</v>
      </c>
      <c r="F76" s="434">
        <v>76.5</v>
      </c>
      <c r="G76" s="434">
        <v>110.7</v>
      </c>
    </row>
    <row r="77" spans="1:7" x14ac:dyDescent="0.3">
      <c r="A77" s="454">
        <v>6</v>
      </c>
      <c r="B77" s="434">
        <v>26</v>
      </c>
      <c r="C77" s="434">
        <v>53.5</v>
      </c>
      <c r="D77" s="434">
        <v>78.5</v>
      </c>
      <c r="E77" s="434">
        <v>59.5</v>
      </c>
      <c r="F77" s="434">
        <v>69.599999999999994</v>
      </c>
      <c r="G77" s="434">
        <v>89.3</v>
      </c>
    </row>
    <row r="78" spans="1:7" x14ac:dyDescent="0.3">
      <c r="A78" s="454">
        <v>7</v>
      </c>
      <c r="B78" s="434">
        <v>33.200000000000003</v>
      </c>
      <c r="C78" s="434">
        <v>39.299999999999997</v>
      </c>
      <c r="D78" s="434">
        <v>102.5</v>
      </c>
      <c r="E78" s="434">
        <v>48.1</v>
      </c>
      <c r="F78" s="434">
        <v>69.5</v>
      </c>
      <c r="G78" s="434">
        <v>107</v>
      </c>
    </row>
    <row r="79" spans="1:7" x14ac:dyDescent="0.3">
      <c r="A79" s="454">
        <v>8</v>
      </c>
      <c r="B79" s="434">
        <v>29.1</v>
      </c>
      <c r="C79" s="434">
        <v>42.4</v>
      </c>
      <c r="D79" s="434">
        <v>75.400000000000006</v>
      </c>
      <c r="E79" s="434">
        <v>48.1</v>
      </c>
      <c r="F79" s="434">
        <v>73.599999999999994</v>
      </c>
      <c r="G79" s="434">
        <v>94.5</v>
      </c>
    </row>
    <row r="80" spans="1:7" x14ac:dyDescent="0.3">
      <c r="A80" s="454">
        <v>9</v>
      </c>
      <c r="B80" s="434">
        <v>20.9</v>
      </c>
      <c r="C80" s="434">
        <v>49.2</v>
      </c>
      <c r="D80" s="434">
        <v>97.6</v>
      </c>
      <c r="E80" s="434">
        <v>34.1</v>
      </c>
      <c r="F80" s="434">
        <v>75.5</v>
      </c>
      <c r="G80" s="434">
        <v>113.1</v>
      </c>
    </row>
    <row r="81" spans="1:7" x14ac:dyDescent="0.3">
      <c r="A81" s="454">
        <v>10</v>
      </c>
      <c r="B81" s="434">
        <v>27.4</v>
      </c>
      <c r="C81" s="434">
        <v>54.5</v>
      </c>
      <c r="D81" s="434">
        <v>103.1</v>
      </c>
      <c r="E81" s="434">
        <v>46.3</v>
      </c>
      <c r="F81" s="434">
        <v>64.5</v>
      </c>
      <c r="G81" s="434">
        <v>107.2</v>
      </c>
    </row>
    <row r="82" spans="1:7" x14ac:dyDescent="0.3">
      <c r="A82" s="454">
        <v>11</v>
      </c>
      <c r="B82" s="434">
        <v>23.5</v>
      </c>
      <c r="C82" s="434">
        <v>55.7</v>
      </c>
      <c r="D82" s="434">
        <v>93.8</v>
      </c>
      <c r="E82" s="434"/>
      <c r="F82" s="434">
        <v>78.400000000000006</v>
      </c>
      <c r="G82" s="434">
        <v>87.4</v>
      </c>
    </row>
    <row r="83" spans="1:7" x14ac:dyDescent="0.3">
      <c r="A83" s="454">
        <v>12</v>
      </c>
      <c r="B83" s="434">
        <v>32.5</v>
      </c>
      <c r="C83" s="434">
        <v>48.6</v>
      </c>
      <c r="D83" s="434">
        <v>100.6</v>
      </c>
      <c r="E83" s="434"/>
      <c r="F83" s="434">
        <v>71.099999999999994</v>
      </c>
      <c r="G83" s="434">
        <v>100.5</v>
      </c>
    </row>
    <row r="84" spans="1:7" x14ac:dyDescent="0.3">
      <c r="A84" s="454">
        <v>13</v>
      </c>
      <c r="B84" s="434">
        <v>18.399999999999999</v>
      </c>
      <c r="C84" s="434">
        <v>60.1</v>
      </c>
      <c r="D84" s="434">
        <v>96.6</v>
      </c>
      <c r="E84" s="434"/>
      <c r="F84" s="434">
        <v>72.3</v>
      </c>
      <c r="G84" s="434">
        <v>98.8</v>
      </c>
    </row>
    <row r="85" spans="1:7" x14ac:dyDescent="0.3">
      <c r="A85" s="454">
        <v>14</v>
      </c>
      <c r="B85" s="434">
        <v>20.2</v>
      </c>
      <c r="C85" s="434">
        <v>53.6</v>
      </c>
      <c r="D85" s="434">
        <v>87.2</v>
      </c>
      <c r="E85" s="434"/>
      <c r="F85" s="434">
        <v>64.8</v>
      </c>
      <c r="G85" s="434">
        <v>87.3</v>
      </c>
    </row>
    <row r="86" spans="1:7" x14ac:dyDescent="0.3">
      <c r="A86" s="454">
        <v>15</v>
      </c>
      <c r="B86" s="434">
        <v>30.5</v>
      </c>
      <c r="C86" s="434">
        <v>46.3</v>
      </c>
      <c r="D86" s="434">
        <v>81.599999999999994</v>
      </c>
      <c r="E86" s="434"/>
      <c r="F86" s="434"/>
      <c r="G86" s="434">
        <v>95.8</v>
      </c>
    </row>
    <row r="87" spans="1:7" x14ac:dyDescent="0.3">
      <c r="A87" s="454">
        <v>16</v>
      </c>
      <c r="B87" s="434"/>
      <c r="C87" s="434">
        <v>41.1</v>
      </c>
      <c r="D87" s="434">
        <v>92.1</v>
      </c>
      <c r="E87" s="434"/>
      <c r="F87" s="434"/>
      <c r="G87" s="434">
        <v>89.6</v>
      </c>
    </row>
    <row r="88" spans="1:7" x14ac:dyDescent="0.3">
      <c r="A88" s="454">
        <v>17</v>
      </c>
      <c r="B88" s="434"/>
      <c r="C88" s="434">
        <v>63</v>
      </c>
      <c r="D88" s="434">
        <v>75.099999999999994</v>
      </c>
      <c r="E88" s="434"/>
      <c r="F88" s="434"/>
      <c r="G88" s="434">
        <v>95.1</v>
      </c>
    </row>
    <row r="89" spans="1:7" x14ac:dyDescent="0.3">
      <c r="A89" s="454">
        <v>18</v>
      </c>
      <c r="B89" s="434"/>
      <c r="C89" s="434">
        <v>46.2</v>
      </c>
      <c r="D89" s="434">
        <v>80</v>
      </c>
      <c r="E89" s="438"/>
      <c r="F89" s="438"/>
      <c r="G89" s="438"/>
    </row>
    <row r="90" spans="1:7" x14ac:dyDescent="0.3">
      <c r="A90" s="454">
        <v>19</v>
      </c>
      <c r="B90" s="434"/>
      <c r="C90" s="434">
        <v>42.4</v>
      </c>
      <c r="D90" s="434"/>
      <c r="E90" s="438"/>
      <c r="F90" s="438"/>
      <c r="G90" s="438"/>
    </row>
    <row r="91" spans="1:7" x14ac:dyDescent="0.3">
      <c r="A91" s="670" t="s">
        <v>359</v>
      </c>
      <c r="B91" s="670"/>
      <c r="C91" s="670"/>
      <c r="D91" s="663"/>
      <c r="E91" s="670"/>
      <c r="F91" s="670"/>
      <c r="G91" s="670"/>
    </row>
    <row r="92" spans="1:7" x14ac:dyDescent="0.3">
      <c r="A92" s="396"/>
      <c r="B92" s="674" t="s">
        <v>364</v>
      </c>
      <c r="C92" s="674"/>
      <c r="D92" s="674"/>
      <c r="E92" s="674" t="s">
        <v>365</v>
      </c>
      <c r="F92" s="674"/>
      <c r="G92" s="674"/>
    </row>
    <row r="93" spans="1:7" x14ac:dyDescent="0.3">
      <c r="A93" s="454" t="s">
        <v>366</v>
      </c>
      <c r="B93" s="433" t="s">
        <v>344</v>
      </c>
      <c r="C93" s="433" t="s">
        <v>345</v>
      </c>
      <c r="D93" s="433" t="s">
        <v>367</v>
      </c>
      <c r="E93" s="433" t="s">
        <v>368</v>
      </c>
      <c r="F93" s="433" t="s">
        <v>369</v>
      </c>
      <c r="G93" s="433" t="s">
        <v>370</v>
      </c>
    </row>
    <row r="94" spans="1:7" x14ac:dyDescent="0.3">
      <c r="A94" s="454">
        <v>1</v>
      </c>
      <c r="B94" s="434">
        <v>21</v>
      </c>
      <c r="C94" s="434">
        <v>54.5</v>
      </c>
      <c r="D94" s="434">
        <v>73.8</v>
      </c>
      <c r="E94" s="434">
        <v>45.4</v>
      </c>
      <c r="F94" s="434">
        <v>61.8</v>
      </c>
      <c r="G94" s="434">
        <v>109.9</v>
      </c>
    </row>
    <row r="95" spans="1:7" x14ac:dyDescent="0.3">
      <c r="A95" s="454">
        <v>2</v>
      </c>
      <c r="B95" s="434">
        <v>26.4</v>
      </c>
      <c r="C95" s="434">
        <v>67.5</v>
      </c>
      <c r="D95" s="434">
        <v>95.1</v>
      </c>
      <c r="E95" s="434">
        <v>57.9</v>
      </c>
      <c r="F95" s="434">
        <v>74.7</v>
      </c>
      <c r="G95" s="434">
        <v>101.6</v>
      </c>
    </row>
    <row r="96" spans="1:7" x14ac:dyDescent="0.3">
      <c r="A96" s="454">
        <v>3</v>
      </c>
      <c r="B96" s="434">
        <v>16.399999999999999</v>
      </c>
      <c r="C96" s="434">
        <v>58.9</v>
      </c>
      <c r="D96" s="434">
        <v>80.2</v>
      </c>
      <c r="E96" s="434">
        <v>27.7</v>
      </c>
      <c r="F96" s="434">
        <v>67</v>
      </c>
      <c r="G96" s="434">
        <v>117.7</v>
      </c>
    </row>
    <row r="97" spans="1:7" x14ac:dyDescent="0.3">
      <c r="A97" s="454">
        <v>4</v>
      </c>
      <c r="B97" s="434">
        <v>23.9</v>
      </c>
      <c r="C97" s="434">
        <v>67.2</v>
      </c>
      <c r="D97" s="434">
        <v>104.5</v>
      </c>
      <c r="E97" s="434">
        <v>38.1</v>
      </c>
      <c r="F97" s="434">
        <v>77.7</v>
      </c>
      <c r="G97" s="434">
        <v>107.2</v>
      </c>
    </row>
    <row r="98" spans="1:7" x14ac:dyDescent="0.3">
      <c r="A98" s="454">
        <v>5</v>
      </c>
      <c r="B98" s="434">
        <v>19.899999999999999</v>
      </c>
      <c r="C98" s="434">
        <v>66.5</v>
      </c>
      <c r="D98" s="434">
        <v>98.1</v>
      </c>
      <c r="E98" s="434">
        <v>55.8</v>
      </c>
      <c r="F98" s="434">
        <v>72.5</v>
      </c>
      <c r="G98" s="434">
        <v>112.4</v>
      </c>
    </row>
    <row r="99" spans="1:7" x14ac:dyDescent="0.3">
      <c r="A99" s="454">
        <v>6</v>
      </c>
      <c r="B99" s="434">
        <v>20.7</v>
      </c>
      <c r="C99" s="434">
        <v>54.5</v>
      </c>
      <c r="D99" s="434">
        <v>80.099999999999994</v>
      </c>
      <c r="E99" s="434">
        <v>45</v>
      </c>
      <c r="F99" s="434">
        <v>77.5</v>
      </c>
      <c r="G99" s="434">
        <v>118.8</v>
      </c>
    </row>
    <row r="100" spans="1:7" x14ac:dyDescent="0.3">
      <c r="A100" s="454">
        <v>7</v>
      </c>
      <c r="B100" s="434">
        <v>23.3</v>
      </c>
      <c r="C100" s="434">
        <v>47.2</v>
      </c>
      <c r="D100" s="434">
        <v>97.2</v>
      </c>
      <c r="E100" s="434">
        <v>27.4</v>
      </c>
      <c r="F100" s="434">
        <v>62.6</v>
      </c>
      <c r="G100" s="434">
        <v>103.8</v>
      </c>
    </row>
    <row r="101" spans="1:7" x14ac:dyDescent="0.3">
      <c r="A101" s="454">
        <v>8</v>
      </c>
      <c r="B101" s="434">
        <v>18.7</v>
      </c>
      <c r="C101" s="434">
        <v>46.6</v>
      </c>
      <c r="D101" s="434">
        <v>75.8</v>
      </c>
      <c r="E101" s="434">
        <v>37.299999999999997</v>
      </c>
      <c r="F101" s="434">
        <v>65.099999999999994</v>
      </c>
      <c r="G101" s="434">
        <v>106.4</v>
      </c>
    </row>
    <row r="102" spans="1:7" x14ac:dyDescent="0.3">
      <c r="A102" s="454">
        <v>9</v>
      </c>
      <c r="B102" s="434">
        <v>18.600000000000001</v>
      </c>
      <c r="C102" s="434">
        <v>59.9</v>
      </c>
      <c r="D102" s="434">
        <v>103.3</v>
      </c>
      <c r="E102" s="434"/>
      <c r="F102" s="434">
        <v>70.7</v>
      </c>
      <c r="G102" s="434">
        <v>98.8</v>
      </c>
    </row>
    <row r="103" spans="1:7" x14ac:dyDescent="0.3">
      <c r="A103" s="454">
        <v>10</v>
      </c>
      <c r="B103" s="434">
        <v>25.7</v>
      </c>
      <c r="C103" s="434">
        <v>50.7</v>
      </c>
      <c r="D103" s="434">
        <v>81.400000000000006</v>
      </c>
      <c r="E103" s="434"/>
      <c r="F103" s="434">
        <v>63.7</v>
      </c>
      <c r="G103" s="434">
        <v>102.8</v>
      </c>
    </row>
    <row r="104" spans="1:7" x14ac:dyDescent="0.3">
      <c r="A104" s="454">
        <v>11</v>
      </c>
      <c r="B104" s="434">
        <v>25.8</v>
      </c>
      <c r="C104" s="434">
        <v>64.8</v>
      </c>
      <c r="D104" s="434">
        <v>75.3</v>
      </c>
      <c r="E104" s="434"/>
      <c r="F104" s="434"/>
      <c r="G104" s="434">
        <v>108.3</v>
      </c>
    </row>
    <row r="105" spans="1:7" x14ac:dyDescent="0.3">
      <c r="A105" s="454">
        <v>12</v>
      </c>
      <c r="B105" s="434">
        <v>16.600000000000001</v>
      </c>
      <c r="C105" s="434">
        <v>61.8</v>
      </c>
      <c r="D105" s="434">
        <v>80.2</v>
      </c>
      <c r="E105" s="434"/>
      <c r="F105" s="434"/>
      <c r="G105" s="434">
        <v>117.8</v>
      </c>
    </row>
    <row r="106" spans="1:7" x14ac:dyDescent="0.3">
      <c r="A106" s="454">
        <v>13</v>
      </c>
      <c r="B106" s="434"/>
      <c r="C106" s="434">
        <v>44.7</v>
      </c>
      <c r="D106" s="434">
        <v>68.900000000000006</v>
      </c>
      <c r="E106" s="438"/>
      <c r="F106" s="438"/>
      <c r="G106" s="438"/>
    </row>
    <row r="107" spans="1:7" x14ac:dyDescent="0.3">
      <c r="A107" s="454">
        <v>14</v>
      </c>
      <c r="B107" s="434"/>
      <c r="C107" s="434">
        <v>58</v>
      </c>
      <c r="D107" s="434">
        <v>95.7</v>
      </c>
      <c r="E107" s="438"/>
      <c r="F107" s="438"/>
      <c r="G107" s="438"/>
    </row>
    <row r="108" spans="1:7" x14ac:dyDescent="0.3">
      <c r="A108" s="454">
        <v>15</v>
      </c>
      <c r="B108" s="434"/>
      <c r="C108" s="434">
        <v>39.200000000000003</v>
      </c>
      <c r="D108" s="434">
        <v>96.8</v>
      </c>
      <c r="E108" s="438"/>
      <c r="F108" s="438"/>
      <c r="G108" s="438"/>
    </row>
    <row r="109" spans="1:7" x14ac:dyDescent="0.3">
      <c r="A109" s="670" t="s">
        <v>360</v>
      </c>
      <c r="B109" s="670"/>
      <c r="C109" s="670"/>
      <c r="D109" s="663"/>
      <c r="E109" s="670"/>
      <c r="F109" s="670"/>
      <c r="G109" s="670"/>
    </row>
    <row r="110" spans="1:7" x14ac:dyDescent="0.3">
      <c r="A110" s="396"/>
      <c r="B110" s="674" t="s">
        <v>364</v>
      </c>
      <c r="C110" s="674"/>
      <c r="D110" s="674"/>
      <c r="E110" s="674" t="s">
        <v>365</v>
      </c>
      <c r="F110" s="674"/>
      <c r="G110" s="674"/>
    </row>
    <row r="111" spans="1:7" x14ac:dyDescent="0.3">
      <c r="A111" s="454" t="s">
        <v>366</v>
      </c>
      <c r="B111" s="433" t="s">
        <v>344</v>
      </c>
      <c r="C111" s="433" t="s">
        <v>345</v>
      </c>
      <c r="D111" s="433" t="s">
        <v>367</v>
      </c>
      <c r="E111" s="433" t="s">
        <v>368</v>
      </c>
      <c r="F111" s="433" t="s">
        <v>369</v>
      </c>
      <c r="G111" s="433" t="s">
        <v>370</v>
      </c>
    </row>
    <row r="112" spans="1:7" x14ac:dyDescent="0.3">
      <c r="A112" s="454">
        <v>1</v>
      </c>
      <c r="B112" s="434">
        <v>0</v>
      </c>
      <c r="C112" s="434">
        <v>0</v>
      </c>
      <c r="D112" s="434">
        <v>0</v>
      </c>
      <c r="E112" s="434">
        <v>29.2</v>
      </c>
      <c r="F112" s="434">
        <v>77.900000000000006</v>
      </c>
      <c r="G112" s="434">
        <v>93.2</v>
      </c>
    </row>
    <row r="113" spans="1:7" x14ac:dyDescent="0.3">
      <c r="A113" s="454">
        <v>2</v>
      </c>
      <c r="B113" s="434"/>
      <c r="C113" s="434"/>
      <c r="D113" s="434"/>
      <c r="E113" s="434">
        <v>25.9</v>
      </c>
      <c r="F113" s="434">
        <v>77.3</v>
      </c>
      <c r="G113" s="434">
        <v>90.1</v>
      </c>
    </row>
    <row r="114" spans="1:7" x14ac:dyDescent="0.3">
      <c r="A114" s="454">
        <v>3</v>
      </c>
      <c r="B114" s="434"/>
      <c r="C114" s="434"/>
      <c r="D114" s="434"/>
      <c r="E114" s="434">
        <v>31.9</v>
      </c>
      <c r="F114" s="434">
        <v>79.900000000000006</v>
      </c>
      <c r="G114" s="434">
        <v>111.1</v>
      </c>
    </row>
    <row r="115" spans="1:7" x14ac:dyDescent="0.3">
      <c r="A115" s="454">
        <v>4</v>
      </c>
      <c r="B115" s="434"/>
      <c r="C115" s="434"/>
      <c r="D115" s="434"/>
      <c r="E115" s="434"/>
      <c r="F115" s="434">
        <v>60.4</v>
      </c>
      <c r="G115" s="434">
        <v>80.2</v>
      </c>
    </row>
    <row r="116" spans="1:7" x14ac:dyDescent="0.3">
      <c r="A116" s="454">
        <v>5</v>
      </c>
      <c r="B116" s="434"/>
      <c r="C116" s="434"/>
      <c r="D116" s="434"/>
      <c r="E116" s="434"/>
      <c r="F116" s="434">
        <v>61.6</v>
      </c>
      <c r="G116" s="434">
        <v>93.1</v>
      </c>
    </row>
    <row r="117" spans="1:7" x14ac:dyDescent="0.3">
      <c r="A117" s="670" t="s">
        <v>361</v>
      </c>
      <c r="B117" s="670"/>
      <c r="C117" s="670"/>
      <c r="D117" s="663"/>
      <c r="E117" s="670"/>
      <c r="F117" s="670"/>
      <c r="G117" s="670"/>
    </row>
    <row r="118" spans="1:7" x14ac:dyDescent="0.3">
      <c r="A118" s="396"/>
      <c r="B118" s="674" t="s">
        <v>364</v>
      </c>
      <c r="C118" s="674"/>
      <c r="D118" s="674"/>
      <c r="E118" s="674" t="s">
        <v>365</v>
      </c>
      <c r="F118" s="674"/>
      <c r="G118" s="674"/>
    </row>
    <row r="119" spans="1:7" x14ac:dyDescent="0.3">
      <c r="A119" s="454" t="s">
        <v>366</v>
      </c>
      <c r="B119" s="433" t="s">
        <v>344</v>
      </c>
      <c r="C119" s="433" t="s">
        <v>345</v>
      </c>
      <c r="D119" s="433" t="s">
        <v>367</v>
      </c>
      <c r="E119" s="433" t="s">
        <v>368</v>
      </c>
      <c r="F119" s="433" t="s">
        <v>369</v>
      </c>
      <c r="G119" s="433" t="s">
        <v>370</v>
      </c>
    </row>
    <row r="120" spans="1:7" x14ac:dyDescent="0.3">
      <c r="A120" s="454">
        <v>1</v>
      </c>
      <c r="B120" s="434">
        <v>20.7</v>
      </c>
      <c r="C120" s="434">
        <v>44.4</v>
      </c>
      <c r="D120" s="434">
        <v>84.1</v>
      </c>
      <c r="E120" s="434">
        <v>35.9</v>
      </c>
      <c r="F120" s="434">
        <v>61.3</v>
      </c>
      <c r="G120" s="434">
        <v>90.6</v>
      </c>
    </row>
    <row r="121" spans="1:7" x14ac:dyDescent="0.3">
      <c r="A121" s="454">
        <v>2</v>
      </c>
      <c r="B121" s="434">
        <v>33.6</v>
      </c>
      <c r="C121" s="434">
        <v>55.4</v>
      </c>
      <c r="D121" s="434">
        <v>87.5</v>
      </c>
      <c r="E121" s="434">
        <v>31.9</v>
      </c>
      <c r="F121" s="434">
        <v>63.9</v>
      </c>
      <c r="G121" s="434">
        <v>83.1</v>
      </c>
    </row>
    <row r="122" spans="1:7" x14ac:dyDescent="0.3">
      <c r="A122" s="454">
        <v>3</v>
      </c>
      <c r="B122" s="434">
        <v>20.5</v>
      </c>
      <c r="C122" s="434">
        <v>66.2</v>
      </c>
      <c r="D122" s="434">
        <v>89.7</v>
      </c>
      <c r="E122" s="434">
        <v>55.7</v>
      </c>
      <c r="F122" s="434">
        <v>69.099999999999994</v>
      </c>
      <c r="G122" s="434">
        <v>87.9</v>
      </c>
    </row>
    <row r="123" spans="1:7" x14ac:dyDescent="0.3">
      <c r="A123" s="454">
        <v>4</v>
      </c>
      <c r="B123" s="434">
        <v>31.3</v>
      </c>
      <c r="C123" s="434">
        <v>60</v>
      </c>
      <c r="D123" s="434">
        <v>103.5</v>
      </c>
      <c r="E123" s="434"/>
      <c r="F123" s="434">
        <v>76.3</v>
      </c>
      <c r="G123" s="434">
        <v>95</v>
      </c>
    </row>
    <row r="124" spans="1:7" x14ac:dyDescent="0.3">
      <c r="A124" s="454">
        <v>5</v>
      </c>
      <c r="B124" s="434">
        <v>30</v>
      </c>
      <c r="C124" s="434">
        <v>47.1</v>
      </c>
      <c r="D124" s="434">
        <v>83.7</v>
      </c>
      <c r="E124" s="434"/>
      <c r="F124" s="434">
        <v>72.900000000000006</v>
      </c>
      <c r="G124" s="434">
        <v>112.2</v>
      </c>
    </row>
    <row r="125" spans="1:7" x14ac:dyDescent="0.3">
      <c r="A125" s="454">
        <v>6</v>
      </c>
      <c r="B125" s="434">
        <v>34.299999999999997</v>
      </c>
      <c r="C125" s="434">
        <v>51.2</v>
      </c>
      <c r="D125" s="434">
        <v>103.2</v>
      </c>
      <c r="E125" s="434"/>
      <c r="F125" s="434"/>
      <c r="G125" s="434">
        <v>107.7</v>
      </c>
    </row>
    <row r="126" spans="1:7" x14ac:dyDescent="0.3">
      <c r="A126" s="454">
        <v>7</v>
      </c>
      <c r="B126" s="434">
        <v>24.1</v>
      </c>
      <c r="C126" s="434">
        <v>41</v>
      </c>
      <c r="D126" s="434">
        <v>69.2</v>
      </c>
      <c r="E126" s="434"/>
      <c r="F126" s="434"/>
      <c r="G126" s="434"/>
    </row>
    <row r="127" spans="1:7" x14ac:dyDescent="0.3">
      <c r="A127" s="454">
        <v>8</v>
      </c>
      <c r="B127" s="434"/>
      <c r="C127" s="434">
        <v>52.9</v>
      </c>
      <c r="D127" s="434">
        <v>94.4</v>
      </c>
      <c r="E127" s="434"/>
      <c r="F127" s="434"/>
      <c r="G127" s="434"/>
    </row>
    <row r="128" spans="1:7" x14ac:dyDescent="0.3">
      <c r="A128" s="454">
        <v>9</v>
      </c>
      <c r="B128" s="434"/>
      <c r="C128" s="434">
        <v>55.9</v>
      </c>
      <c r="D128" s="434"/>
      <c r="E128" s="434"/>
      <c r="F128" s="434"/>
      <c r="G128" s="434"/>
    </row>
    <row r="129" spans="1:7" x14ac:dyDescent="0.3">
      <c r="A129" s="670" t="s">
        <v>362</v>
      </c>
      <c r="B129" s="670"/>
      <c r="C129" s="670"/>
      <c r="D129" s="663"/>
      <c r="E129" s="670"/>
      <c r="F129" s="670"/>
      <c r="G129" s="670"/>
    </row>
    <row r="130" spans="1:7" x14ac:dyDescent="0.3">
      <c r="A130" s="396"/>
      <c r="B130" s="674" t="s">
        <v>364</v>
      </c>
      <c r="C130" s="674"/>
      <c r="D130" s="674"/>
      <c r="E130" s="674" t="s">
        <v>365</v>
      </c>
      <c r="F130" s="674"/>
      <c r="G130" s="674"/>
    </row>
    <row r="131" spans="1:7" x14ac:dyDescent="0.3">
      <c r="A131" s="454" t="s">
        <v>366</v>
      </c>
      <c r="B131" s="433" t="s">
        <v>344</v>
      </c>
      <c r="C131" s="433" t="s">
        <v>345</v>
      </c>
      <c r="D131" s="433" t="s">
        <v>367</v>
      </c>
      <c r="E131" s="433" t="s">
        <v>368</v>
      </c>
      <c r="F131" s="433" t="s">
        <v>369</v>
      </c>
      <c r="G131" s="433" t="s">
        <v>370</v>
      </c>
    </row>
    <row r="132" spans="1:7" x14ac:dyDescent="0.3">
      <c r="A132" s="454">
        <v>1</v>
      </c>
      <c r="B132" s="434">
        <v>0</v>
      </c>
      <c r="C132" s="434">
        <v>0</v>
      </c>
      <c r="D132" s="434">
        <v>0</v>
      </c>
      <c r="E132" s="434">
        <v>47.7</v>
      </c>
      <c r="F132" s="434">
        <v>70.8</v>
      </c>
      <c r="G132" s="434">
        <v>92.4</v>
      </c>
    </row>
    <row r="133" spans="1:7" x14ac:dyDescent="0.3">
      <c r="A133" s="454">
        <v>2</v>
      </c>
      <c r="B133" s="434"/>
      <c r="C133" s="434"/>
      <c r="D133" s="434"/>
      <c r="E133" s="434">
        <v>41</v>
      </c>
      <c r="F133" s="434">
        <v>79.400000000000006</v>
      </c>
      <c r="G133" s="434">
        <v>96.1</v>
      </c>
    </row>
    <row r="134" spans="1:7" x14ac:dyDescent="0.3">
      <c r="A134" s="454">
        <v>3</v>
      </c>
      <c r="B134" s="434"/>
      <c r="C134" s="434"/>
      <c r="D134" s="434"/>
      <c r="E134" s="434">
        <v>47.7</v>
      </c>
      <c r="F134" s="434">
        <v>64.599999999999994</v>
      </c>
      <c r="G134" s="434">
        <v>117.6</v>
      </c>
    </row>
    <row r="135" spans="1:7" x14ac:dyDescent="0.3">
      <c r="A135" s="454">
        <v>4</v>
      </c>
      <c r="B135" s="434"/>
      <c r="C135" s="434"/>
      <c r="D135" s="434"/>
      <c r="E135" s="434">
        <v>54.7</v>
      </c>
      <c r="F135" s="434">
        <v>71.2</v>
      </c>
      <c r="G135" s="434">
        <v>89.2</v>
      </c>
    </row>
    <row r="136" spans="1:7" x14ac:dyDescent="0.3">
      <c r="A136" s="454">
        <v>5</v>
      </c>
      <c r="B136" s="434"/>
      <c r="C136" s="434"/>
      <c r="D136" s="434"/>
      <c r="E136" s="434"/>
      <c r="F136" s="434">
        <v>66.2</v>
      </c>
      <c r="G136" s="434">
        <v>84.9</v>
      </c>
    </row>
    <row r="137" spans="1:7" x14ac:dyDescent="0.3">
      <c r="A137" s="442"/>
      <c r="B137" s="443"/>
      <c r="C137" s="443"/>
      <c r="D137" s="443"/>
      <c r="E137" s="443"/>
      <c r="F137" s="443"/>
      <c r="G137" s="443"/>
    </row>
    <row r="138" spans="1:7" x14ac:dyDescent="0.3">
      <c r="A138" s="442"/>
      <c r="B138" s="443"/>
      <c r="C138" s="443"/>
      <c r="D138" s="443"/>
      <c r="E138" s="441"/>
      <c r="F138" s="443"/>
      <c r="G138" s="443"/>
    </row>
    <row r="139" spans="1:7" x14ac:dyDescent="0.3">
      <c r="A139" s="442"/>
      <c r="B139" s="443"/>
      <c r="C139" s="443"/>
      <c r="D139" s="443"/>
      <c r="E139" s="441"/>
      <c r="F139" s="441"/>
      <c r="G139" s="443"/>
    </row>
    <row r="140" spans="1:7" x14ac:dyDescent="0.3">
      <c r="A140" s="442"/>
      <c r="B140" s="443"/>
      <c r="C140" s="443"/>
      <c r="D140" s="443"/>
      <c r="E140" s="441"/>
      <c r="F140" s="441"/>
      <c r="G140" s="441"/>
    </row>
    <row r="141" spans="1:7" x14ac:dyDescent="0.3">
      <c r="A141" s="668" t="s">
        <v>160</v>
      </c>
      <c r="B141" s="666" t="s">
        <v>161</v>
      </c>
      <c r="C141" s="667"/>
      <c r="D141" s="666" t="s">
        <v>162</v>
      </c>
      <c r="E141" s="667"/>
      <c r="F141" s="666" t="s">
        <v>163</v>
      </c>
      <c r="G141" s="667"/>
    </row>
    <row r="142" spans="1:7" x14ac:dyDescent="0.3">
      <c r="A142" s="669"/>
      <c r="B142" s="432" t="s">
        <v>164</v>
      </c>
      <c r="C142" s="432" t="s">
        <v>165</v>
      </c>
      <c r="D142" s="432" t="s">
        <v>164</v>
      </c>
      <c r="E142" s="432" t="s">
        <v>165</v>
      </c>
      <c r="F142" s="432" t="s">
        <v>164</v>
      </c>
      <c r="G142" s="432" t="s">
        <v>165</v>
      </c>
    </row>
    <row r="143" spans="1:7" x14ac:dyDescent="0.3">
      <c r="A143" s="433" t="s">
        <v>353</v>
      </c>
      <c r="B143" s="435">
        <f>ROUNDDOWN(AVERAGE(B6:D11),1)</f>
        <v>0</v>
      </c>
      <c r="C143" s="435">
        <f>ROUNDDOWN(AVERAGE(E6:G11),1)</f>
        <v>77.3</v>
      </c>
      <c r="D143" s="432">
        <v>0</v>
      </c>
      <c r="E143" s="432">
        <v>5576</v>
      </c>
      <c r="F143" s="432">
        <f>B143*D143</f>
        <v>0</v>
      </c>
      <c r="G143" s="432">
        <f>C143*E143</f>
        <v>431024.8</v>
      </c>
    </row>
    <row r="144" spans="1:7" x14ac:dyDescent="0.3">
      <c r="A144" s="433" t="s">
        <v>354</v>
      </c>
      <c r="B144" s="435">
        <f>ROUNDDOWN(AVERAGE(B15:D20),1)</f>
        <v>0</v>
      </c>
      <c r="C144" s="435">
        <f>ROUNDDOWN(AVERAGE(E15:G20),1)</f>
        <v>75.3</v>
      </c>
      <c r="D144" s="432">
        <v>0</v>
      </c>
      <c r="E144" s="432">
        <v>6985</v>
      </c>
      <c r="F144" s="432">
        <f t="shared" ref="F144:G152" si="0">B144*D144</f>
        <v>0</v>
      </c>
      <c r="G144" s="432">
        <f t="shared" si="0"/>
        <v>525970.5</v>
      </c>
    </row>
    <row r="145" spans="1:7" x14ac:dyDescent="0.3">
      <c r="A145" s="433" t="s">
        <v>355</v>
      </c>
      <c r="B145" s="435">
        <f>ROUNDDOWN(AVERAGE(B24:D38),1)</f>
        <v>56.2</v>
      </c>
      <c r="C145" s="435">
        <f>ROUNDDOWN(AVERAGE(E24:G38),1)</f>
        <v>73.599999999999994</v>
      </c>
      <c r="D145" s="432">
        <v>16871</v>
      </c>
      <c r="E145" s="432">
        <v>13934</v>
      </c>
      <c r="F145" s="432">
        <f t="shared" si="0"/>
        <v>948150.20000000007</v>
      </c>
      <c r="G145" s="432">
        <f t="shared" si="0"/>
        <v>1025542.3999999999</v>
      </c>
    </row>
    <row r="146" spans="1:7" x14ac:dyDescent="0.3">
      <c r="A146" s="433" t="s">
        <v>356</v>
      </c>
      <c r="B146" s="435">
        <f>ROUNDDOWN(AVERAGE(B42:D56),1)</f>
        <v>54.7</v>
      </c>
      <c r="C146" s="435">
        <f>ROUNDDOWN(AVERAGE(E42:G56),1)</f>
        <v>75.900000000000006</v>
      </c>
      <c r="D146" s="432">
        <v>16520</v>
      </c>
      <c r="E146" s="432">
        <v>15252</v>
      </c>
      <c r="F146" s="432">
        <f t="shared" si="0"/>
        <v>903644</v>
      </c>
      <c r="G146" s="432">
        <f t="shared" si="0"/>
        <v>1157626.8</v>
      </c>
    </row>
    <row r="147" spans="1:7" x14ac:dyDescent="0.3">
      <c r="A147" s="433" t="s">
        <v>357</v>
      </c>
      <c r="B147" s="435">
        <f>ROUNDDOWN(AVERAGE(B60:D68),1)</f>
        <v>54.8</v>
      </c>
      <c r="C147" s="435">
        <f>ROUNDDOWN(AVERAGE(E60:G68),1)</f>
        <v>76.599999999999994</v>
      </c>
      <c r="D147" s="432">
        <v>10059</v>
      </c>
      <c r="E147" s="432">
        <v>6460</v>
      </c>
      <c r="F147" s="432">
        <f t="shared" si="0"/>
        <v>551233.19999999995</v>
      </c>
      <c r="G147" s="432">
        <f t="shared" si="0"/>
        <v>494835.99999999994</v>
      </c>
    </row>
    <row r="148" spans="1:7" x14ac:dyDescent="0.3">
      <c r="A148" s="433" t="s">
        <v>358</v>
      </c>
      <c r="B148" s="435">
        <f>ROUNDDOWN(AVERAGE(B72:D90),1)</f>
        <v>55.3</v>
      </c>
      <c r="C148" s="435">
        <f>ROUNDDOWN(AVERAGE(E72:G90),1)</f>
        <v>75.5</v>
      </c>
      <c r="D148" s="432">
        <v>20494</v>
      </c>
      <c r="E148" s="432">
        <v>19288</v>
      </c>
      <c r="F148" s="432">
        <f t="shared" si="0"/>
        <v>1133318.2</v>
      </c>
      <c r="G148" s="432">
        <f t="shared" si="0"/>
        <v>1456244</v>
      </c>
    </row>
    <row r="149" spans="1:7" x14ac:dyDescent="0.3">
      <c r="A149" s="433" t="s">
        <v>359</v>
      </c>
      <c r="B149" s="435">
        <f>ROUNDDOWN(AVERAGE(B94:D108),1)</f>
        <v>57.2</v>
      </c>
      <c r="C149" s="435">
        <f>ROUNDDOWN(AVERAGE(E94:G108),1)</f>
        <v>77.7</v>
      </c>
      <c r="D149" s="432">
        <v>16458</v>
      </c>
      <c r="E149" s="432">
        <v>13887</v>
      </c>
      <c r="F149" s="432">
        <f t="shared" si="0"/>
        <v>941397.60000000009</v>
      </c>
      <c r="G149" s="432">
        <f t="shared" si="0"/>
        <v>1079019.9000000001</v>
      </c>
    </row>
    <row r="150" spans="1:7" x14ac:dyDescent="0.3">
      <c r="A150" s="433" t="s">
        <v>360</v>
      </c>
      <c r="B150" s="435">
        <f>ROUNDDOWN(AVERAGE(B112:D116),1)</f>
        <v>0</v>
      </c>
      <c r="C150" s="435">
        <f>ROUNDDOWN(AVERAGE(E112:G116),1)</f>
        <v>70.099999999999994</v>
      </c>
      <c r="D150" s="432">
        <v>0</v>
      </c>
      <c r="E150" s="432">
        <v>5022</v>
      </c>
      <c r="F150" s="432">
        <f t="shared" si="0"/>
        <v>0</v>
      </c>
      <c r="G150" s="432">
        <f t="shared" si="0"/>
        <v>352042.19999999995</v>
      </c>
    </row>
    <row r="151" spans="1:7" x14ac:dyDescent="0.3">
      <c r="A151" s="433" t="s">
        <v>361</v>
      </c>
      <c r="B151" s="435">
        <f>ROUNDDOWN(AVERAGE(B120:D128),1)</f>
        <v>57.6</v>
      </c>
      <c r="C151" s="435">
        <f>ROUNDDOWN(AVERAGE(E120:G128),1)</f>
        <v>74.5</v>
      </c>
      <c r="D151" s="432">
        <v>9275</v>
      </c>
      <c r="E151" s="432">
        <v>5965</v>
      </c>
      <c r="F151" s="432">
        <f t="shared" si="0"/>
        <v>534240</v>
      </c>
      <c r="G151" s="432">
        <f t="shared" si="0"/>
        <v>444392.5</v>
      </c>
    </row>
    <row r="152" spans="1:7" x14ac:dyDescent="0.3">
      <c r="A152" s="433" t="s">
        <v>362</v>
      </c>
      <c r="B152" s="435">
        <f>ROUNDDOWN(AVERAGE(B132:D136),1)</f>
        <v>0</v>
      </c>
      <c r="C152" s="435">
        <f>ROUNDDOWN(AVERAGE(E132:G136),1)</f>
        <v>73.099999999999994</v>
      </c>
      <c r="D152" s="432">
        <v>0</v>
      </c>
      <c r="E152" s="432">
        <v>6013</v>
      </c>
      <c r="F152" s="432">
        <f t="shared" si="0"/>
        <v>0</v>
      </c>
      <c r="G152" s="432">
        <f t="shared" si="0"/>
        <v>439550.3</v>
      </c>
    </row>
    <row r="153" spans="1:7" x14ac:dyDescent="0.3">
      <c r="A153" s="433" t="s">
        <v>166</v>
      </c>
      <c r="B153" s="433"/>
      <c r="C153" s="433"/>
      <c r="D153" s="432">
        <f>SUM(D143:D152)</f>
        <v>89677</v>
      </c>
      <c r="E153" s="432">
        <f>SUM(E143:E152)</f>
        <v>98382</v>
      </c>
      <c r="F153" s="432">
        <f>SUM(F143:F152)</f>
        <v>5011983.2000000011</v>
      </c>
      <c r="G153" s="432">
        <f>SUM(G143:G152)</f>
        <v>7406249.4000000004</v>
      </c>
    </row>
    <row r="154" spans="1:7" x14ac:dyDescent="0.3">
      <c r="A154" s="441"/>
      <c r="B154" s="441"/>
      <c r="C154" s="441"/>
      <c r="D154" s="442"/>
      <c r="E154" s="442"/>
      <c r="F154" s="442"/>
      <c r="G154" s="442"/>
    </row>
    <row r="156" spans="1:7" x14ac:dyDescent="0.3">
      <c r="C156" s="666" t="s">
        <v>167</v>
      </c>
      <c r="D156" s="667"/>
    </row>
    <row r="157" spans="1:7" x14ac:dyDescent="0.3">
      <c r="C157" s="432" t="s">
        <v>164</v>
      </c>
      <c r="D157" s="432" t="s">
        <v>165</v>
      </c>
    </row>
    <row r="158" spans="1:7" x14ac:dyDescent="0.3">
      <c r="C158" s="436">
        <f>ROUNDDOWN(F153/D153,1)</f>
        <v>55.8</v>
      </c>
      <c r="D158" s="437">
        <f>ROUNDDOWN(G153/E153,1)</f>
        <v>75.2</v>
      </c>
    </row>
  </sheetData>
  <mergeCells count="37">
    <mergeCell ref="C156:D156"/>
    <mergeCell ref="B130:D130"/>
    <mergeCell ref="E130:G130"/>
    <mergeCell ref="A141:A142"/>
    <mergeCell ref="B141:C141"/>
    <mergeCell ref="D141:E141"/>
    <mergeCell ref="F141:G141"/>
    <mergeCell ref="A129:G129"/>
    <mergeCell ref="B70:D70"/>
    <mergeCell ref="E70:G70"/>
    <mergeCell ref="A91:G91"/>
    <mergeCell ref="B92:D92"/>
    <mergeCell ref="E92:G92"/>
    <mergeCell ref="A109:G109"/>
    <mergeCell ref="B110:D110"/>
    <mergeCell ref="E110:G110"/>
    <mergeCell ref="A117:G117"/>
    <mergeCell ref="B118:D118"/>
    <mergeCell ref="E118:G118"/>
    <mergeCell ref="A69:G69"/>
    <mergeCell ref="B13:D13"/>
    <mergeCell ref="E13:G13"/>
    <mergeCell ref="A21:G21"/>
    <mergeCell ref="B22:D22"/>
    <mergeCell ref="E22:G22"/>
    <mergeCell ref="A39:G39"/>
    <mergeCell ref="B40:D40"/>
    <mergeCell ref="E40:G40"/>
    <mergeCell ref="A57:G57"/>
    <mergeCell ref="B58:D58"/>
    <mergeCell ref="E58:G58"/>
    <mergeCell ref="A12:G12"/>
    <mergeCell ref="A1:G1"/>
    <mergeCell ref="A2:G2"/>
    <mergeCell ref="A3:G3"/>
    <mergeCell ref="B4:D4"/>
    <mergeCell ref="E4:G4"/>
  </mergeCells>
  <phoneticPr fontId="11" type="noConversion"/>
  <pageMargins left="0.7" right="0.7" top="0.75" bottom="0.75" header="0.3" footer="0.3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E02A6-FA45-4FD9-89C0-954076E85836}">
  <dimension ref="A1:I158"/>
  <sheetViews>
    <sheetView zoomScale="80" zoomScaleNormal="80" workbookViewId="0">
      <selection activeCell="E26" sqref="E26"/>
    </sheetView>
  </sheetViews>
  <sheetFormatPr defaultColWidth="8.7265625" defaultRowHeight="14" x14ac:dyDescent="0.3"/>
  <cols>
    <col min="1" max="1" width="22.453125" style="395" customWidth="1"/>
    <col min="2" max="2" width="16.26953125" style="395" bestFit="1" customWidth="1"/>
    <col min="3" max="3" width="22.90625" style="395" bestFit="1" customWidth="1"/>
    <col min="4" max="4" width="22.6328125" style="395" bestFit="1" customWidth="1"/>
    <col min="5" max="5" width="21.453125" style="395" bestFit="1" customWidth="1"/>
    <col min="6" max="6" width="23.453125" style="395" bestFit="1" customWidth="1"/>
    <col min="7" max="7" width="23.08984375" style="395" bestFit="1" customWidth="1"/>
    <col min="8" max="8" width="14.81640625" style="395" customWidth="1"/>
    <col min="9" max="16384" width="8.7265625" style="395"/>
  </cols>
  <sheetData>
    <row r="1" spans="1:9" x14ac:dyDescent="0.3">
      <c r="A1" s="657" t="s">
        <v>322</v>
      </c>
      <c r="B1" s="658"/>
      <c r="C1" s="658"/>
      <c r="D1" s="658"/>
      <c r="E1" s="658"/>
      <c r="F1" s="658"/>
      <c r="G1" s="659"/>
    </row>
    <row r="2" spans="1:9" ht="33" customHeight="1" x14ac:dyDescent="0.3">
      <c r="A2" s="660" t="s">
        <v>380</v>
      </c>
      <c r="B2" s="661"/>
      <c r="C2" s="661"/>
      <c r="D2" s="661"/>
      <c r="E2" s="661"/>
      <c r="F2" s="661"/>
      <c r="G2" s="662"/>
    </row>
    <row r="3" spans="1:9" x14ac:dyDescent="0.3">
      <c r="A3" s="663" t="s">
        <v>353</v>
      </c>
      <c r="B3" s="663"/>
      <c r="C3" s="663"/>
      <c r="D3" s="663"/>
      <c r="E3" s="663"/>
      <c r="F3" s="663"/>
      <c r="G3" s="663"/>
    </row>
    <row r="4" spans="1:9" x14ac:dyDescent="0.3">
      <c r="A4" s="396"/>
      <c r="B4" s="674" t="s">
        <v>364</v>
      </c>
      <c r="C4" s="674"/>
      <c r="D4" s="674"/>
      <c r="E4" s="674" t="s">
        <v>365</v>
      </c>
      <c r="F4" s="674"/>
      <c r="G4" s="674"/>
    </row>
    <row r="5" spans="1:9" x14ac:dyDescent="0.3">
      <c r="A5" s="454" t="s">
        <v>366</v>
      </c>
      <c r="B5" s="433" t="s">
        <v>344</v>
      </c>
      <c r="C5" s="433" t="s">
        <v>345</v>
      </c>
      <c r="D5" s="433" t="s">
        <v>367</v>
      </c>
      <c r="E5" s="433" t="s">
        <v>368</v>
      </c>
      <c r="F5" s="433" t="s">
        <v>369</v>
      </c>
      <c r="G5" s="433" t="s">
        <v>370</v>
      </c>
      <c r="H5" s="440"/>
      <c r="I5" s="441"/>
    </row>
    <row r="6" spans="1:9" x14ac:dyDescent="0.3">
      <c r="A6" s="454">
        <v>1</v>
      </c>
      <c r="B6" s="434">
        <v>0</v>
      </c>
      <c r="C6" s="434">
        <v>0</v>
      </c>
      <c r="D6" s="434">
        <v>0</v>
      </c>
      <c r="E6" s="434">
        <v>31.1</v>
      </c>
      <c r="F6" s="434">
        <v>77.900000000000006</v>
      </c>
      <c r="G6" s="434">
        <v>91.3</v>
      </c>
    </row>
    <row r="7" spans="1:9" x14ac:dyDescent="0.3">
      <c r="A7" s="454">
        <v>2</v>
      </c>
      <c r="B7" s="434"/>
      <c r="C7" s="434"/>
      <c r="D7" s="434"/>
      <c r="E7" s="434">
        <v>57.6</v>
      </c>
      <c r="F7" s="434">
        <v>75.599999999999994</v>
      </c>
      <c r="G7" s="434">
        <v>87.2</v>
      </c>
    </row>
    <row r="8" spans="1:9" x14ac:dyDescent="0.3">
      <c r="A8" s="454">
        <v>3</v>
      </c>
      <c r="B8" s="434"/>
      <c r="C8" s="434"/>
      <c r="D8" s="434"/>
      <c r="E8" s="434">
        <v>31.3</v>
      </c>
      <c r="F8" s="434">
        <v>79.7</v>
      </c>
      <c r="G8" s="434">
        <v>104.7</v>
      </c>
    </row>
    <row r="9" spans="1:9" x14ac:dyDescent="0.3">
      <c r="A9" s="454">
        <v>4</v>
      </c>
      <c r="B9" s="434"/>
      <c r="C9" s="434"/>
      <c r="D9" s="434"/>
      <c r="E9" s="434"/>
      <c r="F9" s="434">
        <v>70.599999999999994</v>
      </c>
      <c r="G9" s="434">
        <v>113.5</v>
      </c>
    </row>
    <row r="10" spans="1:9" x14ac:dyDescent="0.3">
      <c r="A10" s="454">
        <v>5</v>
      </c>
      <c r="B10" s="434"/>
      <c r="C10" s="434"/>
      <c r="D10" s="434"/>
      <c r="E10" s="434"/>
      <c r="F10" s="434">
        <v>78.099999999999994</v>
      </c>
      <c r="G10" s="434">
        <v>93.2</v>
      </c>
    </row>
    <row r="11" spans="1:9" x14ac:dyDescent="0.3">
      <c r="A11" s="454">
        <v>6</v>
      </c>
      <c r="B11" s="434"/>
      <c r="C11" s="434"/>
      <c r="D11" s="434"/>
      <c r="E11" s="434"/>
      <c r="F11" s="434"/>
      <c r="G11" s="434">
        <v>80.400000000000006</v>
      </c>
    </row>
    <row r="12" spans="1:9" x14ac:dyDescent="0.3">
      <c r="A12" s="670" t="s">
        <v>354</v>
      </c>
      <c r="B12" s="670"/>
      <c r="C12" s="670"/>
      <c r="D12" s="670"/>
      <c r="E12" s="670"/>
      <c r="F12" s="670"/>
      <c r="G12" s="670"/>
    </row>
    <row r="13" spans="1:9" x14ac:dyDescent="0.3">
      <c r="A13" s="396"/>
      <c r="B13" s="674" t="s">
        <v>364</v>
      </c>
      <c r="C13" s="674"/>
      <c r="D13" s="674"/>
      <c r="E13" s="674" t="s">
        <v>365</v>
      </c>
      <c r="F13" s="674"/>
      <c r="G13" s="674"/>
    </row>
    <row r="14" spans="1:9" x14ac:dyDescent="0.3">
      <c r="A14" s="454" t="s">
        <v>366</v>
      </c>
      <c r="B14" s="433" t="s">
        <v>344</v>
      </c>
      <c r="C14" s="433" t="s">
        <v>345</v>
      </c>
      <c r="D14" s="433" t="s">
        <v>367</v>
      </c>
      <c r="E14" s="433" t="s">
        <v>368</v>
      </c>
      <c r="F14" s="433" t="s">
        <v>369</v>
      </c>
      <c r="G14" s="433" t="s">
        <v>370</v>
      </c>
    </row>
    <row r="15" spans="1:9" x14ac:dyDescent="0.3">
      <c r="A15" s="454">
        <v>1</v>
      </c>
      <c r="B15" s="434">
        <v>0</v>
      </c>
      <c r="C15" s="434">
        <v>0</v>
      </c>
      <c r="D15" s="434">
        <v>0</v>
      </c>
      <c r="E15" s="434">
        <v>46.4</v>
      </c>
      <c r="F15" s="434">
        <v>78.8</v>
      </c>
      <c r="G15" s="434">
        <v>104.5</v>
      </c>
    </row>
    <row r="16" spans="1:9" x14ac:dyDescent="0.3">
      <c r="A16" s="454">
        <v>2</v>
      </c>
      <c r="B16" s="434"/>
      <c r="C16" s="434"/>
      <c r="D16" s="434"/>
      <c r="E16" s="434">
        <v>42.6</v>
      </c>
      <c r="F16" s="434">
        <v>72.3</v>
      </c>
      <c r="G16" s="434">
        <v>98.9</v>
      </c>
    </row>
    <row r="17" spans="1:7" x14ac:dyDescent="0.3">
      <c r="A17" s="454">
        <v>3</v>
      </c>
      <c r="B17" s="434"/>
      <c r="C17" s="434"/>
      <c r="D17" s="434"/>
      <c r="E17" s="434">
        <v>39.799999999999997</v>
      </c>
      <c r="F17" s="434">
        <v>63.1</v>
      </c>
      <c r="G17" s="434">
        <v>116.2</v>
      </c>
    </row>
    <row r="18" spans="1:7" x14ac:dyDescent="0.3">
      <c r="A18" s="454">
        <v>4</v>
      </c>
      <c r="B18" s="434"/>
      <c r="C18" s="434"/>
      <c r="D18" s="434"/>
      <c r="E18" s="434">
        <v>32.799999999999997</v>
      </c>
      <c r="F18" s="434">
        <v>68.7</v>
      </c>
      <c r="G18" s="434">
        <v>103.4</v>
      </c>
    </row>
    <row r="19" spans="1:7" x14ac:dyDescent="0.3">
      <c r="A19" s="454">
        <v>5</v>
      </c>
      <c r="B19" s="434"/>
      <c r="C19" s="434"/>
      <c r="D19" s="434"/>
      <c r="E19" s="434"/>
      <c r="F19" s="434">
        <v>76.400000000000006</v>
      </c>
      <c r="G19" s="434">
        <v>82.5</v>
      </c>
    </row>
    <row r="20" spans="1:7" x14ac:dyDescent="0.3">
      <c r="A20" s="454">
        <v>6</v>
      </c>
      <c r="B20" s="434"/>
      <c r="C20" s="434"/>
      <c r="D20" s="434"/>
      <c r="E20" s="434"/>
      <c r="F20" s="434">
        <v>60.8</v>
      </c>
      <c r="G20" s="434">
        <v>108.6</v>
      </c>
    </row>
    <row r="21" spans="1:7" x14ac:dyDescent="0.3">
      <c r="A21" s="663" t="s">
        <v>355</v>
      </c>
      <c r="B21" s="663"/>
      <c r="C21" s="663"/>
      <c r="D21" s="663"/>
      <c r="E21" s="663"/>
      <c r="F21" s="663"/>
      <c r="G21" s="663"/>
    </row>
    <row r="22" spans="1:7" x14ac:dyDescent="0.3">
      <c r="A22" s="396"/>
      <c r="B22" s="674" t="s">
        <v>364</v>
      </c>
      <c r="C22" s="674"/>
      <c r="D22" s="674"/>
      <c r="E22" s="674" t="s">
        <v>365</v>
      </c>
      <c r="F22" s="674"/>
      <c r="G22" s="674"/>
    </row>
    <row r="23" spans="1:7" x14ac:dyDescent="0.3">
      <c r="A23" s="454" t="s">
        <v>366</v>
      </c>
      <c r="B23" s="433" t="s">
        <v>344</v>
      </c>
      <c r="C23" s="433" t="s">
        <v>345</v>
      </c>
      <c r="D23" s="433" t="s">
        <v>367</v>
      </c>
      <c r="E23" s="433" t="s">
        <v>368</v>
      </c>
      <c r="F23" s="433" t="s">
        <v>369</v>
      </c>
      <c r="G23" s="433" t="s">
        <v>370</v>
      </c>
    </row>
    <row r="24" spans="1:7" x14ac:dyDescent="0.3">
      <c r="A24" s="454">
        <v>1</v>
      </c>
      <c r="B24" s="434">
        <v>26</v>
      </c>
      <c r="C24" s="434">
        <v>38.299999999999997</v>
      </c>
      <c r="D24" s="434">
        <v>86.4</v>
      </c>
      <c r="E24" s="434">
        <v>35.200000000000003</v>
      </c>
      <c r="F24" s="434">
        <v>75.5</v>
      </c>
      <c r="G24" s="434">
        <v>89.4</v>
      </c>
    </row>
    <row r="25" spans="1:7" x14ac:dyDescent="0.3">
      <c r="A25" s="454">
        <v>2</v>
      </c>
      <c r="B25" s="434">
        <v>20</v>
      </c>
      <c r="C25" s="434">
        <v>58.8</v>
      </c>
      <c r="D25" s="434">
        <v>82.8</v>
      </c>
      <c r="E25" s="434">
        <v>57</v>
      </c>
      <c r="F25" s="434">
        <v>66.5</v>
      </c>
      <c r="G25" s="434">
        <v>117.3</v>
      </c>
    </row>
    <row r="26" spans="1:7" x14ac:dyDescent="0.3">
      <c r="A26" s="454">
        <v>3</v>
      </c>
      <c r="B26" s="434">
        <v>25.9</v>
      </c>
      <c r="C26" s="434">
        <v>43.4</v>
      </c>
      <c r="D26" s="434">
        <v>93.4</v>
      </c>
      <c r="E26" s="434">
        <v>48.1</v>
      </c>
      <c r="F26" s="434">
        <v>71</v>
      </c>
      <c r="G26" s="434">
        <v>112.9</v>
      </c>
    </row>
    <row r="27" spans="1:7" x14ac:dyDescent="0.3">
      <c r="A27" s="454">
        <v>4</v>
      </c>
      <c r="B27" s="434">
        <v>27.7</v>
      </c>
      <c r="C27" s="434">
        <v>67.7</v>
      </c>
      <c r="D27" s="434">
        <v>93.1</v>
      </c>
      <c r="E27" s="434">
        <v>26.3</v>
      </c>
      <c r="F27" s="434">
        <v>78</v>
      </c>
      <c r="G27" s="434">
        <v>96.8</v>
      </c>
    </row>
    <row r="28" spans="1:7" x14ac:dyDescent="0.3">
      <c r="A28" s="454">
        <v>5</v>
      </c>
      <c r="B28" s="434">
        <v>20.6</v>
      </c>
      <c r="C28" s="434">
        <v>49.6</v>
      </c>
      <c r="D28" s="434">
        <v>75.599999999999994</v>
      </c>
      <c r="E28" s="434">
        <v>39.4</v>
      </c>
      <c r="F28" s="434">
        <v>65.900000000000006</v>
      </c>
      <c r="G28" s="434">
        <v>105.1</v>
      </c>
    </row>
    <row r="29" spans="1:7" x14ac:dyDescent="0.3">
      <c r="A29" s="454">
        <v>6</v>
      </c>
      <c r="B29" s="434">
        <v>23.6</v>
      </c>
      <c r="C29" s="434">
        <v>47.3</v>
      </c>
      <c r="D29" s="434">
        <v>68.599999999999994</v>
      </c>
      <c r="E29" s="434">
        <v>56.6</v>
      </c>
      <c r="F29" s="434">
        <v>79.599999999999994</v>
      </c>
      <c r="G29" s="434">
        <v>80.400000000000006</v>
      </c>
    </row>
    <row r="30" spans="1:7" x14ac:dyDescent="0.3">
      <c r="A30" s="454">
        <v>7</v>
      </c>
      <c r="B30" s="434">
        <v>23.5</v>
      </c>
      <c r="C30" s="434">
        <v>61.7</v>
      </c>
      <c r="D30" s="434">
        <v>88.8</v>
      </c>
      <c r="E30" s="434">
        <v>37.700000000000003</v>
      </c>
      <c r="F30" s="434">
        <v>70.2</v>
      </c>
      <c r="G30" s="434">
        <v>91.2</v>
      </c>
    </row>
    <row r="31" spans="1:7" x14ac:dyDescent="0.3">
      <c r="A31" s="454">
        <v>8</v>
      </c>
      <c r="B31" s="434">
        <v>36.4</v>
      </c>
      <c r="C31" s="434">
        <v>54.8</v>
      </c>
      <c r="D31" s="434">
        <v>77.8</v>
      </c>
      <c r="E31" s="434"/>
      <c r="F31" s="434">
        <v>63.4</v>
      </c>
      <c r="G31" s="434">
        <v>115.6</v>
      </c>
    </row>
    <row r="32" spans="1:7" x14ac:dyDescent="0.3">
      <c r="A32" s="454">
        <v>9</v>
      </c>
      <c r="B32" s="434">
        <v>31.6</v>
      </c>
      <c r="C32" s="434">
        <v>63.2</v>
      </c>
      <c r="D32" s="434">
        <v>76</v>
      </c>
      <c r="E32" s="434"/>
      <c r="F32" s="434">
        <v>72.900000000000006</v>
      </c>
      <c r="G32" s="434">
        <v>102.4</v>
      </c>
    </row>
    <row r="33" spans="1:7" x14ac:dyDescent="0.3">
      <c r="A33" s="454">
        <v>10</v>
      </c>
      <c r="B33" s="434">
        <v>31.7</v>
      </c>
      <c r="C33" s="434">
        <v>56.1</v>
      </c>
      <c r="D33" s="434">
        <v>93.4</v>
      </c>
      <c r="E33" s="434"/>
      <c r="F33" s="434">
        <v>60.7</v>
      </c>
      <c r="G33" s="434">
        <v>85.1</v>
      </c>
    </row>
    <row r="34" spans="1:7" x14ac:dyDescent="0.3">
      <c r="A34" s="454">
        <v>11</v>
      </c>
      <c r="B34" s="434">
        <v>25.9</v>
      </c>
      <c r="C34" s="434">
        <v>59.7</v>
      </c>
      <c r="D34" s="434">
        <v>73.7</v>
      </c>
      <c r="E34" s="434"/>
      <c r="F34" s="434">
        <v>67.7</v>
      </c>
      <c r="G34" s="434">
        <v>81.2</v>
      </c>
    </row>
    <row r="35" spans="1:7" x14ac:dyDescent="0.3">
      <c r="A35" s="454">
        <v>12</v>
      </c>
      <c r="B35" s="434">
        <v>20.8</v>
      </c>
      <c r="C35" s="434">
        <v>57</v>
      </c>
      <c r="D35" s="434">
        <v>92.9</v>
      </c>
      <c r="E35" s="434"/>
      <c r="F35" s="434"/>
      <c r="G35" s="434">
        <v>111.8</v>
      </c>
    </row>
    <row r="36" spans="1:7" x14ac:dyDescent="0.3">
      <c r="A36" s="454">
        <v>13</v>
      </c>
      <c r="B36" s="434">
        <v>18.600000000000001</v>
      </c>
      <c r="C36" s="434">
        <v>37.6</v>
      </c>
      <c r="D36" s="434">
        <v>104.9</v>
      </c>
      <c r="E36" s="434"/>
      <c r="F36" s="434"/>
      <c r="G36" s="434"/>
    </row>
    <row r="37" spans="1:7" x14ac:dyDescent="0.3">
      <c r="A37" s="454">
        <v>14</v>
      </c>
      <c r="B37" s="434"/>
      <c r="C37" s="434">
        <v>54.4</v>
      </c>
      <c r="D37" s="434">
        <v>77</v>
      </c>
      <c r="E37" s="434"/>
      <c r="F37" s="434"/>
      <c r="G37" s="434"/>
    </row>
    <row r="38" spans="1:7" x14ac:dyDescent="0.3">
      <c r="A38" s="454">
        <v>15</v>
      </c>
      <c r="B38" s="434"/>
      <c r="C38" s="434">
        <v>46.4</v>
      </c>
      <c r="D38" s="434">
        <v>78.8</v>
      </c>
      <c r="E38" s="434"/>
      <c r="F38" s="434"/>
      <c r="G38" s="434"/>
    </row>
    <row r="39" spans="1:7" x14ac:dyDescent="0.3">
      <c r="A39" s="670" t="s">
        <v>356</v>
      </c>
      <c r="B39" s="670"/>
      <c r="C39" s="670"/>
      <c r="D39" s="663"/>
      <c r="E39" s="670"/>
      <c r="F39" s="670"/>
      <c r="G39" s="670"/>
    </row>
    <row r="40" spans="1:7" x14ac:dyDescent="0.3">
      <c r="A40" s="396"/>
      <c r="B40" s="674" t="s">
        <v>364</v>
      </c>
      <c r="C40" s="674"/>
      <c r="D40" s="674"/>
      <c r="E40" s="674" t="s">
        <v>365</v>
      </c>
      <c r="F40" s="674"/>
      <c r="G40" s="674"/>
    </row>
    <row r="41" spans="1:7" x14ac:dyDescent="0.3">
      <c r="A41" s="454" t="s">
        <v>366</v>
      </c>
      <c r="B41" s="433" t="s">
        <v>344</v>
      </c>
      <c r="C41" s="433" t="s">
        <v>345</v>
      </c>
      <c r="D41" s="433" t="s">
        <v>367</v>
      </c>
      <c r="E41" s="433" t="s">
        <v>368</v>
      </c>
      <c r="F41" s="433" t="s">
        <v>369</v>
      </c>
      <c r="G41" s="433" t="s">
        <v>370</v>
      </c>
    </row>
    <row r="42" spans="1:7" x14ac:dyDescent="0.3">
      <c r="A42" s="454">
        <v>1</v>
      </c>
      <c r="B42" s="434">
        <v>20.5</v>
      </c>
      <c r="C42" s="434">
        <v>53.3</v>
      </c>
      <c r="D42" s="434">
        <v>88.2</v>
      </c>
      <c r="E42" s="434">
        <v>33</v>
      </c>
      <c r="F42" s="434">
        <v>74.599999999999994</v>
      </c>
      <c r="G42" s="434">
        <v>83.1</v>
      </c>
    </row>
    <row r="43" spans="1:7" x14ac:dyDescent="0.3">
      <c r="A43" s="454">
        <v>2</v>
      </c>
      <c r="B43" s="434">
        <v>24.7</v>
      </c>
      <c r="C43" s="434">
        <v>49.9</v>
      </c>
      <c r="D43" s="434">
        <v>79.099999999999994</v>
      </c>
      <c r="E43" s="434">
        <v>58.4</v>
      </c>
      <c r="F43" s="434">
        <v>69.7</v>
      </c>
      <c r="G43" s="434">
        <v>91.4</v>
      </c>
    </row>
    <row r="44" spans="1:7" x14ac:dyDescent="0.3">
      <c r="A44" s="454">
        <v>3</v>
      </c>
      <c r="B44" s="434">
        <v>28.8</v>
      </c>
      <c r="C44" s="434">
        <v>64.099999999999994</v>
      </c>
      <c r="D44" s="434">
        <v>71.099999999999994</v>
      </c>
      <c r="E44" s="434">
        <v>47.1</v>
      </c>
      <c r="F44" s="434">
        <v>64.5</v>
      </c>
      <c r="G44" s="434">
        <v>116.5</v>
      </c>
    </row>
    <row r="45" spans="1:7" x14ac:dyDescent="0.3">
      <c r="A45" s="454">
        <v>4</v>
      </c>
      <c r="B45" s="434">
        <v>25.7</v>
      </c>
      <c r="C45" s="434">
        <v>47.5</v>
      </c>
      <c r="D45" s="434">
        <v>92.9</v>
      </c>
      <c r="E45" s="434">
        <v>36.299999999999997</v>
      </c>
      <c r="F45" s="434">
        <v>64.900000000000006</v>
      </c>
      <c r="G45" s="434">
        <v>101.5</v>
      </c>
    </row>
    <row r="46" spans="1:7" x14ac:dyDescent="0.3">
      <c r="A46" s="454">
        <v>5</v>
      </c>
      <c r="B46" s="434">
        <v>17.600000000000001</v>
      </c>
      <c r="C46" s="434">
        <v>52</v>
      </c>
      <c r="D46" s="434">
        <v>90.1</v>
      </c>
      <c r="E46" s="434">
        <v>49.5</v>
      </c>
      <c r="F46" s="434">
        <v>62.4</v>
      </c>
      <c r="G46" s="434">
        <v>98.1</v>
      </c>
    </row>
    <row r="47" spans="1:7" x14ac:dyDescent="0.3">
      <c r="A47" s="454">
        <v>6</v>
      </c>
      <c r="B47" s="434">
        <v>23.2</v>
      </c>
      <c r="C47" s="434">
        <v>51</v>
      </c>
      <c r="D47" s="434">
        <v>90.1</v>
      </c>
      <c r="E47" s="434">
        <v>26.2</v>
      </c>
      <c r="F47" s="434">
        <v>65.900000000000006</v>
      </c>
      <c r="G47" s="434">
        <v>117.8</v>
      </c>
    </row>
    <row r="48" spans="1:7" x14ac:dyDescent="0.3">
      <c r="A48" s="454">
        <v>7</v>
      </c>
      <c r="B48" s="434">
        <v>26</v>
      </c>
      <c r="C48" s="434">
        <v>49.4</v>
      </c>
      <c r="D48" s="434">
        <v>82.5</v>
      </c>
      <c r="E48" s="434">
        <v>40.799999999999997</v>
      </c>
      <c r="F48" s="434">
        <v>71.7</v>
      </c>
      <c r="G48" s="434">
        <v>118.6</v>
      </c>
    </row>
    <row r="49" spans="1:7" x14ac:dyDescent="0.3">
      <c r="A49" s="454">
        <v>8</v>
      </c>
      <c r="B49" s="434">
        <v>17.7</v>
      </c>
      <c r="C49" s="434">
        <v>36.700000000000003</v>
      </c>
      <c r="D49" s="434">
        <v>99.2</v>
      </c>
      <c r="E49" s="434"/>
      <c r="F49" s="434">
        <v>68.099999999999994</v>
      </c>
      <c r="G49" s="434">
        <v>87.1</v>
      </c>
    </row>
    <row r="50" spans="1:7" x14ac:dyDescent="0.3">
      <c r="A50" s="454">
        <v>9</v>
      </c>
      <c r="B50" s="434">
        <v>19.600000000000001</v>
      </c>
      <c r="C50" s="434">
        <v>45.4</v>
      </c>
      <c r="D50" s="434">
        <v>83</v>
      </c>
      <c r="E50" s="434"/>
      <c r="F50" s="434">
        <v>76.2</v>
      </c>
      <c r="G50" s="434">
        <v>119</v>
      </c>
    </row>
    <row r="51" spans="1:7" x14ac:dyDescent="0.3">
      <c r="A51" s="454">
        <v>10</v>
      </c>
      <c r="B51" s="434">
        <v>35.6</v>
      </c>
      <c r="C51" s="434">
        <v>47.5</v>
      </c>
      <c r="D51" s="434">
        <v>97.1</v>
      </c>
      <c r="E51" s="434"/>
      <c r="F51" s="434">
        <v>67.3</v>
      </c>
      <c r="G51" s="434">
        <v>87.6</v>
      </c>
    </row>
    <row r="52" spans="1:7" x14ac:dyDescent="0.3">
      <c r="A52" s="454">
        <v>11</v>
      </c>
      <c r="B52" s="434">
        <v>29.3</v>
      </c>
      <c r="C52" s="434">
        <v>48.4</v>
      </c>
      <c r="D52" s="434">
        <v>71.099999999999994</v>
      </c>
      <c r="E52" s="434"/>
      <c r="F52" s="434">
        <v>62.8</v>
      </c>
      <c r="G52" s="434">
        <v>91.7</v>
      </c>
    </row>
    <row r="53" spans="1:7" x14ac:dyDescent="0.3">
      <c r="A53" s="454">
        <v>12</v>
      </c>
      <c r="B53" s="434">
        <v>20.2</v>
      </c>
      <c r="C53" s="434">
        <v>67.7</v>
      </c>
      <c r="D53" s="434">
        <v>100.5</v>
      </c>
      <c r="E53" s="434"/>
      <c r="F53" s="434">
        <v>62.4</v>
      </c>
      <c r="G53" s="434">
        <v>88.9</v>
      </c>
    </row>
    <row r="54" spans="1:7" x14ac:dyDescent="0.3">
      <c r="A54" s="454">
        <v>13</v>
      </c>
      <c r="B54" s="434">
        <v>16.100000000000001</v>
      </c>
      <c r="C54" s="434">
        <v>40.4</v>
      </c>
      <c r="D54" s="434">
        <v>95.8</v>
      </c>
      <c r="E54" s="434"/>
      <c r="F54" s="434"/>
      <c r="G54" s="434">
        <v>94.7</v>
      </c>
    </row>
    <row r="55" spans="1:7" x14ac:dyDescent="0.3">
      <c r="A55" s="454">
        <v>14</v>
      </c>
      <c r="B55" s="434">
        <v>25.7</v>
      </c>
      <c r="C55" s="434">
        <v>40.200000000000003</v>
      </c>
      <c r="D55" s="434">
        <v>88.1</v>
      </c>
      <c r="E55" s="434"/>
      <c r="F55" s="434"/>
      <c r="G55" s="434">
        <v>117.8</v>
      </c>
    </row>
    <row r="56" spans="1:7" x14ac:dyDescent="0.3">
      <c r="A56" s="454">
        <v>15</v>
      </c>
      <c r="B56" s="434"/>
      <c r="C56" s="434"/>
      <c r="D56" s="434">
        <v>76.099999999999994</v>
      </c>
      <c r="E56" s="434"/>
      <c r="F56" s="434"/>
      <c r="G56" s="434"/>
    </row>
    <row r="57" spans="1:7" x14ac:dyDescent="0.3">
      <c r="A57" s="670" t="s">
        <v>357</v>
      </c>
      <c r="B57" s="670"/>
      <c r="C57" s="670"/>
      <c r="D57" s="663"/>
      <c r="E57" s="670"/>
      <c r="F57" s="670"/>
      <c r="G57" s="670"/>
    </row>
    <row r="58" spans="1:7" x14ac:dyDescent="0.3">
      <c r="A58" s="396"/>
      <c r="B58" s="674" t="s">
        <v>364</v>
      </c>
      <c r="C58" s="674"/>
      <c r="D58" s="674"/>
      <c r="E58" s="674" t="s">
        <v>365</v>
      </c>
      <c r="F58" s="674"/>
      <c r="G58" s="674"/>
    </row>
    <row r="59" spans="1:7" x14ac:dyDescent="0.3">
      <c r="A59" s="454" t="s">
        <v>366</v>
      </c>
      <c r="B59" s="433" t="s">
        <v>344</v>
      </c>
      <c r="C59" s="433" t="s">
        <v>345</v>
      </c>
      <c r="D59" s="433" t="s">
        <v>367</v>
      </c>
      <c r="E59" s="433" t="s">
        <v>368</v>
      </c>
      <c r="F59" s="433" t="s">
        <v>369</v>
      </c>
      <c r="G59" s="433" t="s">
        <v>370</v>
      </c>
    </row>
    <row r="60" spans="1:7" x14ac:dyDescent="0.3">
      <c r="A60" s="454">
        <v>1</v>
      </c>
      <c r="B60" s="434">
        <v>18.600000000000001</v>
      </c>
      <c r="C60" s="434">
        <v>64.3</v>
      </c>
      <c r="D60" s="434">
        <v>76.8</v>
      </c>
      <c r="E60" s="434">
        <v>56.2</v>
      </c>
      <c r="F60" s="434">
        <v>68.5</v>
      </c>
      <c r="G60" s="434">
        <v>84.6</v>
      </c>
    </row>
    <row r="61" spans="1:7" x14ac:dyDescent="0.3">
      <c r="A61" s="454">
        <v>2</v>
      </c>
      <c r="B61" s="434">
        <v>25</v>
      </c>
      <c r="C61" s="434">
        <v>50</v>
      </c>
      <c r="D61" s="434">
        <v>78.2</v>
      </c>
      <c r="E61" s="434">
        <v>53.4</v>
      </c>
      <c r="F61" s="434">
        <v>73.900000000000006</v>
      </c>
      <c r="G61" s="434">
        <v>100.7</v>
      </c>
    </row>
    <row r="62" spans="1:7" x14ac:dyDescent="0.3">
      <c r="A62" s="454">
        <v>3</v>
      </c>
      <c r="B62" s="434">
        <v>26.7</v>
      </c>
      <c r="C62" s="434">
        <v>46.3</v>
      </c>
      <c r="D62" s="434">
        <v>90.5</v>
      </c>
      <c r="E62" s="434">
        <v>54.3</v>
      </c>
      <c r="F62" s="434">
        <v>75.3</v>
      </c>
      <c r="G62" s="434">
        <v>115.4</v>
      </c>
    </row>
    <row r="63" spans="1:7" x14ac:dyDescent="0.3">
      <c r="A63" s="454">
        <v>4</v>
      </c>
      <c r="B63" s="434">
        <v>22.4</v>
      </c>
      <c r="C63" s="434">
        <v>55.3</v>
      </c>
      <c r="D63" s="434">
        <v>81.400000000000006</v>
      </c>
      <c r="E63" s="434">
        <v>58.8</v>
      </c>
      <c r="F63" s="434">
        <v>73.2</v>
      </c>
      <c r="G63" s="434">
        <v>85.2</v>
      </c>
    </row>
    <row r="64" spans="1:7" x14ac:dyDescent="0.3">
      <c r="A64" s="454">
        <v>5</v>
      </c>
      <c r="B64" s="434">
        <v>17.5</v>
      </c>
      <c r="C64" s="434">
        <v>58.5</v>
      </c>
      <c r="D64" s="434">
        <v>90.5</v>
      </c>
      <c r="E64" s="434"/>
      <c r="F64" s="434">
        <v>60.8</v>
      </c>
      <c r="G64" s="434">
        <v>107.6</v>
      </c>
    </row>
    <row r="65" spans="1:7" x14ac:dyDescent="0.3">
      <c r="A65" s="454">
        <v>6</v>
      </c>
      <c r="B65" s="434">
        <v>34.9</v>
      </c>
      <c r="C65" s="434">
        <v>57.2</v>
      </c>
      <c r="D65" s="434">
        <v>79</v>
      </c>
      <c r="E65" s="434"/>
      <c r="F65" s="434"/>
      <c r="G65" s="434">
        <v>97</v>
      </c>
    </row>
    <row r="66" spans="1:7" x14ac:dyDescent="0.3">
      <c r="A66" s="454">
        <v>7</v>
      </c>
      <c r="B66" s="434">
        <v>34.9</v>
      </c>
      <c r="C66" s="434">
        <v>45.5</v>
      </c>
      <c r="D66" s="434">
        <v>98.8</v>
      </c>
      <c r="E66" s="434"/>
      <c r="F66" s="434"/>
      <c r="G66" s="434"/>
    </row>
    <row r="67" spans="1:7" x14ac:dyDescent="0.3">
      <c r="A67" s="454">
        <v>8</v>
      </c>
      <c r="B67" s="434">
        <v>28.8</v>
      </c>
      <c r="C67" s="434">
        <v>65.3</v>
      </c>
      <c r="D67" s="434">
        <v>94.1</v>
      </c>
      <c r="E67" s="434"/>
      <c r="F67" s="434"/>
      <c r="G67" s="434"/>
    </row>
    <row r="68" spans="1:7" x14ac:dyDescent="0.3">
      <c r="A68" s="454">
        <v>9</v>
      </c>
      <c r="B68" s="434">
        <v>35.9</v>
      </c>
      <c r="C68" s="434"/>
      <c r="D68" s="434">
        <v>85.9</v>
      </c>
      <c r="E68" s="433"/>
      <c r="F68" s="434"/>
      <c r="G68" s="434"/>
    </row>
    <row r="69" spans="1:7" x14ac:dyDescent="0.3">
      <c r="A69" s="670" t="s">
        <v>358</v>
      </c>
      <c r="B69" s="670"/>
      <c r="C69" s="670"/>
      <c r="D69" s="663"/>
      <c r="E69" s="670"/>
      <c r="F69" s="670"/>
      <c r="G69" s="670"/>
    </row>
    <row r="70" spans="1:7" x14ac:dyDescent="0.3">
      <c r="A70" s="396"/>
      <c r="B70" s="674" t="s">
        <v>364</v>
      </c>
      <c r="C70" s="674"/>
      <c r="D70" s="674"/>
      <c r="E70" s="674" t="s">
        <v>365</v>
      </c>
      <c r="F70" s="674"/>
      <c r="G70" s="674"/>
    </row>
    <row r="71" spans="1:7" x14ac:dyDescent="0.3">
      <c r="A71" s="454" t="s">
        <v>366</v>
      </c>
      <c r="B71" s="433" t="s">
        <v>344</v>
      </c>
      <c r="C71" s="433" t="s">
        <v>345</v>
      </c>
      <c r="D71" s="433" t="s">
        <v>367</v>
      </c>
      <c r="E71" s="433" t="s">
        <v>368</v>
      </c>
      <c r="F71" s="433" t="s">
        <v>369</v>
      </c>
      <c r="G71" s="433" t="s">
        <v>370</v>
      </c>
    </row>
    <row r="72" spans="1:7" x14ac:dyDescent="0.3">
      <c r="A72" s="454">
        <v>1</v>
      </c>
      <c r="B72" s="434">
        <v>29.7</v>
      </c>
      <c r="C72" s="434">
        <v>52.7</v>
      </c>
      <c r="D72" s="434">
        <v>83.2</v>
      </c>
      <c r="E72" s="434">
        <v>55.1</v>
      </c>
      <c r="F72" s="434">
        <v>65.7</v>
      </c>
      <c r="G72" s="434">
        <v>96.7</v>
      </c>
    </row>
    <row r="73" spans="1:7" x14ac:dyDescent="0.3">
      <c r="A73" s="454">
        <v>2</v>
      </c>
      <c r="B73" s="434">
        <v>36.299999999999997</v>
      </c>
      <c r="C73" s="434">
        <v>57</v>
      </c>
      <c r="D73" s="434">
        <v>68.3</v>
      </c>
      <c r="E73" s="434">
        <v>30.8</v>
      </c>
      <c r="F73" s="434">
        <v>72.7</v>
      </c>
      <c r="G73" s="434">
        <v>82.3</v>
      </c>
    </row>
    <row r="74" spans="1:7" x14ac:dyDescent="0.3">
      <c r="A74" s="454">
        <v>3</v>
      </c>
      <c r="B74" s="434">
        <v>20</v>
      </c>
      <c r="C74" s="434">
        <v>60.7</v>
      </c>
      <c r="D74" s="434">
        <v>73</v>
      </c>
      <c r="E74" s="434">
        <v>38.700000000000003</v>
      </c>
      <c r="F74" s="434">
        <v>60.4</v>
      </c>
      <c r="G74" s="434">
        <v>82.9</v>
      </c>
    </row>
    <row r="75" spans="1:7" x14ac:dyDescent="0.3">
      <c r="A75" s="454">
        <v>4</v>
      </c>
      <c r="B75" s="434">
        <v>28.2</v>
      </c>
      <c r="C75" s="434">
        <v>38.6</v>
      </c>
      <c r="D75" s="434">
        <v>83.3</v>
      </c>
      <c r="E75" s="434">
        <v>57.9</v>
      </c>
      <c r="F75" s="434">
        <v>62</v>
      </c>
      <c r="G75" s="434">
        <v>92.4</v>
      </c>
    </row>
    <row r="76" spans="1:7" x14ac:dyDescent="0.3">
      <c r="A76" s="454">
        <v>5</v>
      </c>
      <c r="B76" s="434">
        <v>17.899999999999999</v>
      </c>
      <c r="C76" s="434">
        <v>48.5</v>
      </c>
      <c r="D76" s="434">
        <v>83.2</v>
      </c>
      <c r="E76" s="434">
        <v>51.8</v>
      </c>
      <c r="F76" s="434">
        <v>64</v>
      </c>
      <c r="G76" s="434">
        <v>83</v>
      </c>
    </row>
    <row r="77" spans="1:7" x14ac:dyDescent="0.3">
      <c r="A77" s="454">
        <v>6</v>
      </c>
      <c r="B77" s="434">
        <v>32.4</v>
      </c>
      <c r="C77" s="434">
        <v>43.7</v>
      </c>
      <c r="D77" s="434">
        <v>76.7</v>
      </c>
      <c r="E77" s="434">
        <v>42.8</v>
      </c>
      <c r="F77" s="434">
        <v>72.900000000000006</v>
      </c>
      <c r="G77" s="434">
        <v>111.7</v>
      </c>
    </row>
    <row r="78" spans="1:7" x14ac:dyDescent="0.3">
      <c r="A78" s="454">
        <v>7</v>
      </c>
      <c r="B78" s="434">
        <v>31.7</v>
      </c>
      <c r="C78" s="434">
        <v>38.9</v>
      </c>
      <c r="D78" s="434">
        <v>84.4</v>
      </c>
      <c r="E78" s="434">
        <v>44.1</v>
      </c>
      <c r="F78" s="434">
        <v>60.6</v>
      </c>
      <c r="G78" s="434">
        <v>82.7</v>
      </c>
    </row>
    <row r="79" spans="1:7" x14ac:dyDescent="0.3">
      <c r="A79" s="454">
        <v>8</v>
      </c>
      <c r="B79" s="434">
        <v>16.5</v>
      </c>
      <c r="C79" s="434">
        <v>43.1</v>
      </c>
      <c r="D79" s="434">
        <v>82.9</v>
      </c>
      <c r="E79" s="434">
        <v>52.1</v>
      </c>
      <c r="F79" s="434">
        <v>69.7</v>
      </c>
      <c r="G79" s="434">
        <v>111.6</v>
      </c>
    </row>
    <row r="80" spans="1:7" x14ac:dyDescent="0.3">
      <c r="A80" s="454">
        <v>9</v>
      </c>
      <c r="B80" s="434">
        <v>19.3</v>
      </c>
      <c r="C80" s="434">
        <v>48.2</v>
      </c>
      <c r="D80" s="434">
        <v>100.1</v>
      </c>
      <c r="E80" s="434">
        <v>49.9</v>
      </c>
      <c r="F80" s="434">
        <v>63.2</v>
      </c>
      <c r="G80" s="434">
        <v>101.4</v>
      </c>
    </row>
    <row r="81" spans="1:7" x14ac:dyDescent="0.3">
      <c r="A81" s="454">
        <v>10</v>
      </c>
      <c r="B81" s="434">
        <v>27.4</v>
      </c>
      <c r="C81" s="434">
        <v>41.1</v>
      </c>
      <c r="D81" s="434">
        <v>94.8</v>
      </c>
      <c r="E81" s="434">
        <v>38.299999999999997</v>
      </c>
      <c r="F81" s="434">
        <v>72.599999999999994</v>
      </c>
      <c r="G81" s="434">
        <v>101.4</v>
      </c>
    </row>
    <row r="82" spans="1:7" x14ac:dyDescent="0.3">
      <c r="A82" s="454">
        <v>11</v>
      </c>
      <c r="B82" s="434">
        <v>20.2</v>
      </c>
      <c r="C82" s="434">
        <v>39.299999999999997</v>
      </c>
      <c r="D82" s="434">
        <v>91.2</v>
      </c>
      <c r="E82" s="434"/>
      <c r="F82" s="434">
        <v>68.8</v>
      </c>
      <c r="G82" s="434">
        <v>106.8</v>
      </c>
    </row>
    <row r="83" spans="1:7" x14ac:dyDescent="0.3">
      <c r="A83" s="454">
        <v>12</v>
      </c>
      <c r="B83" s="434">
        <v>27.6</v>
      </c>
      <c r="C83" s="434">
        <v>60.7</v>
      </c>
      <c r="D83" s="434">
        <v>94.7</v>
      </c>
      <c r="E83" s="434"/>
      <c r="F83" s="434">
        <v>60</v>
      </c>
      <c r="G83" s="434">
        <v>104.1</v>
      </c>
    </row>
    <row r="84" spans="1:7" x14ac:dyDescent="0.3">
      <c r="A84" s="454">
        <v>13</v>
      </c>
      <c r="B84" s="434">
        <v>22.9</v>
      </c>
      <c r="C84" s="434">
        <v>60.8</v>
      </c>
      <c r="D84" s="434">
        <v>78.599999999999994</v>
      </c>
      <c r="E84" s="434"/>
      <c r="F84" s="434">
        <v>70.3</v>
      </c>
      <c r="G84" s="434">
        <v>84.9</v>
      </c>
    </row>
    <row r="85" spans="1:7" x14ac:dyDescent="0.3">
      <c r="A85" s="454">
        <v>14</v>
      </c>
      <c r="B85" s="434">
        <v>26.8</v>
      </c>
      <c r="C85" s="434">
        <v>57.7</v>
      </c>
      <c r="D85" s="434">
        <v>90.4</v>
      </c>
      <c r="E85" s="434"/>
      <c r="F85" s="434">
        <v>72</v>
      </c>
      <c r="G85" s="434">
        <v>114.3</v>
      </c>
    </row>
    <row r="86" spans="1:7" x14ac:dyDescent="0.3">
      <c r="A86" s="454">
        <v>15</v>
      </c>
      <c r="B86" s="434">
        <v>33.299999999999997</v>
      </c>
      <c r="C86" s="434">
        <v>51.4</v>
      </c>
      <c r="D86" s="434">
        <v>81.099999999999994</v>
      </c>
      <c r="E86" s="434"/>
      <c r="F86" s="434"/>
      <c r="G86" s="434">
        <v>110.9</v>
      </c>
    </row>
    <row r="87" spans="1:7" x14ac:dyDescent="0.3">
      <c r="A87" s="454">
        <v>16</v>
      </c>
      <c r="B87" s="434"/>
      <c r="C87" s="434">
        <v>40.700000000000003</v>
      </c>
      <c r="D87" s="434">
        <v>94.1</v>
      </c>
      <c r="E87" s="434"/>
      <c r="F87" s="434"/>
      <c r="G87" s="434">
        <v>114</v>
      </c>
    </row>
    <row r="88" spans="1:7" x14ac:dyDescent="0.3">
      <c r="A88" s="454">
        <v>17</v>
      </c>
      <c r="B88" s="434"/>
      <c r="C88" s="434">
        <v>50.1</v>
      </c>
      <c r="D88" s="434">
        <v>72.3</v>
      </c>
      <c r="E88" s="434"/>
      <c r="F88" s="434"/>
      <c r="G88" s="434">
        <v>97.1</v>
      </c>
    </row>
    <row r="89" spans="1:7" x14ac:dyDescent="0.3">
      <c r="A89" s="454">
        <v>18</v>
      </c>
      <c r="B89" s="434"/>
      <c r="C89" s="434">
        <v>54.2</v>
      </c>
      <c r="D89" s="434">
        <v>81.5</v>
      </c>
      <c r="E89" s="438"/>
      <c r="F89" s="438"/>
      <c r="G89" s="438"/>
    </row>
    <row r="90" spans="1:7" x14ac:dyDescent="0.3">
      <c r="A90" s="454">
        <v>19</v>
      </c>
      <c r="B90" s="434"/>
      <c r="C90" s="434">
        <v>46.8</v>
      </c>
      <c r="D90" s="434"/>
      <c r="E90" s="438"/>
      <c r="F90" s="438"/>
      <c r="G90" s="438"/>
    </row>
    <row r="91" spans="1:7" x14ac:dyDescent="0.3">
      <c r="A91" s="670" t="s">
        <v>359</v>
      </c>
      <c r="B91" s="670"/>
      <c r="C91" s="670"/>
      <c r="D91" s="663"/>
      <c r="E91" s="670"/>
      <c r="F91" s="670"/>
      <c r="G91" s="670"/>
    </row>
    <row r="92" spans="1:7" x14ac:dyDescent="0.3">
      <c r="A92" s="396"/>
      <c r="B92" s="674" t="s">
        <v>364</v>
      </c>
      <c r="C92" s="674"/>
      <c r="D92" s="674"/>
      <c r="E92" s="674" t="s">
        <v>365</v>
      </c>
      <c r="F92" s="674"/>
      <c r="G92" s="674"/>
    </row>
    <row r="93" spans="1:7" x14ac:dyDescent="0.3">
      <c r="A93" s="454" t="s">
        <v>366</v>
      </c>
      <c r="B93" s="433" t="s">
        <v>344</v>
      </c>
      <c r="C93" s="433" t="s">
        <v>345</v>
      </c>
      <c r="D93" s="433" t="s">
        <v>367</v>
      </c>
      <c r="E93" s="433" t="s">
        <v>368</v>
      </c>
      <c r="F93" s="433" t="s">
        <v>369</v>
      </c>
      <c r="G93" s="433" t="s">
        <v>370</v>
      </c>
    </row>
    <row r="94" spans="1:7" x14ac:dyDescent="0.3">
      <c r="A94" s="454">
        <v>1</v>
      </c>
      <c r="B94" s="434">
        <v>27.3</v>
      </c>
      <c r="C94" s="434">
        <v>38.4</v>
      </c>
      <c r="D94" s="434">
        <v>78</v>
      </c>
      <c r="E94" s="434">
        <v>33.4</v>
      </c>
      <c r="F94" s="434">
        <v>72.599999999999994</v>
      </c>
      <c r="G94" s="434">
        <v>96.3</v>
      </c>
    </row>
    <row r="95" spans="1:7" x14ac:dyDescent="0.3">
      <c r="A95" s="454">
        <v>2</v>
      </c>
      <c r="B95" s="434">
        <v>24.9</v>
      </c>
      <c r="C95" s="434">
        <v>58</v>
      </c>
      <c r="D95" s="434">
        <v>92.2</v>
      </c>
      <c r="E95" s="434">
        <v>36.200000000000003</v>
      </c>
      <c r="F95" s="434">
        <v>61.9</v>
      </c>
      <c r="G95" s="434">
        <v>87.5</v>
      </c>
    </row>
    <row r="96" spans="1:7" x14ac:dyDescent="0.3">
      <c r="A96" s="454">
        <v>3</v>
      </c>
      <c r="B96" s="434">
        <v>36.1</v>
      </c>
      <c r="C96" s="434">
        <v>43.3</v>
      </c>
      <c r="D96" s="434">
        <v>97.4</v>
      </c>
      <c r="E96" s="434">
        <v>49.7</v>
      </c>
      <c r="F96" s="434">
        <v>61.3</v>
      </c>
      <c r="G96" s="434">
        <v>111.3</v>
      </c>
    </row>
    <row r="97" spans="1:7" x14ac:dyDescent="0.3">
      <c r="A97" s="454">
        <v>4</v>
      </c>
      <c r="B97" s="434">
        <v>21.5</v>
      </c>
      <c r="C97" s="434">
        <v>51</v>
      </c>
      <c r="D97" s="434">
        <v>88</v>
      </c>
      <c r="E97" s="434">
        <v>47.4</v>
      </c>
      <c r="F97" s="434">
        <v>67.5</v>
      </c>
      <c r="G97" s="434">
        <v>104.7</v>
      </c>
    </row>
    <row r="98" spans="1:7" x14ac:dyDescent="0.3">
      <c r="A98" s="454">
        <v>5</v>
      </c>
      <c r="B98" s="434">
        <v>36.299999999999997</v>
      </c>
      <c r="C98" s="434">
        <v>60.1</v>
      </c>
      <c r="D98" s="434">
        <v>87.7</v>
      </c>
      <c r="E98" s="434">
        <v>58.9</v>
      </c>
      <c r="F98" s="434">
        <v>65.7</v>
      </c>
      <c r="G98" s="434">
        <v>119.6</v>
      </c>
    </row>
    <row r="99" spans="1:7" x14ac:dyDescent="0.3">
      <c r="A99" s="454">
        <v>6</v>
      </c>
      <c r="B99" s="434">
        <v>18.100000000000001</v>
      </c>
      <c r="C99" s="434">
        <v>49.6</v>
      </c>
      <c r="D99" s="434">
        <v>104.1</v>
      </c>
      <c r="E99" s="434">
        <v>33.4</v>
      </c>
      <c r="F99" s="434">
        <v>77.400000000000006</v>
      </c>
      <c r="G99" s="434">
        <v>109.4</v>
      </c>
    </row>
    <row r="100" spans="1:7" x14ac:dyDescent="0.3">
      <c r="A100" s="454">
        <v>7</v>
      </c>
      <c r="B100" s="434">
        <v>31</v>
      </c>
      <c r="C100" s="434">
        <v>58.1</v>
      </c>
      <c r="D100" s="434">
        <v>81.2</v>
      </c>
      <c r="E100" s="434">
        <v>46.3</v>
      </c>
      <c r="F100" s="434">
        <v>62</v>
      </c>
      <c r="G100" s="434">
        <v>117.6</v>
      </c>
    </row>
    <row r="101" spans="1:7" x14ac:dyDescent="0.3">
      <c r="A101" s="454">
        <v>8</v>
      </c>
      <c r="B101" s="434">
        <v>21.4</v>
      </c>
      <c r="C101" s="434">
        <v>47.7</v>
      </c>
      <c r="D101" s="434">
        <v>71.599999999999994</v>
      </c>
      <c r="E101" s="434">
        <v>41.5</v>
      </c>
      <c r="F101" s="434">
        <v>70.099999999999994</v>
      </c>
      <c r="G101" s="434">
        <v>98.8</v>
      </c>
    </row>
    <row r="102" spans="1:7" x14ac:dyDescent="0.3">
      <c r="A102" s="454">
        <v>9</v>
      </c>
      <c r="B102" s="434">
        <v>16.2</v>
      </c>
      <c r="C102" s="434">
        <v>54.9</v>
      </c>
      <c r="D102" s="434">
        <v>91.5</v>
      </c>
      <c r="E102" s="434"/>
      <c r="F102" s="434">
        <v>69.7</v>
      </c>
      <c r="G102" s="434">
        <v>108.4</v>
      </c>
    </row>
    <row r="103" spans="1:7" x14ac:dyDescent="0.3">
      <c r="A103" s="454">
        <v>10</v>
      </c>
      <c r="B103" s="434">
        <v>19.5</v>
      </c>
      <c r="C103" s="434">
        <v>58.8</v>
      </c>
      <c r="D103" s="434">
        <v>80.3</v>
      </c>
      <c r="E103" s="434"/>
      <c r="F103" s="434">
        <v>77.3</v>
      </c>
      <c r="G103" s="434">
        <v>87.5</v>
      </c>
    </row>
    <row r="104" spans="1:7" x14ac:dyDescent="0.3">
      <c r="A104" s="454">
        <v>11</v>
      </c>
      <c r="B104" s="434">
        <v>24.7</v>
      </c>
      <c r="C104" s="434">
        <v>67</v>
      </c>
      <c r="D104" s="434">
        <v>104.6</v>
      </c>
      <c r="E104" s="434"/>
      <c r="F104" s="434"/>
      <c r="G104" s="434">
        <v>110</v>
      </c>
    </row>
    <row r="105" spans="1:7" x14ac:dyDescent="0.3">
      <c r="A105" s="454">
        <v>12</v>
      </c>
      <c r="B105" s="434">
        <v>18.100000000000001</v>
      </c>
      <c r="C105" s="434">
        <v>59.8</v>
      </c>
      <c r="D105" s="434">
        <v>72.2</v>
      </c>
      <c r="E105" s="434"/>
      <c r="F105" s="434"/>
      <c r="G105" s="434">
        <v>86.8</v>
      </c>
    </row>
    <row r="106" spans="1:7" x14ac:dyDescent="0.3">
      <c r="A106" s="454">
        <v>13</v>
      </c>
      <c r="B106" s="434"/>
      <c r="C106" s="434">
        <v>38.200000000000003</v>
      </c>
      <c r="D106" s="434">
        <v>89.1</v>
      </c>
      <c r="E106" s="438"/>
      <c r="F106" s="438"/>
      <c r="G106" s="438"/>
    </row>
    <row r="107" spans="1:7" x14ac:dyDescent="0.3">
      <c r="A107" s="454">
        <v>14</v>
      </c>
      <c r="B107" s="434"/>
      <c r="C107" s="434">
        <v>45</v>
      </c>
      <c r="D107" s="434">
        <v>80.8</v>
      </c>
      <c r="E107" s="438"/>
      <c r="F107" s="438"/>
      <c r="G107" s="438"/>
    </row>
    <row r="108" spans="1:7" x14ac:dyDescent="0.3">
      <c r="A108" s="454">
        <v>15</v>
      </c>
      <c r="B108" s="434"/>
      <c r="C108" s="434">
        <v>68</v>
      </c>
      <c r="D108" s="434">
        <v>93.1</v>
      </c>
      <c r="E108" s="438"/>
      <c r="F108" s="438"/>
      <c r="G108" s="438"/>
    </row>
    <row r="109" spans="1:7" x14ac:dyDescent="0.3">
      <c r="A109" s="670" t="s">
        <v>360</v>
      </c>
      <c r="B109" s="670"/>
      <c r="C109" s="670"/>
      <c r="D109" s="663"/>
      <c r="E109" s="670"/>
      <c r="F109" s="670"/>
      <c r="G109" s="670"/>
    </row>
    <row r="110" spans="1:7" x14ac:dyDescent="0.3">
      <c r="A110" s="396"/>
      <c r="B110" s="674" t="s">
        <v>364</v>
      </c>
      <c r="C110" s="674"/>
      <c r="D110" s="674"/>
      <c r="E110" s="674" t="s">
        <v>365</v>
      </c>
      <c r="F110" s="674"/>
      <c r="G110" s="674"/>
    </row>
    <row r="111" spans="1:7" x14ac:dyDescent="0.3">
      <c r="A111" s="454" t="s">
        <v>366</v>
      </c>
      <c r="B111" s="433" t="s">
        <v>344</v>
      </c>
      <c r="C111" s="433" t="s">
        <v>345</v>
      </c>
      <c r="D111" s="433" t="s">
        <v>367</v>
      </c>
      <c r="E111" s="433" t="s">
        <v>368</v>
      </c>
      <c r="F111" s="433" t="s">
        <v>369</v>
      </c>
      <c r="G111" s="433" t="s">
        <v>370</v>
      </c>
    </row>
    <row r="112" spans="1:7" x14ac:dyDescent="0.3">
      <c r="A112" s="454">
        <v>1</v>
      </c>
      <c r="B112" s="434">
        <v>0</v>
      </c>
      <c r="C112" s="434">
        <v>0</v>
      </c>
      <c r="D112" s="434">
        <v>0</v>
      </c>
      <c r="E112" s="434">
        <v>25.2</v>
      </c>
      <c r="F112" s="434">
        <v>79.2</v>
      </c>
      <c r="G112" s="434">
        <v>100.1</v>
      </c>
    </row>
    <row r="113" spans="1:7" x14ac:dyDescent="0.3">
      <c r="A113" s="454">
        <v>2</v>
      </c>
      <c r="B113" s="434"/>
      <c r="C113" s="434"/>
      <c r="D113" s="434"/>
      <c r="E113" s="434">
        <v>30.6</v>
      </c>
      <c r="F113" s="434">
        <v>79.5</v>
      </c>
      <c r="G113" s="434">
        <v>106.7</v>
      </c>
    </row>
    <row r="114" spans="1:7" x14ac:dyDescent="0.3">
      <c r="A114" s="454">
        <v>3</v>
      </c>
      <c r="B114" s="434"/>
      <c r="C114" s="434"/>
      <c r="D114" s="434"/>
      <c r="E114" s="434">
        <v>27.3</v>
      </c>
      <c r="F114" s="434">
        <v>78.400000000000006</v>
      </c>
      <c r="G114" s="434">
        <v>114.7</v>
      </c>
    </row>
    <row r="115" spans="1:7" x14ac:dyDescent="0.3">
      <c r="A115" s="454">
        <v>4</v>
      </c>
      <c r="B115" s="434"/>
      <c r="C115" s="434"/>
      <c r="D115" s="434"/>
      <c r="E115" s="434"/>
      <c r="F115" s="434">
        <v>66</v>
      </c>
      <c r="G115" s="434">
        <v>92.3</v>
      </c>
    </row>
    <row r="116" spans="1:7" x14ac:dyDescent="0.3">
      <c r="A116" s="454">
        <v>5</v>
      </c>
      <c r="B116" s="434"/>
      <c r="C116" s="434"/>
      <c r="D116" s="434"/>
      <c r="E116" s="434"/>
      <c r="F116" s="434">
        <v>67.5</v>
      </c>
      <c r="G116" s="434">
        <v>85</v>
      </c>
    </row>
    <row r="117" spans="1:7" x14ac:dyDescent="0.3">
      <c r="A117" s="670" t="s">
        <v>361</v>
      </c>
      <c r="B117" s="670"/>
      <c r="C117" s="670"/>
      <c r="D117" s="663"/>
      <c r="E117" s="670"/>
      <c r="F117" s="670"/>
      <c r="G117" s="670"/>
    </row>
    <row r="118" spans="1:7" x14ac:dyDescent="0.3">
      <c r="A118" s="396"/>
      <c r="B118" s="674" t="s">
        <v>364</v>
      </c>
      <c r="C118" s="674"/>
      <c r="D118" s="674"/>
      <c r="E118" s="674" t="s">
        <v>365</v>
      </c>
      <c r="F118" s="674"/>
      <c r="G118" s="674"/>
    </row>
    <row r="119" spans="1:7" x14ac:dyDescent="0.3">
      <c r="A119" s="454" t="s">
        <v>366</v>
      </c>
      <c r="B119" s="433" t="s">
        <v>344</v>
      </c>
      <c r="C119" s="433" t="s">
        <v>345</v>
      </c>
      <c r="D119" s="433" t="s">
        <v>367</v>
      </c>
      <c r="E119" s="433" t="s">
        <v>368</v>
      </c>
      <c r="F119" s="433" t="s">
        <v>369</v>
      </c>
      <c r="G119" s="433" t="s">
        <v>370</v>
      </c>
    </row>
    <row r="120" spans="1:7" x14ac:dyDescent="0.3">
      <c r="A120" s="454">
        <v>1</v>
      </c>
      <c r="B120" s="434">
        <v>24.7</v>
      </c>
      <c r="C120" s="434">
        <v>67.5</v>
      </c>
      <c r="D120" s="434">
        <v>81.8</v>
      </c>
      <c r="E120" s="434">
        <v>28.2</v>
      </c>
      <c r="F120" s="434">
        <v>72.3</v>
      </c>
      <c r="G120" s="434">
        <v>119.5</v>
      </c>
    </row>
    <row r="121" spans="1:7" x14ac:dyDescent="0.3">
      <c r="A121" s="454">
        <v>2</v>
      </c>
      <c r="B121" s="434">
        <v>35</v>
      </c>
      <c r="C121" s="434">
        <v>53</v>
      </c>
      <c r="D121" s="434">
        <v>99.4</v>
      </c>
      <c r="E121" s="434">
        <v>43.1</v>
      </c>
      <c r="F121" s="434">
        <v>76.400000000000006</v>
      </c>
      <c r="G121" s="434">
        <v>113.6</v>
      </c>
    </row>
    <row r="122" spans="1:7" x14ac:dyDescent="0.3">
      <c r="A122" s="454">
        <v>3</v>
      </c>
      <c r="B122" s="434">
        <v>16.100000000000001</v>
      </c>
      <c r="C122" s="434">
        <v>66.599999999999994</v>
      </c>
      <c r="D122" s="434">
        <v>93.2</v>
      </c>
      <c r="E122" s="434">
        <v>29.6</v>
      </c>
      <c r="F122" s="434">
        <v>64</v>
      </c>
      <c r="G122" s="434">
        <v>81.099999999999994</v>
      </c>
    </row>
    <row r="123" spans="1:7" x14ac:dyDescent="0.3">
      <c r="A123" s="454">
        <v>4</v>
      </c>
      <c r="B123" s="434">
        <v>27.3</v>
      </c>
      <c r="C123" s="434">
        <v>45.6</v>
      </c>
      <c r="D123" s="434">
        <v>69.099999999999994</v>
      </c>
      <c r="E123" s="434"/>
      <c r="F123" s="434">
        <v>77.400000000000006</v>
      </c>
      <c r="G123" s="434">
        <v>119.9</v>
      </c>
    </row>
    <row r="124" spans="1:7" x14ac:dyDescent="0.3">
      <c r="A124" s="454">
        <v>5</v>
      </c>
      <c r="B124" s="434">
        <v>36.1</v>
      </c>
      <c r="C124" s="434">
        <v>52.9</v>
      </c>
      <c r="D124" s="434">
        <v>84.7</v>
      </c>
      <c r="E124" s="434"/>
      <c r="F124" s="434">
        <v>67</v>
      </c>
      <c r="G124" s="434">
        <v>83.7</v>
      </c>
    </row>
    <row r="125" spans="1:7" x14ac:dyDescent="0.3">
      <c r="A125" s="454">
        <v>6</v>
      </c>
      <c r="B125" s="434">
        <v>24.3</v>
      </c>
      <c r="C125" s="434">
        <v>60.9</v>
      </c>
      <c r="D125" s="434">
        <v>72.400000000000006</v>
      </c>
      <c r="E125" s="434"/>
      <c r="F125" s="434"/>
      <c r="G125" s="434">
        <v>118.6</v>
      </c>
    </row>
    <row r="126" spans="1:7" x14ac:dyDescent="0.3">
      <c r="A126" s="454">
        <v>7</v>
      </c>
      <c r="B126" s="434">
        <v>22.3</v>
      </c>
      <c r="C126" s="434">
        <v>53.4</v>
      </c>
      <c r="D126" s="434">
        <v>69.7</v>
      </c>
      <c r="E126" s="434"/>
      <c r="F126" s="434"/>
      <c r="G126" s="434"/>
    </row>
    <row r="127" spans="1:7" x14ac:dyDescent="0.3">
      <c r="A127" s="454">
        <v>8</v>
      </c>
      <c r="B127" s="434"/>
      <c r="C127" s="434">
        <v>55</v>
      </c>
      <c r="D127" s="434">
        <v>102.7</v>
      </c>
      <c r="E127" s="434"/>
      <c r="F127" s="434"/>
      <c r="G127" s="434"/>
    </row>
    <row r="128" spans="1:7" x14ac:dyDescent="0.3">
      <c r="A128" s="454">
        <v>9</v>
      </c>
      <c r="B128" s="434"/>
      <c r="C128" s="434">
        <v>45.4</v>
      </c>
      <c r="D128" s="434"/>
      <c r="E128" s="434"/>
      <c r="F128" s="434"/>
      <c r="G128" s="434"/>
    </row>
    <row r="129" spans="1:7" x14ac:dyDescent="0.3">
      <c r="A129" s="670" t="s">
        <v>362</v>
      </c>
      <c r="B129" s="670"/>
      <c r="C129" s="670"/>
      <c r="D129" s="663"/>
      <c r="E129" s="670"/>
      <c r="F129" s="670"/>
      <c r="G129" s="670"/>
    </row>
    <row r="130" spans="1:7" x14ac:dyDescent="0.3">
      <c r="A130" s="396"/>
      <c r="B130" s="674" t="s">
        <v>364</v>
      </c>
      <c r="C130" s="674"/>
      <c r="D130" s="674"/>
      <c r="E130" s="674" t="s">
        <v>365</v>
      </c>
      <c r="F130" s="674"/>
      <c r="G130" s="674"/>
    </row>
    <row r="131" spans="1:7" x14ac:dyDescent="0.3">
      <c r="A131" s="454" t="s">
        <v>366</v>
      </c>
      <c r="B131" s="433" t="s">
        <v>344</v>
      </c>
      <c r="C131" s="433" t="s">
        <v>345</v>
      </c>
      <c r="D131" s="433" t="s">
        <v>367</v>
      </c>
      <c r="E131" s="433" t="s">
        <v>368</v>
      </c>
      <c r="F131" s="433" t="s">
        <v>369</v>
      </c>
      <c r="G131" s="433" t="s">
        <v>370</v>
      </c>
    </row>
    <row r="132" spans="1:7" x14ac:dyDescent="0.3">
      <c r="A132" s="454">
        <v>1</v>
      </c>
      <c r="B132" s="434">
        <v>0</v>
      </c>
      <c r="C132" s="434">
        <v>0</v>
      </c>
      <c r="D132" s="434">
        <v>0</v>
      </c>
      <c r="E132" s="434">
        <v>54.5</v>
      </c>
      <c r="F132" s="434">
        <v>60.2</v>
      </c>
      <c r="G132" s="434">
        <v>94.5</v>
      </c>
    </row>
    <row r="133" spans="1:7" x14ac:dyDescent="0.3">
      <c r="A133" s="454">
        <v>2</v>
      </c>
      <c r="B133" s="434"/>
      <c r="C133" s="434"/>
      <c r="D133" s="434"/>
      <c r="E133" s="434">
        <v>26.7</v>
      </c>
      <c r="F133" s="434">
        <v>61.1</v>
      </c>
      <c r="G133" s="434">
        <v>95.6</v>
      </c>
    </row>
    <row r="134" spans="1:7" x14ac:dyDescent="0.3">
      <c r="A134" s="454">
        <v>3</v>
      </c>
      <c r="B134" s="434"/>
      <c r="C134" s="434"/>
      <c r="D134" s="434"/>
      <c r="E134" s="434">
        <v>30.6</v>
      </c>
      <c r="F134" s="434">
        <v>71</v>
      </c>
      <c r="G134" s="434">
        <v>86.1</v>
      </c>
    </row>
    <row r="135" spans="1:7" x14ac:dyDescent="0.3">
      <c r="A135" s="454">
        <v>4</v>
      </c>
      <c r="B135" s="434"/>
      <c r="C135" s="434"/>
      <c r="D135" s="434"/>
      <c r="E135" s="434">
        <v>52.4</v>
      </c>
      <c r="F135" s="434">
        <v>74</v>
      </c>
      <c r="G135" s="434">
        <v>110.4</v>
      </c>
    </row>
    <row r="136" spans="1:7" x14ac:dyDescent="0.3">
      <c r="A136" s="454">
        <v>5</v>
      </c>
      <c r="B136" s="434"/>
      <c r="C136" s="434"/>
      <c r="D136" s="434"/>
      <c r="E136" s="434"/>
      <c r="F136" s="434">
        <v>74.3</v>
      </c>
      <c r="G136" s="434">
        <v>103.4</v>
      </c>
    </row>
    <row r="137" spans="1:7" x14ac:dyDescent="0.3">
      <c r="A137" s="442"/>
      <c r="B137" s="443"/>
      <c r="C137" s="443"/>
      <c r="D137" s="443"/>
      <c r="E137" s="443"/>
      <c r="F137" s="443"/>
      <c r="G137" s="443"/>
    </row>
    <row r="138" spans="1:7" x14ac:dyDescent="0.3">
      <c r="A138" s="442"/>
      <c r="B138" s="443"/>
      <c r="C138" s="443"/>
      <c r="D138" s="443"/>
      <c r="E138" s="441"/>
      <c r="F138" s="443"/>
      <c r="G138" s="443"/>
    </row>
    <row r="139" spans="1:7" x14ac:dyDescent="0.3">
      <c r="A139" s="442"/>
      <c r="B139" s="443"/>
      <c r="C139" s="443"/>
      <c r="D139" s="443"/>
      <c r="E139" s="441"/>
      <c r="F139" s="441"/>
      <c r="G139" s="443"/>
    </row>
    <row r="140" spans="1:7" x14ac:dyDescent="0.3">
      <c r="A140" s="442"/>
      <c r="B140" s="443"/>
      <c r="C140" s="443"/>
      <c r="D140" s="443"/>
      <c r="E140" s="441"/>
      <c r="F140" s="441"/>
      <c r="G140" s="441"/>
    </row>
    <row r="141" spans="1:7" x14ac:dyDescent="0.3">
      <c r="A141" s="668" t="s">
        <v>160</v>
      </c>
      <c r="B141" s="666" t="s">
        <v>161</v>
      </c>
      <c r="C141" s="667"/>
      <c r="D141" s="666" t="s">
        <v>162</v>
      </c>
      <c r="E141" s="667"/>
      <c r="F141" s="666" t="s">
        <v>163</v>
      </c>
      <c r="G141" s="667"/>
    </row>
    <row r="142" spans="1:7" x14ac:dyDescent="0.3">
      <c r="A142" s="669"/>
      <c r="B142" s="432" t="s">
        <v>164</v>
      </c>
      <c r="C142" s="432" t="s">
        <v>165</v>
      </c>
      <c r="D142" s="432" t="s">
        <v>164</v>
      </c>
      <c r="E142" s="432" t="s">
        <v>165</v>
      </c>
      <c r="F142" s="432" t="s">
        <v>164</v>
      </c>
      <c r="G142" s="432" t="s">
        <v>165</v>
      </c>
    </row>
    <row r="143" spans="1:7" x14ac:dyDescent="0.3">
      <c r="A143" s="433" t="s">
        <v>353</v>
      </c>
      <c r="B143" s="435">
        <f>ROUNDDOWN(AVERAGE(B6:D11),1)</f>
        <v>0</v>
      </c>
      <c r="C143" s="435">
        <f>ROUNDDOWN(AVERAGE(E6:G11),1)</f>
        <v>76.5</v>
      </c>
      <c r="D143" s="432">
        <v>0</v>
      </c>
      <c r="E143" s="432">
        <v>5593</v>
      </c>
      <c r="F143" s="432">
        <f>B143*D143</f>
        <v>0</v>
      </c>
      <c r="G143" s="432">
        <f>C143*E143</f>
        <v>427864.5</v>
      </c>
    </row>
    <row r="144" spans="1:7" x14ac:dyDescent="0.3">
      <c r="A144" s="433" t="s">
        <v>354</v>
      </c>
      <c r="B144" s="435">
        <f>ROUNDDOWN(AVERAGE(B15:D20),1)</f>
        <v>0</v>
      </c>
      <c r="C144" s="435">
        <f>ROUNDDOWN(AVERAGE(E15:G20),1)</f>
        <v>74.7</v>
      </c>
      <c r="D144" s="432">
        <v>0</v>
      </c>
      <c r="E144" s="432">
        <v>6966</v>
      </c>
      <c r="F144" s="432">
        <f t="shared" ref="F144:G152" si="0">B144*D144</f>
        <v>0</v>
      </c>
      <c r="G144" s="432">
        <f t="shared" si="0"/>
        <v>520360.2</v>
      </c>
    </row>
    <row r="145" spans="1:7" x14ac:dyDescent="0.3">
      <c r="A145" s="433" t="s">
        <v>355</v>
      </c>
      <c r="B145" s="435">
        <f>ROUNDDOWN(AVERAGE(B24:D38),1)</f>
        <v>55.6</v>
      </c>
      <c r="C145" s="435">
        <f>ROUNDDOWN(AVERAGE(E24:G38),1)</f>
        <v>75.3</v>
      </c>
      <c r="D145" s="432">
        <v>16871</v>
      </c>
      <c r="E145" s="432">
        <v>13907</v>
      </c>
      <c r="F145" s="432">
        <f t="shared" si="0"/>
        <v>938027.6</v>
      </c>
      <c r="G145" s="432">
        <f t="shared" si="0"/>
        <v>1047197.1</v>
      </c>
    </row>
    <row r="146" spans="1:7" x14ac:dyDescent="0.3">
      <c r="A146" s="433" t="s">
        <v>356</v>
      </c>
      <c r="B146" s="435">
        <f>ROUNDDOWN(AVERAGE(B42:D56),1)</f>
        <v>54.1</v>
      </c>
      <c r="C146" s="435">
        <f>ROUNDDOWN(AVERAGE(E42:G56),1)</f>
        <v>76.2</v>
      </c>
      <c r="D146" s="432">
        <v>16520</v>
      </c>
      <c r="E146" s="432">
        <v>15222</v>
      </c>
      <c r="F146" s="432">
        <f t="shared" si="0"/>
        <v>893732</v>
      </c>
      <c r="G146" s="432">
        <f t="shared" si="0"/>
        <v>1159916.4000000001</v>
      </c>
    </row>
    <row r="147" spans="1:7" x14ac:dyDescent="0.3">
      <c r="A147" s="433" t="s">
        <v>357</v>
      </c>
      <c r="B147" s="435">
        <f>ROUNDDOWN(AVERAGE(B60:D68),1)</f>
        <v>56.2</v>
      </c>
      <c r="C147" s="435">
        <f>ROUNDDOWN(AVERAGE(E60:G68),1)</f>
        <v>77.599999999999994</v>
      </c>
      <c r="D147" s="432">
        <v>10059</v>
      </c>
      <c r="E147" s="432">
        <v>6465</v>
      </c>
      <c r="F147" s="432">
        <f t="shared" si="0"/>
        <v>565315.80000000005</v>
      </c>
      <c r="G147" s="432">
        <f t="shared" si="0"/>
        <v>501683.99999999994</v>
      </c>
    </row>
    <row r="148" spans="1:7" x14ac:dyDescent="0.3">
      <c r="A148" s="433" t="s">
        <v>358</v>
      </c>
      <c r="B148" s="435">
        <f>ROUNDDOWN(AVERAGE(B72:D90),1)</f>
        <v>54.5</v>
      </c>
      <c r="C148" s="435">
        <f>ROUNDDOWN(AVERAGE(E72:G90),1)</f>
        <v>74.900000000000006</v>
      </c>
      <c r="D148" s="432">
        <v>20494</v>
      </c>
      <c r="E148" s="432">
        <v>19220</v>
      </c>
      <c r="F148" s="432">
        <f t="shared" si="0"/>
        <v>1116923</v>
      </c>
      <c r="G148" s="432">
        <f t="shared" si="0"/>
        <v>1439578</v>
      </c>
    </row>
    <row r="149" spans="1:7" x14ac:dyDescent="0.3">
      <c r="A149" s="433" t="s">
        <v>359</v>
      </c>
      <c r="B149" s="435">
        <f>ROUNDDOWN(AVERAGE(B94:D108),1)</f>
        <v>57.2</v>
      </c>
      <c r="C149" s="435">
        <f>ROUNDDOWN(AVERAGE(E94:G108),1)</f>
        <v>75.599999999999994</v>
      </c>
      <c r="D149" s="432">
        <v>16458</v>
      </c>
      <c r="E149" s="432">
        <v>13956</v>
      </c>
      <c r="F149" s="432">
        <f t="shared" si="0"/>
        <v>941397.60000000009</v>
      </c>
      <c r="G149" s="432">
        <f t="shared" si="0"/>
        <v>1055073.5999999999</v>
      </c>
    </row>
    <row r="150" spans="1:7" x14ac:dyDescent="0.3">
      <c r="A150" s="433" t="s">
        <v>360</v>
      </c>
      <c r="B150" s="435">
        <f>ROUNDDOWN(AVERAGE(B112:D116),1)</f>
        <v>0</v>
      </c>
      <c r="C150" s="435">
        <f>ROUNDDOWN(AVERAGE(E112:G116),1)</f>
        <v>73.2</v>
      </c>
      <c r="D150" s="432">
        <v>0</v>
      </c>
      <c r="E150" s="432">
        <v>4988</v>
      </c>
      <c r="F150" s="432">
        <f t="shared" si="0"/>
        <v>0</v>
      </c>
      <c r="G150" s="432">
        <f t="shared" si="0"/>
        <v>365121.60000000003</v>
      </c>
    </row>
    <row r="151" spans="1:7" x14ac:dyDescent="0.3">
      <c r="A151" s="433" t="s">
        <v>361</v>
      </c>
      <c r="B151" s="435">
        <f>ROUNDDOWN(AVERAGE(B120:D128),1)</f>
        <v>56.6</v>
      </c>
      <c r="C151" s="435">
        <f>ROUNDDOWN(AVERAGE(E120:G128),1)</f>
        <v>78.099999999999994</v>
      </c>
      <c r="D151" s="432">
        <v>9275</v>
      </c>
      <c r="E151" s="432">
        <v>5940</v>
      </c>
      <c r="F151" s="432">
        <f t="shared" si="0"/>
        <v>524965</v>
      </c>
      <c r="G151" s="432">
        <f t="shared" si="0"/>
        <v>463913.99999999994</v>
      </c>
    </row>
    <row r="152" spans="1:7" x14ac:dyDescent="0.3">
      <c r="A152" s="433" t="s">
        <v>362</v>
      </c>
      <c r="B152" s="435">
        <f>ROUNDDOWN(AVERAGE(B132:D136),1)</f>
        <v>0</v>
      </c>
      <c r="C152" s="435">
        <f>ROUNDDOWN(AVERAGE(E132:G136),1)</f>
        <v>71</v>
      </c>
      <c r="D152" s="432">
        <v>0</v>
      </c>
      <c r="E152" s="432">
        <v>6016</v>
      </c>
      <c r="F152" s="432">
        <f t="shared" si="0"/>
        <v>0</v>
      </c>
      <c r="G152" s="432">
        <f t="shared" si="0"/>
        <v>427136</v>
      </c>
    </row>
    <row r="153" spans="1:7" x14ac:dyDescent="0.3">
      <c r="A153" s="433" t="s">
        <v>166</v>
      </c>
      <c r="B153" s="433"/>
      <c r="C153" s="433"/>
      <c r="D153" s="432">
        <f>SUM(D143:D152)</f>
        <v>89677</v>
      </c>
      <c r="E153" s="432">
        <f>SUM(E143:E152)</f>
        <v>98273</v>
      </c>
      <c r="F153" s="432">
        <f>SUM(F143:F152)</f>
        <v>4980361</v>
      </c>
      <c r="G153" s="432">
        <f>SUM(G143:G152)</f>
        <v>7407845.3999999994</v>
      </c>
    </row>
    <row r="154" spans="1:7" x14ac:dyDescent="0.3">
      <c r="A154" s="441"/>
      <c r="B154" s="441"/>
      <c r="C154" s="441"/>
      <c r="D154" s="442"/>
      <c r="E154" s="442"/>
      <c r="F154" s="442"/>
      <c r="G154" s="442"/>
    </row>
    <row r="156" spans="1:7" x14ac:dyDescent="0.3">
      <c r="C156" s="666" t="s">
        <v>167</v>
      </c>
      <c r="D156" s="667"/>
    </row>
    <row r="157" spans="1:7" x14ac:dyDescent="0.3">
      <c r="C157" s="432" t="s">
        <v>164</v>
      </c>
      <c r="D157" s="432" t="s">
        <v>165</v>
      </c>
    </row>
    <row r="158" spans="1:7" x14ac:dyDescent="0.3">
      <c r="C158" s="436">
        <f>ROUNDDOWN(F153/D153,1)</f>
        <v>55.5</v>
      </c>
      <c r="D158" s="437">
        <f>ROUNDDOWN(G153/E153,1)</f>
        <v>75.3</v>
      </c>
    </row>
  </sheetData>
  <mergeCells count="37">
    <mergeCell ref="C156:D156"/>
    <mergeCell ref="B130:D130"/>
    <mergeCell ref="E130:G130"/>
    <mergeCell ref="A141:A142"/>
    <mergeCell ref="B141:C141"/>
    <mergeCell ref="D141:E141"/>
    <mergeCell ref="F141:G141"/>
    <mergeCell ref="A129:G129"/>
    <mergeCell ref="B70:D70"/>
    <mergeCell ref="E70:G70"/>
    <mergeCell ref="A91:G91"/>
    <mergeCell ref="B92:D92"/>
    <mergeCell ref="E92:G92"/>
    <mergeCell ref="A109:G109"/>
    <mergeCell ref="B110:D110"/>
    <mergeCell ref="E110:G110"/>
    <mergeCell ref="A117:G117"/>
    <mergeCell ref="B118:D118"/>
    <mergeCell ref="E118:G118"/>
    <mergeCell ref="A69:G69"/>
    <mergeCell ref="B13:D13"/>
    <mergeCell ref="E13:G13"/>
    <mergeCell ref="A21:G21"/>
    <mergeCell ref="B22:D22"/>
    <mergeCell ref="E22:G22"/>
    <mergeCell ref="A39:G39"/>
    <mergeCell ref="B40:D40"/>
    <mergeCell ref="E40:G40"/>
    <mergeCell ref="A57:G57"/>
    <mergeCell ref="B58:D58"/>
    <mergeCell ref="E58:G58"/>
    <mergeCell ref="A12:G12"/>
    <mergeCell ref="A1:G1"/>
    <mergeCell ref="A2:G2"/>
    <mergeCell ref="A3:G3"/>
    <mergeCell ref="B4:D4"/>
    <mergeCell ref="E4:G4"/>
  </mergeCells>
  <phoneticPr fontId="11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32"/>
  <sheetViews>
    <sheetView topLeftCell="A4" zoomScale="91" zoomScaleNormal="91" workbookViewId="0">
      <selection activeCell="E9" sqref="E9"/>
    </sheetView>
  </sheetViews>
  <sheetFormatPr defaultColWidth="8.7265625" defaultRowHeight="13.5" x14ac:dyDescent="0.25"/>
  <cols>
    <col min="1" max="2" width="8.7265625" style="16"/>
    <col min="3" max="3" width="28.36328125" style="16" customWidth="1"/>
    <col min="4" max="4" width="71.36328125" style="16" customWidth="1"/>
    <col min="5" max="5" width="23.90625" style="16" customWidth="1"/>
    <col min="6" max="6" width="18.7265625" style="16" customWidth="1"/>
    <col min="7" max="7" width="14.81640625" style="16" customWidth="1"/>
    <col min="8" max="8" width="8.7265625" style="16"/>
    <col min="9" max="9" width="10.6328125" style="16" bestFit="1" customWidth="1"/>
    <col min="10" max="16384" width="8.7265625" style="16"/>
  </cols>
  <sheetData>
    <row r="3" spans="2:6" x14ac:dyDescent="0.25">
      <c r="B3" s="471" t="s">
        <v>138</v>
      </c>
      <c r="C3" s="17" t="s">
        <v>119</v>
      </c>
      <c r="D3" s="17" t="s">
        <v>402</v>
      </c>
    </row>
    <row r="4" spans="2:6" x14ac:dyDescent="0.25">
      <c r="B4" s="472"/>
      <c r="C4" s="18" t="s">
        <v>340</v>
      </c>
      <c r="D4" s="464">
        <v>307.92400000000004</v>
      </c>
      <c r="E4" s="463"/>
      <c r="F4" s="19"/>
    </row>
    <row r="5" spans="2:6" x14ac:dyDescent="0.25">
      <c r="B5" s="472"/>
      <c r="C5" s="18" t="s">
        <v>157</v>
      </c>
      <c r="D5" s="464">
        <v>18730.163</v>
      </c>
      <c r="E5" s="463"/>
      <c r="F5" s="19"/>
    </row>
    <row r="6" spans="2:6" x14ac:dyDescent="0.25">
      <c r="B6" s="472"/>
      <c r="C6" s="18" t="s">
        <v>341</v>
      </c>
      <c r="D6" s="464">
        <v>9291.11</v>
      </c>
      <c r="E6" s="463"/>
      <c r="F6" s="19"/>
    </row>
    <row r="7" spans="2:6" x14ac:dyDescent="0.25">
      <c r="B7" s="473"/>
      <c r="C7" s="18" t="s">
        <v>342</v>
      </c>
      <c r="D7" s="464">
        <f>SUM(D4:D6)</f>
        <v>28329.197</v>
      </c>
      <c r="E7" s="463"/>
    </row>
    <row r="10" spans="2:6" x14ac:dyDescent="0.25">
      <c r="B10" s="471" t="s">
        <v>120</v>
      </c>
      <c r="C10" s="17" t="s">
        <v>119</v>
      </c>
      <c r="D10" s="17" t="s">
        <v>139</v>
      </c>
    </row>
    <row r="11" spans="2:6" ht="14" x14ac:dyDescent="0.25">
      <c r="B11" s="472"/>
      <c r="C11" s="18" t="str">
        <f>C4</f>
        <v>26/12/2020-31/12/2020</v>
      </c>
      <c r="D11" s="20" t="s">
        <v>343</v>
      </c>
    </row>
    <row r="12" spans="2:6" x14ac:dyDescent="0.25">
      <c r="B12" s="472"/>
      <c r="C12" s="18" t="str">
        <f t="shared" ref="C12:C14" si="0">C5</f>
        <v>01/01/2021-31/12/2021</v>
      </c>
      <c r="D12" s="20" t="str">
        <f>D11</f>
        <v>20 full time jobs created，including 10 females and 10 males</v>
      </c>
    </row>
    <row r="13" spans="2:6" x14ac:dyDescent="0.25">
      <c r="B13" s="472"/>
      <c r="C13" s="18" t="str">
        <f t="shared" si="0"/>
        <v>01/01/2022-30/06/2022</v>
      </c>
      <c r="D13" s="20" t="str">
        <f>D12</f>
        <v>20 full time jobs created，including 10 females and 10 males</v>
      </c>
    </row>
    <row r="14" spans="2:6" x14ac:dyDescent="0.25">
      <c r="B14" s="473"/>
      <c r="C14" s="18" t="str">
        <f t="shared" si="0"/>
        <v>26/12/2020-30/06/2022</v>
      </c>
      <c r="D14" s="20" t="str">
        <f>D12</f>
        <v>20 full time jobs created，including 10 females and 10 males</v>
      </c>
    </row>
    <row r="18" spans="2:9" ht="38.5" customHeight="1" x14ac:dyDescent="0.25">
      <c r="B18" s="471" t="s">
        <v>121</v>
      </c>
      <c r="C18" s="17" t="s">
        <v>119</v>
      </c>
      <c r="D18" s="26" t="s">
        <v>336</v>
      </c>
    </row>
    <row r="19" spans="2:9" x14ac:dyDescent="0.25">
      <c r="B19" s="472"/>
      <c r="C19" s="18" t="str">
        <f>C11</f>
        <v>26/12/2020-31/12/2020</v>
      </c>
      <c r="D19" s="21">
        <f>'Emission Reduction'!H5</f>
        <v>2139</v>
      </c>
    </row>
    <row r="20" spans="2:9" x14ac:dyDescent="0.25">
      <c r="B20" s="472"/>
      <c r="C20" s="18" t="str">
        <f t="shared" ref="C20:C22" si="1">C12</f>
        <v>01/01/2021-31/12/2021</v>
      </c>
      <c r="D20" s="21">
        <f>'Emission Reduction'!H6</f>
        <v>149037</v>
      </c>
    </row>
    <row r="21" spans="2:9" x14ac:dyDescent="0.25">
      <c r="B21" s="472"/>
      <c r="C21" s="18" t="str">
        <f t="shared" si="1"/>
        <v>01/01/2022-30/06/2022</v>
      </c>
      <c r="D21" s="21">
        <f>'Emission Reduction'!H7</f>
        <v>73804</v>
      </c>
    </row>
    <row r="22" spans="2:9" x14ac:dyDescent="0.25">
      <c r="B22" s="473"/>
      <c r="C22" s="18" t="str">
        <f t="shared" si="1"/>
        <v>26/12/2020-30/06/2022</v>
      </c>
      <c r="D22" s="21">
        <f>'Emission Reduction'!H8</f>
        <v>224980</v>
      </c>
    </row>
    <row r="24" spans="2:9" x14ac:dyDescent="0.25">
      <c r="I24" s="22"/>
    </row>
    <row r="27" spans="2:9" x14ac:dyDescent="0.25">
      <c r="I27" s="23"/>
    </row>
    <row r="28" spans="2:9" x14ac:dyDescent="0.25">
      <c r="I28" s="24"/>
    </row>
    <row r="31" spans="2:9" x14ac:dyDescent="0.25">
      <c r="F31" s="23"/>
    </row>
    <row r="32" spans="2:9" x14ac:dyDescent="0.25">
      <c r="G32" s="25"/>
    </row>
  </sheetData>
  <mergeCells count="3">
    <mergeCell ref="B3:B7"/>
    <mergeCell ref="B10:B14"/>
    <mergeCell ref="B18:B22"/>
  </mergeCells>
  <phoneticPr fontId="11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981EA-E0FC-494F-91C0-6BC7DBDF60A5}">
  <dimension ref="A1:I158"/>
  <sheetViews>
    <sheetView zoomScale="80" zoomScaleNormal="80" workbookViewId="0">
      <selection activeCell="I172" sqref="I172"/>
    </sheetView>
  </sheetViews>
  <sheetFormatPr defaultColWidth="8.7265625" defaultRowHeight="14" x14ac:dyDescent="0.3"/>
  <cols>
    <col min="1" max="1" width="22.453125" style="395" customWidth="1"/>
    <col min="2" max="2" width="16.26953125" style="395" bestFit="1" customWidth="1"/>
    <col min="3" max="3" width="22.90625" style="395" bestFit="1" customWidth="1"/>
    <col min="4" max="4" width="22.6328125" style="395" bestFit="1" customWidth="1"/>
    <col min="5" max="5" width="21.453125" style="395" bestFit="1" customWidth="1"/>
    <col min="6" max="6" width="23.453125" style="395" bestFit="1" customWidth="1"/>
    <col min="7" max="7" width="23.08984375" style="395" bestFit="1" customWidth="1"/>
    <col min="8" max="8" width="14.81640625" style="395" customWidth="1"/>
    <col min="9" max="16384" width="8.7265625" style="395"/>
  </cols>
  <sheetData>
    <row r="1" spans="1:9" x14ac:dyDescent="0.3">
      <c r="A1" s="657" t="s">
        <v>322</v>
      </c>
      <c r="B1" s="658"/>
      <c r="C1" s="658"/>
      <c r="D1" s="658"/>
      <c r="E1" s="658"/>
      <c r="F1" s="658"/>
      <c r="G1" s="659"/>
    </row>
    <row r="2" spans="1:9" ht="33" customHeight="1" x14ac:dyDescent="0.3">
      <c r="A2" s="660" t="s">
        <v>381</v>
      </c>
      <c r="B2" s="661"/>
      <c r="C2" s="661"/>
      <c r="D2" s="661"/>
      <c r="E2" s="661"/>
      <c r="F2" s="661"/>
      <c r="G2" s="662"/>
    </row>
    <row r="3" spans="1:9" x14ac:dyDescent="0.3">
      <c r="A3" s="663" t="s">
        <v>353</v>
      </c>
      <c r="B3" s="663"/>
      <c r="C3" s="663"/>
      <c r="D3" s="663"/>
      <c r="E3" s="663"/>
      <c r="F3" s="663"/>
      <c r="G3" s="663"/>
    </row>
    <row r="4" spans="1:9" x14ac:dyDescent="0.3">
      <c r="A4" s="396"/>
      <c r="B4" s="674" t="s">
        <v>364</v>
      </c>
      <c r="C4" s="674"/>
      <c r="D4" s="674"/>
      <c r="E4" s="674" t="s">
        <v>365</v>
      </c>
      <c r="F4" s="674"/>
      <c r="G4" s="674"/>
    </row>
    <row r="5" spans="1:9" x14ac:dyDescent="0.3">
      <c r="A5" s="454" t="s">
        <v>366</v>
      </c>
      <c r="B5" s="433" t="s">
        <v>344</v>
      </c>
      <c r="C5" s="433" t="s">
        <v>345</v>
      </c>
      <c r="D5" s="433" t="s">
        <v>367</v>
      </c>
      <c r="E5" s="433" t="s">
        <v>368</v>
      </c>
      <c r="F5" s="433" t="s">
        <v>369</v>
      </c>
      <c r="G5" s="433" t="s">
        <v>370</v>
      </c>
      <c r="H5" s="440"/>
      <c r="I5" s="441"/>
    </row>
    <row r="6" spans="1:9" x14ac:dyDescent="0.3">
      <c r="A6" s="454">
        <v>1</v>
      </c>
      <c r="B6" s="434">
        <v>0</v>
      </c>
      <c r="C6" s="434">
        <v>0</v>
      </c>
      <c r="D6" s="434">
        <v>0</v>
      </c>
      <c r="E6" s="434">
        <v>38.200000000000003</v>
      </c>
      <c r="F6" s="434">
        <v>76.599999999999994</v>
      </c>
      <c r="G6" s="434">
        <v>105.2</v>
      </c>
    </row>
    <row r="7" spans="1:9" x14ac:dyDescent="0.3">
      <c r="A7" s="454">
        <v>2</v>
      </c>
      <c r="B7" s="434"/>
      <c r="C7" s="434"/>
      <c r="D7" s="434"/>
      <c r="E7" s="434">
        <v>39.6</v>
      </c>
      <c r="F7" s="434">
        <v>61.7</v>
      </c>
      <c r="G7" s="434">
        <v>85.8</v>
      </c>
    </row>
    <row r="8" spans="1:9" x14ac:dyDescent="0.3">
      <c r="A8" s="454">
        <v>3</v>
      </c>
      <c r="B8" s="434"/>
      <c r="C8" s="434"/>
      <c r="D8" s="434"/>
      <c r="E8" s="434">
        <v>52.6</v>
      </c>
      <c r="F8" s="434">
        <v>71.900000000000006</v>
      </c>
      <c r="G8" s="434">
        <v>89.4</v>
      </c>
    </row>
    <row r="9" spans="1:9" x14ac:dyDescent="0.3">
      <c r="A9" s="454">
        <v>4</v>
      </c>
      <c r="B9" s="434"/>
      <c r="C9" s="434"/>
      <c r="D9" s="434"/>
      <c r="E9" s="434"/>
      <c r="F9" s="434">
        <v>79.900000000000006</v>
      </c>
      <c r="G9" s="434">
        <v>113.5</v>
      </c>
    </row>
    <row r="10" spans="1:9" x14ac:dyDescent="0.3">
      <c r="A10" s="454">
        <v>5</v>
      </c>
      <c r="B10" s="434"/>
      <c r="C10" s="434"/>
      <c r="D10" s="434"/>
      <c r="E10" s="434"/>
      <c r="F10" s="434">
        <v>75.8</v>
      </c>
      <c r="G10" s="434">
        <v>81.900000000000006</v>
      </c>
    </row>
    <row r="11" spans="1:9" x14ac:dyDescent="0.3">
      <c r="A11" s="454">
        <v>6</v>
      </c>
      <c r="B11" s="434"/>
      <c r="C11" s="434"/>
      <c r="D11" s="434"/>
      <c r="E11" s="434"/>
      <c r="F11" s="434"/>
      <c r="G11" s="434">
        <v>81.400000000000006</v>
      </c>
    </row>
    <row r="12" spans="1:9" x14ac:dyDescent="0.3">
      <c r="A12" s="670" t="s">
        <v>354</v>
      </c>
      <c r="B12" s="670"/>
      <c r="C12" s="670"/>
      <c r="D12" s="670"/>
      <c r="E12" s="670"/>
      <c r="F12" s="670"/>
      <c r="G12" s="670"/>
    </row>
    <row r="13" spans="1:9" x14ac:dyDescent="0.3">
      <c r="A13" s="396"/>
      <c r="B13" s="674" t="s">
        <v>364</v>
      </c>
      <c r="C13" s="674"/>
      <c r="D13" s="674"/>
      <c r="E13" s="674" t="s">
        <v>365</v>
      </c>
      <c r="F13" s="674"/>
      <c r="G13" s="674"/>
    </row>
    <row r="14" spans="1:9" x14ac:dyDescent="0.3">
      <c r="A14" s="454" t="s">
        <v>366</v>
      </c>
      <c r="B14" s="433" t="s">
        <v>344</v>
      </c>
      <c r="C14" s="433" t="s">
        <v>345</v>
      </c>
      <c r="D14" s="433" t="s">
        <v>367</v>
      </c>
      <c r="E14" s="433" t="s">
        <v>368</v>
      </c>
      <c r="F14" s="433" t="s">
        <v>369</v>
      </c>
      <c r="G14" s="433" t="s">
        <v>370</v>
      </c>
    </row>
    <row r="15" spans="1:9" x14ac:dyDescent="0.3">
      <c r="A15" s="454">
        <v>1</v>
      </c>
      <c r="B15" s="434">
        <v>0</v>
      </c>
      <c r="C15" s="434">
        <v>0</v>
      </c>
      <c r="D15" s="434">
        <v>0</v>
      </c>
      <c r="E15" s="434">
        <v>46.1</v>
      </c>
      <c r="F15" s="434">
        <v>71</v>
      </c>
      <c r="G15" s="434">
        <v>90.2</v>
      </c>
    </row>
    <row r="16" spans="1:9" x14ac:dyDescent="0.3">
      <c r="A16" s="454">
        <v>2</v>
      </c>
      <c r="B16" s="434"/>
      <c r="C16" s="434"/>
      <c r="D16" s="434"/>
      <c r="E16" s="434">
        <v>54</v>
      </c>
      <c r="F16" s="434">
        <v>72.900000000000006</v>
      </c>
      <c r="G16" s="434">
        <v>119.3</v>
      </c>
    </row>
    <row r="17" spans="1:7" x14ac:dyDescent="0.3">
      <c r="A17" s="454">
        <v>3</v>
      </c>
      <c r="B17" s="434"/>
      <c r="C17" s="434"/>
      <c r="D17" s="434"/>
      <c r="E17" s="434">
        <v>54.3</v>
      </c>
      <c r="F17" s="434">
        <v>69.8</v>
      </c>
      <c r="G17" s="434">
        <v>102.7</v>
      </c>
    </row>
    <row r="18" spans="1:7" x14ac:dyDescent="0.3">
      <c r="A18" s="454">
        <v>4</v>
      </c>
      <c r="B18" s="434"/>
      <c r="C18" s="434"/>
      <c r="D18" s="434"/>
      <c r="E18" s="434">
        <v>56.3</v>
      </c>
      <c r="F18" s="434">
        <v>67</v>
      </c>
      <c r="G18" s="434">
        <v>89.1</v>
      </c>
    </row>
    <row r="19" spans="1:7" x14ac:dyDescent="0.3">
      <c r="A19" s="454">
        <v>5</v>
      </c>
      <c r="B19" s="434"/>
      <c r="C19" s="434"/>
      <c r="D19" s="434"/>
      <c r="E19" s="434"/>
      <c r="F19" s="434">
        <v>73.7</v>
      </c>
      <c r="G19" s="434">
        <v>82</v>
      </c>
    </row>
    <row r="20" spans="1:7" x14ac:dyDescent="0.3">
      <c r="A20" s="454">
        <v>6</v>
      </c>
      <c r="B20" s="434"/>
      <c r="C20" s="434"/>
      <c r="D20" s="434"/>
      <c r="E20" s="434"/>
      <c r="F20" s="434">
        <v>66.8</v>
      </c>
      <c r="G20" s="434">
        <v>118.1</v>
      </c>
    </row>
    <row r="21" spans="1:7" x14ac:dyDescent="0.3">
      <c r="A21" s="663" t="s">
        <v>355</v>
      </c>
      <c r="B21" s="663"/>
      <c r="C21" s="663"/>
      <c r="D21" s="663"/>
      <c r="E21" s="663"/>
      <c r="F21" s="663"/>
      <c r="G21" s="663"/>
    </row>
    <row r="22" spans="1:7" x14ac:dyDescent="0.3">
      <c r="A22" s="396"/>
      <c r="B22" s="674" t="s">
        <v>364</v>
      </c>
      <c r="C22" s="674"/>
      <c r="D22" s="674"/>
      <c r="E22" s="674" t="s">
        <v>365</v>
      </c>
      <c r="F22" s="674"/>
      <c r="G22" s="674"/>
    </row>
    <row r="23" spans="1:7" x14ac:dyDescent="0.3">
      <c r="A23" s="454" t="s">
        <v>366</v>
      </c>
      <c r="B23" s="433" t="s">
        <v>344</v>
      </c>
      <c r="C23" s="433" t="s">
        <v>345</v>
      </c>
      <c r="D23" s="433" t="s">
        <v>367</v>
      </c>
      <c r="E23" s="433" t="s">
        <v>368</v>
      </c>
      <c r="F23" s="433" t="s">
        <v>369</v>
      </c>
      <c r="G23" s="433" t="s">
        <v>370</v>
      </c>
    </row>
    <row r="24" spans="1:7" x14ac:dyDescent="0.3">
      <c r="A24" s="454">
        <v>1</v>
      </c>
      <c r="B24" s="434">
        <v>32.6</v>
      </c>
      <c r="C24" s="434">
        <v>66.099999999999994</v>
      </c>
      <c r="D24" s="434">
        <v>103.7</v>
      </c>
      <c r="E24" s="434">
        <v>36.799999999999997</v>
      </c>
      <c r="F24" s="434">
        <v>76.099999999999994</v>
      </c>
      <c r="G24" s="434">
        <v>89.2</v>
      </c>
    </row>
    <row r="25" spans="1:7" x14ac:dyDescent="0.3">
      <c r="A25" s="454">
        <v>2</v>
      </c>
      <c r="B25" s="434">
        <v>21.6</v>
      </c>
      <c r="C25" s="434">
        <v>61.3</v>
      </c>
      <c r="D25" s="434">
        <v>89.7</v>
      </c>
      <c r="E25" s="434">
        <v>44</v>
      </c>
      <c r="F25" s="434">
        <v>62.5</v>
      </c>
      <c r="G25" s="434">
        <v>87.5</v>
      </c>
    </row>
    <row r="26" spans="1:7" x14ac:dyDescent="0.3">
      <c r="A26" s="454">
        <v>3</v>
      </c>
      <c r="B26" s="434">
        <v>22.9</v>
      </c>
      <c r="C26" s="434">
        <v>49.4</v>
      </c>
      <c r="D26" s="434">
        <v>85.1</v>
      </c>
      <c r="E26" s="434">
        <v>60</v>
      </c>
      <c r="F26" s="434">
        <v>67.099999999999994</v>
      </c>
      <c r="G26" s="434">
        <v>84.2</v>
      </c>
    </row>
    <row r="27" spans="1:7" x14ac:dyDescent="0.3">
      <c r="A27" s="454">
        <v>4</v>
      </c>
      <c r="B27" s="434">
        <v>16.3</v>
      </c>
      <c r="C27" s="434">
        <v>66.400000000000006</v>
      </c>
      <c r="D27" s="434">
        <v>86</v>
      </c>
      <c r="E27" s="434">
        <v>36</v>
      </c>
      <c r="F27" s="434">
        <v>67.900000000000006</v>
      </c>
      <c r="G27" s="434">
        <v>118.9</v>
      </c>
    </row>
    <row r="28" spans="1:7" x14ac:dyDescent="0.3">
      <c r="A28" s="454">
        <v>5</v>
      </c>
      <c r="B28" s="434">
        <v>20.3</v>
      </c>
      <c r="C28" s="434">
        <v>58.7</v>
      </c>
      <c r="D28" s="434">
        <v>86</v>
      </c>
      <c r="E28" s="434">
        <v>31.7</v>
      </c>
      <c r="F28" s="434">
        <v>68.2</v>
      </c>
      <c r="G28" s="434">
        <v>91.9</v>
      </c>
    </row>
    <row r="29" spans="1:7" x14ac:dyDescent="0.3">
      <c r="A29" s="454">
        <v>6</v>
      </c>
      <c r="B29" s="434">
        <v>16.399999999999999</v>
      </c>
      <c r="C29" s="434">
        <v>58.8</v>
      </c>
      <c r="D29" s="434">
        <v>84</v>
      </c>
      <c r="E29" s="434">
        <v>60</v>
      </c>
      <c r="F29" s="434">
        <v>71.599999999999994</v>
      </c>
      <c r="G29" s="434">
        <v>112.1</v>
      </c>
    </row>
    <row r="30" spans="1:7" x14ac:dyDescent="0.3">
      <c r="A30" s="454">
        <v>7</v>
      </c>
      <c r="B30" s="434">
        <v>21</v>
      </c>
      <c r="C30" s="434">
        <v>66.3</v>
      </c>
      <c r="D30" s="434">
        <v>102.7</v>
      </c>
      <c r="E30" s="434">
        <v>28.4</v>
      </c>
      <c r="F30" s="434">
        <v>60.4</v>
      </c>
      <c r="G30" s="434">
        <v>81.7</v>
      </c>
    </row>
    <row r="31" spans="1:7" x14ac:dyDescent="0.3">
      <c r="A31" s="454">
        <v>8</v>
      </c>
      <c r="B31" s="434">
        <v>35.6</v>
      </c>
      <c r="C31" s="434">
        <v>59.4</v>
      </c>
      <c r="D31" s="434">
        <v>95.2</v>
      </c>
      <c r="E31" s="434"/>
      <c r="F31" s="434">
        <v>78.900000000000006</v>
      </c>
      <c r="G31" s="434">
        <v>94.3</v>
      </c>
    </row>
    <row r="32" spans="1:7" x14ac:dyDescent="0.3">
      <c r="A32" s="454">
        <v>9</v>
      </c>
      <c r="B32" s="434">
        <v>24.8</v>
      </c>
      <c r="C32" s="434">
        <v>59.9</v>
      </c>
      <c r="D32" s="434">
        <v>93.9</v>
      </c>
      <c r="E32" s="434"/>
      <c r="F32" s="434">
        <v>70.900000000000006</v>
      </c>
      <c r="G32" s="434">
        <v>117.3</v>
      </c>
    </row>
    <row r="33" spans="1:7" x14ac:dyDescent="0.3">
      <c r="A33" s="454">
        <v>10</v>
      </c>
      <c r="B33" s="434">
        <v>19.100000000000001</v>
      </c>
      <c r="C33" s="434">
        <v>56.2</v>
      </c>
      <c r="D33" s="434">
        <v>84.7</v>
      </c>
      <c r="E33" s="434"/>
      <c r="F33" s="434">
        <v>61.5</v>
      </c>
      <c r="G33" s="434">
        <v>92.9</v>
      </c>
    </row>
    <row r="34" spans="1:7" x14ac:dyDescent="0.3">
      <c r="A34" s="454">
        <v>11</v>
      </c>
      <c r="B34" s="434">
        <v>35.200000000000003</v>
      </c>
      <c r="C34" s="434">
        <v>42.9</v>
      </c>
      <c r="D34" s="434">
        <v>85.9</v>
      </c>
      <c r="E34" s="434"/>
      <c r="F34" s="434">
        <v>65.400000000000006</v>
      </c>
      <c r="G34" s="434">
        <v>108.6</v>
      </c>
    </row>
    <row r="35" spans="1:7" x14ac:dyDescent="0.3">
      <c r="A35" s="454">
        <v>12</v>
      </c>
      <c r="B35" s="434">
        <v>15.9</v>
      </c>
      <c r="C35" s="434">
        <v>60.1</v>
      </c>
      <c r="D35" s="434">
        <v>83.3</v>
      </c>
      <c r="E35" s="434"/>
      <c r="F35" s="434"/>
      <c r="G35" s="434">
        <v>119.7</v>
      </c>
    </row>
    <row r="36" spans="1:7" x14ac:dyDescent="0.3">
      <c r="A36" s="454">
        <v>13</v>
      </c>
      <c r="B36" s="434">
        <v>18.399999999999999</v>
      </c>
      <c r="C36" s="434">
        <v>54.7</v>
      </c>
      <c r="D36" s="434">
        <v>77.599999999999994</v>
      </c>
      <c r="E36" s="434"/>
      <c r="F36" s="434"/>
      <c r="G36" s="434"/>
    </row>
    <row r="37" spans="1:7" x14ac:dyDescent="0.3">
      <c r="A37" s="454">
        <v>14</v>
      </c>
      <c r="B37" s="434"/>
      <c r="C37" s="434">
        <v>49.5</v>
      </c>
      <c r="D37" s="434">
        <v>98.3</v>
      </c>
      <c r="E37" s="434"/>
      <c r="F37" s="434"/>
      <c r="G37" s="434"/>
    </row>
    <row r="38" spans="1:7" x14ac:dyDescent="0.3">
      <c r="A38" s="454">
        <v>15</v>
      </c>
      <c r="B38" s="434"/>
      <c r="C38" s="434">
        <v>57</v>
      </c>
      <c r="D38" s="434">
        <v>99</v>
      </c>
      <c r="E38" s="434"/>
      <c r="F38" s="434"/>
      <c r="G38" s="434"/>
    </row>
    <row r="39" spans="1:7" x14ac:dyDescent="0.3">
      <c r="A39" s="670" t="s">
        <v>356</v>
      </c>
      <c r="B39" s="670"/>
      <c r="C39" s="670"/>
      <c r="D39" s="663"/>
      <c r="E39" s="670"/>
      <c r="F39" s="670"/>
      <c r="G39" s="670"/>
    </row>
    <row r="40" spans="1:7" x14ac:dyDescent="0.3">
      <c r="A40" s="396"/>
      <c r="B40" s="674" t="s">
        <v>364</v>
      </c>
      <c r="C40" s="674"/>
      <c r="D40" s="674"/>
      <c r="E40" s="674" t="s">
        <v>365</v>
      </c>
      <c r="F40" s="674"/>
      <c r="G40" s="674"/>
    </row>
    <row r="41" spans="1:7" x14ac:dyDescent="0.3">
      <c r="A41" s="454" t="s">
        <v>366</v>
      </c>
      <c r="B41" s="433" t="s">
        <v>344</v>
      </c>
      <c r="C41" s="433" t="s">
        <v>345</v>
      </c>
      <c r="D41" s="433" t="s">
        <v>367</v>
      </c>
      <c r="E41" s="433" t="s">
        <v>368</v>
      </c>
      <c r="F41" s="433" t="s">
        <v>369</v>
      </c>
      <c r="G41" s="433" t="s">
        <v>370</v>
      </c>
    </row>
    <row r="42" spans="1:7" x14ac:dyDescent="0.3">
      <c r="A42" s="454">
        <v>1</v>
      </c>
      <c r="B42" s="434">
        <v>31.9</v>
      </c>
      <c r="C42" s="434">
        <v>64.3</v>
      </c>
      <c r="D42" s="434">
        <v>102.6</v>
      </c>
      <c r="E42" s="434">
        <v>28.7</v>
      </c>
      <c r="F42" s="434">
        <v>66.900000000000006</v>
      </c>
      <c r="G42" s="434">
        <v>84.3</v>
      </c>
    </row>
    <row r="43" spans="1:7" x14ac:dyDescent="0.3">
      <c r="A43" s="454">
        <v>2</v>
      </c>
      <c r="B43" s="434">
        <v>29.8</v>
      </c>
      <c r="C43" s="434">
        <v>47.3</v>
      </c>
      <c r="D43" s="434">
        <v>99.8</v>
      </c>
      <c r="E43" s="434">
        <v>49.5</v>
      </c>
      <c r="F43" s="434">
        <v>64.400000000000006</v>
      </c>
      <c r="G43" s="434">
        <v>115.9</v>
      </c>
    </row>
    <row r="44" spans="1:7" x14ac:dyDescent="0.3">
      <c r="A44" s="454">
        <v>3</v>
      </c>
      <c r="B44" s="434">
        <v>35.799999999999997</v>
      </c>
      <c r="C44" s="434">
        <v>38.700000000000003</v>
      </c>
      <c r="D44" s="434">
        <v>103.4</v>
      </c>
      <c r="E44" s="434">
        <v>50</v>
      </c>
      <c r="F44" s="434">
        <v>68.2</v>
      </c>
      <c r="G44" s="434">
        <v>119.2</v>
      </c>
    </row>
    <row r="45" spans="1:7" x14ac:dyDescent="0.3">
      <c r="A45" s="454">
        <v>4</v>
      </c>
      <c r="B45" s="434">
        <v>29.5</v>
      </c>
      <c r="C45" s="434">
        <v>48.8</v>
      </c>
      <c r="D45" s="434">
        <v>100.4</v>
      </c>
      <c r="E45" s="434">
        <v>25.4</v>
      </c>
      <c r="F45" s="434">
        <v>60.9</v>
      </c>
      <c r="G45" s="434">
        <v>99.4</v>
      </c>
    </row>
    <row r="46" spans="1:7" x14ac:dyDescent="0.3">
      <c r="A46" s="454">
        <v>5</v>
      </c>
      <c r="B46" s="434">
        <v>23.9</v>
      </c>
      <c r="C46" s="434">
        <v>58.5</v>
      </c>
      <c r="D46" s="434">
        <v>97.6</v>
      </c>
      <c r="E46" s="434">
        <v>48.2</v>
      </c>
      <c r="F46" s="434">
        <v>74.400000000000006</v>
      </c>
      <c r="G46" s="434">
        <v>97.6</v>
      </c>
    </row>
    <row r="47" spans="1:7" x14ac:dyDescent="0.3">
      <c r="A47" s="454">
        <v>6</v>
      </c>
      <c r="B47" s="434">
        <v>23.9</v>
      </c>
      <c r="C47" s="434">
        <v>67.099999999999994</v>
      </c>
      <c r="D47" s="434">
        <v>84.6</v>
      </c>
      <c r="E47" s="434">
        <v>28.1</v>
      </c>
      <c r="F47" s="434">
        <v>79.8</v>
      </c>
      <c r="G47" s="434">
        <v>101.9</v>
      </c>
    </row>
    <row r="48" spans="1:7" x14ac:dyDescent="0.3">
      <c r="A48" s="454">
        <v>7</v>
      </c>
      <c r="B48" s="434">
        <v>26.1</v>
      </c>
      <c r="C48" s="434">
        <v>65.8</v>
      </c>
      <c r="D48" s="434">
        <v>102.9</v>
      </c>
      <c r="E48" s="434">
        <v>54.1</v>
      </c>
      <c r="F48" s="434">
        <v>65.3</v>
      </c>
      <c r="G48" s="434">
        <v>102</v>
      </c>
    </row>
    <row r="49" spans="1:7" x14ac:dyDescent="0.3">
      <c r="A49" s="454">
        <v>8</v>
      </c>
      <c r="B49" s="434">
        <v>16.399999999999999</v>
      </c>
      <c r="C49" s="434">
        <v>56.1</v>
      </c>
      <c r="D49" s="434">
        <v>96</v>
      </c>
      <c r="E49" s="434"/>
      <c r="F49" s="434">
        <v>60.3</v>
      </c>
      <c r="G49" s="434">
        <v>107.6</v>
      </c>
    </row>
    <row r="50" spans="1:7" x14ac:dyDescent="0.3">
      <c r="A50" s="454">
        <v>9</v>
      </c>
      <c r="B50" s="434">
        <v>22.5</v>
      </c>
      <c r="C50" s="434">
        <v>61.4</v>
      </c>
      <c r="D50" s="434">
        <v>103.7</v>
      </c>
      <c r="E50" s="434"/>
      <c r="F50" s="434">
        <v>74.3</v>
      </c>
      <c r="G50" s="434">
        <v>82.7</v>
      </c>
    </row>
    <row r="51" spans="1:7" x14ac:dyDescent="0.3">
      <c r="A51" s="454">
        <v>10</v>
      </c>
      <c r="B51" s="434">
        <v>25.1</v>
      </c>
      <c r="C51" s="434">
        <v>54</v>
      </c>
      <c r="D51" s="434">
        <v>80.8</v>
      </c>
      <c r="E51" s="434"/>
      <c r="F51" s="434">
        <v>65.2</v>
      </c>
      <c r="G51" s="434">
        <v>93.3</v>
      </c>
    </row>
    <row r="52" spans="1:7" x14ac:dyDescent="0.3">
      <c r="A52" s="454">
        <v>11</v>
      </c>
      <c r="B52" s="434">
        <v>22.5</v>
      </c>
      <c r="C52" s="434">
        <v>51.9</v>
      </c>
      <c r="D52" s="434">
        <v>94</v>
      </c>
      <c r="E52" s="434"/>
      <c r="F52" s="434">
        <v>78.8</v>
      </c>
      <c r="G52" s="434">
        <v>88.7</v>
      </c>
    </row>
    <row r="53" spans="1:7" x14ac:dyDescent="0.3">
      <c r="A53" s="454">
        <v>12</v>
      </c>
      <c r="B53" s="434">
        <v>27.8</v>
      </c>
      <c r="C53" s="434">
        <v>48.1</v>
      </c>
      <c r="D53" s="434">
        <v>71.599999999999994</v>
      </c>
      <c r="E53" s="434"/>
      <c r="F53" s="434">
        <v>64.900000000000006</v>
      </c>
      <c r="G53" s="434">
        <v>113.1</v>
      </c>
    </row>
    <row r="54" spans="1:7" x14ac:dyDescent="0.3">
      <c r="A54" s="454">
        <v>13</v>
      </c>
      <c r="B54" s="434">
        <v>31.6</v>
      </c>
      <c r="C54" s="434">
        <v>58.8</v>
      </c>
      <c r="D54" s="434">
        <v>91</v>
      </c>
      <c r="E54" s="434"/>
      <c r="F54" s="434"/>
      <c r="G54" s="434">
        <v>102</v>
      </c>
    </row>
    <row r="55" spans="1:7" x14ac:dyDescent="0.3">
      <c r="A55" s="454">
        <v>14</v>
      </c>
      <c r="B55" s="434">
        <v>29.1</v>
      </c>
      <c r="C55" s="434">
        <v>61.4</v>
      </c>
      <c r="D55" s="434">
        <v>69.2</v>
      </c>
      <c r="E55" s="434"/>
      <c r="F55" s="434"/>
      <c r="G55" s="434">
        <v>86.3</v>
      </c>
    </row>
    <row r="56" spans="1:7" x14ac:dyDescent="0.3">
      <c r="A56" s="454">
        <v>15</v>
      </c>
      <c r="B56" s="434"/>
      <c r="C56" s="434"/>
      <c r="D56" s="434">
        <v>76.900000000000006</v>
      </c>
      <c r="E56" s="434"/>
      <c r="F56" s="434"/>
      <c r="G56" s="434"/>
    </row>
    <row r="57" spans="1:7" x14ac:dyDescent="0.3">
      <c r="A57" s="670" t="s">
        <v>357</v>
      </c>
      <c r="B57" s="670"/>
      <c r="C57" s="670"/>
      <c r="D57" s="663"/>
      <c r="E57" s="670"/>
      <c r="F57" s="670"/>
      <c r="G57" s="670"/>
    </row>
    <row r="58" spans="1:7" x14ac:dyDescent="0.3">
      <c r="A58" s="396"/>
      <c r="B58" s="674" t="s">
        <v>364</v>
      </c>
      <c r="C58" s="674"/>
      <c r="D58" s="674"/>
      <c r="E58" s="674" t="s">
        <v>365</v>
      </c>
      <c r="F58" s="674"/>
      <c r="G58" s="674"/>
    </row>
    <row r="59" spans="1:7" x14ac:dyDescent="0.3">
      <c r="A59" s="454" t="s">
        <v>366</v>
      </c>
      <c r="B59" s="433" t="s">
        <v>344</v>
      </c>
      <c r="C59" s="433" t="s">
        <v>345</v>
      </c>
      <c r="D59" s="433" t="s">
        <v>367</v>
      </c>
      <c r="E59" s="433" t="s">
        <v>368</v>
      </c>
      <c r="F59" s="433" t="s">
        <v>369</v>
      </c>
      <c r="G59" s="433" t="s">
        <v>370</v>
      </c>
    </row>
    <row r="60" spans="1:7" x14ac:dyDescent="0.3">
      <c r="A60" s="454">
        <v>1</v>
      </c>
      <c r="B60" s="434">
        <v>29.6</v>
      </c>
      <c r="C60" s="434">
        <v>53.4</v>
      </c>
      <c r="D60" s="434">
        <v>89.1</v>
      </c>
      <c r="E60" s="434">
        <v>34.299999999999997</v>
      </c>
      <c r="F60" s="434">
        <v>65.900000000000006</v>
      </c>
      <c r="G60" s="434">
        <v>85.3</v>
      </c>
    </row>
    <row r="61" spans="1:7" x14ac:dyDescent="0.3">
      <c r="A61" s="454">
        <v>2</v>
      </c>
      <c r="B61" s="434">
        <v>17.2</v>
      </c>
      <c r="C61" s="434">
        <v>52.3</v>
      </c>
      <c r="D61" s="434">
        <v>78.3</v>
      </c>
      <c r="E61" s="434">
        <v>48.6</v>
      </c>
      <c r="F61" s="434">
        <v>79.5</v>
      </c>
      <c r="G61" s="434">
        <v>107.1</v>
      </c>
    </row>
    <row r="62" spans="1:7" x14ac:dyDescent="0.3">
      <c r="A62" s="454">
        <v>3</v>
      </c>
      <c r="B62" s="434">
        <v>36</v>
      </c>
      <c r="C62" s="434">
        <v>48.2</v>
      </c>
      <c r="D62" s="434">
        <v>80.3</v>
      </c>
      <c r="E62" s="434">
        <v>58.6</v>
      </c>
      <c r="F62" s="434">
        <v>62.5</v>
      </c>
      <c r="G62" s="434">
        <v>97.6</v>
      </c>
    </row>
    <row r="63" spans="1:7" x14ac:dyDescent="0.3">
      <c r="A63" s="454">
        <v>4</v>
      </c>
      <c r="B63" s="434">
        <v>24.5</v>
      </c>
      <c r="C63" s="434">
        <v>45.2</v>
      </c>
      <c r="D63" s="434">
        <v>97</v>
      </c>
      <c r="E63" s="434">
        <v>39.9</v>
      </c>
      <c r="F63" s="434">
        <v>60.2</v>
      </c>
      <c r="G63" s="434">
        <v>93.2</v>
      </c>
    </row>
    <row r="64" spans="1:7" x14ac:dyDescent="0.3">
      <c r="A64" s="454">
        <v>5</v>
      </c>
      <c r="B64" s="434">
        <v>23.5</v>
      </c>
      <c r="C64" s="434">
        <v>61.2</v>
      </c>
      <c r="D64" s="434">
        <v>100.1</v>
      </c>
      <c r="E64" s="434"/>
      <c r="F64" s="434">
        <v>72.099999999999994</v>
      </c>
      <c r="G64" s="434">
        <v>90.8</v>
      </c>
    </row>
    <row r="65" spans="1:7" x14ac:dyDescent="0.3">
      <c r="A65" s="454">
        <v>6</v>
      </c>
      <c r="B65" s="434">
        <v>18.899999999999999</v>
      </c>
      <c r="C65" s="434">
        <v>43.6</v>
      </c>
      <c r="D65" s="434">
        <v>94.5</v>
      </c>
      <c r="E65" s="434"/>
      <c r="F65" s="434"/>
      <c r="G65" s="434">
        <v>80.400000000000006</v>
      </c>
    </row>
    <row r="66" spans="1:7" x14ac:dyDescent="0.3">
      <c r="A66" s="454">
        <v>7</v>
      </c>
      <c r="B66" s="434">
        <v>33.299999999999997</v>
      </c>
      <c r="C66" s="434">
        <v>64.400000000000006</v>
      </c>
      <c r="D66" s="434">
        <v>90.9</v>
      </c>
      <c r="E66" s="434"/>
      <c r="F66" s="434"/>
      <c r="G66" s="434"/>
    </row>
    <row r="67" spans="1:7" x14ac:dyDescent="0.3">
      <c r="A67" s="454">
        <v>8</v>
      </c>
      <c r="B67" s="434">
        <v>30.4</v>
      </c>
      <c r="C67" s="434">
        <v>60.7</v>
      </c>
      <c r="D67" s="434">
        <v>102.5</v>
      </c>
      <c r="E67" s="434"/>
      <c r="F67" s="434"/>
      <c r="G67" s="434"/>
    </row>
    <row r="68" spans="1:7" x14ac:dyDescent="0.3">
      <c r="A68" s="454">
        <v>9</v>
      </c>
      <c r="B68" s="434">
        <v>36.4</v>
      </c>
      <c r="C68" s="434"/>
      <c r="D68" s="434">
        <v>80.099999999999994</v>
      </c>
      <c r="E68" s="433"/>
      <c r="F68" s="434"/>
      <c r="G68" s="434"/>
    </row>
    <row r="69" spans="1:7" x14ac:dyDescent="0.3">
      <c r="A69" s="670" t="s">
        <v>358</v>
      </c>
      <c r="B69" s="670"/>
      <c r="C69" s="670"/>
      <c r="D69" s="663"/>
      <c r="E69" s="670"/>
      <c r="F69" s="670"/>
      <c r="G69" s="670"/>
    </row>
    <row r="70" spans="1:7" x14ac:dyDescent="0.3">
      <c r="A70" s="396"/>
      <c r="B70" s="674" t="s">
        <v>364</v>
      </c>
      <c r="C70" s="674"/>
      <c r="D70" s="674"/>
      <c r="E70" s="674" t="s">
        <v>365</v>
      </c>
      <c r="F70" s="674"/>
      <c r="G70" s="674"/>
    </row>
    <row r="71" spans="1:7" x14ac:dyDescent="0.3">
      <c r="A71" s="454" t="s">
        <v>366</v>
      </c>
      <c r="B71" s="433" t="s">
        <v>344</v>
      </c>
      <c r="C71" s="433" t="s">
        <v>345</v>
      </c>
      <c r="D71" s="433" t="s">
        <v>367</v>
      </c>
      <c r="E71" s="433" t="s">
        <v>368</v>
      </c>
      <c r="F71" s="433" t="s">
        <v>369</v>
      </c>
      <c r="G71" s="433" t="s">
        <v>370</v>
      </c>
    </row>
    <row r="72" spans="1:7" x14ac:dyDescent="0.3">
      <c r="A72" s="454">
        <v>1</v>
      </c>
      <c r="B72" s="434">
        <v>36.200000000000003</v>
      </c>
      <c r="C72" s="434">
        <v>41.8</v>
      </c>
      <c r="D72" s="434">
        <v>79.400000000000006</v>
      </c>
      <c r="E72" s="434">
        <v>50</v>
      </c>
      <c r="F72" s="434">
        <v>61.4</v>
      </c>
      <c r="G72" s="434">
        <v>104</v>
      </c>
    </row>
    <row r="73" spans="1:7" x14ac:dyDescent="0.3">
      <c r="A73" s="454">
        <v>2</v>
      </c>
      <c r="B73" s="434">
        <v>26.2</v>
      </c>
      <c r="C73" s="434">
        <v>41.7</v>
      </c>
      <c r="D73" s="434">
        <v>90.1</v>
      </c>
      <c r="E73" s="434">
        <v>38.9</v>
      </c>
      <c r="F73" s="434">
        <v>64</v>
      </c>
      <c r="G73" s="434">
        <v>92.5</v>
      </c>
    </row>
    <row r="74" spans="1:7" x14ac:dyDescent="0.3">
      <c r="A74" s="454">
        <v>3</v>
      </c>
      <c r="B74" s="434">
        <v>27.1</v>
      </c>
      <c r="C74" s="434">
        <v>46.7</v>
      </c>
      <c r="D74" s="434">
        <v>102.8</v>
      </c>
      <c r="E74" s="434">
        <v>29.5</v>
      </c>
      <c r="F74" s="434">
        <v>77.7</v>
      </c>
      <c r="G74" s="434">
        <v>86.8</v>
      </c>
    </row>
    <row r="75" spans="1:7" x14ac:dyDescent="0.3">
      <c r="A75" s="454">
        <v>4</v>
      </c>
      <c r="B75" s="434">
        <v>19.399999999999999</v>
      </c>
      <c r="C75" s="434">
        <v>52.2</v>
      </c>
      <c r="D75" s="434">
        <v>82.3</v>
      </c>
      <c r="E75" s="434">
        <v>26.6</v>
      </c>
      <c r="F75" s="434">
        <v>62.4</v>
      </c>
      <c r="G75" s="434">
        <v>100.9</v>
      </c>
    </row>
    <row r="76" spans="1:7" x14ac:dyDescent="0.3">
      <c r="A76" s="454">
        <v>5</v>
      </c>
      <c r="B76" s="434">
        <v>18.399999999999999</v>
      </c>
      <c r="C76" s="434">
        <v>44.9</v>
      </c>
      <c r="D76" s="434">
        <v>90.1</v>
      </c>
      <c r="E76" s="434">
        <v>27.7</v>
      </c>
      <c r="F76" s="434">
        <v>73.400000000000006</v>
      </c>
      <c r="G76" s="434">
        <v>91.7</v>
      </c>
    </row>
    <row r="77" spans="1:7" x14ac:dyDescent="0.3">
      <c r="A77" s="454">
        <v>6</v>
      </c>
      <c r="B77" s="434">
        <v>33.9</v>
      </c>
      <c r="C77" s="434">
        <v>40</v>
      </c>
      <c r="D77" s="434">
        <v>100.7</v>
      </c>
      <c r="E77" s="434">
        <v>55.9</v>
      </c>
      <c r="F77" s="434">
        <v>63.1</v>
      </c>
      <c r="G77" s="434">
        <v>96.5</v>
      </c>
    </row>
    <row r="78" spans="1:7" x14ac:dyDescent="0.3">
      <c r="A78" s="454">
        <v>7</v>
      </c>
      <c r="B78" s="434">
        <v>24</v>
      </c>
      <c r="C78" s="434">
        <v>50</v>
      </c>
      <c r="D78" s="434">
        <v>77.900000000000006</v>
      </c>
      <c r="E78" s="434">
        <v>57.4</v>
      </c>
      <c r="F78" s="434">
        <v>64</v>
      </c>
      <c r="G78" s="434">
        <v>119.7</v>
      </c>
    </row>
    <row r="79" spans="1:7" x14ac:dyDescent="0.3">
      <c r="A79" s="454">
        <v>8</v>
      </c>
      <c r="B79" s="434">
        <v>31.9</v>
      </c>
      <c r="C79" s="434">
        <v>40.6</v>
      </c>
      <c r="D79" s="434">
        <v>81.2</v>
      </c>
      <c r="E79" s="434">
        <v>52.8</v>
      </c>
      <c r="F79" s="434">
        <v>60.8</v>
      </c>
      <c r="G79" s="434">
        <v>108.9</v>
      </c>
    </row>
    <row r="80" spans="1:7" x14ac:dyDescent="0.3">
      <c r="A80" s="454">
        <v>9</v>
      </c>
      <c r="B80" s="434">
        <v>18.399999999999999</v>
      </c>
      <c r="C80" s="434">
        <v>59.4</v>
      </c>
      <c r="D80" s="434">
        <v>78.3</v>
      </c>
      <c r="E80" s="434">
        <v>40.6</v>
      </c>
      <c r="F80" s="434">
        <v>62</v>
      </c>
      <c r="G80" s="434">
        <v>87.9</v>
      </c>
    </row>
    <row r="81" spans="1:7" x14ac:dyDescent="0.3">
      <c r="A81" s="454">
        <v>10</v>
      </c>
      <c r="B81" s="434">
        <v>22.4</v>
      </c>
      <c r="C81" s="434">
        <v>42.7</v>
      </c>
      <c r="D81" s="434">
        <v>72.400000000000006</v>
      </c>
      <c r="E81" s="434">
        <v>54.9</v>
      </c>
      <c r="F81" s="434">
        <v>69.2</v>
      </c>
      <c r="G81" s="434">
        <v>91.7</v>
      </c>
    </row>
    <row r="82" spans="1:7" x14ac:dyDescent="0.3">
      <c r="A82" s="454">
        <v>11</v>
      </c>
      <c r="B82" s="434">
        <v>19.2</v>
      </c>
      <c r="C82" s="434">
        <v>67.599999999999994</v>
      </c>
      <c r="D82" s="434">
        <v>85.7</v>
      </c>
      <c r="E82" s="434"/>
      <c r="F82" s="434">
        <v>63.5</v>
      </c>
      <c r="G82" s="434">
        <v>104.5</v>
      </c>
    </row>
    <row r="83" spans="1:7" x14ac:dyDescent="0.3">
      <c r="A83" s="454">
        <v>12</v>
      </c>
      <c r="B83" s="434">
        <v>26.9</v>
      </c>
      <c r="C83" s="434">
        <v>64.900000000000006</v>
      </c>
      <c r="D83" s="434">
        <v>83.4</v>
      </c>
      <c r="E83" s="434"/>
      <c r="F83" s="434">
        <v>76.900000000000006</v>
      </c>
      <c r="G83" s="434">
        <v>97.3</v>
      </c>
    </row>
    <row r="84" spans="1:7" x14ac:dyDescent="0.3">
      <c r="A84" s="454">
        <v>13</v>
      </c>
      <c r="B84" s="434">
        <v>21.3</v>
      </c>
      <c r="C84" s="434">
        <v>43.2</v>
      </c>
      <c r="D84" s="434">
        <v>81.2</v>
      </c>
      <c r="E84" s="434"/>
      <c r="F84" s="434">
        <v>73.7</v>
      </c>
      <c r="G84" s="434">
        <v>112.4</v>
      </c>
    </row>
    <row r="85" spans="1:7" x14ac:dyDescent="0.3">
      <c r="A85" s="454">
        <v>14</v>
      </c>
      <c r="B85" s="434">
        <v>17.8</v>
      </c>
      <c r="C85" s="434">
        <v>38.9</v>
      </c>
      <c r="D85" s="434">
        <v>70.900000000000006</v>
      </c>
      <c r="E85" s="434"/>
      <c r="F85" s="434">
        <v>78.400000000000006</v>
      </c>
      <c r="G85" s="434">
        <v>94.6</v>
      </c>
    </row>
    <row r="86" spans="1:7" x14ac:dyDescent="0.3">
      <c r="A86" s="454">
        <v>15</v>
      </c>
      <c r="B86" s="434">
        <v>23.8</v>
      </c>
      <c r="C86" s="434">
        <v>43</v>
      </c>
      <c r="D86" s="434">
        <v>101.9</v>
      </c>
      <c r="E86" s="434"/>
      <c r="F86" s="434"/>
      <c r="G86" s="434">
        <v>80.599999999999994</v>
      </c>
    </row>
    <row r="87" spans="1:7" x14ac:dyDescent="0.3">
      <c r="A87" s="454">
        <v>16</v>
      </c>
      <c r="B87" s="434"/>
      <c r="C87" s="434">
        <v>43.9</v>
      </c>
      <c r="D87" s="434">
        <v>90.3</v>
      </c>
      <c r="E87" s="434"/>
      <c r="F87" s="434"/>
      <c r="G87" s="434">
        <v>93.1</v>
      </c>
    </row>
    <row r="88" spans="1:7" x14ac:dyDescent="0.3">
      <c r="A88" s="454">
        <v>17</v>
      </c>
      <c r="B88" s="434"/>
      <c r="C88" s="434">
        <v>57.9</v>
      </c>
      <c r="D88" s="434">
        <v>87.8</v>
      </c>
      <c r="E88" s="434"/>
      <c r="F88" s="434"/>
      <c r="G88" s="434">
        <v>87.6</v>
      </c>
    </row>
    <row r="89" spans="1:7" x14ac:dyDescent="0.3">
      <c r="A89" s="454">
        <v>18</v>
      </c>
      <c r="B89" s="434"/>
      <c r="C89" s="434">
        <v>59.5</v>
      </c>
      <c r="D89" s="434">
        <v>86.5</v>
      </c>
      <c r="E89" s="438"/>
      <c r="F89" s="438"/>
      <c r="G89" s="438"/>
    </row>
    <row r="90" spans="1:7" x14ac:dyDescent="0.3">
      <c r="A90" s="454">
        <v>19</v>
      </c>
      <c r="B90" s="434"/>
      <c r="C90" s="434">
        <v>53.3</v>
      </c>
      <c r="D90" s="434"/>
      <c r="E90" s="438"/>
      <c r="F90" s="438"/>
      <c r="G90" s="438"/>
    </row>
    <row r="91" spans="1:7" x14ac:dyDescent="0.3">
      <c r="A91" s="670" t="s">
        <v>359</v>
      </c>
      <c r="B91" s="670"/>
      <c r="C91" s="670"/>
      <c r="D91" s="663"/>
      <c r="E91" s="670"/>
      <c r="F91" s="670"/>
      <c r="G91" s="670"/>
    </row>
    <row r="92" spans="1:7" x14ac:dyDescent="0.3">
      <c r="A92" s="396"/>
      <c r="B92" s="674" t="s">
        <v>364</v>
      </c>
      <c r="C92" s="674"/>
      <c r="D92" s="674"/>
      <c r="E92" s="674" t="s">
        <v>365</v>
      </c>
      <c r="F92" s="674"/>
      <c r="G92" s="674"/>
    </row>
    <row r="93" spans="1:7" x14ac:dyDescent="0.3">
      <c r="A93" s="454" t="s">
        <v>366</v>
      </c>
      <c r="B93" s="433" t="s">
        <v>344</v>
      </c>
      <c r="C93" s="433" t="s">
        <v>345</v>
      </c>
      <c r="D93" s="433" t="s">
        <v>367</v>
      </c>
      <c r="E93" s="433" t="s">
        <v>368</v>
      </c>
      <c r="F93" s="433" t="s">
        <v>369</v>
      </c>
      <c r="G93" s="433" t="s">
        <v>370</v>
      </c>
    </row>
    <row r="94" spans="1:7" x14ac:dyDescent="0.3">
      <c r="A94" s="454">
        <v>1</v>
      </c>
      <c r="B94" s="434">
        <v>20.7</v>
      </c>
      <c r="C94" s="434">
        <v>60</v>
      </c>
      <c r="D94" s="434">
        <v>76</v>
      </c>
      <c r="E94" s="434">
        <v>49.5</v>
      </c>
      <c r="F94" s="434">
        <v>65</v>
      </c>
      <c r="G94" s="434">
        <v>118.2</v>
      </c>
    </row>
    <row r="95" spans="1:7" x14ac:dyDescent="0.3">
      <c r="A95" s="454">
        <v>2</v>
      </c>
      <c r="B95" s="434">
        <v>24.7</v>
      </c>
      <c r="C95" s="434">
        <v>39.9</v>
      </c>
      <c r="D95" s="434">
        <v>72.099999999999994</v>
      </c>
      <c r="E95" s="434">
        <v>57.3</v>
      </c>
      <c r="F95" s="434">
        <v>71.7</v>
      </c>
      <c r="G95" s="434">
        <v>85.9</v>
      </c>
    </row>
    <row r="96" spans="1:7" x14ac:dyDescent="0.3">
      <c r="A96" s="454">
        <v>3</v>
      </c>
      <c r="B96" s="434">
        <v>21.4</v>
      </c>
      <c r="C96" s="434">
        <v>44</v>
      </c>
      <c r="D96" s="434">
        <v>91.7</v>
      </c>
      <c r="E96" s="434">
        <v>56.8</v>
      </c>
      <c r="F96" s="434">
        <v>61.4</v>
      </c>
      <c r="G96" s="434">
        <v>112.4</v>
      </c>
    </row>
    <row r="97" spans="1:7" x14ac:dyDescent="0.3">
      <c r="A97" s="454">
        <v>4</v>
      </c>
      <c r="B97" s="434">
        <v>17.600000000000001</v>
      </c>
      <c r="C97" s="434">
        <v>44.9</v>
      </c>
      <c r="D97" s="434">
        <v>82.4</v>
      </c>
      <c r="E97" s="434">
        <v>26.4</v>
      </c>
      <c r="F97" s="434">
        <v>78.5</v>
      </c>
      <c r="G97" s="434">
        <v>91.6</v>
      </c>
    </row>
    <row r="98" spans="1:7" x14ac:dyDescent="0.3">
      <c r="A98" s="454">
        <v>5</v>
      </c>
      <c r="B98" s="434">
        <v>28</v>
      </c>
      <c r="C98" s="434">
        <v>45</v>
      </c>
      <c r="D98" s="434">
        <v>75.400000000000006</v>
      </c>
      <c r="E98" s="434">
        <v>51.3</v>
      </c>
      <c r="F98" s="434">
        <v>70.3</v>
      </c>
      <c r="G98" s="434">
        <v>82.3</v>
      </c>
    </row>
    <row r="99" spans="1:7" x14ac:dyDescent="0.3">
      <c r="A99" s="454">
        <v>6</v>
      </c>
      <c r="B99" s="434">
        <v>16.399999999999999</v>
      </c>
      <c r="C99" s="434">
        <v>49.5</v>
      </c>
      <c r="D99" s="434">
        <v>72.7</v>
      </c>
      <c r="E99" s="434">
        <v>47.3</v>
      </c>
      <c r="F99" s="434">
        <v>77</v>
      </c>
      <c r="G99" s="434">
        <v>97</v>
      </c>
    </row>
    <row r="100" spans="1:7" x14ac:dyDescent="0.3">
      <c r="A100" s="454">
        <v>7</v>
      </c>
      <c r="B100" s="434">
        <v>20.8</v>
      </c>
      <c r="C100" s="434">
        <v>51</v>
      </c>
      <c r="D100" s="434">
        <v>86.1</v>
      </c>
      <c r="E100" s="434">
        <v>45.5</v>
      </c>
      <c r="F100" s="434">
        <v>65.400000000000006</v>
      </c>
      <c r="G100" s="434">
        <v>87.4</v>
      </c>
    </row>
    <row r="101" spans="1:7" x14ac:dyDescent="0.3">
      <c r="A101" s="454">
        <v>8</v>
      </c>
      <c r="B101" s="434">
        <v>21</v>
      </c>
      <c r="C101" s="434">
        <v>61.8</v>
      </c>
      <c r="D101" s="434">
        <v>90</v>
      </c>
      <c r="E101" s="434">
        <v>49.7</v>
      </c>
      <c r="F101" s="434">
        <v>64.099999999999994</v>
      </c>
      <c r="G101" s="434">
        <v>112.5</v>
      </c>
    </row>
    <row r="102" spans="1:7" x14ac:dyDescent="0.3">
      <c r="A102" s="454">
        <v>9</v>
      </c>
      <c r="B102" s="434">
        <v>20</v>
      </c>
      <c r="C102" s="434">
        <v>40.200000000000003</v>
      </c>
      <c r="D102" s="434">
        <v>95.5</v>
      </c>
      <c r="E102" s="434"/>
      <c r="F102" s="434">
        <v>69.400000000000006</v>
      </c>
      <c r="G102" s="434">
        <v>97.8</v>
      </c>
    </row>
    <row r="103" spans="1:7" x14ac:dyDescent="0.3">
      <c r="A103" s="454">
        <v>10</v>
      </c>
      <c r="B103" s="434">
        <v>29.2</v>
      </c>
      <c r="C103" s="434">
        <v>41.4</v>
      </c>
      <c r="D103" s="434">
        <v>68.900000000000006</v>
      </c>
      <c r="E103" s="434"/>
      <c r="F103" s="434">
        <v>71.7</v>
      </c>
      <c r="G103" s="434">
        <v>114.9</v>
      </c>
    </row>
    <row r="104" spans="1:7" x14ac:dyDescent="0.3">
      <c r="A104" s="454">
        <v>11</v>
      </c>
      <c r="B104" s="434">
        <v>29.1</v>
      </c>
      <c r="C104" s="434">
        <v>53.5</v>
      </c>
      <c r="D104" s="434">
        <v>70.900000000000006</v>
      </c>
      <c r="E104" s="434"/>
      <c r="F104" s="434"/>
      <c r="G104" s="434">
        <v>82.5</v>
      </c>
    </row>
    <row r="105" spans="1:7" x14ac:dyDescent="0.3">
      <c r="A105" s="454">
        <v>12</v>
      </c>
      <c r="B105" s="434">
        <v>25.8</v>
      </c>
      <c r="C105" s="434">
        <v>64.599999999999994</v>
      </c>
      <c r="D105" s="434">
        <v>71.3</v>
      </c>
      <c r="E105" s="434"/>
      <c r="F105" s="434"/>
      <c r="G105" s="434">
        <v>85.4</v>
      </c>
    </row>
    <row r="106" spans="1:7" x14ac:dyDescent="0.3">
      <c r="A106" s="454">
        <v>13</v>
      </c>
      <c r="B106" s="434"/>
      <c r="C106" s="434">
        <v>45</v>
      </c>
      <c r="D106" s="434">
        <v>71.2</v>
      </c>
      <c r="E106" s="438"/>
      <c r="F106" s="438"/>
      <c r="G106" s="438"/>
    </row>
    <row r="107" spans="1:7" x14ac:dyDescent="0.3">
      <c r="A107" s="454">
        <v>14</v>
      </c>
      <c r="B107" s="434"/>
      <c r="C107" s="434">
        <v>57.1</v>
      </c>
      <c r="D107" s="434">
        <v>76.900000000000006</v>
      </c>
      <c r="E107" s="438"/>
      <c r="F107" s="438"/>
      <c r="G107" s="438"/>
    </row>
    <row r="108" spans="1:7" x14ac:dyDescent="0.3">
      <c r="A108" s="454">
        <v>15</v>
      </c>
      <c r="B108" s="434"/>
      <c r="C108" s="434">
        <v>64.7</v>
      </c>
      <c r="D108" s="434">
        <v>100.1</v>
      </c>
      <c r="E108" s="438"/>
      <c r="F108" s="438"/>
      <c r="G108" s="438"/>
    </row>
    <row r="109" spans="1:7" x14ac:dyDescent="0.3">
      <c r="A109" s="670" t="s">
        <v>360</v>
      </c>
      <c r="B109" s="670"/>
      <c r="C109" s="670"/>
      <c r="D109" s="663"/>
      <c r="E109" s="670"/>
      <c r="F109" s="670"/>
      <c r="G109" s="670"/>
    </row>
    <row r="110" spans="1:7" x14ac:dyDescent="0.3">
      <c r="A110" s="396"/>
      <c r="B110" s="674" t="s">
        <v>364</v>
      </c>
      <c r="C110" s="674"/>
      <c r="D110" s="674"/>
      <c r="E110" s="674" t="s">
        <v>365</v>
      </c>
      <c r="F110" s="674"/>
      <c r="G110" s="674"/>
    </row>
    <row r="111" spans="1:7" x14ac:dyDescent="0.3">
      <c r="A111" s="454" t="s">
        <v>366</v>
      </c>
      <c r="B111" s="433" t="s">
        <v>344</v>
      </c>
      <c r="C111" s="433" t="s">
        <v>345</v>
      </c>
      <c r="D111" s="433" t="s">
        <v>367</v>
      </c>
      <c r="E111" s="433" t="s">
        <v>368</v>
      </c>
      <c r="F111" s="433" t="s">
        <v>369</v>
      </c>
      <c r="G111" s="433" t="s">
        <v>370</v>
      </c>
    </row>
    <row r="112" spans="1:7" x14ac:dyDescent="0.3">
      <c r="A112" s="454">
        <v>1</v>
      </c>
      <c r="B112" s="434">
        <v>0</v>
      </c>
      <c r="C112" s="434">
        <v>0</v>
      </c>
      <c r="D112" s="434">
        <v>0</v>
      </c>
      <c r="E112" s="434">
        <v>47.8</v>
      </c>
      <c r="F112" s="434">
        <v>62.3</v>
      </c>
      <c r="G112" s="434">
        <v>113.1</v>
      </c>
    </row>
    <row r="113" spans="1:7" x14ac:dyDescent="0.3">
      <c r="A113" s="454">
        <v>2</v>
      </c>
      <c r="B113" s="434"/>
      <c r="C113" s="434"/>
      <c r="D113" s="434"/>
      <c r="E113" s="434">
        <v>25.4</v>
      </c>
      <c r="F113" s="434">
        <v>73.8</v>
      </c>
      <c r="G113" s="434">
        <v>118.8</v>
      </c>
    </row>
    <row r="114" spans="1:7" x14ac:dyDescent="0.3">
      <c r="A114" s="454">
        <v>3</v>
      </c>
      <c r="B114" s="434"/>
      <c r="C114" s="434"/>
      <c r="D114" s="434"/>
      <c r="E114" s="434">
        <v>46.2</v>
      </c>
      <c r="F114" s="434">
        <v>78.599999999999994</v>
      </c>
      <c r="G114" s="434">
        <v>96</v>
      </c>
    </row>
    <row r="115" spans="1:7" x14ac:dyDescent="0.3">
      <c r="A115" s="454">
        <v>4</v>
      </c>
      <c r="B115" s="434"/>
      <c r="C115" s="434"/>
      <c r="D115" s="434"/>
      <c r="E115" s="434"/>
      <c r="F115" s="434">
        <v>66.400000000000006</v>
      </c>
      <c r="G115" s="434">
        <v>105.1</v>
      </c>
    </row>
    <row r="116" spans="1:7" x14ac:dyDescent="0.3">
      <c r="A116" s="454">
        <v>5</v>
      </c>
      <c r="B116" s="434"/>
      <c r="C116" s="434"/>
      <c r="D116" s="434"/>
      <c r="E116" s="434"/>
      <c r="F116" s="434">
        <v>79.2</v>
      </c>
      <c r="G116" s="434">
        <v>80.5</v>
      </c>
    </row>
    <row r="117" spans="1:7" x14ac:dyDescent="0.3">
      <c r="A117" s="670" t="s">
        <v>361</v>
      </c>
      <c r="B117" s="670"/>
      <c r="C117" s="670"/>
      <c r="D117" s="663"/>
      <c r="E117" s="670"/>
      <c r="F117" s="670"/>
      <c r="G117" s="670"/>
    </row>
    <row r="118" spans="1:7" x14ac:dyDescent="0.3">
      <c r="A118" s="396"/>
      <c r="B118" s="674" t="s">
        <v>364</v>
      </c>
      <c r="C118" s="674"/>
      <c r="D118" s="674"/>
      <c r="E118" s="674" t="s">
        <v>365</v>
      </c>
      <c r="F118" s="674"/>
      <c r="G118" s="674"/>
    </row>
    <row r="119" spans="1:7" x14ac:dyDescent="0.3">
      <c r="A119" s="454" t="s">
        <v>366</v>
      </c>
      <c r="B119" s="433" t="s">
        <v>344</v>
      </c>
      <c r="C119" s="433" t="s">
        <v>345</v>
      </c>
      <c r="D119" s="433" t="s">
        <v>367</v>
      </c>
      <c r="E119" s="433" t="s">
        <v>368</v>
      </c>
      <c r="F119" s="433" t="s">
        <v>369</v>
      </c>
      <c r="G119" s="433" t="s">
        <v>370</v>
      </c>
    </row>
    <row r="120" spans="1:7" x14ac:dyDescent="0.3">
      <c r="A120" s="454">
        <v>1</v>
      </c>
      <c r="B120" s="434">
        <v>21.3</v>
      </c>
      <c r="C120" s="434">
        <v>37.200000000000003</v>
      </c>
      <c r="D120" s="434">
        <v>76</v>
      </c>
      <c r="E120" s="434">
        <v>47.8</v>
      </c>
      <c r="F120" s="434">
        <v>62</v>
      </c>
      <c r="G120" s="434">
        <v>116.5</v>
      </c>
    </row>
    <row r="121" spans="1:7" x14ac:dyDescent="0.3">
      <c r="A121" s="454">
        <v>2</v>
      </c>
      <c r="B121" s="434">
        <v>34.5</v>
      </c>
      <c r="C121" s="434">
        <v>62.7</v>
      </c>
      <c r="D121" s="434">
        <v>93.8</v>
      </c>
      <c r="E121" s="434">
        <v>50.8</v>
      </c>
      <c r="F121" s="434">
        <v>67.7</v>
      </c>
      <c r="G121" s="434">
        <v>118.5</v>
      </c>
    </row>
    <row r="122" spans="1:7" x14ac:dyDescent="0.3">
      <c r="A122" s="454">
        <v>3</v>
      </c>
      <c r="B122" s="434">
        <v>21</v>
      </c>
      <c r="C122" s="434">
        <v>55.7</v>
      </c>
      <c r="D122" s="434">
        <v>99</v>
      </c>
      <c r="E122" s="434">
        <v>45.4</v>
      </c>
      <c r="F122" s="434">
        <v>79.8</v>
      </c>
      <c r="G122" s="434">
        <v>103.7</v>
      </c>
    </row>
    <row r="123" spans="1:7" x14ac:dyDescent="0.3">
      <c r="A123" s="454">
        <v>4</v>
      </c>
      <c r="B123" s="434">
        <v>33.299999999999997</v>
      </c>
      <c r="C123" s="434">
        <v>62.9</v>
      </c>
      <c r="D123" s="434">
        <v>100.8</v>
      </c>
      <c r="E123" s="434"/>
      <c r="F123" s="434">
        <v>60</v>
      </c>
      <c r="G123" s="434">
        <v>99.4</v>
      </c>
    </row>
    <row r="124" spans="1:7" x14ac:dyDescent="0.3">
      <c r="A124" s="454">
        <v>5</v>
      </c>
      <c r="B124" s="434">
        <v>31.8</v>
      </c>
      <c r="C124" s="434">
        <v>55.2</v>
      </c>
      <c r="D124" s="434">
        <v>94.3</v>
      </c>
      <c r="E124" s="434"/>
      <c r="F124" s="434">
        <v>60</v>
      </c>
      <c r="G124" s="434">
        <v>108.7</v>
      </c>
    </row>
    <row r="125" spans="1:7" x14ac:dyDescent="0.3">
      <c r="A125" s="454">
        <v>6</v>
      </c>
      <c r="B125" s="434">
        <v>15.8</v>
      </c>
      <c r="C125" s="434">
        <v>44.9</v>
      </c>
      <c r="D125" s="434">
        <v>101.7</v>
      </c>
      <c r="E125" s="434"/>
      <c r="F125" s="434"/>
      <c r="G125" s="434">
        <v>93.2</v>
      </c>
    </row>
    <row r="126" spans="1:7" x14ac:dyDescent="0.3">
      <c r="A126" s="454">
        <v>7</v>
      </c>
      <c r="B126" s="434">
        <v>18.899999999999999</v>
      </c>
      <c r="C126" s="434">
        <v>41</v>
      </c>
      <c r="D126" s="434">
        <v>70.900000000000006</v>
      </c>
      <c r="E126" s="434"/>
      <c r="F126" s="434"/>
      <c r="G126" s="434"/>
    </row>
    <row r="127" spans="1:7" x14ac:dyDescent="0.3">
      <c r="A127" s="454">
        <v>8</v>
      </c>
      <c r="B127" s="434"/>
      <c r="C127" s="434">
        <v>66.2</v>
      </c>
      <c r="D127" s="434">
        <v>79.3</v>
      </c>
      <c r="E127" s="434"/>
      <c r="F127" s="434"/>
      <c r="G127" s="434"/>
    </row>
    <row r="128" spans="1:7" x14ac:dyDescent="0.3">
      <c r="A128" s="454">
        <v>9</v>
      </c>
      <c r="B128" s="434"/>
      <c r="C128" s="434">
        <v>50</v>
      </c>
      <c r="D128" s="434"/>
      <c r="E128" s="434"/>
      <c r="F128" s="434"/>
      <c r="G128" s="434"/>
    </row>
    <row r="129" spans="1:7" x14ac:dyDescent="0.3">
      <c r="A129" s="670" t="s">
        <v>362</v>
      </c>
      <c r="B129" s="670"/>
      <c r="C129" s="670"/>
      <c r="D129" s="663"/>
      <c r="E129" s="670"/>
      <c r="F129" s="670"/>
      <c r="G129" s="670"/>
    </row>
    <row r="130" spans="1:7" x14ac:dyDescent="0.3">
      <c r="A130" s="396"/>
      <c r="B130" s="674" t="s">
        <v>364</v>
      </c>
      <c r="C130" s="674"/>
      <c r="D130" s="674"/>
      <c r="E130" s="674" t="s">
        <v>365</v>
      </c>
      <c r="F130" s="674"/>
      <c r="G130" s="674"/>
    </row>
    <row r="131" spans="1:7" x14ac:dyDescent="0.3">
      <c r="A131" s="454" t="s">
        <v>366</v>
      </c>
      <c r="B131" s="433" t="s">
        <v>344</v>
      </c>
      <c r="C131" s="433" t="s">
        <v>345</v>
      </c>
      <c r="D131" s="433" t="s">
        <v>367</v>
      </c>
      <c r="E131" s="433" t="s">
        <v>368</v>
      </c>
      <c r="F131" s="433" t="s">
        <v>369</v>
      </c>
      <c r="G131" s="433" t="s">
        <v>370</v>
      </c>
    </row>
    <row r="132" spans="1:7" x14ac:dyDescent="0.3">
      <c r="A132" s="454">
        <v>1</v>
      </c>
      <c r="B132" s="434">
        <v>0</v>
      </c>
      <c r="C132" s="434">
        <v>0</v>
      </c>
      <c r="D132" s="434">
        <v>0</v>
      </c>
      <c r="E132" s="434">
        <v>26</v>
      </c>
      <c r="F132" s="434">
        <v>72.2</v>
      </c>
      <c r="G132" s="434">
        <v>106.2</v>
      </c>
    </row>
    <row r="133" spans="1:7" x14ac:dyDescent="0.3">
      <c r="A133" s="454">
        <v>2</v>
      </c>
      <c r="B133" s="434"/>
      <c r="C133" s="434"/>
      <c r="D133" s="434"/>
      <c r="E133" s="434">
        <v>39.6</v>
      </c>
      <c r="F133" s="434">
        <v>70.599999999999994</v>
      </c>
      <c r="G133" s="434">
        <v>100</v>
      </c>
    </row>
    <row r="134" spans="1:7" x14ac:dyDescent="0.3">
      <c r="A134" s="454">
        <v>3</v>
      </c>
      <c r="B134" s="434"/>
      <c r="C134" s="434"/>
      <c r="D134" s="434"/>
      <c r="E134" s="434">
        <v>52.6</v>
      </c>
      <c r="F134" s="434">
        <v>71.5</v>
      </c>
      <c r="G134" s="434">
        <v>88.1</v>
      </c>
    </row>
    <row r="135" spans="1:7" x14ac:dyDescent="0.3">
      <c r="A135" s="454">
        <v>4</v>
      </c>
      <c r="B135" s="434"/>
      <c r="C135" s="434"/>
      <c r="D135" s="434"/>
      <c r="E135" s="434">
        <v>44.4</v>
      </c>
      <c r="F135" s="434">
        <v>62.4</v>
      </c>
      <c r="G135" s="434">
        <v>109</v>
      </c>
    </row>
    <row r="136" spans="1:7" x14ac:dyDescent="0.3">
      <c r="A136" s="454">
        <v>5</v>
      </c>
      <c r="B136" s="434"/>
      <c r="C136" s="434"/>
      <c r="D136" s="434"/>
      <c r="E136" s="434"/>
      <c r="F136" s="434">
        <v>62.2</v>
      </c>
      <c r="G136" s="434">
        <v>116.7</v>
      </c>
    </row>
    <row r="137" spans="1:7" x14ac:dyDescent="0.3">
      <c r="A137" s="442"/>
      <c r="B137" s="443"/>
      <c r="C137" s="443"/>
      <c r="D137" s="443"/>
      <c r="E137" s="443"/>
      <c r="F137" s="443"/>
      <c r="G137" s="443"/>
    </row>
    <row r="138" spans="1:7" x14ac:dyDescent="0.3">
      <c r="A138" s="442"/>
      <c r="B138" s="443"/>
      <c r="C138" s="443"/>
      <c r="D138" s="443"/>
      <c r="E138" s="441"/>
      <c r="F138" s="443"/>
      <c r="G138" s="443"/>
    </row>
    <row r="139" spans="1:7" x14ac:dyDescent="0.3">
      <c r="A139" s="442"/>
      <c r="B139" s="443"/>
      <c r="C139" s="443"/>
      <c r="D139" s="443"/>
      <c r="E139" s="441"/>
      <c r="F139" s="441"/>
      <c r="G139" s="443"/>
    </row>
    <row r="140" spans="1:7" x14ac:dyDescent="0.3">
      <c r="A140" s="442"/>
      <c r="B140" s="443"/>
      <c r="C140" s="443"/>
      <c r="D140" s="443"/>
      <c r="E140" s="441"/>
      <c r="F140" s="441"/>
      <c r="G140" s="441"/>
    </row>
    <row r="141" spans="1:7" x14ac:dyDescent="0.3">
      <c r="A141" s="668" t="s">
        <v>160</v>
      </c>
      <c r="B141" s="666" t="s">
        <v>161</v>
      </c>
      <c r="C141" s="667"/>
      <c r="D141" s="666" t="s">
        <v>162</v>
      </c>
      <c r="E141" s="667"/>
      <c r="F141" s="666" t="s">
        <v>163</v>
      </c>
      <c r="G141" s="667"/>
    </row>
    <row r="142" spans="1:7" x14ac:dyDescent="0.3">
      <c r="A142" s="669"/>
      <c r="B142" s="432" t="s">
        <v>164</v>
      </c>
      <c r="C142" s="432" t="s">
        <v>165</v>
      </c>
      <c r="D142" s="432" t="s">
        <v>164</v>
      </c>
      <c r="E142" s="432" t="s">
        <v>165</v>
      </c>
      <c r="F142" s="432" t="s">
        <v>164</v>
      </c>
      <c r="G142" s="432" t="s">
        <v>165</v>
      </c>
    </row>
    <row r="143" spans="1:7" x14ac:dyDescent="0.3">
      <c r="A143" s="433" t="s">
        <v>353</v>
      </c>
      <c r="B143" s="435">
        <f>ROUNDDOWN(AVERAGE(B6:D11),1)</f>
        <v>0</v>
      </c>
      <c r="C143" s="435">
        <f>ROUNDDOWN(AVERAGE(E6:G11),1)</f>
        <v>75.2</v>
      </c>
      <c r="D143" s="432">
        <v>0</v>
      </c>
      <c r="E143" s="432">
        <v>5607</v>
      </c>
      <c r="F143" s="432">
        <f>B143*D143</f>
        <v>0</v>
      </c>
      <c r="G143" s="432">
        <f>C143*E143</f>
        <v>421646.4</v>
      </c>
    </row>
    <row r="144" spans="1:7" x14ac:dyDescent="0.3">
      <c r="A144" s="433" t="s">
        <v>354</v>
      </c>
      <c r="B144" s="435">
        <f>ROUNDDOWN(AVERAGE(B15:D20),1)</f>
        <v>0</v>
      </c>
      <c r="C144" s="435">
        <f>ROUNDDOWN(AVERAGE(E15:G20),1)</f>
        <v>77</v>
      </c>
      <c r="D144" s="432">
        <v>0</v>
      </c>
      <c r="E144" s="432">
        <v>6980</v>
      </c>
      <c r="F144" s="432">
        <f t="shared" ref="F144:G152" si="0">B144*D144</f>
        <v>0</v>
      </c>
      <c r="G144" s="432">
        <f t="shared" si="0"/>
        <v>537460</v>
      </c>
    </row>
    <row r="145" spans="1:7" x14ac:dyDescent="0.3">
      <c r="A145" s="433" t="s">
        <v>355</v>
      </c>
      <c r="B145" s="435">
        <f>ROUNDDOWN(AVERAGE(B24:D38),1)</f>
        <v>58.6</v>
      </c>
      <c r="C145" s="435">
        <f>ROUNDDOWN(AVERAGE(E24:G38),1)</f>
        <v>74.8</v>
      </c>
      <c r="D145" s="432">
        <v>16871</v>
      </c>
      <c r="E145" s="432">
        <v>13901</v>
      </c>
      <c r="F145" s="432">
        <f t="shared" si="0"/>
        <v>988640.6</v>
      </c>
      <c r="G145" s="432">
        <f t="shared" si="0"/>
        <v>1039794.7999999999</v>
      </c>
    </row>
    <row r="146" spans="1:7" x14ac:dyDescent="0.3">
      <c r="A146" s="433" t="s">
        <v>356</v>
      </c>
      <c r="B146" s="435">
        <f>ROUNDDOWN(AVERAGE(B42:D56),1)</f>
        <v>58.8</v>
      </c>
      <c r="C146" s="435">
        <f>ROUNDDOWN(AVERAGE(E42:G56),1)</f>
        <v>75.8</v>
      </c>
      <c r="D146" s="432">
        <v>16520</v>
      </c>
      <c r="E146" s="432">
        <v>15260</v>
      </c>
      <c r="F146" s="432">
        <f t="shared" si="0"/>
        <v>971376</v>
      </c>
      <c r="G146" s="432">
        <f t="shared" si="0"/>
        <v>1156708</v>
      </c>
    </row>
    <row r="147" spans="1:7" x14ac:dyDescent="0.3">
      <c r="A147" s="433" t="s">
        <v>357</v>
      </c>
      <c r="B147" s="435">
        <f>ROUNDDOWN(AVERAGE(B60:D68),1)</f>
        <v>57.3</v>
      </c>
      <c r="C147" s="435">
        <f>ROUNDDOWN(AVERAGE(E60:G68),1)</f>
        <v>71.7</v>
      </c>
      <c r="D147" s="432">
        <v>10059</v>
      </c>
      <c r="E147" s="432">
        <v>6471</v>
      </c>
      <c r="F147" s="432">
        <f t="shared" si="0"/>
        <v>576380.69999999995</v>
      </c>
      <c r="G147" s="432">
        <f t="shared" si="0"/>
        <v>463970.7</v>
      </c>
    </row>
    <row r="148" spans="1:7" x14ac:dyDescent="0.3">
      <c r="A148" s="433" t="s">
        <v>358</v>
      </c>
      <c r="B148" s="435">
        <f>ROUNDDOWN(AVERAGE(B72:D90),1)</f>
        <v>54.6</v>
      </c>
      <c r="C148" s="435">
        <f>ROUNDDOWN(AVERAGE(E72:G90),1)</f>
        <v>74</v>
      </c>
      <c r="D148" s="432">
        <v>20494</v>
      </c>
      <c r="E148" s="432">
        <v>19275</v>
      </c>
      <c r="F148" s="432">
        <f t="shared" si="0"/>
        <v>1118972.4000000001</v>
      </c>
      <c r="G148" s="432">
        <f t="shared" si="0"/>
        <v>1426350</v>
      </c>
    </row>
    <row r="149" spans="1:7" x14ac:dyDescent="0.3">
      <c r="A149" s="433" t="s">
        <v>359</v>
      </c>
      <c r="B149" s="435">
        <f>ROUNDDOWN(AVERAGE(B94:D108),1)</f>
        <v>53.2</v>
      </c>
      <c r="C149" s="435">
        <f>ROUNDDOWN(AVERAGE(E94:G108),1)</f>
        <v>74.8</v>
      </c>
      <c r="D149" s="432">
        <v>16458</v>
      </c>
      <c r="E149" s="432">
        <v>13942</v>
      </c>
      <c r="F149" s="432">
        <f t="shared" si="0"/>
        <v>875565.60000000009</v>
      </c>
      <c r="G149" s="432">
        <f t="shared" si="0"/>
        <v>1042861.6</v>
      </c>
    </row>
    <row r="150" spans="1:7" x14ac:dyDescent="0.3">
      <c r="A150" s="433" t="s">
        <v>360</v>
      </c>
      <c r="B150" s="435">
        <f>ROUNDDOWN(AVERAGE(B112:D116),1)</f>
        <v>0</v>
      </c>
      <c r="C150" s="435">
        <f>ROUNDDOWN(AVERAGE(E112:G116),1)</f>
        <v>76.400000000000006</v>
      </c>
      <c r="D150" s="432">
        <v>0</v>
      </c>
      <c r="E150" s="432">
        <v>4988</v>
      </c>
      <c r="F150" s="432">
        <f t="shared" si="0"/>
        <v>0</v>
      </c>
      <c r="G150" s="432">
        <f t="shared" si="0"/>
        <v>381083.2</v>
      </c>
    </row>
    <row r="151" spans="1:7" x14ac:dyDescent="0.3">
      <c r="A151" s="433" t="s">
        <v>361</v>
      </c>
      <c r="B151" s="435">
        <f>ROUNDDOWN(AVERAGE(B120:D128),1)</f>
        <v>57</v>
      </c>
      <c r="C151" s="435">
        <f>ROUNDDOWN(AVERAGE(E120:G128),1)</f>
        <v>79.5</v>
      </c>
      <c r="D151" s="432">
        <v>9275</v>
      </c>
      <c r="E151" s="432">
        <v>5943</v>
      </c>
      <c r="F151" s="432">
        <f t="shared" si="0"/>
        <v>528675</v>
      </c>
      <c r="G151" s="432">
        <f t="shared" si="0"/>
        <v>472468.5</v>
      </c>
    </row>
    <row r="152" spans="1:7" x14ac:dyDescent="0.3">
      <c r="A152" s="433" t="s">
        <v>362</v>
      </c>
      <c r="B152" s="435">
        <f>ROUNDDOWN(AVERAGE(B132:D136),1)</f>
        <v>0</v>
      </c>
      <c r="C152" s="435">
        <f>ROUNDDOWN(AVERAGE(E132:G136),1)</f>
        <v>72.900000000000006</v>
      </c>
      <c r="D152" s="432">
        <v>0</v>
      </c>
      <c r="E152" s="432">
        <v>6013</v>
      </c>
      <c r="F152" s="432">
        <f t="shared" si="0"/>
        <v>0</v>
      </c>
      <c r="G152" s="432">
        <f t="shared" si="0"/>
        <v>438347.7</v>
      </c>
    </row>
    <row r="153" spans="1:7" x14ac:dyDescent="0.3">
      <c r="A153" s="433" t="s">
        <v>166</v>
      </c>
      <c r="B153" s="433"/>
      <c r="C153" s="433"/>
      <c r="D153" s="432">
        <f>SUM(D143:D152)</f>
        <v>89677</v>
      </c>
      <c r="E153" s="432">
        <f>SUM(E143:E152)</f>
        <v>98380</v>
      </c>
      <c r="F153" s="432">
        <f>SUM(F143:F152)</f>
        <v>5059610.3000000007</v>
      </c>
      <c r="G153" s="432">
        <f>SUM(G143:G152)</f>
        <v>7380690.9000000004</v>
      </c>
    </row>
    <row r="154" spans="1:7" x14ac:dyDescent="0.3">
      <c r="A154" s="441"/>
      <c r="B154" s="441"/>
      <c r="C154" s="441"/>
      <c r="D154" s="442"/>
      <c r="E154" s="442"/>
      <c r="F154" s="442"/>
      <c r="G154" s="442"/>
    </row>
    <row r="156" spans="1:7" x14ac:dyDescent="0.3">
      <c r="C156" s="666" t="s">
        <v>167</v>
      </c>
      <c r="D156" s="667"/>
    </row>
    <row r="157" spans="1:7" x14ac:dyDescent="0.3">
      <c r="C157" s="432" t="s">
        <v>164</v>
      </c>
      <c r="D157" s="432" t="s">
        <v>165</v>
      </c>
    </row>
    <row r="158" spans="1:7" x14ac:dyDescent="0.3">
      <c r="C158" s="436">
        <f>ROUNDDOWN(F153/D153,1)</f>
        <v>56.4</v>
      </c>
      <c r="D158" s="437">
        <f>ROUNDDOWN(G153/E153,1)</f>
        <v>75</v>
      </c>
    </row>
  </sheetData>
  <mergeCells count="37">
    <mergeCell ref="C156:D156"/>
    <mergeCell ref="B130:D130"/>
    <mergeCell ref="E130:G130"/>
    <mergeCell ref="A141:A142"/>
    <mergeCell ref="B141:C141"/>
    <mergeCell ref="D141:E141"/>
    <mergeCell ref="F141:G141"/>
    <mergeCell ref="A129:G129"/>
    <mergeCell ref="B70:D70"/>
    <mergeCell ref="E70:G70"/>
    <mergeCell ref="A91:G91"/>
    <mergeCell ref="B92:D92"/>
    <mergeCell ref="E92:G92"/>
    <mergeCell ref="A109:G109"/>
    <mergeCell ref="B110:D110"/>
    <mergeCell ref="E110:G110"/>
    <mergeCell ref="A117:G117"/>
    <mergeCell ref="B118:D118"/>
    <mergeCell ref="E118:G118"/>
    <mergeCell ref="A69:G69"/>
    <mergeCell ref="B13:D13"/>
    <mergeCell ref="E13:G13"/>
    <mergeCell ref="A21:G21"/>
    <mergeCell ref="B22:D22"/>
    <mergeCell ref="E22:G22"/>
    <mergeCell ref="A39:G39"/>
    <mergeCell ref="B40:D40"/>
    <mergeCell ref="E40:G40"/>
    <mergeCell ref="A57:G57"/>
    <mergeCell ref="B58:D58"/>
    <mergeCell ref="E58:G58"/>
    <mergeCell ref="A12:G12"/>
    <mergeCell ref="A1:G1"/>
    <mergeCell ref="A2:G2"/>
    <mergeCell ref="A3:G3"/>
    <mergeCell ref="B4:D4"/>
    <mergeCell ref="E4:G4"/>
  </mergeCells>
  <phoneticPr fontId="11" type="noConversion"/>
  <pageMargins left="0.7" right="0.7" top="0.75" bottom="0.75" header="0.3" footer="0.3"/>
  <pageSetup paperSize="9"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D3FE2-51C5-4361-BF3F-DE448F58EC1B}">
  <dimension ref="A1:I158"/>
  <sheetViews>
    <sheetView zoomScale="80" zoomScaleNormal="80" workbookViewId="0">
      <selection activeCell="E26" sqref="E26"/>
    </sheetView>
  </sheetViews>
  <sheetFormatPr defaultColWidth="8.7265625" defaultRowHeight="14" x14ac:dyDescent="0.3"/>
  <cols>
    <col min="1" max="1" width="22.453125" style="395" customWidth="1"/>
    <col min="2" max="2" width="16.26953125" style="395" bestFit="1" customWidth="1"/>
    <col min="3" max="3" width="22.90625" style="395" bestFit="1" customWidth="1"/>
    <col min="4" max="4" width="22.6328125" style="395" bestFit="1" customWidth="1"/>
    <col min="5" max="5" width="21.453125" style="395" bestFit="1" customWidth="1"/>
    <col min="6" max="6" width="23.453125" style="395" bestFit="1" customWidth="1"/>
    <col min="7" max="7" width="23.08984375" style="395" bestFit="1" customWidth="1"/>
    <col min="8" max="8" width="14.81640625" style="395" customWidth="1"/>
    <col min="9" max="16384" width="8.7265625" style="395"/>
  </cols>
  <sheetData>
    <row r="1" spans="1:9" x14ac:dyDescent="0.3">
      <c r="A1" s="657" t="s">
        <v>322</v>
      </c>
      <c r="B1" s="658"/>
      <c r="C1" s="658"/>
      <c r="D1" s="658"/>
      <c r="E1" s="658"/>
      <c r="F1" s="658"/>
      <c r="G1" s="659"/>
    </row>
    <row r="2" spans="1:9" ht="33" customHeight="1" x14ac:dyDescent="0.3">
      <c r="A2" s="660" t="s">
        <v>382</v>
      </c>
      <c r="B2" s="661"/>
      <c r="C2" s="661"/>
      <c r="D2" s="661"/>
      <c r="E2" s="661"/>
      <c r="F2" s="661"/>
      <c r="G2" s="662"/>
    </row>
    <row r="3" spans="1:9" x14ac:dyDescent="0.3">
      <c r="A3" s="671" t="s">
        <v>353</v>
      </c>
      <c r="B3" s="672"/>
      <c r="C3" s="672"/>
      <c r="D3" s="672"/>
      <c r="E3" s="672"/>
      <c r="F3" s="672"/>
      <c r="G3" s="673"/>
    </row>
    <row r="4" spans="1:9" x14ac:dyDescent="0.3">
      <c r="A4" s="396"/>
      <c r="B4" s="666" t="s">
        <v>364</v>
      </c>
      <c r="C4" s="675"/>
      <c r="D4" s="667"/>
      <c r="E4" s="666" t="s">
        <v>365</v>
      </c>
      <c r="F4" s="675"/>
      <c r="G4" s="667"/>
    </row>
    <row r="5" spans="1:9" x14ac:dyDescent="0.3">
      <c r="A5" s="454" t="s">
        <v>366</v>
      </c>
      <c r="B5" s="433" t="s">
        <v>344</v>
      </c>
      <c r="C5" s="433" t="s">
        <v>345</v>
      </c>
      <c r="D5" s="433" t="s">
        <v>367</v>
      </c>
      <c r="E5" s="433" t="s">
        <v>368</v>
      </c>
      <c r="F5" s="433" t="s">
        <v>369</v>
      </c>
      <c r="G5" s="433" t="s">
        <v>370</v>
      </c>
      <c r="H5" s="440"/>
      <c r="I5" s="441"/>
    </row>
    <row r="6" spans="1:9" x14ac:dyDescent="0.3">
      <c r="A6" s="454">
        <v>1</v>
      </c>
      <c r="B6" s="434">
        <v>0</v>
      </c>
      <c r="C6" s="434">
        <v>0</v>
      </c>
      <c r="D6" s="434">
        <v>0</v>
      </c>
      <c r="E6" s="434">
        <v>40.4</v>
      </c>
      <c r="F6" s="434">
        <v>69.900000000000006</v>
      </c>
      <c r="G6" s="434">
        <v>119.1</v>
      </c>
    </row>
    <row r="7" spans="1:9" x14ac:dyDescent="0.3">
      <c r="A7" s="454">
        <v>2</v>
      </c>
      <c r="B7" s="434"/>
      <c r="C7" s="434"/>
      <c r="D7" s="434"/>
      <c r="E7" s="434">
        <v>47.8</v>
      </c>
      <c r="F7" s="434">
        <v>70.400000000000006</v>
      </c>
      <c r="G7" s="434">
        <v>84.4</v>
      </c>
    </row>
    <row r="8" spans="1:9" x14ac:dyDescent="0.3">
      <c r="A8" s="454">
        <v>3</v>
      </c>
      <c r="B8" s="434"/>
      <c r="C8" s="434"/>
      <c r="D8" s="434"/>
      <c r="E8" s="434">
        <v>43.9</v>
      </c>
      <c r="F8" s="434">
        <v>75.599999999999994</v>
      </c>
      <c r="G8" s="434">
        <v>103</v>
      </c>
    </row>
    <row r="9" spans="1:9" x14ac:dyDescent="0.3">
      <c r="A9" s="454">
        <v>4</v>
      </c>
      <c r="B9" s="434"/>
      <c r="C9" s="434"/>
      <c r="D9" s="434"/>
      <c r="E9" s="434"/>
      <c r="F9" s="434">
        <v>79.400000000000006</v>
      </c>
      <c r="G9" s="434">
        <v>118.7</v>
      </c>
    </row>
    <row r="10" spans="1:9" x14ac:dyDescent="0.3">
      <c r="A10" s="454">
        <v>5</v>
      </c>
      <c r="B10" s="434"/>
      <c r="C10" s="434"/>
      <c r="D10" s="434"/>
      <c r="E10" s="434"/>
      <c r="F10" s="434">
        <v>75.400000000000006</v>
      </c>
      <c r="G10" s="434">
        <v>84.4</v>
      </c>
    </row>
    <row r="11" spans="1:9" x14ac:dyDescent="0.3">
      <c r="A11" s="454">
        <v>6</v>
      </c>
      <c r="B11" s="434"/>
      <c r="C11" s="434"/>
      <c r="D11" s="434"/>
      <c r="E11" s="434"/>
      <c r="F11" s="434"/>
      <c r="G11" s="434">
        <v>119.2</v>
      </c>
    </row>
    <row r="12" spans="1:9" x14ac:dyDescent="0.3">
      <c r="A12" s="670" t="s">
        <v>354</v>
      </c>
      <c r="B12" s="670"/>
      <c r="C12" s="670"/>
      <c r="D12" s="670"/>
      <c r="E12" s="670"/>
      <c r="F12" s="670"/>
      <c r="G12" s="670"/>
    </row>
    <row r="13" spans="1:9" x14ac:dyDescent="0.3">
      <c r="A13" s="396"/>
      <c r="B13" s="674" t="s">
        <v>364</v>
      </c>
      <c r="C13" s="674"/>
      <c r="D13" s="674"/>
      <c r="E13" s="674" t="s">
        <v>365</v>
      </c>
      <c r="F13" s="674"/>
      <c r="G13" s="674"/>
    </row>
    <row r="14" spans="1:9" x14ac:dyDescent="0.3">
      <c r="A14" s="454" t="s">
        <v>366</v>
      </c>
      <c r="B14" s="433" t="s">
        <v>344</v>
      </c>
      <c r="C14" s="433" t="s">
        <v>345</v>
      </c>
      <c r="D14" s="433" t="s">
        <v>367</v>
      </c>
      <c r="E14" s="433" t="s">
        <v>368</v>
      </c>
      <c r="F14" s="433" t="s">
        <v>369</v>
      </c>
      <c r="G14" s="433" t="s">
        <v>370</v>
      </c>
    </row>
    <row r="15" spans="1:9" x14ac:dyDescent="0.3">
      <c r="A15" s="454">
        <v>1</v>
      </c>
      <c r="B15" s="434">
        <v>0</v>
      </c>
      <c r="C15" s="434">
        <v>0</v>
      </c>
      <c r="D15" s="434">
        <v>0</v>
      </c>
      <c r="E15" s="434">
        <v>60</v>
      </c>
      <c r="F15" s="434">
        <v>74.7</v>
      </c>
      <c r="G15" s="434">
        <v>110.8</v>
      </c>
    </row>
    <row r="16" spans="1:9" x14ac:dyDescent="0.3">
      <c r="A16" s="454">
        <v>2</v>
      </c>
      <c r="B16" s="434"/>
      <c r="C16" s="434"/>
      <c r="D16" s="434"/>
      <c r="E16" s="434">
        <v>30.8</v>
      </c>
      <c r="F16" s="434">
        <v>78.099999999999994</v>
      </c>
      <c r="G16" s="434">
        <v>103.7</v>
      </c>
    </row>
    <row r="17" spans="1:7" x14ac:dyDescent="0.3">
      <c r="A17" s="454">
        <v>3</v>
      </c>
      <c r="B17" s="434"/>
      <c r="C17" s="434"/>
      <c r="D17" s="434"/>
      <c r="E17" s="434">
        <v>51.5</v>
      </c>
      <c r="F17" s="434">
        <v>66.2</v>
      </c>
      <c r="G17" s="434">
        <v>88.5</v>
      </c>
    </row>
    <row r="18" spans="1:7" x14ac:dyDescent="0.3">
      <c r="A18" s="454">
        <v>4</v>
      </c>
      <c r="B18" s="434"/>
      <c r="C18" s="434"/>
      <c r="D18" s="434"/>
      <c r="E18" s="434">
        <v>34.799999999999997</v>
      </c>
      <c r="F18" s="434">
        <v>70.3</v>
      </c>
      <c r="G18" s="434">
        <v>85.6</v>
      </c>
    </row>
    <row r="19" spans="1:7" x14ac:dyDescent="0.3">
      <c r="A19" s="454">
        <v>5</v>
      </c>
      <c r="B19" s="434"/>
      <c r="C19" s="434"/>
      <c r="D19" s="434"/>
      <c r="E19" s="434"/>
      <c r="F19" s="434">
        <v>75.5</v>
      </c>
      <c r="G19" s="434">
        <v>96.2</v>
      </c>
    </row>
    <row r="20" spans="1:7" x14ac:dyDescent="0.3">
      <c r="A20" s="454">
        <v>6</v>
      </c>
      <c r="B20" s="434"/>
      <c r="C20" s="434"/>
      <c r="D20" s="434"/>
      <c r="E20" s="434"/>
      <c r="F20" s="434">
        <v>60.8</v>
      </c>
      <c r="G20" s="434">
        <v>110.1</v>
      </c>
    </row>
    <row r="21" spans="1:7" x14ac:dyDescent="0.3">
      <c r="A21" s="663" t="s">
        <v>355</v>
      </c>
      <c r="B21" s="663"/>
      <c r="C21" s="663"/>
      <c r="D21" s="663"/>
      <c r="E21" s="663"/>
      <c r="F21" s="663"/>
      <c r="G21" s="663"/>
    </row>
    <row r="22" spans="1:7" x14ac:dyDescent="0.3">
      <c r="A22" s="396"/>
      <c r="B22" s="674" t="s">
        <v>364</v>
      </c>
      <c r="C22" s="674"/>
      <c r="D22" s="674"/>
      <c r="E22" s="674" t="s">
        <v>365</v>
      </c>
      <c r="F22" s="674"/>
      <c r="G22" s="674"/>
    </row>
    <row r="23" spans="1:7" x14ac:dyDescent="0.3">
      <c r="A23" s="454" t="s">
        <v>366</v>
      </c>
      <c r="B23" s="433" t="s">
        <v>344</v>
      </c>
      <c r="C23" s="433" t="s">
        <v>345</v>
      </c>
      <c r="D23" s="433" t="s">
        <v>367</v>
      </c>
      <c r="E23" s="433" t="s">
        <v>368</v>
      </c>
      <c r="F23" s="433" t="s">
        <v>369</v>
      </c>
      <c r="G23" s="433" t="s">
        <v>370</v>
      </c>
    </row>
    <row r="24" spans="1:7" x14ac:dyDescent="0.3">
      <c r="A24" s="454">
        <v>1</v>
      </c>
      <c r="B24" s="434">
        <v>32.700000000000003</v>
      </c>
      <c r="C24" s="434">
        <v>66.3</v>
      </c>
      <c r="D24" s="434">
        <v>79.2</v>
      </c>
      <c r="E24" s="434">
        <v>50.7</v>
      </c>
      <c r="F24" s="434">
        <v>66.599999999999994</v>
      </c>
      <c r="G24" s="434">
        <v>119.5</v>
      </c>
    </row>
    <row r="25" spans="1:7" x14ac:dyDescent="0.3">
      <c r="A25" s="454">
        <v>2</v>
      </c>
      <c r="B25" s="434">
        <v>15.9</v>
      </c>
      <c r="C25" s="434">
        <v>53.9</v>
      </c>
      <c r="D25" s="434">
        <v>87.7</v>
      </c>
      <c r="E25" s="434">
        <v>30.5</v>
      </c>
      <c r="F25" s="434">
        <v>71</v>
      </c>
      <c r="G25" s="434">
        <v>113.6</v>
      </c>
    </row>
    <row r="26" spans="1:7" x14ac:dyDescent="0.3">
      <c r="A26" s="454">
        <v>3</v>
      </c>
      <c r="B26" s="434">
        <v>21.8</v>
      </c>
      <c r="C26" s="434">
        <v>59.7</v>
      </c>
      <c r="D26" s="434">
        <v>75.599999999999994</v>
      </c>
      <c r="E26" s="434">
        <v>37.6</v>
      </c>
      <c r="F26" s="434">
        <v>62.4</v>
      </c>
      <c r="G26" s="434">
        <v>95.2</v>
      </c>
    </row>
    <row r="27" spans="1:7" x14ac:dyDescent="0.3">
      <c r="A27" s="454">
        <v>4</v>
      </c>
      <c r="B27" s="434">
        <v>22.8</v>
      </c>
      <c r="C27" s="434">
        <v>55</v>
      </c>
      <c r="D27" s="434">
        <v>77.5</v>
      </c>
      <c r="E27" s="434">
        <v>41.4</v>
      </c>
      <c r="F27" s="434">
        <v>76.3</v>
      </c>
      <c r="G27" s="434">
        <v>108.7</v>
      </c>
    </row>
    <row r="28" spans="1:7" x14ac:dyDescent="0.3">
      <c r="A28" s="454">
        <v>5</v>
      </c>
      <c r="B28" s="434">
        <v>27.1</v>
      </c>
      <c r="C28" s="434">
        <v>39.299999999999997</v>
      </c>
      <c r="D28" s="434">
        <v>86</v>
      </c>
      <c r="E28" s="434">
        <v>55.3</v>
      </c>
      <c r="F28" s="434">
        <v>62.1</v>
      </c>
      <c r="G28" s="434">
        <v>105.5</v>
      </c>
    </row>
    <row r="29" spans="1:7" x14ac:dyDescent="0.3">
      <c r="A29" s="454">
        <v>6</v>
      </c>
      <c r="B29" s="434">
        <v>30.4</v>
      </c>
      <c r="C29" s="434">
        <v>57.9</v>
      </c>
      <c r="D29" s="434">
        <v>94.4</v>
      </c>
      <c r="E29" s="434">
        <v>47.2</v>
      </c>
      <c r="F29" s="434">
        <v>75.3</v>
      </c>
      <c r="G29" s="434">
        <v>85.6</v>
      </c>
    </row>
    <row r="30" spans="1:7" x14ac:dyDescent="0.3">
      <c r="A30" s="454">
        <v>7</v>
      </c>
      <c r="B30" s="434">
        <v>36.700000000000003</v>
      </c>
      <c r="C30" s="434">
        <v>44.5</v>
      </c>
      <c r="D30" s="434">
        <v>94.5</v>
      </c>
      <c r="E30" s="434">
        <v>57.4</v>
      </c>
      <c r="F30" s="434">
        <v>79.900000000000006</v>
      </c>
      <c r="G30" s="434">
        <v>109.9</v>
      </c>
    </row>
    <row r="31" spans="1:7" x14ac:dyDescent="0.3">
      <c r="A31" s="454">
        <v>8</v>
      </c>
      <c r="B31" s="434">
        <v>19.3</v>
      </c>
      <c r="C31" s="434">
        <v>68.2</v>
      </c>
      <c r="D31" s="434">
        <v>92.2</v>
      </c>
      <c r="E31" s="434"/>
      <c r="F31" s="434">
        <v>65.900000000000006</v>
      </c>
      <c r="G31" s="434">
        <v>85.5</v>
      </c>
    </row>
    <row r="32" spans="1:7" x14ac:dyDescent="0.3">
      <c r="A32" s="454">
        <v>9</v>
      </c>
      <c r="B32" s="434">
        <v>26.8</v>
      </c>
      <c r="C32" s="434">
        <v>42.3</v>
      </c>
      <c r="D32" s="434">
        <v>79.900000000000006</v>
      </c>
      <c r="E32" s="434"/>
      <c r="F32" s="434">
        <v>78.5</v>
      </c>
      <c r="G32" s="434">
        <v>93.7</v>
      </c>
    </row>
    <row r="33" spans="1:7" x14ac:dyDescent="0.3">
      <c r="A33" s="454">
        <v>10</v>
      </c>
      <c r="B33" s="434">
        <v>19.600000000000001</v>
      </c>
      <c r="C33" s="434">
        <v>49.5</v>
      </c>
      <c r="D33" s="434">
        <v>102.3</v>
      </c>
      <c r="E33" s="434"/>
      <c r="F33" s="434">
        <v>71.900000000000006</v>
      </c>
      <c r="G33" s="434">
        <v>89.5</v>
      </c>
    </row>
    <row r="34" spans="1:7" x14ac:dyDescent="0.3">
      <c r="A34" s="454">
        <v>11</v>
      </c>
      <c r="B34" s="434">
        <v>21.9</v>
      </c>
      <c r="C34" s="434">
        <v>65.8</v>
      </c>
      <c r="D34" s="434">
        <v>83.2</v>
      </c>
      <c r="E34" s="434"/>
      <c r="F34" s="434">
        <v>68.599999999999994</v>
      </c>
      <c r="G34" s="434">
        <v>102</v>
      </c>
    </row>
    <row r="35" spans="1:7" x14ac:dyDescent="0.3">
      <c r="A35" s="454">
        <v>12</v>
      </c>
      <c r="B35" s="434">
        <v>32.299999999999997</v>
      </c>
      <c r="C35" s="434">
        <v>37.9</v>
      </c>
      <c r="D35" s="434">
        <v>77.900000000000006</v>
      </c>
      <c r="E35" s="434"/>
      <c r="F35" s="434"/>
      <c r="G35" s="434">
        <v>110.9</v>
      </c>
    </row>
    <row r="36" spans="1:7" x14ac:dyDescent="0.3">
      <c r="A36" s="454">
        <v>13</v>
      </c>
      <c r="B36" s="434">
        <v>20.100000000000001</v>
      </c>
      <c r="C36" s="434">
        <v>38.1</v>
      </c>
      <c r="D36" s="434">
        <v>78.099999999999994</v>
      </c>
      <c r="E36" s="434"/>
      <c r="F36" s="434"/>
      <c r="G36" s="434"/>
    </row>
    <row r="37" spans="1:7" x14ac:dyDescent="0.3">
      <c r="A37" s="454">
        <v>14</v>
      </c>
      <c r="B37" s="434"/>
      <c r="C37" s="434">
        <v>56.1</v>
      </c>
      <c r="D37" s="434">
        <v>92.5</v>
      </c>
      <c r="E37" s="434"/>
      <c r="F37" s="434"/>
      <c r="G37" s="434"/>
    </row>
    <row r="38" spans="1:7" x14ac:dyDescent="0.3">
      <c r="A38" s="454">
        <v>15</v>
      </c>
      <c r="B38" s="434"/>
      <c r="C38" s="434">
        <v>41</v>
      </c>
      <c r="D38" s="434">
        <v>80.099999999999994</v>
      </c>
      <c r="E38" s="434"/>
      <c r="F38" s="434"/>
      <c r="G38" s="434"/>
    </row>
    <row r="39" spans="1:7" x14ac:dyDescent="0.3">
      <c r="A39" s="670" t="s">
        <v>356</v>
      </c>
      <c r="B39" s="670"/>
      <c r="C39" s="670"/>
      <c r="D39" s="663"/>
      <c r="E39" s="670"/>
      <c r="F39" s="670"/>
      <c r="G39" s="670"/>
    </row>
    <row r="40" spans="1:7" x14ac:dyDescent="0.3">
      <c r="A40" s="396"/>
      <c r="B40" s="674" t="s">
        <v>364</v>
      </c>
      <c r="C40" s="674"/>
      <c r="D40" s="674"/>
      <c r="E40" s="674" t="s">
        <v>365</v>
      </c>
      <c r="F40" s="674"/>
      <c r="G40" s="674"/>
    </row>
    <row r="41" spans="1:7" x14ac:dyDescent="0.3">
      <c r="A41" s="454" t="s">
        <v>366</v>
      </c>
      <c r="B41" s="433" t="s">
        <v>344</v>
      </c>
      <c r="C41" s="433" t="s">
        <v>345</v>
      </c>
      <c r="D41" s="433" t="s">
        <v>367</v>
      </c>
      <c r="E41" s="433" t="s">
        <v>368</v>
      </c>
      <c r="F41" s="433" t="s">
        <v>369</v>
      </c>
      <c r="G41" s="433" t="s">
        <v>370</v>
      </c>
    </row>
    <row r="42" spans="1:7" x14ac:dyDescent="0.3">
      <c r="A42" s="454">
        <v>1</v>
      </c>
      <c r="B42" s="434">
        <v>28.7</v>
      </c>
      <c r="C42" s="434">
        <v>49.3</v>
      </c>
      <c r="D42" s="434">
        <v>73.2</v>
      </c>
      <c r="E42" s="434">
        <v>47.9</v>
      </c>
      <c r="F42" s="434">
        <v>64.7</v>
      </c>
      <c r="G42" s="434">
        <v>88.4</v>
      </c>
    </row>
    <row r="43" spans="1:7" x14ac:dyDescent="0.3">
      <c r="A43" s="454">
        <v>2</v>
      </c>
      <c r="B43" s="434">
        <v>21.9</v>
      </c>
      <c r="C43" s="434">
        <v>50.8</v>
      </c>
      <c r="D43" s="434">
        <v>84.7</v>
      </c>
      <c r="E43" s="434">
        <v>44.5</v>
      </c>
      <c r="F43" s="434">
        <v>72.5</v>
      </c>
      <c r="G43" s="434">
        <v>88.4</v>
      </c>
    </row>
    <row r="44" spans="1:7" x14ac:dyDescent="0.3">
      <c r="A44" s="454">
        <v>3</v>
      </c>
      <c r="B44" s="434">
        <v>29</v>
      </c>
      <c r="C44" s="434">
        <v>49.2</v>
      </c>
      <c r="D44" s="434">
        <v>70.599999999999994</v>
      </c>
      <c r="E44" s="434">
        <v>38.1</v>
      </c>
      <c r="F44" s="434">
        <v>75.5</v>
      </c>
      <c r="G44" s="434">
        <v>119.8</v>
      </c>
    </row>
    <row r="45" spans="1:7" x14ac:dyDescent="0.3">
      <c r="A45" s="454">
        <v>4</v>
      </c>
      <c r="B45" s="434">
        <v>16</v>
      </c>
      <c r="C45" s="434">
        <v>38.5</v>
      </c>
      <c r="D45" s="434">
        <v>91.6</v>
      </c>
      <c r="E45" s="434">
        <v>26.1</v>
      </c>
      <c r="F45" s="434">
        <v>62.8</v>
      </c>
      <c r="G45" s="434">
        <v>100.7</v>
      </c>
    </row>
    <row r="46" spans="1:7" x14ac:dyDescent="0.3">
      <c r="A46" s="454">
        <v>5</v>
      </c>
      <c r="B46" s="434">
        <v>35.299999999999997</v>
      </c>
      <c r="C46" s="434">
        <v>51.8</v>
      </c>
      <c r="D46" s="434">
        <v>70.2</v>
      </c>
      <c r="E46" s="434">
        <v>52.9</v>
      </c>
      <c r="F46" s="434">
        <v>65.099999999999994</v>
      </c>
      <c r="G46" s="434">
        <v>89.5</v>
      </c>
    </row>
    <row r="47" spans="1:7" x14ac:dyDescent="0.3">
      <c r="A47" s="454">
        <v>6</v>
      </c>
      <c r="B47" s="434">
        <v>22.7</v>
      </c>
      <c r="C47" s="434">
        <v>60.4</v>
      </c>
      <c r="D47" s="434">
        <v>100.7</v>
      </c>
      <c r="E47" s="434">
        <v>48</v>
      </c>
      <c r="F47" s="434">
        <v>65.3</v>
      </c>
      <c r="G47" s="434">
        <v>105.7</v>
      </c>
    </row>
    <row r="48" spans="1:7" x14ac:dyDescent="0.3">
      <c r="A48" s="454">
        <v>7</v>
      </c>
      <c r="B48" s="434">
        <v>20.2</v>
      </c>
      <c r="C48" s="434">
        <v>56.7</v>
      </c>
      <c r="D48" s="434">
        <v>76.400000000000006</v>
      </c>
      <c r="E48" s="434">
        <v>55.8</v>
      </c>
      <c r="F48" s="434">
        <v>70.7</v>
      </c>
      <c r="G48" s="434">
        <v>109.4</v>
      </c>
    </row>
    <row r="49" spans="1:7" x14ac:dyDescent="0.3">
      <c r="A49" s="454">
        <v>8</v>
      </c>
      <c r="B49" s="434">
        <v>24.5</v>
      </c>
      <c r="C49" s="434">
        <v>55.9</v>
      </c>
      <c r="D49" s="434">
        <v>95.4</v>
      </c>
      <c r="E49" s="434"/>
      <c r="F49" s="434">
        <v>75.099999999999994</v>
      </c>
      <c r="G49" s="434">
        <v>100.8</v>
      </c>
    </row>
    <row r="50" spans="1:7" x14ac:dyDescent="0.3">
      <c r="A50" s="454">
        <v>9</v>
      </c>
      <c r="B50" s="434">
        <v>36</v>
      </c>
      <c r="C50" s="434">
        <v>38.799999999999997</v>
      </c>
      <c r="D50" s="434">
        <v>94.6</v>
      </c>
      <c r="E50" s="434"/>
      <c r="F50" s="434">
        <v>60.3</v>
      </c>
      <c r="G50" s="434">
        <v>111</v>
      </c>
    </row>
    <row r="51" spans="1:7" x14ac:dyDescent="0.3">
      <c r="A51" s="454">
        <v>10</v>
      </c>
      <c r="B51" s="434">
        <v>27.8</v>
      </c>
      <c r="C51" s="434">
        <v>46.3</v>
      </c>
      <c r="D51" s="434">
        <v>75.2</v>
      </c>
      <c r="E51" s="434"/>
      <c r="F51" s="434">
        <v>62.6</v>
      </c>
      <c r="G51" s="434">
        <v>93.3</v>
      </c>
    </row>
    <row r="52" spans="1:7" x14ac:dyDescent="0.3">
      <c r="A52" s="454">
        <v>11</v>
      </c>
      <c r="B52" s="434">
        <v>31.8</v>
      </c>
      <c r="C52" s="434">
        <v>56.7</v>
      </c>
      <c r="D52" s="434">
        <v>69.3</v>
      </c>
      <c r="E52" s="434"/>
      <c r="F52" s="434">
        <v>65.099999999999994</v>
      </c>
      <c r="G52" s="434">
        <v>95.6</v>
      </c>
    </row>
    <row r="53" spans="1:7" x14ac:dyDescent="0.3">
      <c r="A53" s="454">
        <v>12</v>
      </c>
      <c r="B53" s="434">
        <v>33.200000000000003</v>
      </c>
      <c r="C53" s="434">
        <v>36.9</v>
      </c>
      <c r="D53" s="434">
        <v>85</v>
      </c>
      <c r="E53" s="434"/>
      <c r="F53" s="434">
        <v>73.599999999999994</v>
      </c>
      <c r="G53" s="434">
        <v>100.7</v>
      </c>
    </row>
    <row r="54" spans="1:7" x14ac:dyDescent="0.3">
      <c r="A54" s="454">
        <v>13</v>
      </c>
      <c r="B54" s="434">
        <v>30.1</v>
      </c>
      <c r="C54" s="434">
        <v>62.7</v>
      </c>
      <c r="D54" s="434">
        <v>83.3</v>
      </c>
      <c r="E54" s="434"/>
      <c r="F54" s="434"/>
      <c r="G54" s="434">
        <v>98.5</v>
      </c>
    </row>
    <row r="55" spans="1:7" x14ac:dyDescent="0.3">
      <c r="A55" s="454">
        <v>14</v>
      </c>
      <c r="B55" s="434">
        <v>28.8</v>
      </c>
      <c r="C55" s="434">
        <v>44.9</v>
      </c>
      <c r="D55" s="434">
        <v>72.900000000000006</v>
      </c>
      <c r="E55" s="434"/>
      <c r="F55" s="434"/>
      <c r="G55" s="434">
        <v>93.6</v>
      </c>
    </row>
    <row r="56" spans="1:7" x14ac:dyDescent="0.3">
      <c r="A56" s="454">
        <v>15</v>
      </c>
      <c r="B56" s="434"/>
      <c r="C56" s="434"/>
      <c r="D56" s="434">
        <v>76.599999999999994</v>
      </c>
      <c r="E56" s="434"/>
      <c r="F56" s="434"/>
      <c r="G56" s="434"/>
    </row>
    <row r="57" spans="1:7" x14ac:dyDescent="0.3">
      <c r="A57" s="670" t="s">
        <v>357</v>
      </c>
      <c r="B57" s="670"/>
      <c r="C57" s="670"/>
      <c r="D57" s="663"/>
      <c r="E57" s="670"/>
      <c r="F57" s="670"/>
      <c r="G57" s="670"/>
    </row>
    <row r="58" spans="1:7" x14ac:dyDescent="0.3">
      <c r="A58" s="396"/>
      <c r="B58" s="674" t="s">
        <v>364</v>
      </c>
      <c r="C58" s="674"/>
      <c r="D58" s="674"/>
      <c r="E58" s="674" t="s">
        <v>365</v>
      </c>
      <c r="F58" s="674"/>
      <c r="G58" s="674"/>
    </row>
    <row r="59" spans="1:7" x14ac:dyDescent="0.3">
      <c r="A59" s="454" t="s">
        <v>366</v>
      </c>
      <c r="B59" s="433" t="s">
        <v>344</v>
      </c>
      <c r="C59" s="433" t="s">
        <v>345</v>
      </c>
      <c r="D59" s="433" t="s">
        <v>367</v>
      </c>
      <c r="E59" s="433" t="s">
        <v>368</v>
      </c>
      <c r="F59" s="433" t="s">
        <v>369</v>
      </c>
      <c r="G59" s="433" t="s">
        <v>370</v>
      </c>
    </row>
    <row r="60" spans="1:7" x14ac:dyDescent="0.3">
      <c r="A60" s="454">
        <v>1</v>
      </c>
      <c r="B60" s="434">
        <v>34.6</v>
      </c>
      <c r="C60" s="434">
        <v>67.599999999999994</v>
      </c>
      <c r="D60" s="434">
        <v>80.900000000000006</v>
      </c>
      <c r="E60" s="434">
        <v>34.700000000000003</v>
      </c>
      <c r="F60" s="434">
        <v>76.3</v>
      </c>
      <c r="G60" s="434">
        <v>83.4</v>
      </c>
    </row>
    <row r="61" spans="1:7" x14ac:dyDescent="0.3">
      <c r="A61" s="454">
        <v>2</v>
      </c>
      <c r="B61" s="434">
        <v>17</v>
      </c>
      <c r="C61" s="434">
        <v>48.6</v>
      </c>
      <c r="D61" s="434">
        <v>102.8</v>
      </c>
      <c r="E61" s="434">
        <v>28.9</v>
      </c>
      <c r="F61" s="434">
        <v>77.7</v>
      </c>
      <c r="G61" s="434">
        <v>118.7</v>
      </c>
    </row>
    <row r="62" spans="1:7" x14ac:dyDescent="0.3">
      <c r="A62" s="454">
        <v>3</v>
      </c>
      <c r="B62" s="434">
        <v>26.3</v>
      </c>
      <c r="C62" s="434">
        <v>53.3</v>
      </c>
      <c r="D62" s="434">
        <v>84.2</v>
      </c>
      <c r="E62" s="434">
        <v>29.4</v>
      </c>
      <c r="F62" s="434">
        <v>79.3</v>
      </c>
      <c r="G62" s="434">
        <v>80.2</v>
      </c>
    </row>
    <row r="63" spans="1:7" x14ac:dyDescent="0.3">
      <c r="A63" s="454">
        <v>4</v>
      </c>
      <c r="B63" s="434">
        <v>18</v>
      </c>
      <c r="C63" s="434">
        <v>58.5</v>
      </c>
      <c r="D63" s="434">
        <v>76.7</v>
      </c>
      <c r="E63" s="434">
        <v>56.4</v>
      </c>
      <c r="F63" s="434">
        <v>65.2</v>
      </c>
      <c r="G63" s="434">
        <v>111.6</v>
      </c>
    </row>
    <row r="64" spans="1:7" x14ac:dyDescent="0.3">
      <c r="A64" s="454">
        <v>5</v>
      </c>
      <c r="B64" s="434">
        <v>18.7</v>
      </c>
      <c r="C64" s="434">
        <v>45.9</v>
      </c>
      <c r="D64" s="434">
        <v>99.6</v>
      </c>
      <c r="E64" s="434"/>
      <c r="F64" s="434">
        <v>75.8</v>
      </c>
      <c r="G64" s="434">
        <v>96</v>
      </c>
    </row>
    <row r="65" spans="1:7" x14ac:dyDescent="0.3">
      <c r="A65" s="454">
        <v>6</v>
      </c>
      <c r="B65" s="434">
        <v>27.8</v>
      </c>
      <c r="C65" s="434">
        <v>46</v>
      </c>
      <c r="D65" s="434">
        <v>92.4</v>
      </c>
      <c r="E65" s="434"/>
      <c r="F65" s="434"/>
      <c r="G65" s="434">
        <v>98.3</v>
      </c>
    </row>
    <row r="66" spans="1:7" x14ac:dyDescent="0.3">
      <c r="A66" s="454">
        <v>7</v>
      </c>
      <c r="B66" s="434">
        <v>18.399999999999999</v>
      </c>
      <c r="C66" s="434">
        <v>45.4</v>
      </c>
      <c r="D66" s="434">
        <v>92.8</v>
      </c>
      <c r="E66" s="434"/>
      <c r="F66" s="434"/>
      <c r="G66" s="434"/>
    </row>
    <row r="67" spans="1:7" x14ac:dyDescent="0.3">
      <c r="A67" s="454">
        <v>8</v>
      </c>
      <c r="B67" s="434">
        <v>30.4</v>
      </c>
      <c r="C67" s="434">
        <v>44.9</v>
      </c>
      <c r="D67" s="434">
        <v>85.4</v>
      </c>
      <c r="E67" s="434"/>
      <c r="F67" s="434"/>
      <c r="G67" s="434"/>
    </row>
    <row r="68" spans="1:7" x14ac:dyDescent="0.3">
      <c r="A68" s="454">
        <v>9</v>
      </c>
      <c r="B68" s="434">
        <v>22.2</v>
      </c>
      <c r="C68" s="434"/>
      <c r="D68" s="434">
        <v>100.5</v>
      </c>
      <c r="E68" s="433"/>
      <c r="F68" s="434"/>
      <c r="G68" s="434"/>
    </row>
    <row r="69" spans="1:7" x14ac:dyDescent="0.3">
      <c r="A69" s="670" t="s">
        <v>358</v>
      </c>
      <c r="B69" s="670"/>
      <c r="C69" s="670"/>
      <c r="D69" s="663"/>
      <c r="E69" s="670"/>
      <c r="F69" s="670"/>
      <c r="G69" s="670"/>
    </row>
    <row r="70" spans="1:7" x14ac:dyDescent="0.3">
      <c r="A70" s="396"/>
      <c r="B70" s="674" t="s">
        <v>364</v>
      </c>
      <c r="C70" s="674"/>
      <c r="D70" s="674"/>
      <c r="E70" s="674" t="s">
        <v>365</v>
      </c>
      <c r="F70" s="674"/>
      <c r="G70" s="674"/>
    </row>
    <row r="71" spans="1:7" x14ac:dyDescent="0.3">
      <c r="A71" s="454" t="s">
        <v>366</v>
      </c>
      <c r="B71" s="433" t="s">
        <v>344</v>
      </c>
      <c r="C71" s="433" t="s">
        <v>345</v>
      </c>
      <c r="D71" s="433" t="s">
        <v>367</v>
      </c>
      <c r="E71" s="433" t="s">
        <v>368</v>
      </c>
      <c r="F71" s="433" t="s">
        <v>369</v>
      </c>
      <c r="G71" s="433" t="s">
        <v>370</v>
      </c>
    </row>
    <row r="72" spans="1:7" x14ac:dyDescent="0.3">
      <c r="A72" s="454">
        <v>1</v>
      </c>
      <c r="B72" s="434">
        <v>32.799999999999997</v>
      </c>
      <c r="C72" s="434">
        <v>50.8</v>
      </c>
      <c r="D72" s="434">
        <v>76.5</v>
      </c>
      <c r="E72" s="434">
        <v>54.8</v>
      </c>
      <c r="F72" s="434">
        <v>78.8</v>
      </c>
      <c r="G72" s="434">
        <v>110.9</v>
      </c>
    </row>
    <row r="73" spans="1:7" x14ac:dyDescent="0.3">
      <c r="A73" s="454">
        <v>2</v>
      </c>
      <c r="B73" s="434">
        <v>21</v>
      </c>
      <c r="C73" s="434">
        <v>66.8</v>
      </c>
      <c r="D73" s="434">
        <v>102</v>
      </c>
      <c r="E73" s="434">
        <v>37.9</v>
      </c>
      <c r="F73" s="434">
        <v>61.8</v>
      </c>
      <c r="G73" s="434">
        <v>85.9</v>
      </c>
    </row>
    <row r="74" spans="1:7" x14ac:dyDescent="0.3">
      <c r="A74" s="454">
        <v>3</v>
      </c>
      <c r="B74" s="434">
        <v>29.5</v>
      </c>
      <c r="C74" s="434">
        <v>55.8</v>
      </c>
      <c r="D74" s="434">
        <v>72.7</v>
      </c>
      <c r="E74" s="434">
        <v>30.1</v>
      </c>
      <c r="F74" s="434">
        <v>65.400000000000006</v>
      </c>
      <c r="G74" s="434">
        <v>111.7</v>
      </c>
    </row>
    <row r="75" spans="1:7" x14ac:dyDescent="0.3">
      <c r="A75" s="454">
        <v>4</v>
      </c>
      <c r="B75" s="434">
        <v>21.6</v>
      </c>
      <c r="C75" s="434">
        <v>38.9</v>
      </c>
      <c r="D75" s="434">
        <v>81.2</v>
      </c>
      <c r="E75" s="434">
        <v>30.9</v>
      </c>
      <c r="F75" s="434">
        <v>60.6</v>
      </c>
      <c r="G75" s="434">
        <v>116.4</v>
      </c>
    </row>
    <row r="76" spans="1:7" x14ac:dyDescent="0.3">
      <c r="A76" s="454">
        <v>5</v>
      </c>
      <c r="B76" s="434">
        <v>30.7</v>
      </c>
      <c r="C76" s="434">
        <v>61.5</v>
      </c>
      <c r="D76" s="434">
        <v>86.8</v>
      </c>
      <c r="E76" s="434">
        <v>28.3</v>
      </c>
      <c r="F76" s="434">
        <v>72.8</v>
      </c>
      <c r="G76" s="434">
        <v>105.2</v>
      </c>
    </row>
    <row r="77" spans="1:7" x14ac:dyDescent="0.3">
      <c r="A77" s="454">
        <v>6</v>
      </c>
      <c r="B77" s="434">
        <v>18.3</v>
      </c>
      <c r="C77" s="434">
        <v>46.1</v>
      </c>
      <c r="D77" s="434">
        <v>90.4</v>
      </c>
      <c r="E77" s="434">
        <v>46.8</v>
      </c>
      <c r="F77" s="434">
        <v>62.7</v>
      </c>
      <c r="G77" s="434">
        <v>84.2</v>
      </c>
    </row>
    <row r="78" spans="1:7" x14ac:dyDescent="0.3">
      <c r="A78" s="454">
        <v>7</v>
      </c>
      <c r="B78" s="434">
        <v>32.200000000000003</v>
      </c>
      <c r="C78" s="434">
        <v>57.3</v>
      </c>
      <c r="D78" s="434">
        <v>71.599999999999994</v>
      </c>
      <c r="E78" s="434">
        <v>26.8</v>
      </c>
      <c r="F78" s="434">
        <v>77.7</v>
      </c>
      <c r="G78" s="434">
        <v>100</v>
      </c>
    </row>
    <row r="79" spans="1:7" x14ac:dyDescent="0.3">
      <c r="A79" s="454">
        <v>8</v>
      </c>
      <c r="B79" s="434">
        <v>21</v>
      </c>
      <c r="C79" s="434">
        <v>41.3</v>
      </c>
      <c r="D79" s="434">
        <v>72.8</v>
      </c>
      <c r="E79" s="434">
        <v>41.6</v>
      </c>
      <c r="F79" s="434">
        <v>78.2</v>
      </c>
      <c r="G79" s="434">
        <v>87.8</v>
      </c>
    </row>
    <row r="80" spans="1:7" x14ac:dyDescent="0.3">
      <c r="A80" s="454">
        <v>9</v>
      </c>
      <c r="B80" s="434">
        <v>32.700000000000003</v>
      </c>
      <c r="C80" s="434">
        <v>53.6</v>
      </c>
      <c r="D80" s="434">
        <v>79.900000000000006</v>
      </c>
      <c r="E80" s="434">
        <v>52.7</v>
      </c>
      <c r="F80" s="434">
        <v>77</v>
      </c>
      <c r="G80" s="434">
        <v>82.6</v>
      </c>
    </row>
    <row r="81" spans="1:7" x14ac:dyDescent="0.3">
      <c r="A81" s="454">
        <v>10</v>
      </c>
      <c r="B81" s="434">
        <v>25.7</v>
      </c>
      <c r="C81" s="434">
        <v>56.9</v>
      </c>
      <c r="D81" s="434">
        <v>94.5</v>
      </c>
      <c r="E81" s="434">
        <v>30.4</v>
      </c>
      <c r="F81" s="434">
        <v>76</v>
      </c>
      <c r="G81" s="434">
        <v>101.1</v>
      </c>
    </row>
    <row r="82" spans="1:7" x14ac:dyDescent="0.3">
      <c r="A82" s="454">
        <v>11</v>
      </c>
      <c r="B82" s="434">
        <v>25.6</v>
      </c>
      <c r="C82" s="434">
        <v>44.2</v>
      </c>
      <c r="D82" s="434">
        <v>88.6</v>
      </c>
      <c r="E82" s="434"/>
      <c r="F82" s="434">
        <v>63.6</v>
      </c>
      <c r="G82" s="434">
        <v>84.2</v>
      </c>
    </row>
    <row r="83" spans="1:7" x14ac:dyDescent="0.3">
      <c r="A83" s="454">
        <v>12</v>
      </c>
      <c r="B83" s="434">
        <v>22.1</v>
      </c>
      <c r="C83" s="434">
        <v>62.6</v>
      </c>
      <c r="D83" s="434">
        <v>82.4</v>
      </c>
      <c r="E83" s="434"/>
      <c r="F83" s="434">
        <v>67.8</v>
      </c>
      <c r="G83" s="434">
        <v>105.7</v>
      </c>
    </row>
    <row r="84" spans="1:7" x14ac:dyDescent="0.3">
      <c r="A84" s="454">
        <v>13</v>
      </c>
      <c r="B84" s="434">
        <v>22.8</v>
      </c>
      <c r="C84" s="434">
        <v>51.8</v>
      </c>
      <c r="D84" s="434">
        <v>88.4</v>
      </c>
      <c r="E84" s="434"/>
      <c r="F84" s="434">
        <v>77.3</v>
      </c>
      <c r="G84" s="434">
        <v>111</v>
      </c>
    </row>
    <row r="85" spans="1:7" x14ac:dyDescent="0.3">
      <c r="A85" s="454">
        <v>14</v>
      </c>
      <c r="B85" s="434">
        <v>35.1</v>
      </c>
      <c r="C85" s="434">
        <v>67.2</v>
      </c>
      <c r="D85" s="434">
        <v>81.400000000000006</v>
      </c>
      <c r="E85" s="434"/>
      <c r="F85" s="434">
        <v>70.8</v>
      </c>
      <c r="G85" s="434">
        <v>88.3</v>
      </c>
    </row>
    <row r="86" spans="1:7" x14ac:dyDescent="0.3">
      <c r="A86" s="454">
        <v>15</v>
      </c>
      <c r="B86" s="434">
        <v>33.1</v>
      </c>
      <c r="C86" s="434">
        <v>68.3</v>
      </c>
      <c r="D86" s="434">
        <v>76.2</v>
      </c>
      <c r="E86" s="434"/>
      <c r="F86" s="434"/>
      <c r="G86" s="434">
        <v>98</v>
      </c>
    </row>
    <row r="87" spans="1:7" x14ac:dyDescent="0.3">
      <c r="A87" s="454">
        <v>16</v>
      </c>
      <c r="B87" s="434"/>
      <c r="C87" s="434">
        <v>60</v>
      </c>
      <c r="D87" s="434">
        <v>83.4</v>
      </c>
      <c r="E87" s="434"/>
      <c r="F87" s="434"/>
      <c r="G87" s="434">
        <v>91.1</v>
      </c>
    </row>
    <row r="88" spans="1:7" x14ac:dyDescent="0.3">
      <c r="A88" s="454">
        <v>17</v>
      </c>
      <c r="B88" s="434"/>
      <c r="C88" s="434">
        <v>60.5</v>
      </c>
      <c r="D88" s="434">
        <v>71</v>
      </c>
      <c r="E88" s="434"/>
      <c r="F88" s="434"/>
      <c r="G88" s="434">
        <v>90.4</v>
      </c>
    </row>
    <row r="89" spans="1:7" x14ac:dyDescent="0.3">
      <c r="A89" s="454">
        <v>18</v>
      </c>
      <c r="B89" s="434"/>
      <c r="C89" s="434">
        <v>64.8</v>
      </c>
      <c r="D89" s="434">
        <v>83.5</v>
      </c>
      <c r="E89" s="438"/>
      <c r="F89" s="438"/>
      <c r="G89" s="438"/>
    </row>
    <row r="90" spans="1:7" x14ac:dyDescent="0.3">
      <c r="A90" s="454">
        <v>19</v>
      </c>
      <c r="B90" s="434"/>
      <c r="C90" s="434">
        <v>50.7</v>
      </c>
      <c r="D90" s="434"/>
      <c r="E90" s="438"/>
      <c r="F90" s="438"/>
      <c r="G90" s="438"/>
    </row>
    <row r="91" spans="1:7" x14ac:dyDescent="0.3">
      <c r="A91" s="670" t="s">
        <v>359</v>
      </c>
      <c r="B91" s="670"/>
      <c r="C91" s="670"/>
      <c r="D91" s="663"/>
      <c r="E91" s="670"/>
      <c r="F91" s="670"/>
      <c r="G91" s="670"/>
    </row>
    <row r="92" spans="1:7" x14ac:dyDescent="0.3">
      <c r="A92" s="396"/>
      <c r="B92" s="674" t="s">
        <v>364</v>
      </c>
      <c r="C92" s="674"/>
      <c r="D92" s="674"/>
      <c r="E92" s="674" t="s">
        <v>365</v>
      </c>
      <c r="F92" s="674"/>
      <c r="G92" s="674"/>
    </row>
    <row r="93" spans="1:7" x14ac:dyDescent="0.3">
      <c r="A93" s="454" t="s">
        <v>366</v>
      </c>
      <c r="B93" s="433" t="s">
        <v>344</v>
      </c>
      <c r="C93" s="433" t="s">
        <v>345</v>
      </c>
      <c r="D93" s="433" t="s">
        <v>367</v>
      </c>
      <c r="E93" s="433" t="s">
        <v>368</v>
      </c>
      <c r="F93" s="433" t="s">
        <v>369</v>
      </c>
      <c r="G93" s="433" t="s">
        <v>370</v>
      </c>
    </row>
    <row r="94" spans="1:7" x14ac:dyDescent="0.3">
      <c r="A94" s="454">
        <v>1</v>
      </c>
      <c r="B94" s="434">
        <v>18.7</v>
      </c>
      <c r="C94" s="434">
        <v>54.9</v>
      </c>
      <c r="D94" s="434">
        <v>99.4</v>
      </c>
      <c r="E94" s="434">
        <v>47.5</v>
      </c>
      <c r="F94" s="434">
        <v>66.3</v>
      </c>
      <c r="G94" s="434">
        <v>103.4</v>
      </c>
    </row>
    <row r="95" spans="1:7" x14ac:dyDescent="0.3">
      <c r="A95" s="454">
        <v>2</v>
      </c>
      <c r="B95" s="434">
        <v>32.1</v>
      </c>
      <c r="C95" s="434">
        <v>64.400000000000006</v>
      </c>
      <c r="D95" s="434">
        <v>97.3</v>
      </c>
      <c r="E95" s="434">
        <v>31.4</v>
      </c>
      <c r="F95" s="434">
        <v>75.2</v>
      </c>
      <c r="G95" s="434">
        <v>94.9</v>
      </c>
    </row>
    <row r="96" spans="1:7" x14ac:dyDescent="0.3">
      <c r="A96" s="454">
        <v>3</v>
      </c>
      <c r="B96" s="434">
        <v>17</v>
      </c>
      <c r="C96" s="434">
        <v>65.3</v>
      </c>
      <c r="D96" s="434">
        <v>81.5</v>
      </c>
      <c r="E96" s="434">
        <v>53.5</v>
      </c>
      <c r="F96" s="434">
        <v>63.8</v>
      </c>
      <c r="G96" s="434">
        <v>89.4</v>
      </c>
    </row>
    <row r="97" spans="1:7" x14ac:dyDescent="0.3">
      <c r="A97" s="454">
        <v>4</v>
      </c>
      <c r="B97" s="434">
        <v>23.3</v>
      </c>
      <c r="C97" s="434">
        <v>55.3</v>
      </c>
      <c r="D97" s="434">
        <v>80.3</v>
      </c>
      <c r="E97" s="434">
        <v>51</v>
      </c>
      <c r="F97" s="434">
        <v>78.900000000000006</v>
      </c>
      <c r="G97" s="434">
        <v>85</v>
      </c>
    </row>
    <row r="98" spans="1:7" x14ac:dyDescent="0.3">
      <c r="A98" s="454">
        <v>5</v>
      </c>
      <c r="B98" s="434">
        <v>21</v>
      </c>
      <c r="C98" s="434">
        <v>42.9</v>
      </c>
      <c r="D98" s="434">
        <v>73.599999999999994</v>
      </c>
      <c r="E98" s="434">
        <v>57.9</v>
      </c>
      <c r="F98" s="434">
        <v>64.599999999999994</v>
      </c>
      <c r="G98" s="434">
        <v>111.7</v>
      </c>
    </row>
    <row r="99" spans="1:7" x14ac:dyDescent="0.3">
      <c r="A99" s="454">
        <v>6</v>
      </c>
      <c r="B99" s="434">
        <v>30.6</v>
      </c>
      <c r="C99" s="434">
        <v>47.9</v>
      </c>
      <c r="D99" s="434">
        <v>78.900000000000006</v>
      </c>
      <c r="E99" s="434">
        <v>40.799999999999997</v>
      </c>
      <c r="F99" s="434">
        <v>62.1</v>
      </c>
      <c r="G99" s="434">
        <v>88.1</v>
      </c>
    </row>
    <row r="100" spans="1:7" x14ac:dyDescent="0.3">
      <c r="A100" s="454">
        <v>7</v>
      </c>
      <c r="B100" s="434">
        <v>28.6</v>
      </c>
      <c r="C100" s="434">
        <v>56.2</v>
      </c>
      <c r="D100" s="434">
        <v>78.099999999999994</v>
      </c>
      <c r="E100" s="434">
        <v>40.700000000000003</v>
      </c>
      <c r="F100" s="434">
        <v>68.8</v>
      </c>
      <c r="G100" s="434">
        <v>99.5</v>
      </c>
    </row>
    <row r="101" spans="1:7" x14ac:dyDescent="0.3">
      <c r="A101" s="454">
        <v>8</v>
      </c>
      <c r="B101" s="434">
        <v>27.4</v>
      </c>
      <c r="C101" s="434">
        <v>50.7</v>
      </c>
      <c r="D101" s="434">
        <v>101.4</v>
      </c>
      <c r="E101" s="434">
        <v>40.299999999999997</v>
      </c>
      <c r="F101" s="434">
        <v>64.099999999999994</v>
      </c>
      <c r="G101" s="434">
        <v>109.4</v>
      </c>
    </row>
    <row r="102" spans="1:7" x14ac:dyDescent="0.3">
      <c r="A102" s="454">
        <v>9</v>
      </c>
      <c r="B102" s="434">
        <v>33.4</v>
      </c>
      <c r="C102" s="434">
        <v>63.5</v>
      </c>
      <c r="D102" s="434">
        <v>94.6</v>
      </c>
      <c r="E102" s="434"/>
      <c r="F102" s="434">
        <v>63</v>
      </c>
      <c r="G102" s="434">
        <v>100.2</v>
      </c>
    </row>
    <row r="103" spans="1:7" x14ac:dyDescent="0.3">
      <c r="A103" s="454">
        <v>10</v>
      </c>
      <c r="B103" s="434">
        <v>28.2</v>
      </c>
      <c r="C103" s="434">
        <v>55.1</v>
      </c>
      <c r="D103" s="434">
        <v>76.5</v>
      </c>
      <c r="E103" s="434"/>
      <c r="F103" s="434">
        <v>66.7</v>
      </c>
      <c r="G103" s="434">
        <v>108.5</v>
      </c>
    </row>
    <row r="104" spans="1:7" x14ac:dyDescent="0.3">
      <c r="A104" s="454">
        <v>11</v>
      </c>
      <c r="B104" s="434">
        <v>32.1</v>
      </c>
      <c r="C104" s="434">
        <v>65</v>
      </c>
      <c r="D104" s="434">
        <v>82.2</v>
      </c>
      <c r="E104" s="434"/>
      <c r="F104" s="434"/>
      <c r="G104" s="434">
        <v>111.7</v>
      </c>
    </row>
    <row r="105" spans="1:7" x14ac:dyDescent="0.3">
      <c r="A105" s="454">
        <v>12</v>
      </c>
      <c r="B105" s="434">
        <v>16.899999999999999</v>
      </c>
      <c r="C105" s="434">
        <v>51</v>
      </c>
      <c r="D105" s="434">
        <v>76.2</v>
      </c>
      <c r="E105" s="434"/>
      <c r="F105" s="434"/>
      <c r="G105" s="434">
        <v>98.4</v>
      </c>
    </row>
    <row r="106" spans="1:7" x14ac:dyDescent="0.3">
      <c r="A106" s="454">
        <v>13</v>
      </c>
      <c r="B106" s="434"/>
      <c r="C106" s="434">
        <v>53.1</v>
      </c>
      <c r="D106" s="434">
        <v>76.599999999999994</v>
      </c>
      <c r="E106" s="438"/>
      <c r="F106" s="438"/>
      <c r="G106" s="438"/>
    </row>
    <row r="107" spans="1:7" x14ac:dyDescent="0.3">
      <c r="A107" s="454">
        <v>14</v>
      </c>
      <c r="B107" s="434"/>
      <c r="C107" s="434">
        <v>51.8</v>
      </c>
      <c r="D107" s="434">
        <v>86.9</v>
      </c>
      <c r="E107" s="438"/>
      <c r="F107" s="438"/>
      <c r="G107" s="438"/>
    </row>
    <row r="108" spans="1:7" x14ac:dyDescent="0.3">
      <c r="A108" s="454">
        <v>15</v>
      </c>
      <c r="B108" s="434"/>
      <c r="C108" s="434">
        <v>40</v>
      </c>
      <c r="D108" s="434">
        <v>102.3</v>
      </c>
      <c r="E108" s="438"/>
      <c r="F108" s="438"/>
      <c r="G108" s="438"/>
    </row>
    <row r="109" spans="1:7" x14ac:dyDescent="0.3">
      <c r="A109" s="670" t="s">
        <v>360</v>
      </c>
      <c r="B109" s="670"/>
      <c r="C109" s="670"/>
      <c r="D109" s="663"/>
      <c r="E109" s="670"/>
      <c r="F109" s="670"/>
      <c r="G109" s="670"/>
    </row>
    <row r="110" spans="1:7" x14ac:dyDescent="0.3">
      <c r="A110" s="396"/>
      <c r="B110" s="674" t="s">
        <v>364</v>
      </c>
      <c r="C110" s="674"/>
      <c r="D110" s="674"/>
      <c r="E110" s="674" t="s">
        <v>365</v>
      </c>
      <c r="F110" s="674"/>
      <c r="G110" s="674"/>
    </row>
    <row r="111" spans="1:7" x14ac:dyDescent="0.3">
      <c r="A111" s="454" t="s">
        <v>366</v>
      </c>
      <c r="B111" s="433" t="s">
        <v>344</v>
      </c>
      <c r="C111" s="433" t="s">
        <v>345</v>
      </c>
      <c r="D111" s="433" t="s">
        <v>367</v>
      </c>
      <c r="E111" s="433" t="s">
        <v>368</v>
      </c>
      <c r="F111" s="433" t="s">
        <v>369</v>
      </c>
      <c r="G111" s="433" t="s">
        <v>370</v>
      </c>
    </row>
    <row r="112" spans="1:7" x14ac:dyDescent="0.3">
      <c r="A112" s="454">
        <v>1</v>
      </c>
      <c r="B112" s="434">
        <v>0</v>
      </c>
      <c r="C112" s="434">
        <v>0</v>
      </c>
      <c r="D112" s="434">
        <v>0</v>
      </c>
      <c r="E112" s="434">
        <v>30.9</v>
      </c>
      <c r="F112" s="434">
        <v>79.599999999999994</v>
      </c>
      <c r="G112" s="434">
        <v>106.7</v>
      </c>
    </row>
    <row r="113" spans="1:7" x14ac:dyDescent="0.3">
      <c r="A113" s="454">
        <v>2</v>
      </c>
      <c r="B113" s="434"/>
      <c r="C113" s="434"/>
      <c r="D113" s="434"/>
      <c r="E113" s="434">
        <v>59.3</v>
      </c>
      <c r="F113" s="434">
        <v>64.900000000000006</v>
      </c>
      <c r="G113" s="434">
        <v>106.5</v>
      </c>
    </row>
    <row r="114" spans="1:7" x14ac:dyDescent="0.3">
      <c r="A114" s="454">
        <v>3</v>
      </c>
      <c r="B114" s="434"/>
      <c r="C114" s="434"/>
      <c r="D114" s="434"/>
      <c r="E114" s="434">
        <v>51.6</v>
      </c>
      <c r="F114" s="434">
        <v>62.5</v>
      </c>
      <c r="G114" s="434">
        <v>93.2</v>
      </c>
    </row>
    <row r="115" spans="1:7" x14ac:dyDescent="0.3">
      <c r="A115" s="454">
        <v>4</v>
      </c>
      <c r="B115" s="434"/>
      <c r="C115" s="434"/>
      <c r="D115" s="434"/>
      <c r="E115" s="434"/>
      <c r="F115" s="434">
        <v>71.599999999999994</v>
      </c>
      <c r="G115" s="434">
        <v>102.5</v>
      </c>
    </row>
    <row r="116" spans="1:7" x14ac:dyDescent="0.3">
      <c r="A116" s="454">
        <v>5</v>
      </c>
      <c r="B116" s="434"/>
      <c r="C116" s="434"/>
      <c r="D116" s="434"/>
      <c r="E116" s="434"/>
      <c r="F116" s="434">
        <v>73.099999999999994</v>
      </c>
      <c r="G116" s="434">
        <v>85.4</v>
      </c>
    </row>
    <row r="117" spans="1:7" x14ac:dyDescent="0.3">
      <c r="A117" s="670" t="s">
        <v>361</v>
      </c>
      <c r="B117" s="670"/>
      <c r="C117" s="670"/>
      <c r="D117" s="663"/>
      <c r="E117" s="670"/>
      <c r="F117" s="670"/>
      <c r="G117" s="670"/>
    </row>
    <row r="118" spans="1:7" x14ac:dyDescent="0.3">
      <c r="A118" s="396"/>
      <c r="B118" s="674" t="s">
        <v>364</v>
      </c>
      <c r="C118" s="674"/>
      <c r="D118" s="674"/>
      <c r="E118" s="674" t="s">
        <v>365</v>
      </c>
      <c r="F118" s="674"/>
      <c r="G118" s="674"/>
    </row>
    <row r="119" spans="1:7" x14ac:dyDescent="0.3">
      <c r="A119" s="454" t="s">
        <v>366</v>
      </c>
      <c r="B119" s="433" t="s">
        <v>344</v>
      </c>
      <c r="C119" s="433" t="s">
        <v>345</v>
      </c>
      <c r="D119" s="433" t="s">
        <v>367</v>
      </c>
      <c r="E119" s="433" t="s">
        <v>368</v>
      </c>
      <c r="F119" s="433" t="s">
        <v>369</v>
      </c>
      <c r="G119" s="433" t="s">
        <v>370</v>
      </c>
    </row>
    <row r="120" spans="1:7" x14ac:dyDescent="0.3">
      <c r="A120" s="454">
        <v>1</v>
      </c>
      <c r="B120" s="434">
        <v>28.5</v>
      </c>
      <c r="C120" s="434">
        <v>66.400000000000006</v>
      </c>
      <c r="D120" s="434">
        <v>92.9</v>
      </c>
      <c r="E120" s="434">
        <v>55.8</v>
      </c>
      <c r="F120" s="434">
        <v>65.5</v>
      </c>
      <c r="G120" s="434">
        <v>97.1</v>
      </c>
    </row>
    <row r="121" spans="1:7" x14ac:dyDescent="0.3">
      <c r="A121" s="454">
        <v>2</v>
      </c>
      <c r="B121" s="434">
        <v>20.100000000000001</v>
      </c>
      <c r="C121" s="434">
        <v>57.4</v>
      </c>
      <c r="D121" s="434">
        <v>91.3</v>
      </c>
      <c r="E121" s="434">
        <v>38.200000000000003</v>
      </c>
      <c r="F121" s="434">
        <v>61.8</v>
      </c>
      <c r="G121" s="434">
        <v>113.7</v>
      </c>
    </row>
    <row r="122" spans="1:7" x14ac:dyDescent="0.3">
      <c r="A122" s="454">
        <v>3</v>
      </c>
      <c r="B122" s="434">
        <v>33.9</v>
      </c>
      <c r="C122" s="434">
        <v>49.7</v>
      </c>
      <c r="D122" s="434">
        <v>102.5</v>
      </c>
      <c r="E122" s="434">
        <v>35.6</v>
      </c>
      <c r="F122" s="434">
        <v>62.9</v>
      </c>
      <c r="G122" s="434">
        <v>84.3</v>
      </c>
    </row>
    <row r="123" spans="1:7" x14ac:dyDescent="0.3">
      <c r="A123" s="454">
        <v>4</v>
      </c>
      <c r="B123" s="434">
        <v>30.9</v>
      </c>
      <c r="C123" s="434">
        <v>44</v>
      </c>
      <c r="D123" s="434">
        <v>72.3</v>
      </c>
      <c r="E123" s="434"/>
      <c r="F123" s="434">
        <v>76.900000000000006</v>
      </c>
      <c r="G123" s="434">
        <v>109.9</v>
      </c>
    </row>
    <row r="124" spans="1:7" x14ac:dyDescent="0.3">
      <c r="A124" s="454">
        <v>5</v>
      </c>
      <c r="B124" s="434">
        <v>26.4</v>
      </c>
      <c r="C124" s="434">
        <v>36.700000000000003</v>
      </c>
      <c r="D124" s="434">
        <v>100</v>
      </c>
      <c r="E124" s="434"/>
      <c r="F124" s="434">
        <v>65.7</v>
      </c>
      <c r="G124" s="434">
        <v>96.5</v>
      </c>
    </row>
    <row r="125" spans="1:7" x14ac:dyDescent="0.3">
      <c r="A125" s="454">
        <v>6</v>
      </c>
      <c r="B125" s="434">
        <v>16.8</v>
      </c>
      <c r="C125" s="434">
        <v>62.3</v>
      </c>
      <c r="D125" s="434">
        <v>99.4</v>
      </c>
      <c r="E125" s="434"/>
      <c r="F125" s="434"/>
      <c r="G125" s="434">
        <v>88.9</v>
      </c>
    </row>
    <row r="126" spans="1:7" x14ac:dyDescent="0.3">
      <c r="A126" s="454">
        <v>7</v>
      </c>
      <c r="B126" s="434">
        <v>29.6</v>
      </c>
      <c r="C126" s="434">
        <v>54.9</v>
      </c>
      <c r="D126" s="434">
        <v>84.2</v>
      </c>
      <c r="E126" s="434"/>
      <c r="F126" s="434"/>
      <c r="G126" s="434"/>
    </row>
    <row r="127" spans="1:7" x14ac:dyDescent="0.3">
      <c r="A127" s="454">
        <v>8</v>
      </c>
      <c r="B127" s="434"/>
      <c r="C127" s="434">
        <v>60.4</v>
      </c>
      <c r="D127" s="434">
        <v>82.8</v>
      </c>
      <c r="E127" s="434"/>
      <c r="F127" s="434"/>
      <c r="G127" s="434"/>
    </row>
    <row r="128" spans="1:7" x14ac:dyDescent="0.3">
      <c r="A128" s="454">
        <v>9</v>
      </c>
      <c r="B128" s="434"/>
      <c r="C128" s="434">
        <v>47.5</v>
      </c>
      <c r="D128" s="434"/>
      <c r="E128" s="434"/>
      <c r="F128" s="434"/>
      <c r="G128" s="434"/>
    </row>
    <row r="129" spans="1:7" x14ac:dyDescent="0.3">
      <c r="A129" s="670" t="s">
        <v>362</v>
      </c>
      <c r="B129" s="670"/>
      <c r="C129" s="670"/>
      <c r="D129" s="663"/>
      <c r="E129" s="670"/>
      <c r="F129" s="670"/>
      <c r="G129" s="670"/>
    </row>
    <row r="130" spans="1:7" x14ac:dyDescent="0.3">
      <c r="A130" s="396"/>
      <c r="B130" s="674" t="s">
        <v>364</v>
      </c>
      <c r="C130" s="674"/>
      <c r="D130" s="674"/>
      <c r="E130" s="674" t="s">
        <v>365</v>
      </c>
      <c r="F130" s="674"/>
      <c r="G130" s="674"/>
    </row>
    <row r="131" spans="1:7" x14ac:dyDescent="0.3">
      <c r="A131" s="454" t="s">
        <v>366</v>
      </c>
      <c r="B131" s="433" t="s">
        <v>344</v>
      </c>
      <c r="C131" s="433" t="s">
        <v>345</v>
      </c>
      <c r="D131" s="433" t="s">
        <v>367</v>
      </c>
      <c r="E131" s="433" t="s">
        <v>368</v>
      </c>
      <c r="F131" s="433" t="s">
        <v>369</v>
      </c>
      <c r="G131" s="433" t="s">
        <v>370</v>
      </c>
    </row>
    <row r="132" spans="1:7" x14ac:dyDescent="0.3">
      <c r="A132" s="454">
        <v>1</v>
      </c>
      <c r="B132" s="434">
        <v>0</v>
      </c>
      <c r="C132" s="434">
        <v>0</v>
      </c>
      <c r="D132" s="434">
        <v>0</v>
      </c>
      <c r="E132" s="434">
        <v>29</v>
      </c>
      <c r="F132" s="434">
        <v>63.9</v>
      </c>
      <c r="G132" s="434">
        <v>103.3</v>
      </c>
    </row>
    <row r="133" spans="1:7" x14ac:dyDescent="0.3">
      <c r="A133" s="454">
        <v>2</v>
      </c>
      <c r="B133" s="434"/>
      <c r="C133" s="434"/>
      <c r="D133" s="434"/>
      <c r="E133" s="434">
        <v>48.2</v>
      </c>
      <c r="F133" s="434">
        <v>77.2</v>
      </c>
      <c r="G133" s="434">
        <v>110.6</v>
      </c>
    </row>
    <row r="134" spans="1:7" x14ac:dyDescent="0.3">
      <c r="A134" s="454">
        <v>3</v>
      </c>
      <c r="B134" s="434"/>
      <c r="C134" s="434"/>
      <c r="D134" s="434"/>
      <c r="E134" s="434">
        <v>55.7</v>
      </c>
      <c r="F134" s="434">
        <v>73.599999999999994</v>
      </c>
      <c r="G134" s="434">
        <v>84</v>
      </c>
    </row>
    <row r="135" spans="1:7" x14ac:dyDescent="0.3">
      <c r="A135" s="454">
        <v>4</v>
      </c>
      <c r="B135" s="434"/>
      <c r="C135" s="434"/>
      <c r="D135" s="434"/>
      <c r="E135" s="434">
        <v>39.6</v>
      </c>
      <c r="F135" s="434">
        <v>65.900000000000006</v>
      </c>
      <c r="G135" s="434">
        <v>102.6</v>
      </c>
    </row>
    <row r="136" spans="1:7" x14ac:dyDescent="0.3">
      <c r="A136" s="454">
        <v>5</v>
      </c>
      <c r="B136" s="434"/>
      <c r="C136" s="434"/>
      <c r="D136" s="434"/>
      <c r="E136" s="434"/>
      <c r="F136" s="434">
        <v>75.3</v>
      </c>
      <c r="G136" s="434">
        <v>112.9</v>
      </c>
    </row>
    <row r="137" spans="1:7" x14ac:dyDescent="0.3">
      <c r="A137" s="442"/>
      <c r="B137" s="443"/>
      <c r="C137" s="443"/>
      <c r="D137" s="443"/>
      <c r="E137" s="443"/>
      <c r="F137" s="443"/>
      <c r="G137" s="443"/>
    </row>
    <row r="138" spans="1:7" x14ac:dyDescent="0.3">
      <c r="A138" s="442"/>
      <c r="B138" s="443"/>
      <c r="C138" s="443"/>
      <c r="D138" s="443"/>
      <c r="E138" s="441"/>
      <c r="F138" s="443"/>
      <c r="G138" s="443"/>
    </row>
    <row r="139" spans="1:7" x14ac:dyDescent="0.3">
      <c r="A139" s="442"/>
      <c r="B139" s="443"/>
      <c r="C139" s="443"/>
      <c r="D139" s="443"/>
      <c r="E139" s="441"/>
      <c r="F139" s="441"/>
      <c r="G139" s="443"/>
    </row>
    <row r="140" spans="1:7" x14ac:dyDescent="0.3">
      <c r="A140" s="442"/>
      <c r="B140" s="443"/>
      <c r="C140" s="443"/>
      <c r="D140" s="443"/>
      <c r="E140" s="441"/>
      <c r="F140" s="441"/>
      <c r="G140" s="441"/>
    </row>
    <row r="141" spans="1:7" x14ac:dyDescent="0.3">
      <c r="A141" s="668" t="s">
        <v>160</v>
      </c>
      <c r="B141" s="666" t="s">
        <v>161</v>
      </c>
      <c r="C141" s="667"/>
      <c r="D141" s="666" t="s">
        <v>162</v>
      </c>
      <c r="E141" s="667"/>
      <c r="F141" s="666" t="s">
        <v>163</v>
      </c>
      <c r="G141" s="667"/>
    </row>
    <row r="142" spans="1:7" x14ac:dyDescent="0.3">
      <c r="A142" s="669"/>
      <c r="B142" s="432" t="s">
        <v>164</v>
      </c>
      <c r="C142" s="432" t="s">
        <v>165</v>
      </c>
      <c r="D142" s="432" t="s">
        <v>164</v>
      </c>
      <c r="E142" s="432" t="s">
        <v>165</v>
      </c>
      <c r="F142" s="432" t="s">
        <v>164</v>
      </c>
      <c r="G142" s="432" t="s">
        <v>165</v>
      </c>
    </row>
    <row r="143" spans="1:7" x14ac:dyDescent="0.3">
      <c r="A143" s="433" t="s">
        <v>353</v>
      </c>
      <c r="B143" s="435">
        <f>ROUNDDOWN(AVERAGE(B6:D11),1)</f>
        <v>0</v>
      </c>
      <c r="C143" s="435">
        <f>ROUNDDOWN(AVERAGE(E6:G11),1)</f>
        <v>80.8</v>
      </c>
      <c r="D143" s="432">
        <v>0</v>
      </c>
      <c r="E143" s="432">
        <v>5595</v>
      </c>
      <c r="F143" s="432">
        <f>B143*D143</f>
        <v>0</v>
      </c>
      <c r="G143" s="432">
        <f>C143*E143</f>
        <v>452076</v>
      </c>
    </row>
    <row r="144" spans="1:7" x14ac:dyDescent="0.3">
      <c r="A144" s="433" t="s">
        <v>354</v>
      </c>
      <c r="B144" s="435">
        <f>ROUNDDOWN(AVERAGE(B15:D20),1)</f>
        <v>0</v>
      </c>
      <c r="C144" s="435">
        <f>ROUNDDOWN(AVERAGE(E15:G20),1)</f>
        <v>74.8</v>
      </c>
      <c r="D144" s="432">
        <v>0</v>
      </c>
      <c r="E144" s="432">
        <v>6989</v>
      </c>
      <c r="F144" s="432">
        <f t="shared" ref="F144:G152" si="0">B144*D144</f>
        <v>0</v>
      </c>
      <c r="G144" s="432">
        <f t="shared" si="0"/>
        <v>522777.19999999995</v>
      </c>
    </row>
    <row r="145" spans="1:7" x14ac:dyDescent="0.3">
      <c r="A145" s="433" t="s">
        <v>355</v>
      </c>
      <c r="B145" s="435">
        <f>ROUNDDOWN(AVERAGE(B24:D38),1)</f>
        <v>55.4</v>
      </c>
      <c r="C145" s="435">
        <f>ROUNDDOWN(AVERAGE(E24:G38),1)</f>
        <v>77.2</v>
      </c>
      <c r="D145" s="432">
        <v>16871</v>
      </c>
      <c r="E145" s="432">
        <v>13894</v>
      </c>
      <c r="F145" s="432">
        <f t="shared" si="0"/>
        <v>934653.4</v>
      </c>
      <c r="G145" s="432">
        <f t="shared" si="0"/>
        <v>1072616.8</v>
      </c>
    </row>
    <row r="146" spans="1:7" x14ac:dyDescent="0.3">
      <c r="A146" s="433" t="s">
        <v>356</v>
      </c>
      <c r="B146" s="435">
        <f>ROUNDDOWN(AVERAGE(B42:D56),1)</f>
        <v>53.5</v>
      </c>
      <c r="C146" s="435">
        <f>ROUNDDOWN(AVERAGE(E42:G56),1)</f>
        <v>76.400000000000006</v>
      </c>
      <c r="D146" s="432">
        <v>16520</v>
      </c>
      <c r="E146" s="432">
        <v>15237</v>
      </c>
      <c r="F146" s="432">
        <f t="shared" si="0"/>
        <v>883820</v>
      </c>
      <c r="G146" s="432">
        <f t="shared" si="0"/>
        <v>1164106.8</v>
      </c>
    </row>
    <row r="147" spans="1:7" x14ac:dyDescent="0.3">
      <c r="A147" s="433" t="s">
        <v>357</v>
      </c>
      <c r="B147" s="435">
        <f>ROUNDDOWN(AVERAGE(B60:D68),1)</f>
        <v>55.3</v>
      </c>
      <c r="C147" s="435">
        <f>ROUNDDOWN(AVERAGE(E60:G68),1)</f>
        <v>74.099999999999994</v>
      </c>
      <c r="D147" s="432">
        <v>10059</v>
      </c>
      <c r="E147" s="432">
        <v>6463</v>
      </c>
      <c r="F147" s="432">
        <f t="shared" si="0"/>
        <v>556262.69999999995</v>
      </c>
      <c r="G147" s="432">
        <f t="shared" si="0"/>
        <v>478908.3</v>
      </c>
    </row>
    <row r="148" spans="1:7" x14ac:dyDescent="0.3">
      <c r="A148" s="433" t="s">
        <v>358</v>
      </c>
      <c r="B148" s="435">
        <f>ROUNDDOWN(AVERAGE(B72:D90),1)</f>
        <v>56.6</v>
      </c>
      <c r="C148" s="435">
        <f>ROUNDDOWN(AVERAGE(E72:G90),1)</f>
        <v>73.7</v>
      </c>
      <c r="D148" s="432">
        <v>20494</v>
      </c>
      <c r="E148" s="432">
        <v>19238</v>
      </c>
      <c r="F148" s="432">
        <f t="shared" si="0"/>
        <v>1159960.4000000001</v>
      </c>
      <c r="G148" s="432">
        <f t="shared" si="0"/>
        <v>1417840.6</v>
      </c>
    </row>
    <row r="149" spans="1:7" x14ac:dyDescent="0.3">
      <c r="A149" s="433" t="s">
        <v>359</v>
      </c>
      <c r="B149" s="435">
        <f>ROUNDDOWN(AVERAGE(B94:D108),1)</f>
        <v>57.4</v>
      </c>
      <c r="C149" s="435">
        <f>ROUNDDOWN(AVERAGE(E94:G108),1)</f>
        <v>74.5</v>
      </c>
      <c r="D149" s="432">
        <v>16458</v>
      </c>
      <c r="E149" s="432">
        <v>13888</v>
      </c>
      <c r="F149" s="432">
        <f t="shared" si="0"/>
        <v>944689.2</v>
      </c>
      <c r="G149" s="432">
        <f t="shared" si="0"/>
        <v>1034656</v>
      </c>
    </row>
    <row r="150" spans="1:7" x14ac:dyDescent="0.3">
      <c r="A150" s="433" t="s">
        <v>360</v>
      </c>
      <c r="B150" s="435">
        <f>ROUNDDOWN(AVERAGE(B112:D116),1)</f>
        <v>0</v>
      </c>
      <c r="C150" s="435">
        <f>ROUNDDOWN(AVERAGE(E112:G116),1)</f>
        <v>75.900000000000006</v>
      </c>
      <c r="D150" s="432">
        <v>0</v>
      </c>
      <c r="E150" s="432">
        <v>5007</v>
      </c>
      <c r="F150" s="432">
        <f t="shared" si="0"/>
        <v>0</v>
      </c>
      <c r="G150" s="432">
        <f t="shared" si="0"/>
        <v>380031.30000000005</v>
      </c>
    </row>
    <row r="151" spans="1:7" x14ac:dyDescent="0.3">
      <c r="A151" s="433" t="s">
        <v>361</v>
      </c>
      <c r="B151" s="435">
        <f>ROUNDDOWN(AVERAGE(B120:D128),1)</f>
        <v>57.9</v>
      </c>
      <c r="C151" s="435">
        <f>ROUNDDOWN(AVERAGE(E120:G128),1)</f>
        <v>75.2</v>
      </c>
      <c r="D151" s="432">
        <v>9275</v>
      </c>
      <c r="E151" s="432">
        <v>5972</v>
      </c>
      <c r="F151" s="432">
        <f t="shared" si="0"/>
        <v>537022.5</v>
      </c>
      <c r="G151" s="432">
        <f t="shared" si="0"/>
        <v>449094.40000000002</v>
      </c>
    </row>
    <row r="152" spans="1:7" x14ac:dyDescent="0.3">
      <c r="A152" s="433" t="s">
        <v>362</v>
      </c>
      <c r="B152" s="435">
        <f>ROUNDDOWN(AVERAGE(B132:D136),1)</f>
        <v>0</v>
      </c>
      <c r="C152" s="435">
        <f>ROUNDDOWN(AVERAGE(E132:G136),1)</f>
        <v>74.400000000000006</v>
      </c>
      <c r="D152" s="432">
        <v>0</v>
      </c>
      <c r="E152" s="432">
        <v>5985</v>
      </c>
      <c r="F152" s="432">
        <f t="shared" si="0"/>
        <v>0</v>
      </c>
      <c r="G152" s="432">
        <f t="shared" si="0"/>
        <v>445284.00000000006</v>
      </c>
    </row>
    <row r="153" spans="1:7" x14ac:dyDescent="0.3">
      <c r="A153" s="433" t="s">
        <v>166</v>
      </c>
      <c r="B153" s="433"/>
      <c r="C153" s="433"/>
      <c r="D153" s="432">
        <f>SUM(D143:D152)</f>
        <v>89677</v>
      </c>
      <c r="E153" s="432">
        <f>SUM(E143:E152)</f>
        <v>98268</v>
      </c>
      <c r="F153" s="432">
        <f>SUM(F143:F152)</f>
        <v>5016408.2</v>
      </c>
      <c r="G153" s="432">
        <f>SUM(G143:G152)</f>
        <v>7417391.3999999994</v>
      </c>
    </row>
    <row r="154" spans="1:7" x14ac:dyDescent="0.3">
      <c r="A154" s="441"/>
      <c r="B154" s="441"/>
      <c r="C154" s="441"/>
      <c r="D154" s="442"/>
      <c r="E154" s="442"/>
      <c r="F154" s="442"/>
      <c r="G154" s="442"/>
    </row>
    <row r="156" spans="1:7" x14ac:dyDescent="0.3">
      <c r="C156" s="666" t="s">
        <v>167</v>
      </c>
      <c r="D156" s="667"/>
    </row>
    <row r="157" spans="1:7" x14ac:dyDescent="0.3">
      <c r="C157" s="432" t="s">
        <v>164</v>
      </c>
      <c r="D157" s="432" t="s">
        <v>165</v>
      </c>
    </row>
    <row r="158" spans="1:7" x14ac:dyDescent="0.3">
      <c r="C158" s="436">
        <f>ROUNDDOWN(F153/D153,1)</f>
        <v>55.9</v>
      </c>
      <c r="D158" s="437">
        <f>ROUNDDOWN(G153/E153,1)</f>
        <v>75.400000000000006</v>
      </c>
    </row>
  </sheetData>
  <mergeCells count="37">
    <mergeCell ref="C156:D156"/>
    <mergeCell ref="B130:D130"/>
    <mergeCell ref="E130:G130"/>
    <mergeCell ref="A141:A142"/>
    <mergeCell ref="B141:C141"/>
    <mergeCell ref="D141:E141"/>
    <mergeCell ref="F141:G141"/>
    <mergeCell ref="A129:G129"/>
    <mergeCell ref="B70:D70"/>
    <mergeCell ref="E70:G70"/>
    <mergeCell ref="A91:G91"/>
    <mergeCell ref="B92:D92"/>
    <mergeCell ref="E92:G92"/>
    <mergeCell ref="A109:G109"/>
    <mergeCell ref="B110:D110"/>
    <mergeCell ref="E110:G110"/>
    <mergeCell ref="A117:G117"/>
    <mergeCell ref="B118:D118"/>
    <mergeCell ref="E118:G118"/>
    <mergeCell ref="A69:G69"/>
    <mergeCell ref="B13:D13"/>
    <mergeCell ref="E13:G13"/>
    <mergeCell ref="A21:G21"/>
    <mergeCell ref="B22:D22"/>
    <mergeCell ref="E22:G22"/>
    <mergeCell ref="A39:G39"/>
    <mergeCell ref="B40:D40"/>
    <mergeCell ref="E40:G40"/>
    <mergeCell ref="A57:G57"/>
    <mergeCell ref="B58:D58"/>
    <mergeCell ref="E58:G58"/>
    <mergeCell ref="A12:G12"/>
    <mergeCell ref="A1:G1"/>
    <mergeCell ref="A2:G2"/>
    <mergeCell ref="A3:G3"/>
    <mergeCell ref="B4:D4"/>
    <mergeCell ref="E4:G4"/>
  </mergeCells>
  <phoneticPr fontId="11" type="noConversion"/>
  <pageMargins left="0.7" right="0.7" top="0.75" bottom="0.75" header="0.3" footer="0.3"/>
  <pageSetup paperSize="9" orientation="portrait" horizontalDpi="1200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D10B8-603E-4197-ACBE-D06E360DA639}">
  <dimension ref="A1:I158"/>
  <sheetViews>
    <sheetView zoomScale="80" zoomScaleNormal="80" workbookViewId="0">
      <selection activeCell="F18" sqref="F18"/>
    </sheetView>
  </sheetViews>
  <sheetFormatPr defaultColWidth="8.7265625" defaultRowHeight="14" x14ac:dyDescent="0.3"/>
  <cols>
    <col min="1" max="1" width="22.453125" style="395" customWidth="1"/>
    <col min="2" max="2" width="16.26953125" style="395" bestFit="1" customWidth="1"/>
    <col min="3" max="3" width="22.90625" style="395" bestFit="1" customWidth="1"/>
    <col min="4" max="4" width="22.6328125" style="395" bestFit="1" customWidth="1"/>
    <col min="5" max="5" width="21.453125" style="395" bestFit="1" customWidth="1"/>
    <col min="6" max="6" width="23.453125" style="395" bestFit="1" customWidth="1"/>
    <col min="7" max="7" width="23.08984375" style="395" bestFit="1" customWidth="1"/>
    <col min="8" max="8" width="14.81640625" style="395" customWidth="1"/>
    <col min="9" max="16384" width="8.7265625" style="395"/>
  </cols>
  <sheetData>
    <row r="1" spans="1:9" x14ac:dyDescent="0.3">
      <c r="A1" s="657" t="s">
        <v>322</v>
      </c>
      <c r="B1" s="658"/>
      <c r="C1" s="658"/>
      <c r="D1" s="658"/>
      <c r="E1" s="658"/>
      <c r="F1" s="658"/>
      <c r="G1" s="659"/>
    </row>
    <row r="2" spans="1:9" ht="33" customHeight="1" x14ac:dyDescent="0.3">
      <c r="A2" s="660" t="s">
        <v>383</v>
      </c>
      <c r="B2" s="661"/>
      <c r="C2" s="661"/>
      <c r="D2" s="661"/>
      <c r="E2" s="661"/>
      <c r="F2" s="661"/>
      <c r="G2" s="662"/>
    </row>
    <row r="3" spans="1:9" x14ac:dyDescent="0.3">
      <c r="A3" s="663" t="s">
        <v>353</v>
      </c>
      <c r="B3" s="663"/>
      <c r="C3" s="663"/>
      <c r="D3" s="663"/>
      <c r="E3" s="663"/>
      <c r="F3" s="663"/>
      <c r="G3" s="663"/>
    </row>
    <row r="4" spans="1:9" x14ac:dyDescent="0.3">
      <c r="A4" s="396"/>
      <c r="B4" s="674" t="s">
        <v>364</v>
      </c>
      <c r="C4" s="674"/>
      <c r="D4" s="674"/>
      <c r="E4" s="674" t="s">
        <v>365</v>
      </c>
      <c r="F4" s="674"/>
      <c r="G4" s="674"/>
    </row>
    <row r="5" spans="1:9" x14ac:dyDescent="0.3">
      <c r="A5" s="454" t="s">
        <v>366</v>
      </c>
      <c r="B5" s="433" t="s">
        <v>344</v>
      </c>
      <c r="C5" s="433" t="s">
        <v>345</v>
      </c>
      <c r="D5" s="433" t="s">
        <v>367</v>
      </c>
      <c r="E5" s="433" t="s">
        <v>368</v>
      </c>
      <c r="F5" s="433" t="s">
        <v>369</v>
      </c>
      <c r="G5" s="433" t="s">
        <v>370</v>
      </c>
      <c r="H5" s="440"/>
      <c r="I5" s="441"/>
    </row>
    <row r="6" spans="1:9" x14ac:dyDescent="0.3">
      <c r="A6" s="454">
        <v>1</v>
      </c>
      <c r="B6" s="434">
        <v>0</v>
      </c>
      <c r="C6" s="434">
        <v>0</v>
      </c>
      <c r="D6" s="434">
        <v>0</v>
      </c>
      <c r="E6" s="434">
        <v>47.2</v>
      </c>
      <c r="F6" s="434">
        <v>69.2</v>
      </c>
      <c r="G6" s="434">
        <v>118.7</v>
      </c>
    </row>
    <row r="7" spans="1:9" x14ac:dyDescent="0.3">
      <c r="A7" s="454">
        <v>2</v>
      </c>
      <c r="B7" s="434"/>
      <c r="C7" s="434"/>
      <c r="D7" s="434"/>
      <c r="E7" s="434">
        <v>34.1</v>
      </c>
      <c r="F7" s="434">
        <v>75.7</v>
      </c>
      <c r="G7" s="434">
        <v>93.3</v>
      </c>
    </row>
    <row r="8" spans="1:9" x14ac:dyDescent="0.3">
      <c r="A8" s="454">
        <v>3</v>
      </c>
      <c r="B8" s="434"/>
      <c r="C8" s="434"/>
      <c r="D8" s="434"/>
      <c r="E8" s="434">
        <v>32.4</v>
      </c>
      <c r="F8" s="434">
        <v>65.2</v>
      </c>
      <c r="G8" s="434">
        <v>89</v>
      </c>
    </row>
    <row r="9" spans="1:9" x14ac:dyDescent="0.3">
      <c r="A9" s="454">
        <v>4</v>
      </c>
      <c r="B9" s="434"/>
      <c r="C9" s="434"/>
      <c r="D9" s="434"/>
      <c r="E9" s="434"/>
      <c r="F9" s="434">
        <v>71.400000000000006</v>
      </c>
      <c r="G9" s="434">
        <v>104.1</v>
      </c>
    </row>
    <row r="10" spans="1:9" x14ac:dyDescent="0.3">
      <c r="A10" s="454">
        <v>5</v>
      </c>
      <c r="B10" s="434"/>
      <c r="C10" s="434"/>
      <c r="D10" s="434"/>
      <c r="E10" s="434"/>
      <c r="F10" s="434">
        <v>61</v>
      </c>
      <c r="G10" s="434">
        <v>118.6</v>
      </c>
    </row>
    <row r="11" spans="1:9" x14ac:dyDescent="0.3">
      <c r="A11" s="454">
        <v>6</v>
      </c>
      <c r="B11" s="434"/>
      <c r="C11" s="434"/>
      <c r="D11" s="434"/>
      <c r="E11" s="434"/>
      <c r="F11" s="434"/>
      <c r="G11" s="434">
        <v>106</v>
      </c>
    </row>
    <row r="12" spans="1:9" x14ac:dyDescent="0.3">
      <c r="A12" s="670" t="s">
        <v>354</v>
      </c>
      <c r="B12" s="670"/>
      <c r="C12" s="670"/>
      <c r="D12" s="670"/>
      <c r="E12" s="670"/>
      <c r="F12" s="670"/>
      <c r="G12" s="670"/>
    </row>
    <row r="13" spans="1:9" x14ac:dyDescent="0.3">
      <c r="A13" s="396"/>
      <c r="B13" s="674" t="s">
        <v>364</v>
      </c>
      <c r="C13" s="674"/>
      <c r="D13" s="674"/>
      <c r="E13" s="674" t="s">
        <v>365</v>
      </c>
      <c r="F13" s="674"/>
      <c r="G13" s="674"/>
    </row>
    <row r="14" spans="1:9" x14ac:dyDescent="0.3">
      <c r="A14" s="454" t="s">
        <v>366</v>
      </c>
      <c r="B14" s="433" t="s">
        <v>344</v>
      </c>
      <c r="C14" s="433" t="s">
        <v>345</v>
      </c>
      <c r="D14" s="433" t="s">
        <v>367</v>
      </c>
      <c r="E14" s="433" t="s">
        <v>368</v>
      </c>
      <c r="F14" s="433" t="s">
        <v>369</v>
      </c>
      <c r="G14" s="433" t="s">
        <v>370</v>
      </c>
    </row>
    <row r="15" spans="1:9" x14ac:dyDescent="0.3">
      <c r="A15" s="454">
        <v>1</v>
      </c>
      <c r="B15" s="434">
        <v>0</v>
      </c>
      <c r="C15" s="434">
        <v>0</v>
      </c>
      <c r="D15" s="434">
        <v>0</v>
      </c>
      <c r="E15" s="434">
        <v>53.5</v>
      </c>
      <c r="F15" s="434">
        <v>70.2</v>
      </c>
      <c r="G15" s="434">
        <v>99</v>
      </c>
    </row>
    <row r="16" spans="1:9" x14ac:dyDescent="0.3">
      <c r="A16" s="454">
        <v>2</v>
      </c>
      <c r="B16" s="434"/>
      <c r="C16" s="434"/>
      <c r="D16" s="434"/>
      <c r="E16" s="434">
        <v>52.5</v>
      </c>
      <c r="F16" s="434">
        <v>77.5</v>
      </c>
      <c r="G16" s="434">
        <v>105.2</v>
      </c>
    </row>
    <row r="17" spans="1:7" x14ac:dyDescent="0.3">
      <c r="A17" s="454">
        <v>3</v>
      </c>
      <c r="B17" s="434"/>
      <c r="C17" s="434"/>
      <c r="D17" s="434"/>
      <c r="E17" s="434">
        <v>41.3</v>
      </c>
      <c r="F17" s="434">
        <v>72</v>
      </c>
      <c r="G17" s="434">
        <v>108.2</v>
      </c>
    </row>
    <row r="18" spans="1:7" x14ac:dyDescent="0.3">
      <c r="A18" s="454">
        <v>4</v>
      </c>
      <c r="B18" s="434"/>
      <c r="C18" s="434"/>
      <c r="D18" s="434"/>
      <c r="E18" s="434">
        <v>49</v>
      </c>
      <c r="F18" s="434">
        <v>75.400000000000006</v>
      </c>
      <c r="G18" s="434">
        <v>98.5</v>
      </c>
    </row>
    <row r="19" spans="1:7" x14ac:dyDescent="0.3">
      <c r="A19" s="454">
        <v>5</v>
      </c>
      <c r="B19" s="434"/>
      <c r="C19" s="434"/>
      <c r="D19" s="434"/>
      <c r="E19" s="434"/>
      <c r="F19" s="434">
        <v>71</v>
      </c>
      <c r="G19" s="434">
        <v>102.5</v>
      </c>
    </row>
    <row r="20" spans="1:7" x14ac:dyDescent="0.3">
      <c r="A20" s="454">
        <v>6</v>
      </c>
      <c r="B20" s="434"/>
      <c r="C20" s="434"/>
      <c r="D20" s="434"/>
      <c r="E20" s="434"/>
      <c r="F20" s="434">
        <v>79.099999999999994</v>
      </c>
      <c r="G20" s="434">
        <v>105.8</v>
      </c>
    </row>
    <row r="21" spans="1:7" x14ac:dyDescent="0.3">
      <c r="A21" s="663" t="s">
        <v>355</v>
      </c>
      <c r="B21" s="663"/>
      <c r="C21" s="663"/>
      <c r="D21" s="663"/>
      <c r="E21" s="663"/>
      <c r="F21" s="663"/>
      <c r="G21" s="663"/>
    </row>
    <row r="22" spans="1:7" x14ac:dyDescent="0.3">
      <c r="A22" s="396"/>
      <c r="B22" s="674" t="s">
        <v>364</v>
      </c>
      <c r="C22" s="674"/>
      <c r="D22" s="674"/>
      <c r="E22" s="674" t="s">
        <v>365</v>
      </c>
      <c r="F22" s="674"/>
      <c r="G22" s="674"/>
    </row>
    <row r="23" spans="1:7" x14ac:dyDescent="0.3">
      <c r="A23" s="454" t="s">
        <v>366</v>
      </c>
      <c r="B23" s="433" t="s">
        <v>344</v>
      </c>
      <c r="C23" s="433" t="s">
        <v>345</v>
      </c>
      <c r="D23" s="433" t="s">
        <v>367</v>
      </c>
      <c r="E23" s="433" t="s">
        <v>368</v>
      </c>
      <c r="F23" s="433" t="s">
        <v>369</v>
      </c>
      <c r="G23" s="433" t="s">
        <v>370</v>
      </c>
    </row>
    <row r="24" spans="1:7" x14ac:dyDescent="0.3">
      <c r="A24" s="454">
        <v>1</v>
      </c>
      <c r="B24" s="434">
        <v>22.3</v>
      </c>
      <c r="C24" s="434">
        <v>59.3</v>
      </c>
      <c r="D24" s="434">
        <v>93.8</v>
      </c>
      <c r="E24" s="434">
        <v>44.9</v>
      </c>
      <c r="F24" s="434">
        <v>67.400000000000006</v>
      </c>
      <c r="G24" s="434">
        <v>99.6</v>
      </c>
    </row>
    <row r="25" spans="1:7" x14ac:dyDescent="0.3">
      <c r="A25" s="454">
        <v>2</v>
      </c>
      <c r="B25" s="434">
        <v>36.1</v>
      </c>
      <c r="C25" s="434">
        <v>47.6</v>
      </c>
      <c r="D25" s="434">
        <v>93.5</v>
      </c>
      <c r="E25" s="434">
        <v>58</v>
      </c>
      <c r="F25" s="434">
        <v>79.599999999999994</v>
      </c>
      <c r="G25" s="434">
        <v>109.8</v>
      </c>
    </row>
    <row r="26" spans="1:7" x14ac:dyDescent="0.3">
      <c r="A26" s="454">
        <v>3</v>
      </c>
      <c r="B26" s="434">
        <v>22.9</v>
      </c>
      <c r="C26" s="434">
        <v>66.8</v>
      </c>
      <c r="D26" s="434">
        <v>75.2</v>
      </c>
      <c r="E26" s="434">
        <v>38.5</v>
      </c>
      <c r="F26" s="434">
        <v>72.900000000000006</v>
      </c>
      <c r="G26" s="434">
        <v>109.9</v>
      </c>
    </row>
    <row r="27" spans="1:7" x14ac:dyDescent="0.3">
      <c r="A27" s="454">
        <v>4</v>
      </c>
      <c r="B27" s="434">
        <v>32</v>
      </c>
      <c r="C27" s="434">
        <v>52.8</v>
      </c>
      <c r="D27" s="434">
        <v>70.599999999999994</v>
      </c>
      <c r="E27" s="434">
        <v>29.6</v>
      </c>
      <c r="F27" s="434">
        <v>69.7</v>
      </c>
      <c r="G27" s="434">
        <v>100.6</v>
      </c>
    </row>
    <row r="28" spans="1:7" x14ac:dyDescent="0.3">
      <c r="A28" s="454">
        <v>5</v>
      </c>
      <c r="B28" s="434">
        <v>31.7</v>
      </c>
      <c r="C28" s="434">
        <v>60.8</v>
      </c>
      <c r="D28" s="434">
        <v>86.1</v>
      </c>
      <c r="E28" s="434">
        <v>34.1</v>
      </c>
      <c r="F28" s="434">
        <v>62.4</v>
      </c>
      <c r="G28" s="434">
        <v>94.3</v>
      </c>
    </row>
    <row r="29" spans="1:7" x14ac:dyDescent="0.3">
      <c r="A29" s="454">
        <v>6</v>
      </c>
      <c r="B29" s="434">
        <v>21.9</v>
      </c>
      <c r="C29" s="434">
        <v>64.400000000000006</v>
      </c>
      <c r="D29" s="434">
        <v>88.7</v>
      </c>
      <c r="E29" s="434">
        <v>26.2</v>
      </c>
      <c r="F29" s="434">
        <v>74.7</v>
      </c>
      <c r="G29" s="434">
        <v>90.9</v>
      </c>
    </row>
    <row r="30" spans="1:7" x14ac:dyDescent="0.3">
      <c r="A30" s="454">
        <v>7</v>
      </c>
      <c r="B30" s="434">
        <v>21.9</v>
      </c>
      <c r="C30" s="434">
        <v>66.400000000000006</v>
      </c>
      <c r="D30" s="434">
        <v>100.7</v>
      </c>
      <c r="E30" s="434">
        <v>47.2</v>
      </c>
      <c r="F30" s="434">
        <v>78.7</v>
      </c>
      <c r="G30" s="434">
        <v>115.6</v>
      </c>
    </row>
    <row r="31" spans="1:7" x14ac:dyDescent="0.3">
      <c r="A31" s="454">
        <v>8</v>
      </c>
      <c r="B31" s="434">
        <v>31.7</v>
      </c>
      <c r="C31" s="434">
        <v>42.9</v>
      </c>
      <c r="D31" s="434">
        <v>75.400000000000006</v>
      </c>
      <c r="E31" s="434"/>
      <c r="F31" s="434">
        <v>62.2</v>
      </c>
      <c r="G31" s="434">
        <v>88.2</v>
      </c>
    </row>
    <row r="32" spans="1:7" x14ac:dyDescent="0.3">
      <c r="A32" s="454">
        <v>9</v>
      </c>
      <c r="B32" s="434">
        <v>24.4</v>
      </c>
      <c r="C32" s="434">
        <v>56</v>
      </c>
      <c r="D32" s="434">
        <v>70.099999999999994</v>
      </c>
      <c r="E32" s="434"/>
      <c r="F32" s="434">
        <v>72.900000000000006</v>
      </c>
      <c r="G32" s="434">
        <v>87.6</v>
      </c>
    </row>
    <row r="33" spans="1:7" x14ac:dyDescent="0.3">
      <c r="A33" s="454">
        <v>10</v>
      </c>
      <c r="B33" s="434">
        <v>16</v>
      </c>
      <c r="C33" s="434">
        <v>56.7</v>
      </c>
      <c r="D33" s="434">
        <v>93.2</v>
      </c>
      <c r="E33" s="434"/>
      <c r="F33" s="434">
        <v>64.3</v>
      </c>
      <c r="G33" s="434">
        <v>100.9</v>
      </c>
    </row>
    <row r="34" spans="1:7" x14ac:dyDescent="0.3">
      <c r="A34" s="454">
        <v>11</v>
      </c>
      <c r="B34" s="434">
        <v>36.1</v>
      </c>
      <c r="C34" s="434">
        <v>49.2</v>
      </c>
      <c r="D34" s="434">
        <v>81.3</v>
      </c>
      <c r="E34" s="434"/>
      <c r="F34" s="434">
        <v>67.400000000000006</v>
      </c>
      <c r="G34" s="434">
        <v>94.8</v>
      </c>
    </row>
    <row r="35" spans="1:7" x14ac:dyDescent="0.3">
      <c r="A35" s="454">
        <v>12</v>
      </c>
      <c r="B35" s="434">
        <v>21.1</v>
      </c>
      <c r="C35" s="434">
        <v>63.6</v>
      </c>
      <c r="D35" s="434">
        <v>98</v>
      </c>
      <c r="E35" s="434"/>
      <c r="F35" s="434"/>
      <c r="G35" s="434">
        <v>118.4</v>
      </c>
    </row>
    <row r="36" spans="1:7" x14ac:dyDescent="0.3">
      <c r="A36" s="454">
        <v>13</v>
      </c>
      <c r="B36" s="434">
        <v>24.3</v>
      </c>
      <c r="C36" s="434">
        <v>50.4</v>
      </c>
      <c r="D36" s="434">
        <v>72.400000000000006</v>
      </c>
      <c r="E36" s="434"/>
      <c r="F36" s="434"/>
      <c r="G36" s="434"/>
    </row>
    <row r="37" spans="1:7" x14ac:dyDescent="0.3">
      <c r="A37" s="454">
        <v>14</v>
      </c>
      <c r="B37" s="434"/>
      <c r="C37" s="434">
        <v>43</v>
      </c>
      <c r="D37" s="434">
        <v>104.9</v>
      </c>
      <c r="E37" s="434"/>
      <c r="F37" s="434"/>
      <c r="G37" s="434"/>
    </row>
    <row r="38" spans="1:7" x14ac:dyDescent="0.3">
      <c r="A38" s="454">
        <v>15</v>
      </c>
      <c r="B38" s="434"/>
      <c r="C38" s="434">
        <v>56.5</v>
      </c>
      <c r="D38" s="434">
        <v>93.9</v>
      </c>
      <c r="E38" s="434"/>
      <c r="F38" s="434"/>
      <c r="G38" s="434"/>
    </row>
    <row r="39" spans="1:7" x14ac:dyDescent="0.3">
      <c r="A39" s="670" t="s">
        <v>356</v>
      </c>
      <c r="B39" s="670"/>
      <c r="C39" s="670"/>
      <c r="D39" s="663"/>
      <c r="E39" s="670"/>
      <c r="F39" s="670"/>
      <c r="G39" s="670"/>
    </row>
    <row r="40" spans="1:7" x14ac:dyDescent="0.3">
      <c r="A40" s="396"/>
      <c r="B40" s="674" t="s">
        <v>364</v>
      </c>
      <c r="C40" s="674"/>
      <c r="D40" s="674"/>
      <c r="E40" s="674" t="s">
        <v>365</v>
      </c>
      <c r="F40" s="674"/>
      <c r="G40" s="674"/>
    </row>
    <row r="41" spans="1:7" x14ac:dyDescent="0.3">
      <c r="A41" s="454" t="s">
        <v>366</v>
      </c>
      <c r="B41" s="433" t="s">
        <v>344</v>
      </c>
      <c r="C41" s="433" t="s">
        <v>345</v>
      </c>
      <c r="D41" s="433" t="s">
        <v>367</v>
      </c>
      <c r="E41" s="433" t="s">
        <v>368</v>
      </c>
      <c r="F41" s="433" t="s">
        <v>369</v>
      </c>
      <c r="G41" s="433" t="s">
        <v>370</v>
      </c>
    </row>
    <row r="42" spans="1:7" x14ac:dyDescent="0.3">
      <c r="A42" s="454">
        <v>1</v>
      </c>
      <c r="B42" s="434">
        <v>26.7</v>
      </c>
      <c r="C42" s="434">
        <v>64</v>
      </c>
      <c r="D42" s="434">
        <v>86</v>
      </c>
      <c r="E42" s="434">
        <v>37.700000000000003</v>
      </c>
      <c r="F42" s="434">
        <v>76.900000000000006</v>
      </c>
      <c r="G42" s="434">
        <v>80.400000000000006</v>
      </c>
    </row>
    <row r="43" spans="1:7" x14ac:dyDescent="0.3">
      <c r="A43" s="454">
        <v>2</v>
      </c>
      <c r="B43" s="434">
        <v>36.5</v>
      </c>
      <c r="C43" s="434">
        <v>38.200000000000003</v>
      </c>
      <c r="D43" s="434">
        <v>97.7</v>
      </c>
      <c r="E43" s="434">
        <v>46.1</v>
      </c>
      <c r="F43" s="434">
        <v>68.8</v>
      </c>
      <c r="G43" s="434">
        <v>80.7</v>
      </c>
    </row>
    <row r="44" spans="1:7" x14ac:dyDescent="0.3">
      <c r="A44" s="454">
        <v>3</v>
      </c>
      <c r="B44" s="434">
        <v>28</v>
      </c>
      <c r="C44" s="434">
        <v>40.1</v>
      </c>
      <c r="D44" s="434">
        <v>89.8</v>
      </c>
      <c r="E44" s="434">
        <v>32.5</v>
      </c>
      <c r="F44" s="434">
        <v>70.2</v>
      </c>
      <c r="G44" s="434">
        <v>117.5</v>
      </c>
    </row>
    <row r="45" spans="1:7" x14ac:dyDescent="0.3">
      <c r="A45" s="454">
        <v>4</v>
      </c>
      <c r="B45" s="434">
        <v>36.5</v>
      </c>
      <c r="C45" s="434">
        <v>40.799999999999997</v>
      </c>
      <c r="D45" s="434">
        <v>104</v>
      </c>
      <c r="E45" s="434">
        <v>58.5</v>
      </c>
      <c r="F45" s="434">
        <v>78.7</v>
      </c>
      <c r="G45" s="434">
        <v>81.900000000000006</v>
      </c>
    </row>
    <row r="46" spans="1:7" x14ac:dyDescent="0.3">
      <c r="A46" s="454">
        <v>5</v>
      </c>
      <c r="B46" s="434">
        <v>33.700000000000003</v>
      </c>
      <c r="C46" s="434">
        <v>44.4</v>
      </c>
      <c r="D46" s="434">
        <v>71.3</v>
      </c>
      <c r="E46" s="434">
        <v>47.4</v>
      </c>
      <c r="F46" s="434">
        <v>77.2</v>
      </c>
      <c r="G46" s="434">
        <v>114.3</v>
      </c>
    </row>
    <row r="47" spans="1:7" x14ac:dyDescent="0.3">
      <c r="A47" s="454">
        <v>6</v>
      </c>
      <c r="B47" s="434">
        <v>26.5</v>
      </c>
      <c r="C47" s="434">
        <v>65.7</v>
      </c>
      <c r="D47" s="434">
        <v>80.5</v>
      </c>
      <c r="E47" s="434">
        <v>26.2</v>
      </c>
      <c r="F47" s="434">
        <v>74.7</v>
      </c>
      <c r="G47" s="434">
        <v>82.8</v>
      </c>
    </row>
    <row r="48" spans="1:7" x14ac:dyDescent="0.3">
      <c r="A48" s="454">
        <v>7</v>
      </c>
      <c r="B48" s="434">
        <v>36</v>
      </c>
      <c r="C48" s="434">
        <v>37.9</v>
      </c>
      <c r="D48" s="434">
        <v>92.5</v>
      </c>
      <c r="E48" s="434">
        <v>51.9</v>
      </c>
      <c r="F48" s="434">
        <v>71.5</v>
      </c>
      <c r="G48" s="434">
        <v>91.7</v>
      </c>
    </row>
    <row r="49" spans="1:7" x14ac:dyDescent="0.3">
      <c r="A49" s="454">
        <v>8</v>
      </c>
      <c r="B49" s="434">
        <v>24.5</v>
      </c>
      <c r="C49" s="434">
        <v>56.4</v>
      </c>
      <c r="D49" s="434">
        <v>75.400000000000006</v>
      </c>
      <c r="E49" s="434"/>
      <c r="F49" s="434">
        <v>79.3</v>
      </c>
      <c r="G49" s="434">
        <v>83.2</v>
      </c>
    </row>
    <row r="50" spans="1:7" x14ac:dyDescent="0.3">
      <c r="A50" s="454">
        <v>9</v>
      </c>
      <c r="B50" s="434">
        <v>17.8</v>
      </c>
      <c r="C50" s="434">
        <v>54.7</v>
      </c>
      <c r="D50" s="434">
        <v>89.5</v>
      </c>
      <c r="E50" s="434"/>
      <c r="F50" s="434">
        <v>69.400000000000006</v>
      </c>
      <c r="G50" s="434">
        <v>80.3</v>
      </c>
    </row>
    <row r="51" spans="1:7" x14ac:dyDescent="0.3">
      <c r="A51" s="454">
        <v>10</v>
      </c>
      <c r="B51" s="434">
        <v>26.3</v>
      </c>
      <c r="C51" s="434">
        <v>66.5</v>
      </c>
      <c r="D51" s="434">
        <v>69.7</v>
      </c>
      <c r="E51" s="434"/>
      <c r="F51" s="434">
        <v>75.7</v>
      </c>
      <c r="G51" s="434">
        <v>102.5</v>
      </c>
    </row>
    <row r="52" spans="1:7" x14ac:dyDescent="0.3">
      <c r="A52" s="454">
        <v>11</v>
      </c>
      <c r="B52" s="434">
        <v>18</v>
      </c>
      <c r="C52" s="434">
        <v>40.6</v>
      </c>
      <c r="D52" s="434">
        <v>89.3</v>
      </c>
      <c r="E52" s="434"/>
      <c r="F52" s="434">
        <v>71.7</v>
      </c>
      <c r="G52" s="434">
        <v>93.7</v>
      </c>
    </row>
    <row r="53" spans="1:7" x14ac:dyDescent="0.3">
      <c r="A53" s="454">
        <v>12</v>
      </c>
      <c r="B53" s="434">
        <v>34.9</v>
      </c>
      <c r="C53" s="434">
        <v>59.9</v>
      </c>
      <c r="D53" s="434">
        <v>100.4</v>
      </c>
      <c r="E53" s="434"/>
      <c r="F53" s="434">
        <v>75.900000000000006</v>
      </c>
      <c r="G53" s="434">
        <v>103.3</v>
      </c>
    </row>
    <row r="54" spans="1:7" x14ac:dyDescent="0.3">
      <c r="A54" s="454">
        <v>13</v>
      </c>
      <c r="B54" s="434">
        <v>16.600000000000001</v>
      </c>
      <c r="C54" s="434">
        <v>57.6</v>
      </c>
      <c r="D54" s="434">
        <v>84.3</v>
      </c>
      <c r="E54" s="434"/>
      <c r="F54" s="434"/>
      <c r="G54" s="434">
        <v>88</v>
      </c>
    </row>
    <row r="55" spans="1:7" x14ac:dyDescent="0.3">
      <c r="A55" s="454">
        <v>14</v>
      </c>
      <c r="B55" s="434">
        <v>35.5</v>
      </c>
      <c r="C55" s="434">
        <v>56.3</v>
      </c>
      <c r="D55" s="434">
        <v>88</v>
      </c>
      <c r="E55" s="434"/>
      <c r="F55" s="434"/>
      <c r="G55" s="434">
        <v>110.2</v>
      </c>
    </row>
    <row r="56" spans="1:7" x14ac:dyDescent="0.3">
      <c r="A56" s="454">
        <v>15</v>
      </c>
      <c r="B56" s="434"/>
      <c r="C56" s="434"/>
      <c r="D56" s="434">
        <v>73.7</v>
      </c>
      <c r="E56" s="434"/>
      <c r="F56" s="434"/>
      <c r="G56" s="434"/>
    </row>
    <row r="57" spans="1:7" x14ac:dyDescent="0.3">
      <c r="A57" s="670" t="s">
        <v>357</v>
      </c>
      <c r="B57" s="670"/>
      <c r="C57" s="670"/>
      <c r="D57" s="663"/>
      <c r="E57" s="670"/>
      <c r="F57" s="670"/>
      <c r="G57" s="670"/>
    </row>
    <row r="58" spans="1:7" x14ac:dyDescent="0.3">
      <c r="A58" s="396"/>
      <c r="B58" s="674" t="s">
        <v>364</v>
      </c>
      <c r="C58" s="674"/>
      <c r="D58" s="674"/>
      <c r="E58" s="674" t="s">
        <v>365</v>
      </c>
      <c r="F58" s="674"/>
      <c r="G58" s="674"/>
    </row>
    <row r="59" spans="1:7" x14ac:dyDescent="0.3">
      <c r="A59" s="454" t="s">
        <v>366</v>
      </c>
      <c r="B59" s="433" t="s">
        <v>344</v>
      </c>
      <c r="C59" s="433" t="s">
        <v>345</v>
      </c>
      <c r="D59" s="433" t="s">
        <v>367</v>
      </c>
      <c r="E59" s="433" t="s">
        <v>368</v>
      </c>
      <c r="F59" s="433" t="s">
        <v>369</v>
      </c>
      <c r="G59" s="433" t="s">
        <v>370</v>
      </c>
    </row>
    <row r="60" spans="1:7" x14ac:dyDescent="0.3">
      <c r="A60" s="454">
        <v>1</v>
      </c>
      <c r="B60" s="434">
        <v>33.200000000000003</v>
      </c>
      <c r="C60" s="434">
        <v>53.1</v>
      </c>
      <c r="D60" s="434">
        <v>72.900000000000006</v>
      </c>
      <c r="E60" s="434">
        <v>53.3</v>
      </c>
      <c r="F60" s="434">
        <v>60.8</v>
      </c>
      <c r="G60" s="434">
        <v>95.1</v>
      </c>
    </row>
    <row r="61" spans="1:7" x14ac:dyDescent="0.3">
      <c r="A61" s="454">
        <v>2</v>
      </c>
      <c r="B61" s="434">
        <v>19.2</v>
      </c>
      <c r="C61" s="434">
        <v>59.5</v>
      </c>
      <c r="D61" s="434">
        <v>78.900000000000006</v>
      </c>
      <c r="E61" s="434">
        <v>51.8</v>
      </c>
      <c r="F61" s="434">
        <v>64</v>
      </c>
      <c r="G61" s="434">
        <v>106.7</v>
      </c>
    </row>
    <row r="62" spans="1:7" x14ac:dyDescent="0.3">
      <c r="A62" s="454">
        <v>3</v>
      </c>
      <c r="B62" s="434">
        <v>21.3</v>
      </c>
      <c r="C62" s="434">
        <v>67.900000000000006</v>
      </c>
      <c r="D62" s="434">
        <v>92.5</v>
      </c>
      <c r="E62" s="434">
        <v>46.6</v>
      </c>
      <c r="F62" s="434">
        <v>65.099999999999994</v>
      </c>
      <c r="G62" s="434">
        <v>89.7</v>
      </c>
    </row>
    <row r="63" spans="1:7" x14ac:dyDescent="0.3">
      <c r="A63" s="454">
        <v>4</v>
      </c>
      <c r="B63" s="434">
        <v>35.5</v>
      </c>
      <c r="C63" s="434">
        <v>46.9</v>
      </c>
      <c r="D63" s="434">
        <v>92.6</v>
      </c>
      <c r="E63" s="434">
        <v>57.8</v>
      </c>
      <c r="F63" s="434">
        <v>78.2</v>
      </c>
      <c r="G63" s="434">
        <v>105.6</v>
      </c>
    </row>
    <row r="64" spans="1:7" x14ac:dyDescent="0.3">
      <c r="A64" s="454">
        <v>5</v>
      </c>
      <c r="B64" s="434">
        <v>35</v>
      </c>
      <c r="C64" s="434">
        <v>43.8</v>
      </c>
      <c r="D64" s="434">
        <v>88.5</v>
      </c>
      <c r="E64" s="434"/>
      <c r="F64" s="434">
        <v>68.5</v>
      </c>
      <c r="G64" s="434">
        <v>99.9</v>
      </c>
    </row>
    <row r="65" spans="1:7" x14ac:dyDescent="0.3">
      <c r="A65" s="454">
        <v>6</v>
      </c>
      <c r="B65" s="434">
        <v>21.1</v>
      </c>
      <c r="C65" s="434">
        <v>49</v>
      </c>
      <c r="D65" s="434">
        <v>99</v>
      </c>
      <c r="E65" s="434"/>
      <c r="F65" s="434"/>
      <c r="G65" s="434">
        <v>85.5</v>
      </c>
    </row>
    <row r="66" spans="1:7" x14ac:dyDescent="0.3">
      <c r="A66" s="454">
        <v>7</v>
      </c>
      <c r="B66" s="434">
        <v>34.299999999999997</v>
      </c>
      <c r="C66" s="434">
        <v>60.2</v>
      </c>
      <c r="D66" s="434">
        <v>104.3</v>
      </c>
      <c r="E66" s="434"/>
      <c r="F66" s="434"/>
      <c r="G66" s="434"/>
    </row>
    <row r="67" spans="1:7" x14ac:dyDescent="0.3">
      <c r="A67" s="454">
        <v>8</v>
      </c>
      <c r="B67" s="434">
        <v>36.200000000000003</v>
      </c>
      <c r="C67" s="434">
        <v>40.799999999999997</v>
      </c>
      <c r="D67" s="434">
        <v>80.7</v>
      </c>
      <c r="E67" s="434"/>
      <c r="F67" s="434"/>
      <c r="G67" s="434"/>
    </row>
    <row r="68" spans="1:7" x14ac:dyDescent="0.3">
      <c r="A68" s="454">
        <v>9</v>
      </c>
      <c r="B68" s="434">
        <v>16.7</v>
      </c>
      <c r="C68" s="434"/>
      <c r="D68" s="434">
        <v>85.5</v>
      </c>
      <c r="E68" s="433"/>
      <c r="F68" s="434"/>
      <c r="G68" s="434"/>
    </row>
    <row r="69" spans="1:7" x14ac:dyDescent="0.3">
      <c r="A69" s="670" t="s">
        <v>358</v>
      </c>
      <c r="B69" s="670"/>
      <c r="C69" s="670"/>
      <c r="D69" s="663"/>
      <c r="E69" s="670"/>
      <c r="F69" s="670"/>
      <c r="G69" s="670"/>
    </row>
    <row r="70" spans="1:7" x14ac:dyDescent="0.3">
      <c r="A70" s="396"/>
      <c r="B70" s="674" t="s">
        <v>364</v>
      </c>
      <c r="C70" s="674"/>
      <c r="D70" s="674"/>
      <c r="E70" s="674" t="s">
        <v>365</v>
      </c>
      <c r="F70" s="674"/>
      <c r="G70" s="674"/>
    </row>
    <row r="71" spans="1:7" x14ac:dyDescent="0.3">
      <c r="A71" s="454" t="s">
        <v>366</v>
      </c>
      <c r="B71" s="433" t="s">
        <v>344</v>
      </c>
      <c r="C71" s="433" t="s">
        <v>345</v>
      </c>
      <c r="D71" s="433" t="s">
        <v>367</v>
      </c>
      <c r="E71" s="433" t="s">
        <v>368</v>
      </c>
      <c r="F71" s="433" t="s">
        <v>369</v>
      </c>
      <c r="G71" s="433" t="s">
        <v>370</v>
      </c>
    </row>
    <row r="72" spans="1:7" x14ac:dyDescent="0.3">
      <c r="A72" s="454">
        <v>1</v>
      </c>
      <c r="B72" s="434">
        <v>30.9</v>
      </c>
      <c r="C72" s="434">
        <v>62.5</v>
      </c>
      <c r="D72" s="434">
        <v>85.2</v>
      </c>
      <c r="E72" s="434">
        <v>32.799999999999997</v>
      </c>
      <c r="F72" s="434">
        <v>76.400000000000006</v>
      </c>
      <c r="G72" s="434">
        <v>101.9</v>
      </c>
    </row>
    <row r="73" spans="1:7" x14ac:dyDescent="0.3">
      <c r="A73" s="454">
        <v>2</v>
      </c>
      <c r="B73" s="434">
        <v>28.7</v>
      </c>
      <c r="C73" s="434">
        <v>40.799999999999997</v>
      </c>
      <c r="D73" s="434">
        <v>100.3</v>
      </c>
      <c r="E73" s="434">
        <v>35.5</v>
      </c>
      <c r="F73" s="434">
        <v>63.3</v>
      </c>
      <c r="G73" s="434">
        <v>96.6</v>
      </c>
    </row>
    <row r="74" spans="1:7" x14ac:dyDescent="0.3">
      <c r="A74" s="454">
        <v>3</v>
      </c>
      <c r="B74" s="434">
        <v>18.899999999999999</v>
      </c>
      <c r="C74" s="434">
        <v>48.4</v>
      </c>
      <c r="D74" s="434">
        <v>77</v>
      </c>
      <c r="E74" s="434">
        <v>51.5</v>
      </c>
      <c r="F74" s="434">
        <v>61.6</v>
      </c>
      <c r="G74" s="434">
        <v>119</v>
      </c>
    </row>
    <row r="75" spans="1:7" x14ac:dyDescent="0.3">
      <c r="A75" s="454">
        <v>4</v>
      </c>
      <c r="B75" s="434">
        <v>26.6</v>
      </c>
      <c r="C75" s="434">
        <v>66.400000000000006</v>
      </c>
      <c r="D75" s="434">
        <v>82.4</v>
      </c>
      <c r="E75" s="434">
        <v>48.8</v>
      </c>
      <c r="F75" s="434">
        <v>61.4</v>
      </c>
      <c r="G75" s="434">
        <v>105.9</v>
      </c>
    </row>
    <row r="76" spans="1:7" x14ac:dyDescent="0.3">
      <c r="A76" s="454">
        <v>5</v>
      </c>
      <c r="B76" s="434">
        <v>26.5</v>
      </c>
      <c r="C76" s="434">
        <v>43.7</v>
      </c>
      <c r="D76" s="434">
        <v>76.8</v>
      </c>
      <c r="E76" s="434">
        <v>57.7</v>
      </c>
      <c r="F76" s="434">
        <v>62.2</v>
      </c>
      <c r="G76" s="434">
        <v>117.7</v>
      </c>
    </row>
    <row r="77" spans="1:7" x14ac:dyDescent="0.3">
      <c r="A77" s="454">
        <v>6</v>
      </c>
      <c r="B77" s="434">
        <v>30.9</v>
      </c>
      <c r="C77" s="434">
        <v>60.9</v>
      </c>
      <c r="D77" s="434">
        <v>82.9</v>
      </c>
      <c r="E77" s="434">
        <v>38.6</v>
      </c>
      <c r="F77" s="434">
        <v>78.5</v>
      </c>
      <c r="G77" s="434">
        <v>100.1</v>
      </c>
    </row>
    <row r="78" spans="1:7" x14ac:dyDescent="0.3">
      <c r="A78" s="454">
        <v>7</v>
      </c>
      <c r="B78" s="434">
        <v>36.4</v>
      </c>
      <c r="C78" s="434">
        <v>38.1</v>
      </c>
      <c r="D78" s="434">
        <v>90.7</v>
      </c>
      <c r="E78" s="434">
        <v>28.1</v>
      </c>
      <c r="F78" s="434">
        <v>67.2</v>
      </c>
      <c r="G78" s="434">
        <v>114.2</v>
      </c>
    </row>
    <row r="79" spans="1:7" x14ac:dyDescent="0.3">
      <c r="A79" s="454">
        <v>8</v>
      </c>
      <c r="B79" s="434">
        <v>20.9</v>
      </c>
      <c r="C79" s="434">
        <v>64.099999999999994</v>
      </c>
      <c r="D79" s="434">
        <v>103.8</v>
      </c>
      <c r="E79" s="434">
        <v>30.7</v>
      </c>
      <c r="F79" s="434">
        <v>71.8</v>
      </c>
      <c r="G79" s="434">
        <v>90.4</v>
      </c>
    </row>
    <row r="80" spans="1:7" x14ac:dyDescent="0.3">
      <c r="A80" s="454">
        <v>9</v>
      </c>
      <c r="B80" s="434">
        <v>17.5</v>
      </c>
      <c r="C80" s="434">
        <v>43.5</v>
      </c>
      <c r="D80" s="434">
        <v>77.900000000000006</v>
      </c>
      <c r="E80" s="434">
        <v>45.5</v>
      </c>
      <c r="F80" s="434">
        <v>72</v>
      </c>
      <c r="G80" s="434">
        <v>111.4</v>
      </c>
    </row>
    <row r="81" spans="1:7" x14ac:dyDescent="0.3">
      <c r="A81" s="454">
        <v>10</v>
      </c>
      <c r="B81" s="434">
        <v>31.7</v>
      </c>
      <c r="C81" s="434">
        <v>48.4</v>
      </c>
      <c r="D81" s="434">
        <v>85</v>
      </c>
      <c r="E81" s="434">
        <v>53.7</v>
      </c>
      <c r="F81" s="434">
        <v>71.5</v>
      </c>
      <c r="G81" s="434">
        <v>90.1</v>
      </c>
    </row>
    <row r="82" spans="1:7" x14ac:dyDescent="0.3">
      <c r="A82" s="454">
        <v>11</v>
      </c>
      <c r="B82" s="434">
        <v>26.6</v>
      </c>
      <c r="C82" s="434">
        <v>61</v>
      </c>
      <c r="D82" s="434">
        <v>94.4</v>
      </c>
      <c r="E82" s="434"/>
      <c r="F82" s="434">
        <v>77.400000000000006</v>
      </c>
      <c r="G82" s="434">
        <v>102.8</v>
      </c>
    </row>
    <row r="83" spans="1:7" x14ac:dyDescent="0.3">
      <c r="A83" s="454">
        <v>12</v>
      </c>
      <c r="B83" s="434">
        <v>35.4</v>
      </c>
      <c r="C83" s="434">
        <v>39.1</v>
      </c>
      <c r="D83" s="434">
        <v>101.6</v>
      </c>
      <c r="E83" s="434"/>
      <c r="F83" s="434">
        <v>69.8</v>
      </c>
      <c r="G83" s="434">
        <v>82.7</v>
      </c>
    </row>
    <row r="84" spans="1:7" x14ac:dyDescent="0.3">
      <c r="A84" s="454">
        <v>13</v>
      </c>
      <c r="B84" s="434">
        <v>24.8</v>
      </c>
      <c r="C84" s="434">
        <v>55.1</v>
      </c>
      <c r="D84" s="434">
        <v>71.099999999999994</v>
      </c>
      <c r="E84" s="434"/>
      <c r="F84" s="434">
        <v>74.7</v>
      </c>
      <c r="G84" s="434">
        <v>112.5</v>
      </c>
    </row>
    <row r="85" spans="1:7" x14ac:dyDescent="0.3">
      <c r="A85" s="454">
        <v>14</v>
      </c>
      <c r="B85" s="434">
        <v>36.6</v>
      </c>
      <c r="C85" s="434">
        <v>56.3</v>
      </c>
      <c r="D85" s="434">
        <v>86.5</v>
      </c>
      <c r="E85" s="434"/>
      <c r="F85" s="434">
        <v>60.5</v>
      </c>
      <c r="G85" s="434">
        <v>90.2</v>
      </c>
    </row>
    <row r="86" spans="1:7" x14ac:dyDescent="0.3">
      <c r="A86" s="454">
        <v>15</v>
      </c>
      <c r="B86" s="434">
        <v>18.399999999999999</v>
      </c>
      <c r="C86" s="434">
        <v>44.5</v>
      </c>
      <c r="D86" s="434">
        <v>100.1</v>
      </c>
      <c r="E86" s="434"/>
      <c r="F86" s="434"/>
      <c r="G86" s="434">
        <v>101.5</v>
      </c>
    </row>
    <row r="87" spans="1:7" x14ac:dyDescent="0.3">
      <c r="A87" s="454">
        <v>16</v>
      </c>
      <c r="B87" s="434"/>
      <c r="C87" s="434">
        <v>50.6</v>
      </c>
      <c r="D87" s="434">
        <v>103.2</v>
      </c>
      <c r="E87" s="434"/>
      <c r="F87" s="434"/>
      <c r="G87" s="434">
        <v>80</v>
      </c>
    </row>
    <row r="88" spans="1:7" x14ac:dyDescent="0.3">
      <c r="A88" s="454">
        <v>17</v>
      </c>
      <c r="B88" s="434"/>
      <c r="C88" s="434">
        <v>45.8</v>
      </c>
      <c r="D88" s="434">
        <v>82.3</v>
      </c>
      <c r="E88" s="434"/>
      <c r="F88" s="434"/>
      <c r="G88" s="434">
        <v>103.6</v>
      </c>
    </row>
    <row r="89" spans="1:7" x14ac:dyDescent="0.3">
      <c r="A89" s="454">
        <v>18</v>
      </c>
      <c r="B89" s="434"/>
      <c r="C89" s="434">
        <v>45</v>
      </c>
      <c r="D89" s="434">
        <v>84.7</v>
      </c>
      <c r="E89" s="438"/>
      <c r="F89" s="438"/>
      <c r="G89" s="438"/>
    </row>
    <row r="90" spans="1:7" x14ac:dyDescent="0.3">
      <c r="A90" s="454">
        <v>19</v>
      </c>
      <c r="B90" s="434"/>
      <c r="C90" s="434">
        <v>56.6</v>
      </c>
      <c r="D90" s="434"/>
      <c r="E90" s="438"/>
      <c r="F90" s="438"/>
      <c r="G90" s="438"/>
    </row>
    <row r="91" spans="1:7" x14ac:dyDescent="0.3">
      <c r="A91" s="670" t="s">
        <v>359</v>
      </c>
      <c r="B91" s="670"/>
      <c r="C91" s="670"/>
      <c r="D91" s="663"/>
      <c r="E91" s="670"/>
      <c r="F91" s="670"/>
      <c r="G91" s="670"/>
    </row>
    <row r="92" spans="1:7" x14ac:dyDescent="0.3">
      <c r="A92" s="396"/>
      <c r="B92" s="674" t="s">
        <v>364</v>
      </c>
      <c r="C92" s="674"/>
      <c r="D92" s="674"/>
      <c r="E92" s="674" t="s">
        <v>365</v>
      </c>
      <c r="F92" s="674"/>
      <c r="G92" s="674"/>
    </row>
    <row r="93" spans="1:7" x14ac:dyDescent="0.3">
      <c r="A93" s="454" t="s">
        <v>366</v>
      </c>
      <c r="B93" s="433" t="s">
        <v>344</v>
      </c>
      <c r="C93" s="433" t="s">
        <v>345</v>
      </c>
      <c r="D93" s="433" t="s">
        <v>367</v>
      </c>
      <c r="E93" s="433" t="s">
        <v>368</v>
      </c>
      <c r="F93" s="433" t="s">
        <v>369</v>
      </c>
      <c r="G93" s="433" t="s">
        <v>370</v>
      </c>
    </row>
    <row r="94" spans="1:7" x14ac:dyDescent="0.3">
      <c r="A94" s="454">
        <v>1</v>
      </c>
      <c r="B94" s="434">
        <v>26.8</v>
      </c>
      <c r="C94" s="434">
        <v>64.3</v>
      </c>
      <c r="D94" s="434">
        <v>75.5</v>
      </c>
      <c r="E94" s="434">
        <v>55.2</v>
      </c>
      <c r="F94" s="434">
        <v>61.5</v>
      </c>
      <c r="G94" s="434">
        <v>82.3</v>
      </c>
    </row>
    <row r="95" spans="1:7" x14ac:dyDescent="0.3">
      <c r="A95" s="454">
        <v>2</v>
      </c>
      <c r="B95" s="434">
        <v>30.8</v>
      </c>
      <c r="C95" s="434">
        <v>44.8</v>
      </c>
      <c r="D95" s="434">
        <v>69.8</v>
      </c>
      <c r="E95" s="434">
        <v>51.6</v>
      </c>
      <c r="F95" s="434">
        <v>74.099999999999994</v>
      </c>
      <c r="G95" s="434">
        <v>117.3</v>
      </c>
    </row>
    <row r="96" spans="1:7" x14ac:dyDescent="0.3">
      <c r="A96" s="454">
        <v>3</v>
      </c>
      <c r="B96" s="434">
        <v>34.299999999999997</v>
      </c>
      <c r="C96" s="434">
        <v>56.4</v>
      </c>
      <c r="D96" s="434">
        <v>90.2</v>
      </c>
      <c r="E96" s="434">
        <v>60</v>
      </c>
      <c r="F96" s="434">
        <v>79.400000000000006</v>
      </c>
      <c r="G96" s="434">
        <v>84.4</v>
      </c>
    </row>
    <row r="97" spans="1:7" x14ac:dyDescent="0.3">
      <c r="A97" s="454">
        <v>4</v>
      </c>
      <c r="B97" s="434">
        <v>36.299999999999997</v>
      </c>
      <c r="C97" s="434">
        <v>40.200000000000003</v>
      </c>
      <c r="D97" s="434">
        <v>91.6</v>
      </c>
      <c r="E97" s="434">
        <v>44.2</v>
      </c>
      <c r="F97" s="434">
        <v>65.8</v>
      </c>
      <c r="G97" s="434">
        <v>110.1</v>
      </c>
    </row>
    <row r="98" spans="1:7" x14ac:dyDescent="0.3">
      <c r="A98" s="454">
        <v>5</v>
      </c>
      <c r="B98" s="434">
        <v>32.200000000000003</v>
      </c>
      <c r="C98" s="434">
        <v>45.8</v>
      </c>
      <c r="D98" s="434">
        <v>78.099999999999994</v>
      </c>
      <c r="E98" s="434">
        <v>35.6</v>
      </c>
      <c r="F98" s="434">
        <v>66.2</v>
      </c>
      <c r="G98" s="434">
        <v>80.900000000000006</v>
      </c>
    </row>
    <row r="99" spans="1:7" x14ac:dyDescent="0.3">
      <c r="A99" s="454">
        <v>6</v>
      </c>
      <c r="B99" s="434">
        <v>25.5</v>
      </c>
      <c r="C99" s="434">
        <v>51.4</v>
      </c>
      <c r="D99" s="434">
        <v>104.6</v>
      </c>
      <c r="E99" s="434">
        <v>29.3</v>
      </c>
      <c r="F99" s="434">
        <v>70.599999999999994</v>
      </c>
      <c r="G99" s="434">
        <v>103.4</v>
      </c>
    </row>
    <row r="100" spans="1:7" x14ac:dyDescent="0.3">
      <c r="A100" s="454">
        <v>7</v>
      </c>
      <c r="B100" s="434">
        <v>28.1</v>
      </c>
      <c r="C100" s="434">
        <v>51.4</v>
      </c>
      <c r="D100" s="434">
        <v>84.6</v>
      </c>
      <c r="E100" s="434">
        <v>36.5</v>
      </c>
      <c r="F100" s="434">
        <v>79.7</v>
      </c>
      <c r="G100" s="434">
        <v>94.8</v>
      </c>
    </row>
    <row r="101" spans="1:7" x14ac:dyDescent="0.3">
      <c r="A101" s="454">
        <v>8</v>
      </c>
      <c r="B101" s="434">
        <v>17.600000000000001</v>
      </c>
      <c r="C101" s="434">
        <v>61.6</v>
      </c>
      <c r="D101" s="434">
        <v>101.5</v>
      </c>
      <c r="E101" s="434">
        <v>38.4</v>
      </c>
      <c r="F101" s="434">
        <v>61</v>
      </c>
      <c r="G101" s="434">
        <v>83.5</v>
      </c>
    </row>
    <row r="102" spans="1:7" x14ac:dyDescent="0.3">
      <c r="A102" s="454">
        <v>9</v>
      </c>
      <c r="B102" s="434">
        <v>23.3</v>
      </c>
      <c r="C102" s="434">
        <v>61.9</v>
      </c>
      <c r="D102" s="434">
        <v>71</v>
      </c>
      <c r="E102" s="434"/>
      <c r="F102" s="434">
        <v>74.5</v>
      </c>
      <c r="G102" s="434">
        <v>80</v>
      </c>
    </row>
    <row r="103" spans="1:7" x14ac:dyDescent="0.3">
      <c r="A103" s="454">
        <v>10</v>
      </c>
      <c r="B103" s="434">
        <v>33.799999999999997</v>
      </c>
      <c r="C103" s="434">
        <v>67</v>
      </c>
      <c r="D103" s="434">
        <v>101.2</v>
      </c>
      <c r="E103" s="434"/>
      <c r="F103" s="434">
        <v>60.1</v>
      </c>
      <c r="G103" s="434">
        <v>93.8</v>
      </c>
    </row>
    <row r="104" spans="1:7" x14ac:dyDescent="0.3">
      <c r="A104" s="454">
        <v>11</v>
      </c>
      <c r="B104" s="434">
        <v>23.7</v>
      </c>
      <c r="C104" s="434">
        <v>64.7</v>
      </c>
      <c r="D104" s="434">
        <v>90.4</v>
      </c>
      <c r="E104" s="434"/>
      <c r="F104" s="434"/>
      <c r="G104" s="434">
        <v>104.3</v>
      </c>
    </row>
    <row r="105" spans="1:7" x14ac:dyDescent="0.3">
      <c r="A105" s="454">
        <v>12</v>
      </c>
      <c r="B105" s="434">
        <v>15.9</v>
      </c>
      <c r="C105" s="434">
        <v>42.9</v>
      </c>
      <c r="D105" s="434">
        <v>102.3</v>
      </c>
      <c r="E105" s="434"/>
      <c r="F105" s="434"/>
      <c r="G105" s="434">
        <v>83</v>
      </c>
    </row>
    <row r="106" spans="1:7" x14ac:dyDescent="0.3">
      <c r="A106" s="454">
        <v>13</v>
      </c>
      <c r="B106" s="434"/>
      <c r="C106" s="434">
        <v>49.8</v>
      </c>
      <c r="D106" s="434">
        <v>72</v>
      </c>
      <c r="E106" s="438"/>
      <c r="F106" s="438"/>
      <c r="G106" s="438"/>
    </row>
    <row r="107" spans="1:7" x14ac:dyDescent="0.3">
      <c r="A107" s="454">
        <v>14</v>
      </c>
      <c r="B107" s="434"/>
      <c r="C107" s="434">
        <v>43.8</v>
      </c>
      <c r="D107" s="434">
        <v>77.900000000000006</v>
      </c>
      <c r="E107" s="438"/>
      <c r="F107" s="438"/>
      <c r="G107" s="438"/>
    </row>
    <row r="108" spans="1:7" x14ac:dyDescent="0.3">
      <c r="A108" s="454">
        <v>15</v>
      </c>
      <c r="B108" s="434"/>
      <c r="C108" s="434">
        <v>67.8</v>
      </c>
      <c r="D108" s="434">
        <v>76.400000000000006</v>
      </c>
      <c r="E108" s="438"/>
      <c r="F108" s="438"/>
      <c r="G108" s="438"/>
    </row>
    <row r="109" spans="1:7" x14ac:dyDescent="0.3">
      <c r="A109" s="670" t="s">
        <v>360</v>
      </c>
      <c r="B109" s="670"/>
      <c r="C109" s="670"/>
      <c r="D109" s="663"/>
      <c r="E109" s="670"/>
      <c r="F109" s="670"/>
      <c r="G109" s="670"/>
    </row>
    <row r="110" spans="1:7" x14ac:dyDescent="0.3">
      <c r="A110" s="396"/>
      <c r="B110" s="674" t="s">
        <v>364</v>
      </c>
      <c r="C110" s="674"/>
      <c r="D110" s="674"/>
      <c r="E110" s="674" t="s">
        <v>365</v>
      </c>
      <c r="F110" s="674"/>
      <c r="G110" s="674"/>
    </row>
    <row r="111" spans="1:7" x14ac:dyDescent="0.3">
      <c r="A111" s="454" t="s">
        <v>366</v>
      </c>
      <c r="B111" s="433" t="s">
        <v>344</v>
      </c>
      <c r="C111" s="433" t="s">
        <v>345</v>
      </c>
      <c r="D111" s="433" t="s">
        <v>367</v>
      </c>
      <c r="E111" s="433" t="s">
        <v>368</v>
      </c>
      <c r="F111" s="433" t="s">
        <v>369</v>
      </c>
      <c r="G111" s="433" t="s">
        <v>370</v>
      </c>
    </row>
    <row r="112" spans="1:7" x14ac:dyDescent="0.3">
      <c r="A112" s="454">
        <v>1</v>
      </c>
      <c r="B112" s="434">
        <v>0</v>
      </c>
      <c r="C112" s="434">
        <v>0</v>
      </c>
      <c r="D112" s="434">
        <v>0</v>
      </c>
      <c r="E112" s="434">
        <v>56.2</v>
      </c>
      <c r="F112" s="434">
        <v>62.5</v>
      </c>
      <c r="G112" s="434">
        <v>94.3</v>
      </c>
    </row>
    <row r="113" spans="1:7" x14ac:dyDescent="0.3">
      <c r="A113" s="454">
        <v>2</v>
      </c>
      <c r="B113" s="434"/>
      <c r="C113" s="434"/>
      <c r="D113" s="434"/>
      <c r="E113" s="434">
        <v>53.9</v>
      </c>
      <c r="F113" s="434">
        <v>65.7</v>
      </c>
      <c r="G113" s="434">
        <v>89.5</v>
      </c>
    </row>
    <row r="114" spans="1:7" x14ac:dyDescent="0.3">
      <c r="A114" s="454">
        <v>3</v>
      </c>
      <c r="B114" s="434"/>
      <c r="C114" s="434"/>
      <c r="D114" s="434"/>
      <c r="E114" s="434">
        <v>28.7</v>
      </c>
      <c r="F114" s="434">
        <v>76.099999999999994</v>
      </c>
      <c r="G114" s="434">
        <v>94.6</v>
      </c>
    </row>
    <row r="115" spans="1:7" x14ac:dyDescent="0.3">
      <c r="A115" s="454">
        <v>4</v>
      </c>
      <c r="B115" s="434"/>
      <c r="C115" s="434"/>
      <c r="D115" s="434"/>
      <c r="E115" s="434"/>
      <c r="F115" s="434">
        <v>75.8</v>
      </c>
      <c r="G115" s="434">
        <v>113</v>
      </c>
    </row>
    <row r="116" spans="1:7" x14ac:dyDescent="0.3">
      <c r="A116" s="454">
        <v>5</v>
      </c>
      <c r="B116" s="434"/>
      <c r="C116" s="434"/>
      <c r="D116" s="434"/>
      <c r="E116" s="434"/>
      <c r="F116" s="434">
        <v>65.599999999999994</v>
      </c>
      <c r="G116" s="434">
        <v>83.3</v>
      </c>
    </row>
    <row r="117" spans="1:7" x14ac:dyDescent="0.3">
      <c r="A117" s="670" t="s">
        <v>361</v>
      </c>
      <c r="B117" s="670"/>
      <c r="C117" s="670"/>
      <c r="D117" s="663"/>
      <c r="E117" s="670"/>
      <c r="F117" s="670"/>
      <c r="G117" s="670"/>
    </row>
    <row r="118" spans="1:7" x14ac:dyDescent="0.3">
      <c r="A118" s="396"/>
      <c r="B118" s="674" t="s">
        <v>364</v>
      </c>
      <c r="C118" s="674"/>
      <c r="D118" s="674"/>
      <c r="E118" s="674" t="s">
        <v>365</v>
      </c>
      <c r="F118" s="674"/>
      <c r="G118" s="674"/>
    </row>
    <row r="119" spans="1:7" x14ac:dyDescent="0.3">
      <c r="A119" s="454" t="s">
        <v>366</v>
      </c>
      <c r="B119" s="433" t="s">
        <v>344</v>
      </c>
      <c r="C119" s="433" t="s">
        <v>345</v>
      </c>
      <c r="D119" s="433" t="s">
        <v>367</v>
      </c>
      <c r="E119" s="433" t="s">
        <v>368</v>
      </c>
      <c r="F119" s="433" t="s">
        <v>369</v>
      </c>
      <c r="G119" s="433" t="s">
        <v>370</v>
      </c>
    </row>
    <row r="120" spans="1:7" x14ac:dyDescent="0.3">
      <c r="A120" s="454">
        <v>1</v>
      </c>
      <c r="B120" s="434">
        <v>20.5</v>
      </c>
      <c r="C120" s="434">
        <v>40.200000000000003</v>
      </c>
      <c r="D120" s="434">
        <v>77.7</v>
      </c>
      <c r="E120" s="434">
        <v>57.5</v>
      </c>
      <c r="F120" s="434">
        <v>76.8</v>
      </c>
      <c r="G120" s="434">
        <v>108.7</v>
      </c>
    </row>
    <row r="121" spans="1:7" x14ac:dyDescent="0.3">
      <c r="A121" s="454">
        <v>2</v>
      </c>
      <c r="B121" s="434">
        <v>32.6</v>
      </c>
      <c r="C121" s="434">
        <v>50.6</v>
      </c>
      <c r="D121" s="434">
        <v>90.6</v>
      </c>
      <c r="E121" s="434">
        <v>50.1</v>
      </c>
      <c r="F121" s="434">
        <v>69.7</v>
      </c>
      <c r="G121" s="434">
        <v>112.7</v>
      </c>
    </row>
    <row r="122" spans="1:7" x14ac:dyDescent="0.3">
      <c r="A122" s="454">
        <v>3</v>
      </c>
      <c r="B122" s="434">
        <v>34.1</v>
      </c>
      <c r="C122" s="434">
        <v>55.2</v>
      </c>
      <c r="D122" s="434">
        <v>70.400000000000006</v>
      </c>
      <c r="E122" s="434">
        <v>42.9</v>
      </c>
      <c r="F122" s="434">
        <v>70</v>
      </c>
      <c r="G122" s="434">
        <v>91.5</v>
      </c>
    </row>
    <row r="123" spans="1:7" x14ac:dyDescent="0.3">
      <c r="A123" s="454">
        <v>4</v>
      </c>
      <c r="B123" s="434">
        <v>27.5</v>
      </c>
      <c r="C123" s="434">
        <v>56.8</v>
      </c>
      <c r="D123" s="434">
        <v>104.7</v>
      </c>
      <c r="E123" s="434"/>
      <c r="F123" s="434">
        <v>68.2</v>
      </c>
      <c r="G123" s="434">
        <v>99.1</v>
      </c>
    </row>
    <row r="124" spans="1:7" x14ac:dyDescent="0.3">
      <c r="A124" s="454">
        <v>5</v>
      </c>
      <c r="B124" s="434">
        <v>20.3</v>
      </c>
      <c r="C124" s="434">
        <v>44.4</v>
      </c>
      <c r="D124" s="434">
        <v>104</v>
      </c>
      <c r="E124" s="434"/>
      <c r="F124" s="434">
        <v>65.8</v>
      </c>
      <c r="G124" s="434">
        <v>117.7</v>
      </c>
    </row>
    <row r="125" spans="1:7" x14ac:dyDescent="0.3">
      <c r="A125" s="454">
        <v>6</v>
      </c>
      <c r="B125" s="434">
        <v>33.5</v>
      </c>
      <c r="C125" s="434">
        <v>50.5</v>
      </c>
      <c r="D125" s="434">
        <v>70.099999999999994</v>
      </c>
      <c r="E125" s="434"/>
      <c r="F125" s="434"/>
      <c r="G125" s="434">
        <v>105.4</v>
      </c>
    </row>
    <row r="126" spans="1:7" x14ac:dyDescent="0.3">
      <c r="A126" s="454">
        <v>7</v>
      </c>
      <c r="B126" s="434">
        <v>33.9</v>
      </c>
      <c r="C126" s="434">
        <v>40.1</v>
      </c>
      <c r="D126" s="434">
        <v>93.3</v>
      </c>
      <c r="E126" s="434"/>
      <c r="F126" s="434"/>
      <c r="G126" s="434"/>
    </row>
    <row r="127" spans="1:7" x14ac:dyDescent="0.3">
      <c r="A127" s="454">
        <v>8</v>
      </c>
      <c r="B127" s="434"/>
      <c r="C127" s="434">
        <v>61.4</v>
      </c>
      <c r="D127" s="434">
        <v>75.2</v>
      </c>
      <c r="E127" s="434"/>
      <c r="F127" s="434"/>
      <c r="G127" s="434"/>
    </row>
    <row r="128" spans="1:7" x14ac:dyDescent="0.3">
      <c r="A128" s="454">
        <v>9</v>
      </c>
      <c r="B128" s="434"/>
      <c r="C128" s="434">
        <v>59.1</v>
      </c>
      <c r="D128" s="434"/>
      <c r="E128" s="434"/>
      <c r="F128" s="434"/>
      <c r="G128" s="434"/>
    </row>
    <row r="129" spans="1:7" x14ac:dyDescent="0.3">
      <c r="A129" s="670" t="s">
        <v>362</v>
      </c>
      <c r="B129" s="670"/>
      <c r="C129" s="670"/>
      <c r="D129" s="663"/>
      <c r="E129" s="670"/>
      <c r="F129" s="670"/>
      <c r="G129" s="670"/>
    </row>
    <row r="130" spans="1:7" x14ac:dyDescent="0.3">
      <c r="A130" s="396"/>
      <c r="B130" s="674" t="s">
        <v>364</v>
      </c>
      <c r="C130" s="674"/>
      <c r="D130" s="674"/>
      <c r="E130" s="674" t="s">
        <v>365</v>
      </c>
      <c r="F130" s="674"/>
      <c r="G130" s="674"/>
    </row>
    <row r="131" spans="1:7" x14ac:dyDescent="0.3">
      <c r="A131" s="454" t="s">
        <v>366</v>
      </c>
      <c r="B131" s="433" t="s">
        <v>344</v>
      </c>
      <c r="C131" s="433" t="s">
        <v>345</v>
      </c>
      <c r="D131" s="433" t="s">
        <v>367</v>
      </c>
      <c r="E131" s="433" t="s">
        <v>368</v>
      </c>
      <c r="F131" s="433" t="s">
        <v>369</v>
      </c>
      <c r="G131" s="433" t="s">
        <v>370</v>
      </c>
    </row>
    <row r="132" spans="1:7" x14ac:dyDescent="0.3">
      <c r="A132" s="454">
        <v>1</v>
      </c>
      <c r="B132" s="434">
        <v>0</v>
      </c>
      <c r="C132" s="434">
        <v>0</v>
      </c>
      <c r="D132" s="434">
        <v>0</v>
      </c>
      <c r="E132" s="434">
        <v>32.299999999999997</v>
      </c>
      <c r="F132" s="434">
        <v>66.5</v>
      </c>
      <c r="G132" s="434">
        <v>97.2</v>
      </c>
    </row>
    <row r="133" spans="1:7" x14ac:dyDescent="0.3">
      <c r="A133" s="454">
        <v>2</v>
      </c>
      <c r="B133" s="434"/>
      <c r="C133" s="434"/>
      <c r="D133" s="434"/>
      <c r="E133" s="434">
        <v>41.5</v>
      </c>
      <c r="F133" s="434">
        <v>64.5</v>
      </c>
      <c r="G133" s="434">
        <v>101.9</v>
      </c>
    </row>
    <row r="134" spans="1:7" x14ac:dyDescent="0.3">
      <c r="A134" s="454">
        <v>3</v>
      </c>
      <c r="B134" s="434"/>
      <c r="C134" s="434"/>
      <c r="D134" s="434"/>
      <c r="E134" s="434">
        <v>40</v>
      </c>
      <c r="F134" s="434">
        <v>72.8</v>
      </c>
      <c r="G134" s="434">
        <v>84.9</v>
      </c>
    </row>
    <row r="135" spans="1:7" x14ac:dyDescent="0.3">
      <c r="A135" s="454">
        <v>4</v>
      </c>
      <c r="B135" s="434"/>
      <c r="C135" s="434"/>
      <c r="D135" s="434"/>
      <c r="E135" s="434">
        <v>41.6</v>
      </c>
      <c r="F135" s="434">
        <v>79.599999999999994</v>
      </c>
      <c r="G135" s="434">
        <v>87.3</v>
      </c>
    </row>
    <row r="136" spans="1:7" x14ac:dyDescent="0.3">
      <c r="A136" s="454">
        <v>5</v>
      </c>
      <c r="B136" s="434"/>
      <c r="C136" s="434"/>
      <c r="D136" s="434"/>
      <c r="E136" s="434"/>
      <c r="F136" s="434">
        <v>66.400000000000006</v>
      </c>
      <c r="G136" s="434">
        <v>112.7</v>
      </c>
    </row>
    <row r="137" spans="1:7" x14ac:dyDescent="0.3">
      <c r="A137" s="442"/>
      <c r="B137" s="443"/>
      <c r="C137" s="443"/>
      <c r="D137" s="443"/>
      <c r="E137" s="443"/>
      <c r="F137" s="443"/>
      <c r="G137" s="443"/>
    </row>
    <row r="138" spans="1:7" x14ac:dyDescent="0.3">
      <c r="A138" s="442"/>
      <c r="B138" s="443"/>
      <c r="C138" s="443"/>
      <c r="D138" s="443"/>
      <c r="E138" s="441"/>
      <c r="F138" s="443"/>
      <c r="G138" s="443"/>
    </row>
    <row r="139" spans="1:7" x14ac:dyDescent="0.3">
      <c r="A139" s="442"/>
      <c r="B139" s="443"/>
      <c r="C139" s="443"/>
      <c r="D139" s="443"/>
      <c r="E139" s="441"/>
      <c r="F139" s="441"/>
      <c r="G139" s="443"/>
    </row>
    <row r="140" spans="1:7" x14ac:dyDescent="0.3">
      <c r="A140" s="442"/>
      <c r="B140" s="443"/>
      <c r="C140" s="443"/>
      <c r="D140" s="443"/>
      <c r="E140" s="441"/>
      <c r="F140" s="441"/>
      <c r="G140" s="441"/>
    </row>
    <row r="141" spans="1:7" x14ac:dyDescent="0.3">
      <c r="A141" s="668" t="s">
        <v>160</v>
      </c>
      <c r="B141" s="666" t="s">
        <v>161</v>
      </c>
      <c r="C141" s="667"/>
      <c r="D141" s="666" t="s">
        <v>162</v>
      </c>
      <c r="E141" s="667"/>
      <c r="F141" s="666" t="s">
        <v>163</v>
      </c>
      <c r="G141" s="667"/>
    </row>
    <row r="142" spans="1:7" x14ac:dyDescent="0.3">
      <c r="A142" s="669"/>
      <c r="B142" s="432" t="s">
        <v>164</v>
      </c>
      <c r="C142" s="432" t="s">
        <v>165</v>
      </c>
      <c r="D142" s="432" t="s">
        <v>164</v>
      </c>
      <c r="E142" s="432" t="s">
        <v>165</v>
      </c>
      <c r="F142" s="432" t="s">
        <v>164</v>
      </c>
      <c r="G142" s="432" t="s">
        <v>165</v>
      </c>
    </row>
    <row r="143" spans="1:7" x14ac:dyDescent="0.3">
      <c r="A143" s="433" t="s">
        <v>353</v>
      </c>
      <c r="B143" s="435">
        <f>ROUNDDOWN(AVERAGE(B6:D11),1)</f>
        <v>0</v>
      </c>
      <c r="C143" s="435">
        <f>ROUNDDOWN(AVERAGE(E6:G11),1)</f>
        <v>77.5</v>
      </c>
      <c r="D143" s="432">
        <v>0</v>
      </c>
      <c r="E143" s="432">
        <v>5609</v>
      </c>
      <c r="F143" s="432">
        <f>B143*D143</f>
        <v>0</v>
      </c>
      <c r="G143" s="432">
        <f>C143*E143</f>
        <v>434697.5</v>
      </c>
    </row>
    <row r="144" spans="1:7" x14ac:dyDescent="0.3">
      <c r="A144" s="433" t="s">
        <v>354</v>
      </c>
      <c r="B144" s="435">
        <f>ROUNDDOWN(AVERAGE(B15:D20),1)</f>
        <v>0</v>
      </c>
      <c r="C144" s="435">
        <f>ROUNDDOWN(AVERAGE(E15:G20),1)</f>
        <v>78.7</v>
      </c>
      <c r="D144" s="432">
        <v>0</v>
      </c>
      <c r="E144" s="432">
        <v>6991</v>
      </c>
      <c r="F144" s="432">
        <f t="shared" ref="F144:G152" si="0">B144*D144</f>
        <v>0</v>
      </c>
      <c r="G144" s="432">
        <f t="shared" si="0"/>
        <v>550191.70000000007</v>
      </c>
    </row>
    <row r="145" spans="1:7" x14ac:dyDescent="0.3">
      <c r="A145" s="433" t="s">
        <v>355</v>
      </c>
      <c r="B145" s="435">
        <f>ROUNDDOWN(AVERAGE(B24:D38),1)</f>
        <v>57.5</v>
      </c>
      <c r="C145" s="435">
        <f>ROUNDDOWN(AVERAGE(E24:G38),1)</f>
        <v>75.3</v>
      </c>
      <c r="D145" s="432">
        <v>16871</v>
      </c>
      <c r="E145" s="432">
        <v>13877</v>
      </c>
      <c r="F145" s="432">
        <f t="shared" si="0"/>
        <v>970082.5</v>
      </c>
      <c r="G145" s="432">
        <f t="shared" si="0"/>
        <v>1044938.1</v>
      </c>
    </row>
    <row r="146" spans="1:7" x14ac:dyDescent="0.3">
      <c r="A146" s="433" t="s">
        <v>356</v>
      </c>
      <c r="B146" s="435">
        <f>ROUNDDOWN(AVERAGE(B42:D56),1)</f>
        <v>56.1</v>
      </c>
      <c r="C146" s="435">
        <f>ROUNDDOWN(AVERAGE(E42:G56),1)</f>
        <v>75.7</v>
      </c>
      <c r="D146" s="432">
        <v>16520</v>
      </c>
      <c r="E146" s="432">
        <v>15263</v>
      </c>
      <c r="F146" s="432">
        <f t="shared" si="0"/>
        <v>926772</v>
      </c>
      <c r="G146" s="432">
        <f t="shared" si="0"/>
        <v>1155409.1000000001</v>
      </c>
    </row>
    <row r="147" spans="1:7" x14ac:dyDescent="0.3">
      <c r="A147" s="433" t="s">
        <v>357</v>
      </c>
      <c r="B147" s="435">
        <f>ROUNDDOWN(AVERAGE(B60:D68),1)</f>
        <v>56.4</v>
      </c>
      <c r="C147" s="435">
        <f>ROUNDDOWN(AVERAGE(E60:G68),1)</f>
        <v>75.2</v>
      </c>
      <c r="D147" s="432">
        <v>10059</v>
      </c>
      <c r="E147" s="432">
        <v>6426</v>
      </c>
      <c r="F147" s="432">
        <f t="shared" si="0"/>
        <v>567327.6</v>
      </c>
      <c r="G147" s="432">
        <f t="shared" si="0"/>
        <v>483235.2</v>
      </c>
    </row>
    <row r="148" spans="1:7" x14ac:dyDescent="0.3">
      <c r="A148" s="433" t="s">
        <v>358</v>
      </c>
      <c r="B148" s="435">
        <f>ROUNDDOWN(AVERAGE(B72:D90),1)</f>
        <v>57</v>
      </c>
      <c r="C148" s="435">
        <f>ROUNDDOWN(AVERAGE(E72:G90),1)</f>
        <v>75.8</v>
      </c>
      <c r="D148" s="432">
        <v>20494</v>
      </c>
      <c r="E148" s="432">
        <v>19240</v>
      </c>
      <c r="F148" s="432">
        <f t="shared" si="0"/>
        <v>1168158</v>
      </c>
      <c r="G148" s="432">
        <f t="shared" si="0"/>
        <v>1458392</v>
      </c>
    </row>
    <row r="149" spans="1:7" x14ac:dyDescent="0.3">
      <c r="A149" s="433" t="s">
        <v>359</v>
      </c>
      <c r="B149" s="435">
        <f>ROUNDDOWN(AVERAGE(B94:D108),1)</f>
        <v>57.8</v>
      </c>
      <c r="C149" s="435">
        <f>ROUNDDOWN(AVERAGE(E94:G108),1)</f>
        <v>72</v>
      </c>
      <c r="D149" s="432">
        <v>16458</v>
      </c>
      <c r="E149" s="432">
        <v>13871</v>
      </c>
      <c r="F149" s="432">
        <f t="shared" si="0"/>
        <v>951272.39999999991</v>
      </c>
      <c r="G149" s="432">
        <f t="shared" si="0"/>
        <v>998712</v>
      </c>
    </row>
    <row r="150" spans="1:7" x14ac:dyDescent="0.3">
      <c r="A150" s="433" t="s">
        <v>360</v>
      </c>
      <c r="B150" s="435">
        <f>ROUNDDOWN(AVERAGE(B112:D116),1)</f>
        <v>0</v>
      </c>
      <c r="C150" s="435">
        <f>ROUNDDOWN(AVERAGE(E112:G116),1)</f>
        <v>73.7</v>
      </c>
      <c r="D150" s="432">
        <v>0</v>
      </c>
      <c r="E150" s="432">
        <v>4988</v>
      </c>
      <c r="F150" s="432">
        <f t="shared" si="0"/>
        <v>0</v>
      </c>
      <c r="G150" s="432">
        <f t="shared" si="0"/>
        <v>367615.60000000003</v>
      </c>
    </row>
    <row r="151" spans="1:7" x14ac:dyDescent="0.3">
      <c r="A151" s="433" t="s">
        <v>361</v>
      </c>
      <c r="B151" s="435">
        <f>ROUNDDOWN(AVERAGE(B120:D128),1)</f>
        <v>56.1</v>
      </c>
      <c r="C151" s="435">
        <f>ROUNDDOWN(AVERAGE(E120:G128),1)</f>
        <v>81.099999999999994</v>
      </c>
      <c r="D151" s="432">
        <v>9275</v>
      </c>
      <c r="E151" s="432">
        <v>5929</v>
      </c>
      <c r="F151" s="432">
        <f t="shared" si="0"/>
        <v>520327.5</v>
      </c>
      <c r="G151" s="432">
        <f t="shared" si="0"/>
        <v>480841.89999999997</v>
      </c>
    </row>
    <row r="152" spans="1:7" x14ac:dyDescent="0.3">
      <c r="A152" s="433" t="s">
        <v>362</v>
      </c>
      <c r="B152" s="435">
        <f>ROUNDDOWN(AVERAGE(B132:D136),1)</f>
        <v>0</v>
      </c>
      <c r="C152" s="435">
        <f>ROUNDDOWN(AVERAGE(E132:G136),1)</f>
        <v>70.599999999999994</v>
      </c>
      <c r="D152" s="432">
        <v>0</v>
      </c>
      <c r="E152" s="432">
        <v>6008</v>
      </c>
      <c r="F152" s="432">
        <f t="shared" si="0"/>
        <v>0</v>
      </c>
      <c r="G152" s="432">
        <f t="shared" si="0"/>
        <v>424164.8</v>
      </c>
    </row>
    <row r="153" spans="1:7" x14ac:dyDescent="0.3">
      <c r="A153" s="433" t="s">
        <v>166</v>
      </c>
      <c r="B153" s="433"/>
      <c r="C153" s="433"/>
      <c r="D153" s="432">
        <f>SUM(D143:D152)</f>
        <v>89677</v>
      </c>
      <c r="E153" s="432">
        <f>SUM(E143:E152)</f>
        <v>98202</v>
      </c>
      <c r="F153" s="432">
        <f>SUM(F143:F152)</f>
        <v>5103940</v>
      </c>
      <c r="G153" s="432">
        <f>SUM(G143:G152)</f>
        <v>7398197.9000000004</v>
      </c>
    </row>
    <row r="154" spans="1:7" x14ac:dyDescent="0.3">
      <c r="A154" s="441"/>
      <c r="B154" s="441"/>
      <c r="C154" s="441"/>
      <c r="D154" s="442"/>
      <c r="E154" s="442"/>
      <c r="F154" s="442"/>
      <c r="G154" s="442"/>
    </row>
    <row r="156" spans="1:7" x14ac:dyDescent="0.3">
      <c r="C156" s="666" t="s">
        <v>167</v>
      </c>
      <c r="D156" s="667"/>
    </row>
    <row r="157" spans="1:7" x14ac:dyDescent="0.3">
      <c r="C157" s="432" t="s">
        <v>164</v>
      </c>
      <c r="D157" s="432" t="s">
        <v>165</v>
      </c>
    </row>
    <row r="158" spans="1:7" x14ac:dyDescent="0.3">
      <c r="C158" s="436">
        <f>ROUNDDOWN(F153/D153,1)</f>
        <v>56.9</v>
      </c>
      <c r="D158" s="437">
        <f>ROUNDDOWN(G153/E153,1)</f>
        <v>75.3</v>
      </c>
    </row>
  </sheetData>
  <mergeCells count="37">
    <mergeCell ref="C156:D156"/>
    <mergeCell ref="B130:D130"/>
    <mergeCell ref="E130:G130"/>
    <mergeCell ref="A141:A142"/>
    <mergeCell ref="B141:C141"/>
    <mergeCell ref="D141:E141"/>
    <mergeCell ref="F141:G141"/>
    <mergeCell ref="A129:G129"/>
    <mergeCell ref="B70:D70"/>
    <mergeCell ref="E70:G70"/>
    <mergeCell ref="A91:G91"/>
    <mergeCell ref="B92:D92"/>
    <mergeCell ref="E92:G92"/>
    <mergeCell ref="A109:G109"/>
    <mergeCell ref="B110:D110"/>
    <mergeCell ref="E110:G110"/>
    <mergeCell ref="A117:G117"/>
    <mergeCell ref="B118:D118"/>
    <mergeCell ref="E118:G118"/>
    <mergeCell ref="A69:G69"/>
    <mergeCell ref="B13:D13"/>
    <mergeCell ref="E13:G13"/>
    <mergeCell ref="A21:G21"/>
    <mergeCell ref="B22:D22"/>
    <mergeCell ref="E22:G22"/>
    <mergeCell ref="A39:G39"/>
    <mergeCell ref="B40:D40"/>
    <mergeCell ref="E40:G40"/>
    <mergeCell ref="A57:G57"/>
    <mergeCell ref="B58:D58"/>
    <mergeCell ref="E58:G58"/>
    <mergeCell ref="A12:G12"/>
    <mergeCell ref="A1:G1"/>
    <mergeCell ref="A2:G2"/>
    <mergeCell ref="A3:G3"/>
    <mergeCell ref="B4:D4"/>
    <mergeCell ref="E4:G4"/>
  </mergeCells>
  <phoneticPr fontId="11" type="noConversion"/>
  <pageMargins left="0.7" right="0.7" top="0.75" bottom="0.75" header="0.3" footer="0.3"/>
  <pageSetup paperSize="9"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5F902-3CF6-450D-8572-9051E2465309}">
  <dimension ref="A1:I158"/>
  <sheetViews>
    <sheetView zoomScale="80" zoomScaleNormal="80" workbookViewId="0">
      <selection activeCell="E166" sqref="E166"/>
    </sheetView>
  </sheetViews>
  <sheetFormatPr defaultColWidth="8.7265625" defaultRowHeight="14" x14ac:dyDescent="0.3"/>
  <cols>
    <col min="1" max="1" width="22.453125" style="395" customWidth="1"/>
    <col min="2" max="2" width="16.26953125" style="395" bestFit="1" customWidth="1"/>
    <col min="3" max="3" width="22.90625" style="395" bestFit="1" customWidth="1"/>
    <col min="4" max="4" width="22.6328125" style="395" bestFit="1" customWidth="1"/>
    <col min="5" max="5" width="21.453125" style="395" bestFit="1" customWidth="1"/>
    <col min="6" max="6" width="23.453125" style="395" bestFit="1" customWidth="1"/>
    <col min="7" max="7" width="23.08984375" style="395" bestFit="1" customWidth="1"/>
    <col min="8" max="8" width="14.81640625" style="395" customWidth="1"/>
    <col min="9" max="16384" width="8.7265625" style="395"/>
  </cols>
  <sheetData>
    <row r="1" spans="1:9" x14ac:dyDescent="0.3">
      <c r="A1" s="657" t="s">
        <v>322</v>
      </c>
      <c r="B1" s="658"/>
      <c r="C1" s="658"/>
      <c r="D1" s="658"/>
      <c r="E1" s="658"/>
      <c r="F1" s="658"/>
      <c r="G1" s="659"/>
    </row>
    <row r="2" spans="1:9" ht="33" customHeight="1" x14ac:dyDescent="0.3">
      <c r="A2" s="660" t="s">
        <v>384</v>
      </c>
      <c r="B2" s="661"/>
      <c r="C2" s="661"/>
      <c r="D2" s="661"/>
      <c r="E2" s="661"/>
      <c r="F2" s="661"/>
      <c r="G2" s="662"/>
    </row>
    <row r="3" spans="1:9" x14ac:dyDescent="0.3">
      <c r="A3" s="663" t="s">
        <v>353</v>
      </c>
      <c r="B3" s="663"/>
      <c r="C3" s="663"/>
      <c r="D3" s="663"/>
      <c r="E3" s="663"/>
      <c r="F3" s="663"/>
      <c r="G3" s="663"/>
    </row>
    <row r="4" spans="1:9" x14ac:dyDescent="0.3">
      <c r="A4" s="396"/>
      <c r="B4" s="674" t="s">
        <v>364</v>
      </c>
      <c r="C4" s="674"/>
      <c r="D4" s="674"/>
      <c r="E4" s="674" t="s">
        <v>365</v>
      </c>
      <c r="F4" s="674"/>
      <c r="G4" s="674"/>
    </row>
    <row r="5" spans="1:9" x14ac:dyDescent="0.3">
      <c r="A5" s="454" t="s">
        <v>366</v>
      </c>
      <c r="B5" s="433" t="s">
        <v>344</v>
      </c>
      <c r="C5" s="433" t="s">
        <v>345</v>
      </c>
      <c r="D5" s="433" t="s">
        <v>367</v>
      </c>
      <c r="E5" s="433" t="s">
        <v>368</v>
      </c>
      <c r="F5" s="433" t="s">
        <v>369</v>
      </c>
      <c r="G5" s="433" t="s">
        <v>370</v>
      </c>
      <c r="H5" s="440"/>
      <c r="I5" s="441"/>
    </row>
    <row r="6" spans="1:9" x14ac:dyDescent="0.3">
      <c r="A6" s="454">
        <v>1</v>
      </c>
      <c r="B6" s="434">
        <v>0</v>
      </c>
      <c r="C6" s="434">
        <v>0</v>
      </c>
      <c r="D6" s="434">
        <v>0</v>
      </c>
      <c r="E6" s="434">
        <v>44.6</v>
      </c>
      <c r="F6" s="434">
        <v>74.099999999999994</v>
      </c>
      <c r="G6" s="434">
        <v>93.3</v>
      </c>
    </row>
    <row r="7" spans="1:9" x14ac:dyDescent="0.3">
      <c r="A7" s="454">
        <v>2</v>
      </c>
      <c r="B7" s="434"/>
      <c r="C7" s="434"/>
      <c r="D7" s="434"/>
      <c r="E7" s="434">
        <v>44</v>
      </c>
      <c r="F7" s="434">
        <v>66.599999999999994</v>
      </c>
      <c r="G7" s="434">
        <v>103.7</v>
      </c>
    </row>
    <row r="8" spans="1:9" x14ac:dyDescent="0.3">
      <c r="A8" s="454">
        <v>3</v>
      </c>
      <c r="B8" s="434"/>
      <c r="C8" s="434"/>
      <c r="D8" s="434"/>
      <c r="E8" s="434">
        <v>47.2</v>
      </c>
      <c r="F8" s="434">
        <v>78.099999999999994</v>
      </c>
      <c r="G8" s="434">
        <v>119.8</v>
      </c>
    </row>
    <row r="9" spans="1:9" x14ac:dyDescent="0.3">
      <c r="A9" s="454">
        <v>4</v>
      </c>
      <c r="B9" s="434"/>
      <c r="C9" s="434"/>
      <c r="D9" s="434"/>
      <c r="E9" s="434"/>
      <c r="F9" s="434">
        <v>73.7</v>
      </c>
      <c r="G9" s="434">
        <v>118.2</v>
      </c>
    </row>
    <row r="10" spans="1:9" x14ac:dyDescent="0.3">
      <c r="A10" s="454">
        <v>5</v>
      </c>
      <c r="B10" s="434"/>
      <c r="C10" s="434"/>
      <c r="D10" s="434"/>
      <c r="E10" s="434"/>
      <c r="F10" s="434">
        <v>69.900000000000006</v>
      </c>
      <c r="G10" s="434">
        <v>80.900000000000006</v>
      </c>
    </row>
    <row r="11" spans="1:9" x14ac:dyDescent="0.3">
      <c r="A11" s="454">
        <v>6</v>
      </c>
      <c r="B11" s="434"/>
      <c r="C11" s="434"/>
      <c r="D11" s="434"/>
      <c r="E11" s="434"/>
      <c r="F11" s="434"/>
      <c r="G11" s="434">
        <v>83</v>
      </c>
    </row>
    <row r="12" spans="1:9" x14ac:dyDescent="0.3">
      <c r="A12" s="670" t="s">
        <v>354</v>
      </c>
      <c r="B12" s="670"/>
      <c r="C12" s="670"/>
      <c r="D12" s="670"/>
      <c r="E12" s="670"/>
      <c r="F12" s="670"/>
      <c r="G12" s="670"/>
    </row>
    <row r="13" spans="1:9" x14ac:dyDescent="0.3">
      <c r="A13" s="396"/>
      <c r="B13" s="674" t="s">
        <v>364</v>
      </c>
      <c r="C13" s="674"/>
      <c r="D13" s="674"/>
      <c r="E13" s="674" t="s">
        <v>365</v>
      </c>
      <c r="F13" s="674"/>
      <c r="G13" s="674"/>
    </row>
    <row r="14" spans="1:9" x14ac:dyDescent="0.3">
      <c r="A14" s="454" t="s">
        <v>366</v>
      </c>
      <c r="B14" s="433" t="s">
        <v>344</v>
      </c>
      <c r="C14" s="433" t="s">
        <v>345</v>
      </c>
      <c r="D14" s="433" t="s">
        <v>367</v>
      </c>
      <c r="E14" s="433" t="s">
        <v>368</v>
      </c>
      <c r="F14" s="433" t="s">
        <v>369</v>
      </c>
      <c r="G14" s="433" t="s">
        <v>370</v>
      </c>
    </row>
    <row r="15" spans="1:9" x14ac:dyDescent="0.3">
      <c r="A15" s="454">
        <v>1</v>
      </c>
      <c r="B15" s="434">
        <v>0</v>
      </c>
      <c r="C15" s="434">
        <v>0</v>
      </c>
      <c r="D15" s="434">
        <v>0</v>
      </c>
      <c r="E15" s="434">
        <v>39.9</v>
      </c>
      <c r="F15" s="434">
        <v>71.2</v>
      </c>
      <c r="G15" s="434">
        <v>99.2</v>
      </c>
    </row>
    <row r="16" spans="1:9" x14ac:dyDescent="0.3">
      <c r="A16" s="454">
        <v>2</v>
      </c>
      <c r="B16" s="434"/>
      <c r="C16" s="434"/>
      <c r="D16" s="434"/>
      <c r="E16" s="434">
        <v>35.4</v>
      </c>
      <c r="F16" s="434">
        <v>66.900000000000006</v>
      </c>
      <c r="G16" s="434">
        <v>108.4</v>
      </c>
    </row>
    <row r="17" spans="1:7" x14ac:dyDescent="0.3">
      <c r="A17" s="454">
        <v>3</v>
      </c>
      <c r="B17" s="434"/>
      <c r="C17" s="434"/>
      <c r="D17" s="434"/>
      <c r="E17" s="434">
        <v>37</v>
      </c>
      <c r="F17" s="434">
        <v>68.599999999999994</v>
      </c>
      <c r="G17" s="434">
        <v>83.4</v>
      </c>
    </row>
    <row r="18" spans="1:7" x14ac:dyDescent="0.3">
      <c r="A18" s="454">
        <v>4</v>
      </c>
      <c r="B18" s="434"/>
      <c r="C18" s="434"/>
      <c r="D18" s="434"/>
      <c r="E18" s="434">
        <v>53.1</v>
      </c>
      <c r="F18" s="434">
        <v>63.7</v>
      </c>
      <c r="G18" s="434">
        <v>105.1</v>
      </c>
    </row>
    <row r="19" spans="1:7" x14ac:dyDescent="0.3">
      <c r="A19" s="454">
        <v>5</v>
      </c>
      <c r="B19" s="434"/>
      <c r="C19" s="434"/>
      <c r="D19" s="434"/>
      <c r="E19" s="434"/>
      <c r="F19" s="434">
        <v>68.599999999999994</v>
      </c>
      <c r="G19" s="434">
        <v>85.7</v>
      </c>
    </row>
    <row r="20" spans="1:7" x14ac:dyDescent="0.3">
      <c r="A20" s="454">
        <v>6</v>
      </c>
      <c r="B20" s="434"/>
      <c r="C20" s="434"/>
      <c r="D20" s="434"/>
      <c r="E20" s="434"/>
      <c r="F20" s="434">
        <v>62.2</v>
      </c>
      <c r="G20" s="434">
        <v>110.7</v>
      </c>
    </row>
    <row r="21" spans="1:7" x14ac:dyDescent="0.3">
      <c r="A21" s="663" t="s">
        <v>355</v>
      </c>
      <c r="B21" s="663"/>
      <c r="C21" s="663"/>
      <c r="D21" s="663"/>
      <c r="E21" s="663"/>
      <c r="F21" s="663"/>
      <c r="G21" s="663"/>
    </row>
    <row r="22" spans="1:7" x14ac:dyDescent="0.3">
      <c r="A22" s="396"/>
      <c r="B22" s="674" t="s">
        <v>364</v>
      </c>
      <c r="C22" s="674"/>
      <c r="D22" s="674"/>
      <c r="E22" s="674" t="s">
        <v>365</v>
      </c>
      <c r="F22" s="674"/>
      <c r="G22" s="674"/>
    </row>
    <row r="23" spans="1:7" x14ac:dyDescent="0.3">
      <c r="A23" s="454" t="s">
        <v>366</v>
      </c>
      <c r="B23" s="433" t="s">
        <v>344</v>
      </c>
      <c r="C23" s="433" t="s">
        <v>345</v>
      </c>
      <c r="D23" s="433" t="s">
        <v>367</v>
      </c>
      <c r="E23" s="433" t="s">
        <v>368</v>
      </c>
      <c r="F23" s="433" t="s">
        <v>369</v>
      </c>
      <c r="G23" s="433" t="s">
        <v>370</v>
      </c>
    </row>
    <row r="24" spans="1:7" x14ac:dyDescent="0.3">
      <c r="A24" s="454">
        <v>1</v>
      </c>
      <c r="B24" s="434">
        <v>28.8</v>
      </c>
      <c r="C24" s="434">
        <v>41.4</v>
      </c>
      <c r="D24" s="434">
        <v>71</v>
      </c>
      <c r="E24" s="434">
        <v>29.3</v>
      </c>
      <c r="F24" s="434">
        <v>76.900000000000006</v>
      </c>
      <c r="G24" s="434">
        <v>91.7</v>
      </c>
    </row>
    <row r="25" spans="1:7" x14ac:dyDescent="0.3">
      <c r="A25" s="454">
        <v>2</v>
      </c>
      <c r="B25" s="434">
        <v>23.3</v>
      </c>
      <c r="C25" s="434">
        <v>45.3</v>
      </c>
      <c r="D25" s="434">
        <v>73.7</v>
      </c>
      <c r="E25" s="434">
        <v>26.3</v>
      </c>
      <c r="F25" s="434">
        <v>74.7</v>
      </c>
      <c r="G25" s="434">
        <v>118.7</v>
      </c>
    </row>
    <row r="26" spans="1:7" x14ac:dyDescent="0.3">
      <c r="A26" s="454">
        <v>3</v>
      </c>
      <c r="B26" s="434">
        <v>22</v>
      </c>
      <c r="C26" s="434">
        <v>56.8</v>
      </c>
      <c r="D26" s="434">
        <v>85.2</v>
      </c>
      <c r="E26" s="434">
        <v>53.8</v>
      </c>
      <c r="F26" s="434">
        <v>65.099999999999994</v>
      </c>
      <c r="G26" s="434">
        <v>101.2</v>
      </c>
    </row>
    <row r="27" spans="1:7" x14ac:dyDescent="0.3">
      <c r="A27" s="454">
        <v>4</v>
      </c>
      <c r="B27" s="434">
        <v>35.700000000000003</v>
      </c>
      <c r="C27" s="434">
        <v>45.5</v>
      </c>
      <c r="D27" s="434">
        <v>99.8</v>
      </c>
      <c r="E27" s="434">
        <v>49.3</v>
      </c>
      <c r="F27" s="434">
        <v>66.7</v>
      </c>
      <c r="G27" s="434">
        <v>91.2</v>
      </c>
    </row>
    <row r="28" spans="1:7" x14ac:dyDescent="0.3">
      <c r="A28" s="454">
        <v>5</v>
      </c>
      <c r="B28" s="434">
        <v>18.2</v>
      </c>
      <c r="C28" s="434">
        <v>47</v>
      </c>
      <c r="D28" s="434">
        <v>72.2</v>
      </c>
      <c r="E28" s="434">
        <v>52.3</v>
      </c>
      <c r="F28" s="434">
        <v>60.5</v>
      </c>
      <c r="G28" s="434">
        <v>104</v>
      </c>
    </row>
    <row r="29" spans="1:7" x14ac:dyDescent="0.3">
      <c r="A29" s="454">
        <v>6</v>
      </c>
      <c r="B29" s="434">
        <v>31.9</v>
      </c>
      <c r="C29" s="434">
        <v>41.2</v>
      </c>
      <c r="D29" s="434">
        <v>78.2</v>
      </c>
      <c r="E29" s="434">
        <v>29.2</v>
      </c>
      <c r="F29" s="434">
        <v>70.3</v>
      </c>
      <c r="G29" s="434">
        <v>107.2</v>
      </c>
    </row>
    <row r="30" spans="1:7" x14ac:dyDescent="0.3">
      <c r="A30" s="454">
        <v>7</v>
      </c>
      <c r="B30" s="434">
        <v>35</v>
      </c>
      <c r="C30" s="434">
        <v>63.8</v>
      </c>
      <c r="D30" s="434">
        <v>76.5</v>
      </c>
      <c r="E30" s="434">
        <v>41</v>
      </c>
      <c r="F30" s="434">
        <v>64.5</v>
      </c>
      <c r="G30" s="434">
        <v>81.599999999999994</v>
      </c>
    </row>
    <row r="31" spans="1:7" x14ac:dyDescent="0.3">
      <c r="A31" s="454">
        <v>8</v>
      </c>
      <c r="B31" s="434">
        <v>20</v>
      </c>
      <c r="C31" s="434">
        <v>42.9</v>
      </c>
      <c r="D31" s="434">
        <v>82</v>
      </c>
      <c r="E31" s="434"/>
      <c r="F31" s="434">
        <v>71.8</v>
      </c>
      <c r="G31" s="434">
        <v>102</v>
      </c>
    </row>
    <row r="32" spans="1:7" x14ac:dyDescent="0.3">
      <c r="A32" s="454">
        <v>9</v>
      </c>
      <c r="B32" s="434">
        <v>19.899999999999999</v>
      </c>
      <c r="C32" s="434">
        <v>65.8</v>
      </c>
      <c r="D32" s="434">
        <v>71.400000000000006</v>
      </c>
      <c r="E32" s="434"/>
      <c r="F32" s="434">
        <v>65.400000000000006</v>
      </c>
      <c r="G32" s="434">
        <v>114.8</v>
      </c>
    </row>
    <row r="33" spans="1:7" x14ac:dyDescent="0.3">
      <c r="A33" s="454">
        <v>10</v>
      </c>
      <c r="B33" s="434">
        <v>16.8</v>
      </c>
      <c r="C33" s="434">
        <v>38.4</v>
      </c>
      <c r="D33" s="434">
        <v>89.7</v>
      </c>
      <c r="E33" s="434"/>
      <c r="F33" s="434">
        <v>74.5</v>
      </c>
      <c r="G33" s="434">
        <v>101.9</v>
      </c>
    </row>
    <row r="34" spans="1:7" x14ac:dyDescent="0.3">
      <c r="A34" s="454">
        <v>11</v>
      </c>
      <c r="B34" s="434">
        <v>20.8</v>
      </c>
      <c r="C34" s="434">
        <v>55.3</v>
      </c>
      <c r="D34" s="434">
        <v>81.7</v>
      </c>
      <c r="E34" s="434"/>
      <c r="F34" s="434">
        <v>69.599999999999994</v>
      </c>
      <c r="G34" s="434">
        <v>100.5</v>
      </c>
    </row>
    <row r="35" spans="1:7" x14ac:dyDescent="0.3">
      <c r="A35" s="454">
        <v>12</v>
      </c>
      <c r="B35" s="434">
        <v>34.299999999999997</v>
      </c>
      <c r="C35" s="434">
        <v>49</v>
      </c>
      <c r="D35" s="434">
        <v>102.5</v>
      </c>
      <c r="E35" s="434"/>
      <c r="F35" s="434"/>
      <c r="G35" s="434">
        <v>110.9</v>
      </c>
    </row>
    <row r="36" spans="1:7" x14ac:dyDescent="0.3">
      <c r="A36" s="454">
        <v>13</v>
      </c>
      <c r="B36" s="434">
        <v>20.100000000000001</v>
      </c>
      <c r="C36" s="434">
        <v>47.5</v>
      </c>
      <c r="D36" s="434">
        <v>83.8</v>
      </c>
      <c r="E36" s="434"/>
      <c r="F36" s="434"/>
      <c r="G36" s="434"/>
    </row>
    <row r="37" spans="1:7" x14ac:dyDescent="0.3">
      <c r="A37" s="454">
        <v>14</v>
      </c>
      <c r="B37" s="434"/>
      <c r="C37" s="434">
        <v>39.9</v>
      </c>
      <c r="D37" s="434">
        <v>102.7</v>
      </c>
      <c r="E37" s="434"/>
      <c r="F37" s="434"/>
      <c r="G37" s="434"/>
    </row>
    <row r="38" spans="1:7" x14ac:dyDescent="0.3">
      <c r="A38" s="454">
        <v>15</v>
      </c>
      <c r="B38" s="434"/>
      <c r="C38" s="434">
        <v>43</v>
      </c>
      <c r="D38" s="434">
        <v>94.3</v>
      </c>
      <c r="E38" s="434"/>
      <c r="F38" s="434"/>
      <c r="G38" s="434"/>
    </row>
    <row r="39" spans="1:7" x14ac:dyDescent="0.3">
      <c r="A39" s="670" t="s">
        <v>356</v>
      </c>
      <c r="B39" s="670"/>
      <c r="C39" s="670"/>
      <c r="D39" s="663"/>
      <c r="E39" s="670"/>
      <c r="F39" s="670"/>
      <c r="G39" s="670"/>
    </row>
    <row r="40" spans="1:7" x14ac:dyDescent="0.3">
      <c r="A40" s="396"/>
      <c r="B40" s="674" t="s">
        <v>364</v>
      </c>
      <c r="C40" s="674"/>
      <c r="D40" s="674"/>
      <c r="E40" s="674" t="s">
        <v>365</v>
      </c>
      <c r="F40" s="674"/>
      <c r="G40" s="674"/>
    </row>
    <row r="41" spans="1:7" x14ac:dyDescent="0.3">
      <c r="A41" s="454" t="s">
        <v>366</v>
      </c>
      <c r="B41" s="433" t="s">
        <v>344</v>
      </c>
      <c r="C41" s="433" t="s">
        <v>345</v>
      </c>
      <c r="D41" s="433" t="s">
        <v>367</v>
      </c>
      <c r="E41" s="433" t="s">
        <v>368</v>
      </c>
      <c r="F41" s="433" t="s">
        <v>369</v>
      </c>
      <c r="G41" s="433" t="s">
        <v>370</v>
      </c>
    </row>
    <row r="42" spans="1:7" x14ac:dyDescent="0.3">
      <c r="A42" s="454">
        <v>1</v>
      </c>
      <c r="B42" s="434">
        <v>24.6</v>
      </c>
      <c r="C42" s="434">
        <v>60.6</v>
      </c>
      <c r="D42" s="434">
        <v>74.3</v>
      </c>
      <c r="E42" s="434">
        <v>57</v>
      </c>
      <c r="F42" s="434">
        <v>62.1</v>
      </c>
      <c r="G42" s="434">
        <v>114.2</v>
      </c>
    </row>
    <row r="43" spans="1:7" x14ac:dyDescent="0.3">
      <c r="A43" s="454">
        <v>2</v>
      </c>
      <c r="B43" s="434">
        <v>19.100000000000001</v>
      </c>
      <c r="C43" s="434">
        <v>57.2</v>
      </c>
      <c r="D43" s="434">
        <v>95.8</v>
      </c>
      <c r="E43" s="434">
        <v>51.8</v>
      </c>
      <c r="F43" s="434">
        <v>69.099999999999994</v>
      </c>
      <c r="G43" s="434">
        <v>84.2</v>
      </c>
    </row>
    <row r="44" spans="1:7" x14ac:dyDescent="0.3">
      <c r="A44" s="454">
        <v>3</v>
      </c>
      <c r="B44" s="434">
        <v>21.3</v>
      </c>
      <c r="C44" s="434">
        <v>47.2</v>
      </c>
      <c r="D44" s="434">
        <v>94.1</v>
      </c>
      <c r="E44" s="434">
        <v>46.9</v>
      </c>
      <c r="F44" s="434">
        <v>78.7</v>
      </c>
      <c r="G44" s="434">
        <v>118.8</v>
      </c>
    </row>
    <row r="45" spans="1:7" x14ac:dyDescent="0.3">
      <c r="A45" s="454">
        <v>4</v>
      </c>
      <c r="B45" s="434">
        <v>29.6</v>
      </c>
      <c r="C45" s="434">
        <v>40.799999999999997</v>
      </c>
      <c r="D45" s="434">
        <v>79.099999999999994</v>
      </c>
      <c r="E45" s="434">
        <v>55</v>
      </c>
      <c r="F45" s="434">
        <v>76.8</v>
      </c>
      <c r="G45" s="434">
        <v>102.1</v>
      </c>
    </row>
    <row r="46" spans="1:7" x14ac:dyDescent="0.3">
      <c r="A46" s="454">
        <v>5</v>
      </c>
      <c r="B46" s="434">
        <v>34.700000000000003</v>
      </c>
      <c r="C46" s="434">
        <v>59.9</v>
      </c>
      <c r="D46" s="434">
        <v>100.9</v>
      </c>
      <c r="E46" s="434">
        <v>30</v>
      </c>
      <c r="F46" s="434">
        <v>76.3</v>
      </c>
      <c r="G46" s="434">
        <v>108.4</v>
      </c>
    </row>
    <row r="47" spans="1:7" x14ac:dyDescent="0.3">
      <c r="A47" s="454">
        <v>6</v>
      </c>
      <c r="B47" s="434">
        <v>25.9</v>
      </c>
      <c r="C47" s="434">
        <v>64.8</v>
      </c>
      <c r="D47" s="434">
        <v>70.3</v>
      </c>
      <c r="E47" s="434">
        <v>27.1</v>
      </c>
      <c r="F47" s="434">
        <v>64.900000000000006</v>
      </c>
      <c r="G47" s="434">
        <v>115.4</v>
      </c>
    </row>
    <row r="48" spans="1:7" x14ac:dyDescent="0.3">
      <c r="A48" s="454">
        <v>7</v>
      </c>
      <c r="B48" s="434">
        <v>22</v>
      </c>
      <c r="C48" s="434">
        <v>36.9</v>
      </c>
      <c r="D48" s="434">
        <v>73.2</v>
      </c>
      <c r="E48" s="434">
        <v>43.7</v>
      </c>
      <c r="F48" s="434">
        <v>60.2</v>
      </c>
      <c r="G48" s="434">
        <v>91.6</v>
      </c>
    </row>
    <row r="49" spans="1:7" x14ac:dyDescent="0.3">
      <c r="A49" s="454">
        <v>8</v>
      </c>
      <c r="B49" s="434">
        <v>23.3</v>
      </c>
      <c r="C49" s="434">
        <v>44.9</v>
      </c>
      <c r="D49" s="434">
        <v>81.8</v>
      </c>
      <c r="E49" s="434"/>
      <c r="F49" s="434">
        <v>60.8</v>
      </c>
      <c r="G49" s="434">
        <v>108.7</v>
      </c>
    </row>
    <row r="50" spans="1:7" x14ac:dyDescent="0.3">
      <c r="A50" s="454">
        <v>9</v>
      </c>
      <c r="B50" s="434">
        <v>34.6</v>
      </c>
      <c r="C50" s="434">
        <v>54</v>
      </c>
      <c r="D50" s="434">
        <v>89.4</v>
      </c>
      <c r="E50" s="434"/>
      <c r="F50" s="434">
        <v>75.2</v>
      </c>
      <c r="G50" s="434">
        <v>88.8</v>
      </c>
    </row>
    <row r="51" spans="1:7" x14ac:dyDescent="0.3">
      <c r="A51" s="454">
        <v>10</v>
      </c>
      <c r="B51" s="434">
        <v>25.4</v>
      </c>
      <c r="C51" s="434">
        <v>47.8</v>
      </c>
      <c r="D51" s="434">
        <v>98.9</v>
      </c>
      <c r="E51" s="434"/>
      <c r="F51" s="434">
        <v>70.400000000000006</v>
      </c>
      <c r="G51" s="434">
        <v>116</v>
      </c>
    </row>
    <row r="52" spans="1:7" x14ac:dyDescent="0.3">
      <c r="A52" s="454">
        <v>11</v>
      </c>
      <c r="B52" s="434">
        <v>18.600000000000001</v>
      </c>
      <c r="C52" s="434">
        <v>65.8</v>
      </c>
      <c r="D52" s="434">
        <v>76.099999999999994</v>
      </c>
      <c r="E52" s="434"/>
      <c r="F52" s="434">
        <v>61</v>
      </c>
      <c r="G52" s="434">
        <v>106.2</v>
      </c>
    </row>
    <row r="53" spans="1:7" x14ac:dyDescent="0.3">
      <c r="A53" s="454">
        <v>12</v>
      </c>
      <c r="B53" s="434">
        <v>28.5</v>
      </c>
      <c r="C53" s="434">
        <v>45.7</v>
      </c>
      <c r="D53" s="434">
        <v>87.9</v>
      </c>
      <c r="E53" s="434"/>
      <c r="F53" s="434">
        <v>67.900000000000006</v>
      </c>
      <c r="G53" s="434">
        <v>108.2</v>
      </c>
    </row>
    <row r="54" spans="1:7" x14ac:dyDescent="0.3">
      <c r="A54" s="454">
        <v>13</v>
      </c>
      <c r="B54" s="434">
        <v>17.5</v>
      </c>
      <c r="C54" s="434">
        <v>63.3</v>
      </c>
      <c r="D54" s="434">
        <v>99.3</v>
      </c>
      <c r="E54" s="434"/>
      <c r="F54" s="434"/>
      <c r="G54" s="434">
        <v>118.9</v>
      </c>
    </row>
    <row r="55" spans="1:7" x14ac:dyDescent="0.3">
      <c r="A55" s="454">
        <v>14</v>
      </c>
      <c r="B55" s="434">
        <v>24.3</v>
      </c>
      <c r="C55" s="434">
        <v>67.7</v>
      </c>
      <c r="D55" s="434">
        <v>95.3</v>
      </c>
      <c r="E55" s="434"/>
      <c r="F55" s="434"/>
      <c r="G55" s="434">
        <v>80.7</v>
      </c>
    </row>
    <row r="56" spans="1:7" x14ac:dyDescent="0.3">
      <c r="A56" s="454">
        <v>15</v>
      </c>
      <c r="B56" s="434"/>
      <c r="C56" s="434"/>
      <c r="D56" s="434">
        <v>84.7</v>
      </c>
      <c r="E56" s="434"/>
      <c r="F56" s="434"/>
      <c r="G56" s="434"/>
    </row>
    <row r="57" spans="1:7" x14ac:dyDescent="0.3">
      <c r="A57" s="670" t="s">
        <v>357</v>
      </c>
      <c r="B57" s="670"/>
      <c r="C57" s="670"/>
      <c r="D57" s="663"/>
      <c r="E57" s="670"/>
      <c r="F57" s="670"/>
      <c r="G57" s="670"/>
    </row>
    <row r="58" spans="1:7" x14ac:dyDescent="0.3">
      <c r="A58" s="396"/>
      <c r="B58" s="674" t="s">
        <v>364</v>
      </c>
      <c r="C58" s="674"/>
      <c r="D58" s="674"/>
      <c r="E58" s="674" t="s">
        <v>365</v>
      </c>
      <c r="F58" s="674"/>
      <c r="G58" s="674"/>
    </row>
    <row r="59" spans="1:7" x14ac:dyDescent="0.3">
      <c r="A59" s="454" t="s">
        <v>366</v>
      </c>
      <c r="B59" s="433" t="s">
        <v>344</v>
      </c>
      <c r="C59" s="433" t="s">
        <v>345</v>
      </c>
      <c r="D59" s="433" t="s">
        <v>367</v>
      </c>
      <c r="E59" s="433" t="s">
        <v>368</v>
      </c>
      <c r="F59" s="433" t="s">
        <v>369</v>
      </c>
      <c r="G59" s="433" t="s">
        <v>370</v>
      </c>
    </row>
    <row r="60" spans="1:7" x14ac:dyDescent="0.3">
      <c r="A60" s="454">
        <v>1</v>
      </c>
      <c r="B60" s="434">
        <v>31.5</v>
      </c>
      <c r="C60" s="434">
        <v>50.4</v>
      </c>
      <c r="D60" s="434">
        <v>77.599999999999994</v>
      </c>
      <c r="E60" s="434">
        <v>42.4</v>
      </c>
      <c r="F60" s="434">
        <v>60.8</v>
      </c>
      <c r="G60" s="434">
        <v>98.6</v>
      </c>
    </row>
    <row r="61" spans="1:7" x14ac:dyDescent="0.3">
      <c r="A61" s="454">
        <v>2</v>
      </c>
      <c r="B61" s="434">
        <v>20.3</v>
      </c>
      <c r="C61" s="434">
        <v>64</v>
      </c>
      <c r="D61" s="434">
        <v>73.8</v>
      </c>
      <c r="E61" s="434">
        <v>51</v>
      </c>
      <c r="F61" s="434">
        <v>72.7</v>
      </c>
      <c r="G61" s="434">
        <v>113</v>
      </c>
    </row>
    <row r="62" spans="1:7" x14ac:dyDescent="0.3">
      <c r="A62" s="454">
        <v>3</v>
      </c>
      <c r="B62" s="434">
        <v>29.1</v>
      </c>
      <c r="C62" s="434">
        <v>37.200000000000003</v>
      </c>
      <c r="D62" s="434">
        <v>70</v>
      </c>
      <c r="E62" s="434">
        <v>45.6</v>
      </c>
      <c r="F62" s="434">
        <v>64.099999999999994</v>
      </c>
      <c r="G62" s="434">
        <v>98</v>
      </c>
    </row>
    <row r="63" spans="1:7" x14ac:dyDescent="0.3">
      <c r="A63" s="454">
        <v>4</v>
      </c>
      <c r="B63" s="434">
        <v>31.1</v>
      </c>
      <c r="C63" s="434">
        <v>43.6</v>
      </c>
      <c r="D63" s="434">
        <v>103.2</v>
      </c>
      <c r="E63" s="434">
        <v>34.700000000000003</v>
      </c>
      <c r="F63" s="434">
        <v>72.2</v>
      </c>
      <c r="G63" s="434">
        <v>103.3</v>
      </c>
    </row>
    <row r="64" spans="1:7" x14ac:dyDescent="0.3">
      <c r="A64" s="454">
        <v>5</v>
      </c>
      <c r="B64" s="434">
        <v>23.8</v>
      </c>
      <c r="C64" s="434">
        <v>59.4</v>
      </c>
      <c r="D64" s="434">
        <v>81.400000000000006</v>
      </c>
      <c r="E64" s="434"/>
      <c r="F64" s="434">
        <v>66.3</v>
      </c>
      <c r="G64" s="434">
        <v>106.3</v>
      </c>
    </row>
    <row r="65" spans="1:7" x14ac:dyDescent="0.3">
      <c r="A65" s="454">
        <v>6</v>
      </c>
      <c r="B65" s="434">
        <v>20.6</v>
      </c>
      <c r="C65" s="434">
        <v>56.6</v>
      </c>
      <c r="D65" s="434">
        <v>73.400000000000006</v>
      </c>
      <c r="E65" s="434"/>
      <c r="F65" s="434"/>
      <c r="G65" s="434">
        <v>109.9</v>
      </c>
    </row>
    <row r="66" spans="1:7" x14ac:dyDescent="0.3">
      <c r="A66" s="454">
        <v>7</v>
      </c>
      <c r="B66" s="434">
        <v>17.7</v>
      </c>
      <c r="C66" s="434">
        <v>50.6</v>
      </c>
      <c r="D66" s="434">
        <v>97.1</v>
      </c>
      <c r="E66" s="434"/>
      <c r="F66" s="434"/>
      <c r="G66" s="434"/>
    </row>
    <row r="67" spans="1:7" x14ac:dyDescent="0.3">
      <c r="A67" s="454">
        <v>8</v>
      </c>
      <c r="B67" s="434">
        <v>23.6</v>
      </c>
      <c r="C67" s="434">
        <v>61.1</v>
      </c>
      <c r="D67" s="434">
        <v>91.1</v>
      </c>
      <c r="E67" s="434"/>
      <c r="F67" s="434"/>
      <c r="G67" s="434"/>
    </row>
    <row r="68" spans="1:7" x14ac:dyDescent="0.3">
      <c r="A68" s="454">
        <v>9</v>
      </c>
      <c r="B68" s="434">
        <v>33.5</v>
      </c>
      <c r="C68" s="434"/>
      <c r="D68" s="434">
        <v>90.7</v>
      </c>
      <c r="E68" s="433"/>
      <c r="F68" s="434"/>
      <c r="G68" s="434"/>
    </row>
    <row r="69" spans="1:7" x14ac:dyDescent="0.3">
      <c r="A69" s="670" t="s">
        <v>358</v>
      </c>
      <c r="B69" s="670"/>
      <c r="C69" s="670"/>
      <c r="D69" s="663"/>
      <c r="E69" s="670"/>
      <c r="F69" s="670"/>
      <c r="G69" s="670"/>
    </row>
    <row r="70" spans="1:7" x14ac:dyDescent="0.3">
      <c r="A70" s="396"/>
      <c r="B70" s="674" t="s">
        <v>364</v>
      </c>
      <c r="C70" s="674"/>
      <c r="D70" s="674"/>
      <c r="E70" s="674" t="s">
        <v>365</v>
      </c>
      <c r="F70" s="674"/>
      <c r="G70" s="674"/>
    </row>
    <row r="71" spans="1:7" x14ac:dyDescent="0.3">
      <c r="A71" s="454" t="s">
        <v>366</v>
      </c>
      <c r="B71" s="433" t="s">
        <v>344</v>
      </c>
      <c r="C71" s="433" t="s">
        <v>345</v>
      </c>
      <c r="D71" s="433" t="s">
        <v>367</v>
      </c>
      <c r="E71" s="433" t="s">
        <v>368</v>
      </c>
      <c r="F71" s="433" t="s">
        <v>369</v>
      </c>
      <c r="G71" s="433" t="s">
        <v>370</v>
      </c>
    </row>
    <row r="72" spans="1:7" x14ac:dyDescent="0.3">
      <c r="A72" s="454">
        <v>1</v>
      </c>
      <c r="B72" s="434">
        <v>36.700000000000003</v>
      </c>
      <c r="C72" s="434">
        <v>67.2</v>
      </c>
      <c r="D72" s="434">
        <v>100.9</v>
      </c>
      <c r="E72" s="434">
        <v>35.9</v>
      </c>
      <c r="F72" s="434">
        <v>61.2</v>
      </c>
      <c r="G72" s="434">
        <v>99.1</v>
      </c>
    </row>
    <row r="73" spans="1:7" x14ac:dyDescent="0.3">
      <c r="A73" s="454">
        <v>2</v>
      </c>
      <c r="B73" s="434">
        <v>20.6</v>
      </c>
      <c r="C73" s="434">
        <v>67.599999999999994</v>
      </c>
      <c r="D73" s="434">
        <v>71.3</v>
      </c>
      <c r="E73" s="434">
        <v>44</v>
      </c>
      <c r="F73" s="434">
        <v>60.5</v>
      </c>
      <c r="G73" s="434">
        <v>109.2</v>
      </c>
    </row>
    <row r="74" spans="1:7" x14ac:dyDescent="0.3">
      <c r="A74" s="454">
        <v>3</v>
      </c>
      <c r="B74" s="434">
        <v>24.7</v>
      </c>
      <c r="C74" s="434">
        <v>62.3</v>
      </c>
      <c r="D74" s="434">
        <v>85.6</v>
      </c>
      <c r="E74" s="434">
        <v>35.9</v>
      </c>
      <c r="F74" s="434">
        <v>73.3</v>
      </c>
      <c r="G74" s="434">
        <v>89.2</v>
      </c>
    </row>
    <row r="75" spans="1:7" x14ac:dyDescent="0.3">
      <c r="A75" s="454">
        <v>4</v>
      </c>
      <c r="B75" s="434">
        <v>18.100000000000001</v>
      </c>
      <c r="C75" s="434">
        <v>54.9</v>
      </c>
      <c r="D75" s="434">
        <v>101.4</v>
      </c>
      <c r="E75" s="434">
        <v>41.7</v>
      </c>
      <c r="F75" s="434">
        <v>74.900000000000006</v>
      </c>
      <c r="G75" s="434">
        <v>102.8</v>
      </c>
    </row>
    <row r="76" spans="1:7" x14ac:dyDescent="0.3">
      <c r="A76" s="454">
        <v>5</v>
      </c>
      <c r="B76" s="434">
        <v>28.7</v>
      </c>
      <c r="C76" s="434">
        <v>58.2</v>
      </c>
      <c r="D76" s="434">
        <v>75.900000000000006</v>
      </c>
      <c r="E76" s="434">
        <v>36.9</v>
      </c>
      <c r="F76" s="434">
        <v>60.4</v>
      </c>
      <c r="G76" s="434">
        <v>82.3</v>
      </c>
    </row>
    <row r="77" spans="1:7" x14ac:dyDescent="0.3">
      <c r="A77" s="454">
        <v>6</v>
      </c>
      <c r="B77" s="434">
        <v>22.3</v>
      </c>
      <c r="C77" s="434">
        <v>44</v>
      </c>
      <c r="D77" s="434">
        <v>76.8</v>
      </c>
      <c r="E77" s="434">
        <v>27.5</v>
      </c>
      <c r="F77" s="434">
        <v>70.400000000000006</v>
      </c>
      <c r="G77" s="434">
        <v>90.3</v>
      </c>
    </row>
    <row r="78" spans="1:7" x14ac:dyDescent="0.3">
      <c r="A78" s="454">
        <v>7</v>
      </c>
      <c r="B78" s="434">
        <v>25.1</v>
      </c>
      <c r="C78" s="434">
        <v>38.4</v>
      </c>
      <c r="D78" s="434">
        <v>78.900000000000006</v>
      </c>
      <c r="E78" s="434">
        <v>56.2</v>
      </c>
      <c r="F78" s="434">
        <v>77</v>
      </c>
      <c r="G78" s="434">
        <v>95</v>
      </c>
    </row>
    <row r="79" spans="1:7" x14ac:dyDescent="0.3">
      <c r="A79" s="454">
        <v>8</v>
      </c>
      <c r="B79" s="434">
        <v>24.2</v>
      </c>
      <c r="C79" s="434">
        <v>57.5</v>
      </c>
      <c r="D79" s="434">
        <v>75.599999999999994</v>
      </c>
      <c r="E79" s="434">
        <v>31.8</v>
      </c>
      <c r="F79" s="434">
        <v>65</v>
      </c>
      <c r="G79" s="434">
        <v>90.2</v>
      </c>
    </row>
    <row r="80" spans="1:7" x14ac:dyDescent="0.3">
      <c r="A80" s="454">
        <v>9</v>
      </c>
      <c r="B80" s="434">
        <v>22</v>
      </c>
      <c r="C80" s="434">
        <v>46.2</v>
      </c>
      <c r="D80" s="434">
        <v>69.099999999999994</v>
      </c>
      <c r="E80" s="434">
        <v>40.9</v>
      </c>
      <c r="F80" s="434">
        <v>72.099999999999994</v>
      </c>
      <c r="G80" s="434">
        <v>98.6</v>
      </c>
    </row>
    <row r="81" spans="1:7" x14ac:dyDescent="0.3">
      <c r="A81" s="454">
        <v>10</v>
      </c>
      <c r="B81" s="434">
        <v>16</v>
      </c>
      <c r="C81" s="434">
        <v>67.599999999999994</v>
      </c>
      <c r="D81" s="434">
        <v>95.2</v>
      </c>
      <c r="E81" s="434">
        <v>57.8</v>
      </c>
      <c r="F81" s="434">
        <v>66.3</v>
      </c>
      <c r="G81" s="434">
        <v>85.9</v>
      </c>
    </row>
    <row r="82" spans="1:7" x14ac:dyDescent="0.3">
      <c r="A82" s="454">
        <v>11</v>
      </c>
      <c r="B82" s="434">
        <v>32.6</v>
      </c>
      <c r="C82" s="434">
        <v>64.5</v>
      </c>
      <c r="D82" s="434">
        <v>91.4</v>
      </c>
      <c r="E82" s="434"/>
      <c r="F82" s="434">
        <v>63</v>
      </c>
      <c r="G82" s="434">
        <v>97.6</v>
      </c>
    </row>
    <row r="83" spans="1:7" x14ac:dyDescent="0.3">
      <c r="A83" s="454">
        <v>12</v>
      </c>
      <c r="B83" s="434">
        <v>34.6</v>
      </c>
      <c r="C83" s="434">
        <v>36.799999999999997</v>
      </c>
      <c r="D83" s="434">
        <v>84.5</v>
      </c>
      <c r="E83" s="434"/>
      <c r="F83" s="434">
        <v>72.400000000000006</v>
      </c>
      <c r="G83" s="434">
        <v>118.5</v>
      </c>
    </row>
    <row r="84" spans="1:7" x14ac:dyDescent="0.3">
      <c r="A84" s="454">
        <v>13</v>
      </c>
      <c r="B84" s="434">
        <v>21.1</v>
      </c>
      <c r="C84" s="434">
        <v>56.1</v>
      </c>
      <c r="D84" s="434">
        <v>75.099999999999994</v>
      </c>
      <c r="E84" s="434"/>
      <c r="F84" s="434">
        <v>65.8</v>
      </c>
      <c r="G84" s="434">
        <v>105.2</v>
      </c>
    </row>
    <row r="85" spans="1:7" x14ac:dyDescent="0.3">
      <c r="A85" s="454">
        <v>14</v>
      </c>
      <c r="B85" s="434">
        <v>18.3</v>
      </c>
      <c r="C85" s="434">
        <v>48.9</v>
      </c>
      <c r="D85" s="434">
        <v>101</v>
      </c>
      <c r="E85" s="434"/>
      <c r="F85" s="434">
        <v>77.5</v>
      </c>
      <c r="G85" s="434">
        <v>115.2</v>
      </c>
    </row>
    <row r="86" spans="1:7" x14ac:dyDescent="0.3">
      <c r="A86" s="454">
        <v>15</v>
      </c>
      <c r="B86" s="434">
        <v>36.1</v>
      </c>
      <c r="C86" s="434">
        <v>44.1</v>
      </c>
      <c r="D86" s="434">
        <v>94.9</v>
      </c>
      <c r="E86" s="434"/>
      <c r="F86" s="434"/>
      <c r="G86" s="434">
        <v>85.2</v>
      </c>
    </row>
    <row r="87" spans="1:7" x14ac:dyDescent="0.3">
      <c r="A87" s="454">
        <v>16</v>
      </c>
      <c r="B87" s="434"/>
      <c r="C87" s="434">
        <v>62</v>
      </c>
      <c r="D87" s="434">
        <v>96</v>
      </c>
      <c r="E87" s="434"/>
      <c r="F87" s="434"/>
      <c r="G87" s="434">
        <v>88.5</v>
      </c>
    </row>
    <row r="88" spans="1:7" x14ac:dyDescent="0.3">
      <c r="A88" s="454">
        <v>17</v>
      </c>
      <c r="B88" s="434"/>
      <c r="C88" s="434">
        <v>59.7</v>
      </c>
      <c r="D88" s="434">
        <v>100.2</v>
      </c>
      <c r="E88" s="434"/>
      <c r="F88" s="434"/>
      <c r="G88" s="434">
        <v>104.7</v>
      </c>
    </row>
    <row r="89" spans="1:7" x14ac:dyDescent="0.3">
      <c r="A89" s="454">
        <v>18</v>
      </c>
      <c r="B89" s="434"/>
      <c r="C89" s="434">
        <v>45.5</v>
      </c>
      <c r="D89" s="434">
        <v>75.2</v>
      </c>
      <c r="E89" s="438"/>
      <c r="F89" s="438"/>
      <c r="G89" s="438"/>
    </row>
    <row r="90" spans="1:7" x14ac:dyDescent="0.3">
      <c r="A90" s="454">
        <v>19</v>
      </c>
      <c r="B90" s="434"/>
      <c r="C90" s="434">
        <v>53.3</v>
      </c>
      <c r="D90" s="434"/>
      <c r="E90" s="438"/>
      <c r="F90" s="438"/>
      <c r="G90" s="438"/>
    </row>
    <row r="91" spans="1:7" x14ac:dyDescent="0.3">
      <c r="A91" s="670" t="s">
        <v>359</v>
      </c>
      <c r="B91" s="670"/>
      <c r="C91" s="670"/>
      <c r="D91" s="663"/>
      <c r="E91" s="670"/>
      <c r="F91" s="670"/>
      <c r="G91" s="670"/>
    </row>
    <row r="92" spans="1:7" x14ac:dyDescent="0.3">
      <c r="A92" s="396"/>
      <c r="B92" s="674" t="s">
        <v>364</v>
      </c>
      <c r="C92" s="674"/>
      <c r="D92" s="674"/>
      <c r="E92" s="674" t="s">
        <v>365</v>
      </c>
      <c r="F92" s="674"/>
      <c r="G92" s="674"/>
    </row>
    <row r="93" spans="1:7" x14ac:dyDescent="0.3">
      <c r="A93" s="454" t="s">
        <v>366</v>
      </c>
      <c r="B93" s="433" t="s">
        <v>344</v>
      </c>
      <c r="C93" s="433" t="s">
        <v>345</v>
      </c>
      <c r="D93" s="433" t="s">
        <v>367</v>
      </c>
      <c r="E93" s="433" t="s">
        <v>368</v>
      </c>
      <c r="F93" s="433" t="s">
        <v>369</v>
      </c>
      <c r="G93" s="433" t="s">
        <v>370</v>
      </c>
    </row>
    <row r="94" spans="1:7" x14ac:dyDescent="0.3">
      <c r="A94" s="454">
        <v>1</v>
      </c>
      <c r="B94" s="434">
        <v>16.7</v>
      </c>
      <c r="C94" s="434">
        <v>56.7</v>
      </c>
      <c r="D94" s="434">
        <v>100.5</v>
      </c>
      <c r="E94" s="434">
        <v>50.1</v>
      </c>
      <c r="F94" s="434">
        <v>65.5</v>
      </c>
      <c r="G94" s="434">
        <v>109.3</v>
      </c>
    </row>
    <row r="95" spans="1:7" x14ac:dyDescent="0.3">
      <c r="A95" s="454">
        <v>2</v>
      </c>
      <c r="B95" s="434">
        <v>31.1</v>
      </c>
      <c r="C95" s="434">
        <v>63.3</v>
      </c>
      <c r="D95" s="434">
        <v>102.7</v>
      </c>
      <c r="E95" s="434">
        <v>36.700000000000003</v>
      </c>
      <c r="F95" s="434">
        <v>66.900000000000006</v>
      </c>
      <c r="G95" s="434">
        <v>98.9</v>
      </c>
    </row>
    <row r="96" spans="1:7" x14ac:dyDescent="0.3">
      <c r="A96" s="454">
        <v>3</v>
      </c>
      <c r="B96" s="434">
        <v>20.7</v>
      </c>
      <c r="C96" s="434">
        <v>41</v>
      </c>
      <c r="D96" s="434">
        <v>97.4</v>
      </c>
      <c r="E96" s="434">
        <v>47.9</v>
      </c>
      <c r="F96" s="434">
        <v>70.2</v>
      </c>
      <c r="G96" s="434">
        <v>106.2</v>
      </c>
    </row>
    <row r="97" spans="1:7" x14ac:dyDescent="0.3">
      <c r="A97" s="454">
        <v>4</v>
      </c>
      <c r="B97" s="434">
        <v>26.9</v>
      </c>
      <c r="C97" s="434">
        <v>45.5</v>
      </c>
      <c r="D97" s="434">
        <v>69.8</v>
      </c>
      <c r="E97" s="434">
        <v>27.1</v>
      </c>
      <c r="F97" s="434">
        <v>66.900000000000006</v>
      </c>
      <c r="G97" s="434">
        <v>113.1</v>
      </c>
    </row>
    <row r="98" spans="1:7" x14ac:dyDescent="0.3">
      <c r="A98" s="454">
        <v>5</v>
      </c>
      <c r="B98" s="434">
        <v>31</v>
      </c>
      <c r="C98" s="434">
        <v>38.200000000000003</v>
      </c>
      <c r="D98" s="434">
        <v>80.7</v>
      </c>
      <c r="E98" s="434">
        <v>37.200000000000003</v>
      </c>
      <c r="F98" s="434">
        <v>66.2</v>
      </c>
      <c r="G98" s="434">
        <v>117.4</v>
      </c>
    </row>
    <row r="99" spans="1:7" x14ac:dyDescent="0.3">
      <c r="A99" s="454">
        <v>6</v>
      </c>
      <c r="B99" s="434">
        <v>28.7</v>
      </c>
      <c r="C99" s="434">
        <v>52.4</v>
      </c>
      <c r="D99" s="434">
        <v>93.9</v>
      </c>
      <c r="E99" s="434">
        <v>40.700000000000003</v>
      </c>
      <c r="F99" s="434">
        <v>77.3</v>
      </c>
      <c r="G99" s="434">
        <v>117.7</v>
      </c>
    </row>
    <row r="100" spans="1:7" x14ac:dyDescent="0.3">
      <c r="A100" s="454">
        <v>7</v>
      </c>
      <c r="B100" s="434">
        <v>24.9</v>
      </c>
      <c r="C100" s="434">
        <v>39.299999999999997</v>
      </c>
      <c r="D100" s="434">
        <v>95.6</v>
      </c>
      <c r="E100" s="434">
        <v>30.5</v>
      </c>
      <c r="F100" s="434">
        <v>61</v>
      </c>
      <c r="G100" s="434">
        <v>115.7</v>
      </c>
    </row>
    <row r="101" spans="1:7" x14ac:dyDescent="0.3">
      <c r="A101" s="454">
        <v>8</v>
      </c>
      <c r="B101" s="434">
        <v>33.5</v>
      </c>
      <c r="C101" s="434">
        <v>44.5</v>
      </c>
      <c r="D101" s="434">
        <v>100.2</v>
      </c>
      <c r="E101" s="434">
        <v>44.6</v>
      </c>
      <c r="F101" s="434">
        <v>70.099999999999994</v>
      </c>
      <c r="G101" s="434">
        <v>87.7</v>
      </c>
    </row>
    <row r="102" spans="1:7" x14ac:dyDescent="0.3">
      <c r="A102" s="454">
        <v>9</v>
      </c>
      <c r="B102" s="434">
        <v>21.8</v>
      </c>
      <c r="C102" s="434">
        <v>65.3</v>
      </c>
      <c r="D102" s="434">
        <v>83.3</v>
      </c>
      <c r="E102" s="434"/>
      <c r="F102" s="434">
        <v>61.8</v>
      </c>
      <c r="G102" s="434">
        <v>82.6</v>
      </c>
    </row>
    <row r="103" spans="1:7" x14ac:dyDescent="0.3">
      <c r="A103" s="454">
        <v>10</v>
      </c>
      <c r="B103" s="434">
        <v>32.799999999999997</v>
      </c>
      <c r="C103" s="434">
        <v>51.1</v>
      </c>
      <c r="D103" s="434">
        <v>104.6</v>
      </c>
      <c r="E103" s="434"/>
      <c r="F103" s="434">
        <v>77.7</v>
      </c>
      <c r="G103" s="434">
        <v>91.9</v>
      </c>
    </row>
    <row r="104" spans="1:7" x14ac:dyDescent="0.3">
      <c r="A104" s="454">
        <v>11</v>
      </c>
      <c r="B104" s="434">
        <v>25</v>
      </c>
      <c r="C104" s="434">
        <v>62.8</v>
      </c>
      <c r="D104" s="434">
        <v>99.6</v>
      </c>
      <c r="E104" s="434"/>
      <c r="F104" s="434"/>
      <c r="G104" s="434">
        <v>94.9</v>
      </c>
    </row>
    <row r="105" spans="1:7" x14ac:dyDescent="0.3">
      <c r="A105" s="454">
        <v>12</v>
      </c>
      <c r="B105" s="434">
        <v>18</v>
      </c>
      <c r="C105" s="434">
        <v>37.6</v>
      </c>
      <c r="D105" s="434">
        <v>92</v>
      </c>
      <c r="E105" s="434"/>
      <c r="F105" s="434"/>
      <c r="G105" s="434">
        <v>95.1</v>
      </c>
    </row>
    <row r="106" spans="1:7" x14ac:dyDescent="0.3">
      <c r="A106" s="454">
        <v>13</v>
      </c>
      <c r="B106" s="434"/>
      <c r="C106" s="434">
        <v>52.1</v>
      </c>
      <c r="D106" s="434">
        <v>86.3</v>
      </c>
      <c r="E106" s="438"/>
      <c r="F106" s="438"/>
      <c r="G106" s="438"/>
    </row>
    <row r="107" spans="1:7" x14ac:dyDescent="0.3">
      <c r="A107" s="454">
        <v>14</v>
      </c>
      <c r="B107" s="434"/>
      <c r="C107" s="434">
        <v>40.299999999999997</v>
      </c>
      <c r="D107" s="434">
        <v>76.5</v>
      </c>
      <c r="E107" s="438"/>
      <c r="F107" s="438"/>
      <c r="G107" s="438"/>
    </row>
    <row r="108" spans="1:7" x14ac:dyDescent="0.3">
      <c r="A108" s="454">
        <v>15</v>
      </c>
      <c r="B108" s="434"/>
      <c r="C108" s="434">
        <v>46.5</v>
      </c>
      <c r="D108" s="434">
        <v>94.8</v>
      </c>
      <c r="E108" s="438"/>
      <c r="F108" s="438"/>
      <c r="G108" s="438"/>
    </row>
    <row r="109" spans="1:7" x14ac:dyDescent="0.3">
      <c r="A109" s="670" t="s">
        <v>360</v>
      </c>
      <c r="B109" s="670"/>
      <c r="C109" s="670"/>
      <c r="D109" s="663"/>
      <c r="E109" s="670"/>
      <c r="F109" s="670"/>
      <c r="G109" s="670"/>
    </row>
    <row r="110" spans="1:7" x14ac:dyDescent="0.3">
      <c r="A110" s="396"/>
      <c r="B110" s="674" t="s">
        <v>364</v>
      </c>
      <c r="C110" s="674"/>
      <c r="D110" s="674"/>
      <c r="E110" s="674" t="s">
        <v>365</v>
      </c>
      <c r="F110" s="674"/>
      <c r="G110" s="674"/>
    </row>
    <row r="111" spans="1:7" x14ac:dyDescent="0.3">
      <c r="A111" s="454" t="s">
        <v>366</v>
      </c>
      <c r="B111" s="433" t="s">
        <v>344</v>
      </c>
      <c r="C111" s="433" t="s">
        <v>345</v>
      </c>
      <c r="D111" s="433" t="s">
        <v>367</v>
      </c>
      <c r="E111" s="433" t="s">
        <v>368</v>
      </c>
      <c r="F111" s="433" t="s">
        <v>369</v>
      </c>
      <c r="G111" s="433" t="s">
        <v>370</v>
      </c>
    </row>
    <row r="112" spans="1:7" x14ac:dyDescent="0.3">
      <c r="A112" s="454">
        <v>1</v>
      </c>
      <c r="B112" s="434">
        <v>0</v>
      </c>
      <c r="C112" s="434">
        <v>0</v>
      </c>
      <c r="D112" s="434">
        <v>0</v>
      </c>
      <c r="E112" s="434">
        <v>37.6</v>
      </c>
      <c r="F112" s="434">
        <v>75.900000000000006</v>
      </c>
      <c r="G112" s="434">
        <v>111.1</v>
      </c>
    </row>
    <row r="113" spans="1:7" x14ac:dyDescent="0.3">
      <c r="A113" s="454">
        <v>2</v>
      </c>
      <c r="B113" s="434"/>
      <c r="C113" s="434"/>
      <c r="D113" s="434"/>
      <c r="E113" s="434">
        <v>55.6</v>
      </c>
      <c r="F113" s="434">
        <v>69.5</v>
      </c>
      <c r="G113" s="434">
        <v>105.7</v>
      </c>
    </row>
    <row r="114" spans="1:7" x14ac:dyDescent="0.3">
      <c r="A114" s="454">
        <v>3</v>
      </c>
      <c r="B114" s="434"/>
      <c r="C114" s="434"/>
      <c r="D114" s="434"/>
      <c r="E114" s="434">
        <v>48.3</v>
      </c>
      <c r="F114" s="434">
        <v>74.400000000000006</v>
      </c>
      <c r="G114" s="434">
        <v>104.2</v>
      </c>
    </row>
    <row r="115" spans="1:7" x14ac:dyDescent="0.3">
      <c r="A115" s="454">
        <v>4</v>
      </c>
      <c r="B115" s="434"/>
      <c r="C115" s="434"/>
      <c r="D115" s="434"/>
      <c r="E115" s="434"/>
      <c r="F115" s="434">
        <v>72.099999999999994</v>
      </c>
      <c r="G115" s="434">
        <v>99.4</v>
      </c>
    </row>
    <row r="116" spans="1:7" x14ac:dyDescent="0.3">
      <c r="A116" s="454">
        <v>5</v>
      </c>
      <c r="B116" s="434"/>
      <c r="C116" s="434"/>
      <c r="D116" s="434"/>
      <c r="E116" s="434"/>
      <c r="F116" s="434">
        <v>73.3</v>
      </c>
      <c r="G116" s="434">
        <v>111.7</v>
      </c>
    </row>
    <row r="117" spans="1:7" x14ac:dyDescent="0.3">
      <c r="A117" s="670" t="s">
        <v>361</v>
      </c>
      <c r="B117" s="670"/>
      <c r="C117" s="670"/>
      <c r="D117" s="663"/>
      <c r="E117" s="670"/>
      <c r="F117" s="670"/>
      <c r="G117" s="670"/>
    </row>
    <row r="118" spans="1:7" x14ac:dyDescent="0.3">
      <c r="A118" s="396"/>
      <c r="B118" s="674" t="s">
        <v>364</v>
      </c>
      <c r="C118" s="674"/>
      <c r="D118" s="674"/>
      <c r="E118" s="674" t="s">
        <v>365</v>
      </c>
      <c r="F118" s="674"/>
      <c r="G118" s="674"/>
    </row>
    <row r="119" spans="1:7" x14ac:dyDescent="0.3">
      <c r="A119" s="454" t="s">
        <v>366</v>
      </c>
      <c r="B119" s="433" t="s">
        <v>344</v>
      </c>
      <c r="C119" s="433" t="s">
        <v>345</v>
      </c>
      <c r="D119" s="433" t="s">
        <v>367</v>
      </c>
      <c r="E119" s="433" t="s">
        <v>368</v>
      </c>
      <c r="F119" s="433" t="s">
        <v>369</v>
      </c>
      <c r="G119" s="433" t="s">
        <v>370</v>
      </c>
    </row>
    <row r="120" spans="1:7" x14ac:dyDescent="0.3">
      <c r="A120" s="454">
        <v>1</v>
      </c>
      <c r="B120" s="434">
        <v>18.2</v>
      </c>
      <c r="C120" s="434">
        <v>61.8</v>
      </c>
      <c r="D120" s="434">
        <v>98.1</v>
      </c>
      <c r="E120" s="434">
        <v>60</v>
      </c>
      <c r="F120" s="434">
        <v>70.5</v>
      </c>
      <c r="G120" s="434">
        <v>85.5</v>
      </c>
    </row>
    <row r="121" spans="1:7" x14ac:dyDescent="0.3">
      <c r="A121" s="454">
        <v>2</v>
      </c>
      <c r="B121" s="434">
        <v>30.3</v>
      </c>
      <c r="C121" s="434">
        <v>39.6</v>
      </c>
      <c r="D121" s="434">
        <v>70.3</v>
      </c>
      <c r="E121" s="434">
        <v>30.2</v>
      </c>
      <c r="F121" s="434">
        <v>79.3</v>
      </c>
      <c r="G121" s="434">
        <v>86.1</v>
      </c>
    </row>
    <row r="122" spans="1:7" x14ac:dyDescent="0.3">
      <c r="A122" s="454">
        <v>3</v>
      </c>
      <c r="B122" s="434">
        <v>26.9</v>
      </c>
      <c r="C122" s="434">
        <v>46.6</v>
      </c>
      <c r="D122" s="434">
        <v>87.5</v>
      </c>
      <c r="E122" s="434">
        <v>58.1</v>
      </c>
      <c r="F122" s="434">
        <v>76.400000000000006</v>
      </c>
      <c r="G122" s="434">
        <v>80.099999999999994</v>
      </c>
    </row>
    <row r="123" spans="1:7" x14ac:dyDescent="0.3">
      <c r="A123" s="454">
        <v>4</v>
      </c>
      <c r="B123" s="434">
        <v>23.7</v>
      </c>
      <c r="C123" s="434">
        <v>36.799999999999997</v>
      </c>
      <c r="D123" s="434">
        <v>88.4</v>
      </c>
      <c r="E123" s="434"/>
      <c r="F123" s="434">
        <v>66.8</v>
      </c>
      <c r="G123" s="434">
        <v>106.6</v>
      </c>
    </row>
    <row r="124" spans="1:7" x14ac:dyDescent="0.3">
      <c r="A124" s="454">
        <v>5</v>
      </c>
      <c r="B124" s="434">
        <v>34.1</v>
      </c>
      <c r="C124" s="434">
        <v>57.2</v>
      </c>
      <c r="D124" s="434">
        <v>94.2</v>
      </c>
      <c r="E124" s="434"/>
      <c r="F124" s="434">
        <v>71.8</v>
      </c>
      <c r="G124" s="434">
        <v>96.7</v>
      </c>
    </row>
    <row r="125" spans="1:7" x14ac:dyDescent="0.3">
      <c r="A125" s="454">
        <v>6</v>
      </c>
      <c r="B125" s="434">
        <v>28</v>
      </c>
      <c r="C125" s="434">
        <v>47.2</v>
      </c>
      <c r="D125" s="434">
        <v>99.6</v>
      </c>
      <c r="E125" s="434"/>
      <c r="F125" s="434"/>
      <c r="G125" s="434">
        <v>87</v>
      </c>
    </row>
    <row r="126" spans="1:7" x14ac:dyDescent="0.3">
      <c r="A126" s="454">
        <v>7</v>
      </c>
      <c r="B126" s="434">
        <v>30.6</v>
      </c>
      <c r="C126" s="434">
        <v>52</v>
      </c>
      <c r="D126" s="434">
        <v>84.6</v>
      </c>
      <c r="E126" s="434"/>
      <c r="F126" s="434"/>
      <c r="G126" s="434"/>
    </row>
    <row r="127" spans="1:7" x14ac:dyDescent="0.3">
      <c r="A127" s="454">
        <v>8</v>
      </c>
      <c r="B127" s="434"/>
      <c r="C127" s="434">
        <v>64.400000000000006</v>
      </c>
      <c r="D127" s="434">
        <v>79.2</v>
      </c>
      <c r="E127" s="434"/>
      <c r="F127" s="434"/>
      <c r="G127" s="434"/>
    </row>
    <row r="128" spans="1:7" x14ac:dyDescent="0.3">
      <c r="A128" s="454">
        <v>9</v>
      </c>
      <c r="B128" s="434"/>
      <c r="C128" s="434">
        <v>38.4</v>
      </c>
      <c r="D128" s="434"/>
      <c r="E128" s="434"/>
      <c r="F128" s="434"/>
      <c r="G128" s="434"/>
    </row>
    <row r="129" spans="1:7" x14ac:dyDescent="0.3">
      <c r="A129" s="670" t="s">
        <v>362</v>
      </c>
      <c r="B129" s="670"/>
      <c r="C129" s="670"/>
      <c r="D129" s="663"/>
      <c r="E129" s="670"/>
      <c r="F129" s="670"/>
      <c r="G129" s="670"/>
    </row>
    <row r="130" spans="1:7" x14ac:dyDescent="0.3">
      <c r="A130" s="396"/>
      <c r="B130" s="674" t="s">
        <v>364</v>
      </c>
      <c r="C130" s="674"/>
      <c r="D130" s="674"/>
      <c r="E130" s="674" t="s">
        <v>365</v>
      </c>
      <c r="F130" s="674"/>
      <c r="G130" s="674"/>
    </row>
    <row r="131" spans="1:7" x14ac:dyDescent="0.3">
      <c r="A131" s="454" t="s">
        <v>366</v>
      </c>
      <c r="B131" s="433" t="s">
        <v>344</v>
      </c>
      <c r="C131" s="433" t="s">
        <v>345</v>
      </c>
      <c r="D131" s="433" t="s">
        <v>367</v>
      </c>
      <c r="E131" s="433" t="s">
        <v>368</v>
      </c>
      <c r="F131" s="433" t="s">
        <v>369</v>
      </c>
      <c r="G131" s="433" t="s">
        <v>370</v>
      </c>
    </row>
    <row r="132" spans="1:7" x14ac:dyDescent="0.3">
      <c r="A132" s="454">
        <v>1</v>
      </c>
      <c r="B132" s="434">
        <v>0</v>
      </c>
      <c r="C132" s="434">
        <v>0</v>
      </c>
      <c r="D132" s="434">
        <v>0</v>
      </c>
      <c r="E132" s="434">
        <v>32.4</v>
      </c>
      <c r="F132" s="434">
        <v>76.400000000000006</v>
      </c>
      <c r="G132" s="434">
        <v>100.7</v>
      </c>
    </row>
    <row r="133" spans="1:7" x14ac:dyDescent="0.3">
      <c r="A133" s="454">
        <v>2</v>
      </c>
      <c r="B133" s="434"/>
      <c r="C133" s="434"/>
      <c r="D133" s="434"/>
      <c r="E133" s="434">
        <v>58.1</v>
      </c>
      <c r="F133" s="434">
        <v>71.8</v>
      </c>
      <c r="G133" s="434">
        <v>114.4</v>
      </c>
    </row>
    <row r="134" spans="1:7" x14ac:dyDescent="0.3">
      <c r="A134" s="454">
        <v>3</v>
      </c>
      <c r="B134" s="434"/>
      <c r="C134" s="434"/>
      <c r="D134" s="434"/>
      <c r="E134" s="434">
        <v>30.3</v>
      </c>
      <c r="F134" s="434">
        <v>76.2</v>
      </c>
      <c r="G134" s="434">
        <v>111</v>
      </c>
    </row>
    <row r="135" spans="1:7" x14ac:dyDescent="0.3">
      <c r="A135" s="454">
        <v>4</v>
      </c>
      <c r="B135" s="434"/>
      <c r="C135" s="434"/>
      <c r="D135" s="434"/>
      <c r="E135" s="434">
        <v>27</v>
      </c>
      <c r="F135" s="434">
        <v>67.8</v>
      </c>
      <c r="G135" s="434">
        <v>113.7</v>
      </c>
    </row>
    <row r="136" spans="1:7" x14ac:dyDescent="0.3">
      <c r="A136" s="454">
        <v>5</v>
      </c>
      <c r="B136" s="434"/>
      <c r="C136" s="434"/>
      <c r="D136" s="434"/>
      <c r="E136" s="434"/>
      <c r="F136" s="434">
        <v>79.8</v>
      </c>
      <c r="G136" s="434">
        <v>88.6</v>
      </c>
    </row>
    <row r="137" spans="1:7" x14ac:dyDescent="0.3">
      <c r="A137" s="442"/>
      <c r="B137" s="443"/>
      <c r="C137" s="443"/>
      <c r="D137" s="443"/>
      <c r="E137" s="443"/>
      <c r="F137" s="443"/>
      <c r="G137" s="443"/>
    </row>
    <row r="138" spans="1:7" x14ac:dyDescent="0.3">
      <c r="A138" s="442"/>
      <c r="B138" s="443"/>
      <c r="C138" s="443"/>
      <c r="D138" s="443"/>
      <c r="E138" s="441"/>
      <c r="F138" s="443"/>
      <c r="G138" s="443"/>
    </row>
    <row r="139" spans="1:7" x14ac:dyDescent="0.3">
      <c r="A139" s="442"/>
      <c r="B139" s="443"/>
      <c r="C139" s="443"/>
      <c r="D139" s="443"/>
      <c r="E139" s="441"/>
      <c r="F139" s="441"/>
      <c r="G139" s="443"/>
    </row>
    <row r="140" spans="1:7" x14ac:dyDescent="0.3">
      <c r="A140" s="442"/>
      <c r="B140" s="443"/>
      <c r="C140" s="443"/>
      <c r="D140" s="443"/>
      <c r="E140" s="441"/>
      <c r="F140" s="441"/>
      <c r="G140" s="441"/>
    </row>
    <row r="141" spans="1:7" x14ac:dyDescent="0.3">
      <c r="A141" s="668" t="s">
        <v>160</v>
      </c>
      <c r="B141" s="666" t="s">
        <v>161</v>
      </c>
      <c r="C141" s="667"/>
      <c r="D141" s="666" t="s">
        <v>162</v>
      </c>
      <c r="E141" s="667"/>
      <c r="F141" s="666" t="s">
        <v>163</v>
      </c>
      <c r="G141" s="667"/>
    </row>
    <row r="142" spans="1:7" x14ac:dyDescent="0.3">
      <c r="A142" s="669"/>
      <c r="B142" s="432" t="s">
        <v>164</v>
      </c>
      <c r="C142" s="432" t="s">
        <v>165</v>
      </c>
      <c r="D142" s="432" t="s">
        <v>164</v>
      </c>
      <c r="E142" s="432" t="s">
        <v>165</v>
      </c>
      <c r="F142" s="432" t="s">
        <v>164</v>
      </c>
      <c r="G142" s="432" t="s">
        <v>165</v>
      </c>
    </row>
    <row r="143" spans="1:7" x14ac:dyDescent="0.3">
      <c r="A143" s="433" t="s">
        <v>353</v>
      </c>
      <c r="B143" s="435">
        <f>ROUNDDOWN(AVERAGE(B6:D11),1)</f>
        <v>0</v>
      </c>
      <c r="C143" s="435">
        <f>ROUNDDOWN(AVERAGE(E6:G11),1)</f>
        <v>78.3</v>
      </c>
      <c r="D143" s="432">
        <v>0</v>
      </c>
      <c r="E143" s="432">
        <v>5594</v>
      </c>
      <c r="F143" s="432">
        <f>B143*D143</f>
        <v>0</v>
      </c>
      <c r="G143" s="432">
        <f>C143*E143</f>
        <v>438010.2</v>
      </c>
    </row>
    <row r="144" spans="1:7" x14ac:dyDescent="0.3">
      <c r="A144" s="433" t="s">
        <v>354</v>
      </c>
      <c r="B144" s="435">
        <f>ROUNDDOWN(AVERAGE(B15:D20),1)</f>
        <v>0</v>
      </c>
      <c r="C144" s="435">
        <f>ROUNDDOWN(AVERAGE(E15:G20),1)</f>
        <v>72.400000000000006</v>
      </c>
      <c r="D144" s="432">
        <v>0</v>
      </c>
      <c r="E144" s="432">
        <v>7005</v>
      </c>
      <c r="F144" s="432">
        <f t="shared" ref="F144:G152" si="0">B144*D144</f>
        <v>0</v>
      </c>
      <c r="G144" s="432">
        <f t="shared" si="0"/>
        <v>507162.00000000006</v>
      </c>
    </row>
    <row r="145" spans="1:7" x14ac:dyDescent="0.3">
      <c r="A145" s="433" t="s">
        <v>355</v>
      </c>
      <c r="B145" s="435">
        <f>ROUNDDOWN(AVERAGE(B24:D38),1)</f>
        <v>53.8</v>
      </c>
      <c r="C145" s="435">
        <f>ROUNDDOWN(AVERAGE(E24:G38),1)</f>
        <v>75.5</v>
      </c>
      <c r="D145" s="432">
        <v>16871</v>
      </c>
      <c r="E145" s="432">
        <v>13875</v>
      </c>
      <c r="F145" s="432">
        <f t="shared" si="0"/>
        <v>907659.79999999993</v>
      </c>
      <c r="G145" s="432">
        <f t="shared" si="0"/>
        <v>1047562.5</v>
      </c>
    </row>
    <row r="146" spans="1:7" x14ac:dyDescent="0.3">
      <c r="A146" s="433" t="s">
        <v>356</v>
      </c>
      <c r="B146" s="435">
        <f>ROUNDDOWN(AVERAGE(B42:D56),1)</f>
        <v>55.9</v>
      </c>
      <c r="C146" s="435">
        <f>ROUNDDOWN(AVERAGE(E42:G56),1)</f>
        <v>78.7</v>
      </c>
      <c r="D146" s="432">
        <v>16520</v>
      </c>
      <c r="E146" s="432">
        <v>15155</v>
      </c>
      <c r="F146" s="432">
        <f t="shared" si="0"/>
        <v>923468</v>
      </c>
      <c r="G146" s="432">
        <f t="shared" si="0"/>
        <v>1192698.5</v>
      </c>
    </row>
    <row r="147" spans="1:7" x14ac:dyDescent="0.3">
      <c r="A147" s="433" t="s">
        <v>357</v>
      </c>
      <c r="B147" s="435">
        <f>ROUNDDOWN(AVERAGE(B60:D68),1)</f>
        <v>54.3</v>
      </c>
      <c r="C147" s="435">
        <f>ROUNDDOWN(AVERAGE(E60:G68),1)</f>
        <v>75.900000000000006</v>
      </c>
      <c r="D147" s="432">
        <v>10059</v>
      </c>
      <c r="E147" s="432">
        <v>6433</v>
      </c>
      <c r="F147" s="432">
        <f t="shared" si="0"/>
        <v>546203.69999999995</v>
      </c>
      <c r="G147" s="432">
        <f t="shared" si="0"/>
        <v>488264.7</v>
      </c>
    </row>
    <row r="148" spans="1:7" x14ac:dyDescent="0.3">
      <c r="A148" s="433" t="s">
        <v>358</v>
      </c>
      <c r="B148" s="435">
        <f>ROUNDDOWN(AVERAGE(B72:D90),1)</f>
        <v>57</v>
      </c>
      <c r="C148" s="435">
        <f>ROUNDDOWN(AVERAGE(E72:G90),1)</f>
        <v>73.8</v>
      </c>
      <c r="D148" s="432">
        <v>20494</v>
      </c>
      <c r="E148" s="432">
        <v>19234</v>
      </c>
      <c r="F148" s="432">
        <f t="shared" si="0"/>
        <v>1168158</v>
      </c>
      <c r="G148" s="432">
        <f t="shared" si="0"/>
        <v>1419469.2</v>
      </c>
    </row>
    <row r="149" spans="1:7" x14ac:dyDescent="0.3">
      <c r="A149" s="433" t="s">
        <v>359</v>
      </c>
      <c r="B149" s="435">
        <f>ROUNDDOWN(AVERAGE(B94:D108),1)</f>
        <v>57.7</v>
      </c>
      <c r="C149" s="435">
        <f>ROUNDDOWN(AVERAGE(E94:G108),1)</f>
        <v>74.2</v>
      </c>
      <c r="D149" s="432">
        <v>16458</v>
      </c>
      <c r="E149" s="432">
        <v>13911</v>
      </c>
      <c r="F149" s="432">
        <f t="shared" si="0"/>
        <v>949626.60000000009</v>
      </c>
      <c r="G149" s="432">
        <f t="shared" si="0"/>
        <v>1032196.2000000001</v>
      </c>
    </row>
    <row r="150" spans="1:7" x14ac:dyDescent="0.3">
      <c r="A150" s="433" t="s">
        <v>360</v>
      </c>
      <c r="B150" s="435">
        <f>ROUNDDOWN(AVERAGE(B112:D116),1)</f>
        <v>0</v>
      </c>
      <c r="C150" s="435">
        <f>ROUNDDOWN(AVERAGE(E112:G116),1)</f>
        <v>79.900000000000006</v>
      </c>
      <c r="D150" s="432">
        <v>0</v>
      </c>
      <c r="E150" s="432">
        <v>4982</v>
      </c>
      <c r="F150" s="432">
        <f t="shared" si="0"/>
        <v>0</v>
      </c>
      <c r="G150" s="432">
        <f t="shared" si="0"/>
        <v>398061.80000000005</v>
      </c>
    </row>
    <row r="151" spans="1:7" x14ac:dyDescent="0.3">
      <c r="A151" s="433" t="s">
        <v>361</v>
      </c>
      <c r="B151" s="435">
        <f>ROUNDDOWN(AVERAGE(B120:D128),1)</f>
        <v>55.7</v>
      </c>
      <c r="C151" s="435">
        <f>ROUNDDOWN(AVERAGE(E120:G128),1)</f>
        <v>75.3</v>
      </c>
      <c r="D151" s="432">
        <v>9275</v>
      </c>
      <c r="E151" s="432">
        <v>5958</v>
      </c>
      <c r="F151" s="432">
        <f t="shared" si="0"/>
        <v>516617.5</v>
      </c>
      <c r="G151" s="432">
        <f t="shared" si="0"/>
        <v>448637.39999999997</v>
      </c>
    </row>
    <row r="152" spans="1:7" x14ac:dyDescent="0.3">
      <c r="A152" s="433" t="s">
        <v>362</v>
      </c>
      <c r="B152" s="435">
        <f>ROUNDDOWN(AVERAGE(B132:D136),1)</f>
        <v>0</v>
      </c>
      <c r="C152" s="435">
        <f>ROUNDDOWN(AVERAGE(E132:G136),1)</f>
        <v>74.8</v>
      </c>
      <c r="D152" s="432">
        <v>0</v>
      </c>
      <c r="E152" s="432">
        <v>6002</v>
      </c>
      <c r="F152" s="432">
        <f t="shared" si="0"/>
        <v>0</v>
      </c>
      <c r="G152" s="432">
        <f t="shared" si="0"/>
        <v>448949.6</v>
      </c>
    </row>
    <row r="153" spans="1:7" x14ac:dyDescent="0.3">
      <c r="A153" s="433" t="s">
        <v>166</v>
      </c>
      <c r="B153" s="433"/>
      <c r="C153" s="433"/>
      <c r="D153" s="432">
        <f>SUM(D143:D152)</f>
        <v>89677</v>
      </c>
      <c r="E153" s="432">
        <f>SUM(E143:E152)</f>
        <v>98149</v>
      </c>
      <c r="F153" s="432">
        <f>SUM(F143:F152)</f>
        <v>5011733.5999999996</v>
      </c>
      <c r="G153" s="432">
        <f>SUM(G143:G152)</f>
        <v>7421012.1000000006</v>
      </c>
    </row>
    <row r="154" spans="1:7" x14ac:dyDescent="0.3">
      <c r="A154" s="441"/>
      <c r="B154" s="441"/>
      <c r="C154" s="441"/>
      <c r="D154" s="442"/>
      <c r="E154" s="442"/>
      <c r="F154" s="442"/>
      <c r="G154" s="442"/>
    </row>
    <row r="156" spans="1:7" x14ac:dyDescent="0.3">
      <c r="C156" s="666" t="s">
        <v>167</v>
      </c>
      <c r="D156" s="667"/>
    </row>
    <row r="157" spans="1:7" x14ac:dyDescent="0.3">
      <c r="C157" s="432" t="s">
        <v>164</v>
      </c>
      <c r="D157" s="432" t="s">
        <v>165</v>
      </c>
    </row>
    <row r="158" spans="1:7" x14ac:dyDescent="0.3">
      <c r="C158" s="436">
        <f>ROUNDDOWN(F153/D153,1)</f>
        <v>55.8</v>
      </c>
      <c r="D158" s="437">
        <f>ROUNDDOWN(G153/E153,1)</f>
        <v>75.599999999999994</v>
      </c>
    </row>
  </sheetData>
  <mergeCells count="37">
    <mergeCell ref="C156:D156"/>
    <mergeCell ref="B130:D130"/>
    <mergeCell ref="E130:G130"/>
    <mergeCell ref="A141:A142"/>
    <mergeCell ref="B141:C141"/>
    <mergeCell ref="D141:E141"/>
    <mergeCell ref="F141:G141"/>
    <mergeCell ref="A129:G129"/>
    <mergeCell ref="B70:D70"/>
    <mergeCell ref="E70:G70"/>
    <mergeCell ref="A91:G91"/>
    <mergeCell ref="B92:D92"/>
    <mergeCell ref="E92:G92"/>
    <mergeCell ref="A109:G109"/>
    <mergeCell ref="B110:D110"/>
    <mergeCell ref="E110:G110"/>
    <mergeCell ref="A117:G117"/>
    <mergeCell ref="B118:D118"/>
    <mergeCell ref="E118:G118"/>
    <mergeCell ref="A69:G69"/>
    <mergeCell ref="B13:D13"/>
    <mergeCell ref="E13:G13"/>
    <mergeCell ref="A21:G21"/>
    <mergeCell ref="B22:D22"/>
    <mergeCell ref="E22:G22"/>
    <mergeCell ref="A39:G39"/>
    <mergeCell ref="B40:D40"/>
    <mergeCell ref="E40:G40"/>
    <mergeCell ref="A57:G57"/>
    <mergeCell ref="B58:D58"/>
    <mergeCell ref="E58:G58"/>
    <mergeCell ref="A12:G12"/>
    <mergeCell ref="A1:G1"/>
    <mergeCell ref="A2:G2"/>
    <mergeCell ref="A3:G3"/>
    <mergeCell ref="B4:D4"/>
    <mergeCell ref="E4:G4"/>
  </mergeCells>
  <phoneticPr fontId="11" type="noConversion"/>
  <pageMargins left="0.7" right="0.7" top="0.75" bottom="0.75" header="0.3" footer="0.3"/>
  <pageSetup paperSize="9" orientation="portrait" horizontalDpi="1200" verticalDpi="12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71553-B077-4180-AC7A-B98FD61F9C46}">
  <dimension ref="A1:I158"/>
  <sheetViews>
    <sheetView zoomScale="80" zoomScaleNormal="80" workbookViewId="0">
      <selection activeCell="E28" sqref="E28"/>
    </sheetView>
  </sheetViews>
  <sheetFormatPr defaultColWidth="8.7265625" defaultRowHeight="14" x14ac:dyDescent="0.3"/>
  <cols>
    <col min="1" max="1" width="22.453125" style="395" customWidth="1"/>
    <col min="2" max="2" width="16.26953125" style="395" bestFit="1" customWidth="1"/>
    <col min="3" max="3" width="22.90625" style="395" bestFit="1" customWidth="1"/>
    <col min="4" max="4" width="22.6328125" style="395" bestFit="1" customWidth="1"/>
    <col min="5" max="5" width="21.453125" style="395" bestFit="1" customWidth="1"/>
    <col min="6" max="6" width="23.453125" style="395" bestFit="1" customWidth="1"/>
    <col min="7" max="7" width="23.08984375" style="395" bestFit="1" customWidth="1"/>
    <col min="8" max="8" width="14.81640625" style="395" customWidth="1"/>
    <col min="9" max="16384" width="8.7265625" style="395"/>
  </cols>
  <sheetData>
    <row r="1" spans="1:9" x14ac:dyDescent="0.3">
      <c r="A1" s="657" t="s">
        <v>322</v>
      </c>
      <c r="B1" s="658"/>
      <c r="C1" s="658"/>
      <c r="D1" s="658"/>
      <c r="E1" s="658"/>
      <c r="F1" s="658"/>
      <c r="G1" s="659"/>
    </row>
    <row r="2" spans="1:9" ht="33" customHeight="1" x14ac:dyDescent="0.3">
      <c r="A2" s="660" t="s">
        <v>385</v>
      </c>
      <c r="B2" s="661"/>
      <c r="C2" s="661"/>
      <c r="D2" s="661"/>
      <c r="E2" s="661"/>
      <c r="F2" s="661"/>
      <c r="G2" s="662"/>
    </row>
    <row r="3" spans="1:9" x14ac:dyDescent="0.3">
      <c r="A3" s="663" t="s">
        <v>353</v>
      </c>
      <c r="B3" s="663"/>
      <c r="C3" s="663"/>
      <c r="D3" s="663"/>
      <c r="E3" s="663"/>
      <c r="F3" s="663"/>
      <c r="G3" s="663"/>
    </row>
    <row r="4" spans="1:9" x14ac:dyDescent="0.3">
      <c r="A4" s="396"/>
      <c r="B4" s="674" t="s">
        <v>364</v>
      </c>
      <c r="C4" s="674"/>
      <c r="D4" s="674"/>
      <c r="E4" s="674" t="s">
        <v>365</v>
      </c>
      <c r="F4" s="674"/>
      <c r="G4" s="674"/>
    </row>
    <row r="5" spans="1:9" x14ac:dyDescent="0.3">
      <c r="A5" s="454" t="s">
        <v>366</v>
      </c>
      <c r="B5" s="433" t="s">
        <v>344</v>
      </c>
      <c r="C5" s="433" t="s">
        <v>345</v>
      </c>
      <c r="D5" s="433" t="s">
        <v>367</v>
      </c>
      <c r="E5" s="433" t="s">
        <v>368</v>
      </c>
      <c r="F5" s="433" t="s">
        <v>369</v>
      </c>
      <c r="G5" s="433" t="s">
        <v>370</v>
      </c>
      <c r="H5" s="440"/>
      <c r="I5" s="441"/>
    </row>
    <row r="6" spans="1:9" x14ac:dyDescent="0.3">
      <c r="A6" s="454">
        <v>1</v>
      </c>
      <c r="B6" s="434">
        <v>0</v>
      </c>
      <c r="C6" s="434">
        <v>0</v>
      </c>
      <c r="D6" s="434">
        <v>0</v>
      </c>
      <c r="E6" s="434">
        <v>52.1</v>
      </c>
      <c r="F6" s="434">
        <v>65.2</v>
      </c>
      <c r="G6" s="434">
        <v>107.1</v>
      </c>
    </row>
    <row r="7" spans="1:9" x14ac:dyDescent="0.3">
      <c r="A7" s="454">
        <v>2</v>
      </c>
      <c r="B7" s="434"/>
      <c r="C7" s="434"/>
      <c r="D7" s="434"/>
      <c r="E7" s="434">
        <v>29</v>
      </c>
      <c r="F7" s="434">
        <v>65.599999999999994</v>
      </c>
      <c r="G7" s="434">
        <v>87.6</v>
      </c>
    </row>
    <row r="8" spans="1:9" x14ac:dyDescent="0.3">
      <c r="A8" s="454">
        <v>3</v>
      </c>
      <c r="B8" s="434"/>
      <c r="C8" s="434"/>
      <c r="D8" s="434"/>
      <c r="E8" s="434">
        <v>52.3</v>
      </c>
      <c r="F8" s="434">
        <v>69.3</v>
      </c>
      <c r="G8" s="434">
        <v>98.8</v>
      </c>
    </row>
    <row r="9" spans="1:9" x14ac:dyDescent="0.3">
      <c r="A9" s="454">
        <v>4</v>
      </c>
      <c r="B9" s="434"/>
      <c r="C9" s="434"/>
      <c r="D9" s="434"/>
      <c r="E9" s="434"/>
      <c r="F9" s="434">
        <v>70</v>
      </c>
      <c r="G9" s="434">
        <v>104.9</v>
      </c>
    </row>
    <row r="10" spans="1:9" x14ac:dyDescent="0.3">
      <c r="A10" s="454">
        <v>5</v>
      </c>
      <c r="B10" s="434"/>
      <c r="C10" s="434"/>
      <c r="D10" s="434"/>
      <c r="E10" s="434"/>
      <c r="F10" s="434">
        <v>78.900000000000006</v>
      </c>
      <c r="G10" s="434">
        <v>113.4</v>
      </c>
    </row>
    <row r="11" spans="1:9" x14ac:dyDescent="0.3">
      <c r="A11" s="454">
        <v>6</v>
      </c>
      <c r="B11" s="434"/>
      <c r="C11" s="434"/>
      <c r="D11" s="434"/>
      <c r="E11" s="434"/>
      <c r="F11" s="434"/>
      <c r="G11" s="434">
        <v>97.4</v>
      </c>
    </row>
    <row r="12" spans="1:9" x14ac:dyDescent="0.3">
      <c r="A12" s="670" t="s">
        <v>354</v>
      </c>
      <c r="B12" s="670"/>
      <c r="C12" s="670"/>
      <c r="D12" s="670"/>
      <c r="E12" s="670"/>
      <c r="F12" s="670"/>
      <c r="G12" s="670"/>
    </row>
    <row r="13" spans="1:9" x14ac:dyDescent="0.3">
      <c r="A13" s="396"/>
      <c r="B13" s="674" t="s">
        <v>364</v>
      </c>
      <c r="C13" s="674"/>
      <c r="D13" s="674"/>
      <c r="E13" s="674" t="s">
        <v>365</v>
      </c>
      <c r="F13" s="674"/>
      <c r="G13" s="674"/>
    </row>
    <row r="14" spans="1:9" x14ac:dyDescent="0.3">
      <c r="A14" s="454" t="s">
        <v>366</v>
      </c>
      <c r="B14" s="433" t="s">
        <v>344</v>
      </c>
      <c r="C14" s="433" t="s">
        <v>345</v>
      </c>
      <c r="D14" s="433" t="s">
        <v>367</v>
      </c>
      <c r="E14" s="433" t="s">
        <v>368</v>
      </c>
      <c r="F14" s="433" t="s">
        <v>369</v>
      </c>
      <c r="G14" s="433" t="s">
        <v>370</v>
      </c>
    </row>
    <row r="15" spans="1:9" x14ac:dyDescent="0.3">
      <c r="A15" s="454">
        <v>1</v>
      </c>
      <c r="B15" s="434">
        <v>0</v>
      </c>
      <c r="C15" s="434">
        <v>0</v>
      </c>
      <c r="D15" s="434">
        <v>0</v>
      </c>
      <c r="E15" s="434">
        <v>58.2</v>
      </c>
      <c r="F15" s="434">
        <v>76.7</v>
      </c>
      <c r="G15" s="434">
        <v>105.9</v>
      </c>
    </row>
    <row r="16" spans="1:9" x14ac:dyDescent="0.3">
      <c r="A16" s="454">
        <v>2</v>
      </c>
      <c r="B16" s="434"/>
      <c r="C16" s="434"/>
      <c r="D16" s="434"/>
      <c r="E16" s="434">
        <v>55.5</v>
      </c>
      <c r="F16" s="434">
        <v>73.400000000000006</v>
      </c>
      <c r="G16" s="434">
        <v>113.5</v>
      </c>
    </row>
    <row r="17" spans="1:7" x14ac:dyDescent="0.3">
      <c r="A17" s="454">
        <v>3</v>
      </c>
      <c r="B17" s="434"/>
      <c r="C17" s="434"/>
      <c r="D17" s="434"/>
      <c r="E17" s="434">
        <v>27.7</v>
      </c>
      <c r="F17" s="434">
        <v>68</v>
      </c>
      <c r="G17" s="434">
        <v>88.7</v>
      </c>
    </row>
    <row r="18" spans="1:7" x14ac:dyDescent="0.3">
      <c r="A18" s="454">
        <v>4</v>
      </c>
      <c r="B18" s="434"/>
      <c r="C18" s="434"/>
      <c r="D18" s="434"/>
      <c r="E18" s="434">
        <v>30.9</v>
      </c>
      <c r="F18" s="434">
        <v>77.8</v>
      </c>
      <c r="G18" s="434">
        <v>90.7</v>
      </c>
    </row>
    <row r="19" spans="1:7" x14ac:dyDescent="0.3">
      <c r="A19" s="454">
        <v>5</v>
      </c>
      <c r="B19" s="434"/>
      <c r="C19" s="434"/>
      <c r="D19" s="434"/>
      <c r="E19" s="434"/>
      <c r="F19" s="434">
        <v>79</v>
      </c>
      <c r="G19" s="434">
        <v>108.6</v>
      </c>
    </row>
    <row r="20" spans="1:7" x14ac:dyDescent="0.3">
      <c r="A20" s="454">
        <v>6</v>
      </c>
      <c r="B20" s="434"/>
      <c r="C20" s="434"/>
      <c r="D20" s="434"/>
      <c r="E20" s="434"/>
      <c r="F20" s="434">
        <v>72</v>
      </c>
      <c r="G20" s="434">
        <v>113.1</v>
      </c>
    </row>
    <row r="21" spans="1:7" x14ac:dyDescent="0.3">
      <c r="A21" s="663" t="s">
        <v>355</v>
      </c>
      <c r="B21" s="663"/>
      <c r="C21" s="663"/>
      <c r="D21" s="663"/>
      <c r="E21" s="663"/>
      <c r="F21" s="663"/>
      <c r="G21" s="663"/>
    </row>
    <row r="22" spans="1:7" x14ac:dyDescent="0.3">
      <c r="A22" s="396"/>
      <c r="B22" s="674" t="s">
        <v>364</v>
      </c>
      <c r="C22" s="674"/>
      <c r="D22" s="674"/>
      <c r="E22" s="674" t="s">
        <v>365</v>
      </c>
      <c r="F22" s="674"/>
      <c r="G22" s="674"/>
    </row>
    <row r="23" spans="1:7" x14ac:dyDescent="0.3">
      <c r="A23" s="454" t="s">
        <v>366</v>
      </c>
      <c r="B23" s="433" t="s">
        <v>344</v>
      </c>
      <c r="C23" s="433" t="s">
        <v>345</v>
      </c>
      <c r="D23" s="433" t="s">
        <v>367</v>
      </c>
      <c r="E23" s="433" t="s">
        <v>368</v>
      </c>
      <c r="F23" s="433" t="s">
        <v>369</v>
      </c>
      <c r="G23" s="433" t="s">
        <v>370</v>
      </c>
    </row>
    <row r="24" spans="1:7" x14ac:dyDescent="0.3">
      <c r="A24" s="454">
        <v>1</v>
      </c>
      <c r="B24" s="434">
        <v>19.2</v>
      </c>
      <c r="C24" s="434">
        <v>44.1</v>
      </c>
      <c r="D24" s="434">
        <v>88</v>
      </c>
      <c r="E24" s="434">
        <v>42.9</v>
      </c>
      <c r="F24" s="434">
        <v>64.099999999999994</v>
      </c>
      <c r="G24" s="434">
        <v>98.3</v>
      </c>
    </row>
    <row r="25" spans="1:7" x14ac:dyDescent="0.3">
      <c r="A25" s="454">
        <v>2</v>
      </c>
      <c r="B25" s="434">
        <v>28.4</v>
      </c>
      <c r="C25" s="434">
        <v>63.5</v>
      </c>
      <c r="D25" s="434">
        <v>76.8</v>
      </c>
      <c r="E25" s="434">
        <v>57.6</v>
      </c>
      <c r="F25" s="434">
        <v>80</v>
      </c>
      <c r="G25" s="434">
        <v>113.7</v>
      </c>
    </row>
    <row r="26" spans="1:7" x14ac:dyDescent="0.3">
      <c r="A26" s="454">
        <v>3</v>
      </c>
      <c r="B26" s="434">
        <v>26.5</v>
      </c>
      <c r="C26" s="434">
        <v>52.9</v>
      </c>
      <c r="D26" s="434">
        <v>99.2</v>
      </c>
      <c r="E26" s="434">
        <v>46.5</v>
      </c>
      <c r="F26" s="434">
        <v>77.900000000000006</v>
      </c>
      <c r="G26" s="434">
        <v>94.6</v>
      </c>
    </row>
    <row r="27" spans="1:7" x14ac:dyDescent="0.3">
      <c r="A27" s="454">
        <v>4</v>
      </c>
      <c r="B27" s="434">
        <v>30.1</v>
      </c>
      <c r="C27" s="434">
        <v>66.900000000000006</v>
      </c>
      <c r="D27" s="434">
        <v>102.9</v>
      </c>
      <c r="E27" s="434">
        <v>33.6</v>
      </c>
      <c r="F27" s="434">
        <v>70.7</v>
      </c>
      <c r="G27" s="434">
        <v>86.8</v>
      </c>
    </row>
    <row r="28" spans="1:7" x14ac:dyDescent="0.3">
      <c r="A28" s="454">
        <v>5</v>
      </c>
      <c r="B28" s="434">
        <v>26.4</v>
      </c>
      <c r="C28" s="434">
        <v>63.8</v>
      </c>
      <c r="D28" s="434">
        <v>95</v>
      </c>
      <c r="E28" s="434">
        <v>48.1</v>
      </c>
      <c r="F28" s="434">
        <v>79.599999999999994</v>
      </c>
      <c r="G28" s="434">
        <v>100.3</v>
      </c>
    </row>
    <row r="29" spans="1:7" x14ac:dyDescent="0.3">
      <c r="A29" s="454">
        <v>6</v>
      </c>
      <c r="B29" s="434">
        <v>19.399999999999999</v>
      </c>
      <c r="C29" s="434">
        <v>42.6</v>
      </c>
      <c r="D29" s="434">
        <v>86.3</v>
      </c>
      <c r="E29" s="434">
        <v>41.6</v>
      </c>
      <c r="F29" s="434">
        <v>63.1</v>
      </c>
      <c r="G29" s="434">
        <v>108.9</v>
      </c>
    </row>
    <row r="30" spans="1:7" x14ac:dyDescent="0.3">
      <c r="A30" s="454">
        <v>7</v>
      </c>
      <c r="B30" s="434">
        <v>23.4</v>
      </c>
      <c r="C30" s="434">
        <v>47.3</v>
      </c>
      <c r="D30" s="434">
        <v>80.099999999999994</v>
      </c>
      <c r="E30" s="434">
        <v>47.7</v>
      </c>
      <c r="F30" s="434">
        <v>64.900000000000006</v>
      </c>
      <c r="G30" s="434">
        <v>84.5</v>
      </c>
    </row>
    <row r="31" spans="1:7" x14ac:dyDescent="0.3">
      <c r="A31" s="454">
        <v>8</v>
      </c>
      <c r="B31" s="434">
        <v>20.6</v>
      </c>
      <c r="C31" s="434">
        <v>40.4</v>
      </c>
      <c r="D31" s="434">
        <v>79.8</v>
      </c>
      <c r="E31" s="434"/>
      <c r="F31" s="434">
        <v>69</v>
      </c>
      <c r="G31" s="434">
        <v>80</v>
      </c>
    </row>
    <row r="32" spans="1:7" x14ac:dyDescent="0.3">
      <c r="A32" s="454">
        <v>9</v>
      </c>
      <c r="B32" s="434">
        <v>21.3</v>
      </c>
      <c r="C32" s="434">
        <v>47.6</v>
      </c>
      <c r="D32" s="434">
        <v>69.8</v>
      </c>
      <c r="E32" s="434"/>
      <c r="F32" s="434">
        <v>74.5</v>
      </c>
      <c r="G32" s="434">
        <v>99</v>
      </c>
    </row>
    <row r="33" spans="1:7" x14ac:dyDescent="0.3">
      <c r="A33" s="454">
        <v>10</v>
      </c>
      <c r="B33" s="434">
        <v>18.100000000000001</v>
      </c>
      <c r="C33" s="434">
        <v>65</v>
      </c>
      <c r="D33" s="434">
        <v>93.5</v>
      </c>
      <c r="E33" s="434"/>
      <c r="F33" s="434">
        <v>61.4</v>
      </c>
      <c r="G33" s="434">
        <v>101.5</v>
      </c>
    </row>
    <row r="34" spans="1:7" x14ac:dyDescent="0.3">
      <c r="A34" s="454">
        <v>11</v>
      </c>
      <c r="B34" s="434">
        <v>16.600000000000001</v>
      </c>
      <c r="C34" s="434">
        <v>62.8</v>
      </c>
      <c r="D34" s="434">
        <v>76.2</v>
      </c>
      <c r="E34" s="434"/>
      <c r="F34" s="434">
        <v>77.5</v>
      </c>
      <c r="G34" s="434">
        <v>81.2</v>
      </c>
    </row>
    <row r="35" spans="1:7" x14ac:dyDescent="0.3">
      <c r="A35" s="454">
        <v>12</v>
      </c>
      <c r="B35" s="434">
        <v>32.6</v>
      </c>
      <c r="C35" s="434">
        <v>37.1</v>
      </c>
      <c r="D35" s="434">
        <v>81.2</v>
      </c>
      <c r="E35" s="434"/>
      <c r="F35" s="434"/>
      <c r="G35" s="434">
        <v>92.1</v>
      </c>
    </row>
    <row r="36" spans="1:7" x14ac:dyDescent="0.3">
      <c r="A36" s="454">
        <v>13</v>
      </c>
      <c r="B36" s="434">
        <v>29.1</v>
      </c>
      <c r="C36" s="434">
        <v>55.7</v>
      </c>
      <c r="D36" s="434">
        <v>71.099999999999994</v>
      </c>
      <c r="E36" s="434"/>
      <c r="F36" s="434"/>
      <c r="G36" s="434"/>
    </row>
    <row r="37" spans="1:7" x14ac:dyDescent="0.3">
      <c r="A37" s="454">
        <v>14</v>
      </c>
      <c r="B37" s="434"/>
      <c r="C37" s="434">
        <v>48.5</v>
      </c>
      <c r="D37" s="434">
        <v>93.8</v>
      </c>
      <c r="E37" s="434"/>
      <c r="F37" s="434"/>
      <c r="G37" s="434"/>
    </row>
    <row r="38" spans="1:7" x14ac:dyDescent="0.3">
      <c r="A38" s="454">
        <v>15</v>
      </c>
      <c r="B38" s="434"/>
      <c r="C38" s="434">
        <v>60.4</v>
      </c>
      <c r="D38" s="434">
        <v>81.7</v>
      </c>
      <c r="E38" s="434"/>
      <c r="F38" s="434"/>
      <c r="G38" s="434"/>
    </row>
    <row r="39" spans="1:7" x14ac:dyDescent="0.3">
      <c r="A39" s="670" t="s">
        <v>356</v>
      </c>
      <c r="B39" s="670"/>
      <c r="C39" s="670"/>
      <c r="D39" s="663"/>
      <c r="E39" s="670"/>
      <c r="F39" s="670"/>
      <c r="G39" s="670"/>
    </row>
    <row r="40" spans="1:7" x14ac:dyDescent="0.3">
      <c r="A40" s="396"/>
      <c r="B40" s="674" t="s">
        <v>364</v>
      </c>
      <c r="C40" s="674"/>
      <c r="D40" s="674"/>
      <c r="E40" s="674" t="s">
        <v>365</v>
      </c>
      <c r="F40" s="674"/>
      <c r="G40" s="674"/>
    </row>
    <row r="41" spans="1:7" x14ac:dyDescent="0.3">
      <c r="A41" s="454" t="s">
        <v>366</v>
      </c>
      <c r="B41" s="433" t="s">
        <v>344</v>
      </c>
      <c r="C41" s="433" t="s">
        <v>345</v>
      </c>
      <c r="D41" s="433" t="s">
        <v>367</v>
      </c>
      <c r="E41" s="433" t="s">
        <v>368</v>
      </c>
      <c r="F41" s="433" t="s">
        <v>369</v>
      </c>
      <c r="G41" s="433" t="s">
        <v>370</v>
      </c>
    </row>
    <row r="42" spans="1:7" x14ac:dyDescent="0.3">
      <c r="A42" s="454">
        <v>1</v>
      </c>
      <c r="B42" s="434">
        <v>36.4</v>
      </c>
      <c r="C42" s="434">
        <v>38.9</v>
      </c>
      <c r="D42" s="434">
        <v>80.900000000000006</v>
      </c>
      <c r="E42" s="434">
        <v>59.2</v>
      </c>
      <c r="F42" s="434">
        <v>70.400000000000006</v>
      </c>
      <c r="G42" s="434">
        <v>115.4</v>
      </c>
    </row>
    <row r="43" spans="1:7" x14ac:dyDescent="0.3">
      <c r="A43" s="454">
        <v>2</v>
      </c>
      <c r="B43" s="434">
        <v>20.399999999999999</v>
      </c>
      <c r="C43" s="434">
        <v>41.6</v>
      </c>
      <c r="D43" s="434">
        <v>76.900000000000006</v>
      </c>
      <c r="E43" s="434">
        <v>52.2</v>
      </c>
      <c r="F43" s="434">
        <v>66.099999999999994</v>
      </c>
      <c r="G43" s="434">
        <v>118.6</v>
      </c>
    </row>
    <row r="44" spans="1:7" x14ac:dyDescent="0.3">
      <c r="A44" s="454">
        <v>3</v>
      </c>
      <c r="B44" s="434">
        <v>22.7</v>
      </c>
      <c r="C44" s="434">
        <v>37.6</v>
      </c>
      <c r="D44" s="434">
        <v>79.400000000000006</v>
      </c>
      <c r="E44" s="434">
        <v>29.7</v>
      </c>
      <c r="F44" s="434">
        <v>70.099999999999994</v>
      </c>
      <c r="G44" s="434">
        <v>80.099999999999994</v>
      </c>
    </row>
    <row r="45" spans="1:7" x14ac:dyDescent="0.3">
      <c r="A45" s="454">
        <v>4</v>
      </c>
      <c r="B45" s="434">
        <v>29.1</v>
      </c>
      <c r="C45" s="434">
        <v>41.1</v>
      </c>
      <c r="D45" s="434">
        <v>88.2</v>
      </c>
      <c r="E45" s="434">
        <v>52.8</v>
      </c>
      <c r="F45" s="434">
        <v>78.5</v>
      </c>
      <c r="G45" s="434">
        <v>90.5</v>
      </c>
    </row>
    <row r="46" spans="1:7" x14ac:dyDescent="0.3">
      <c r="A46" s="454">
        <v>5</v>
      </c>
      <c r="B46" s="434">
        <v>26.5</v>
      </c>
      <c r="C46" s="434">
        <v>50.3</v>
      </c>
      <c r="D46" s="434">
        <v>68.599999999999994</v>
      </c>
      <c r="E46" s="434">
        <v>38.5</v>
      </c>
      <c r="F46" s="434">
        <v>77.599999999999994</v>
      </c>
      <c r="G46" s="434">
        <v>119</v>
      </c>
    </row>
    <row r="47" spans="1:7" x14ac:dyDescent="0.3">
      <c r="A47" s="454">
        <v>6</v>
      </c>
      <c r="B47" s="434">
        <v>29.3</v>
      </c>
      <c r="C47" s="434">
        <v>54.9</v>
      </c>
      <c r="D47" s="434">
        <v>104.2</v>
      </c>
      <c r="E47" s="434">
        <v>39</v>
      </c>
      <c r="F47" s="434">
        <v>66.900000000000006</v>
      </c>
      <c r="G47" s="434">
        <v>86.5</v>
      </c>
    </row>
    <row r="48" spans="1:7" x14ac:dyDescent="0.3">
      <c r="A48" s="454">
        <v>7</v>
      </c>
      <c r="B48" s="434">
        <v>28.3</v>
      </c>
      <c r="C48" s="434">
        <v>67.400000000000006</v>
      </c>
      <c r="D48" s="434">
        <v>99</v>
      </c>
      <c r="E48" s="434">
        <v>50.4</v>
      </c>
      <c r="F48" s="434">
        <v>77.099999999999994</v>
      </c>
      <c r="G48" s="434">
        <v>81.900000000000006</v>
      </c>
    </row>
    <row r="49" spans="1:7" x14ac:dyDescent="0.3">
      <c r="A49" s="454">
        <v>8</v>
      </c>
      <c r="B49" s="434">
        <v>17.2</v>
      </c>
      <c r="C49" s="434">
        <v>43.7</v>
      </c>
      <c r="D49" s="434">
        <v>94.6</v>
      </c>
      <c r="E49" s="434"/>
      <c r="F49" s="434">
        <v>68.400000000000006</v>
      </c>
      <c r="G49" s="434">
        <v>116.4</v>
      </c>
    </row>
    <row r="50" spans="1:7" x14ac:dyDescent="0.3">
      <c r="A50" s="454">
        <v>9</v>
      </c>
      <c r="B50" s="434">
        <v>16.3</v>
      </c>
      <c r="C50" s="434">
        <v>41.5</v>
      </c>
      <c r="D50" s="434">
        <v>82.3</v>
      </c>
      <c r="E50" s="434"/>
      <c r="F50" s="434">
        <v>65.5</v>
      </c>
      <c r="G50" s="434">
        <v>118.2</v>
      </c>
    </row>
    <row r="51" spans="1:7" x14ac:dyDescent="0.3">
      <c r="A51" s="454">
        <v>10</v>
      </c>
      <c r="B51" s="434">
        <v>32.5</v>
      </c>
      <c r="C51" s="434">
        <v>38.6</v>
      </c>
      <c r="D51" s="434">
        <v>96.5</v>
      </c>
      <c r="E51" s="434"/>
      <c r="F51" s="434">
        <v>60.7</v>
      </c>
      <c r="G51" s="434">
        <v>101.7</v>
      </c>
    </row>
    <row r="52" spans="1:7" x14ac:dyDescent="0.3">
      <c r="A52" s="454">
        <v>11</v>
      </c>
      <c r="B52" s="434">
        <v>23.2</v>
      </c>
      <c r="C52" s="434">
        <v>64.8</v>
      </c>
      <c r="D52" s="434">
        <v>80.2</v>
      </c>
      <c r="E52" s="434"/>
      <c r="F52" s="434">
        <v>73.3</v>
      </c>
      <c r="G52" s="434">
        <v>88.8</v>
      </c>
    </row>
    <row r="53" spans="1:7" x14ac:dyDescent="0.3">
      <c r="A53" s="454">
        <v>12</v>
      </c>
      <c r="B53" s="434">
        <v>22.5</v>
      </c>
      <c r="C53" s="434">
        <v>66.2</v>
      </c>
      <c r="D53" s="434">
        <v>83.2</v>
      </c>
      <c r="E53" s="434"/>
      <c r="F53" s="434">
        <v>78.3</v>
      </c>
      <c r="G53" s="434">
        <v>111.8</v>
      </c>
    </row>
    <row r="54" spans="1:7" x14ac:dyDescent="0.3">
      <c r="A54" s="454">
        <v>13</v>
      </c>
      <c r="B54" s="434">
        <v>23</v>
      </c>
      <c r="C54" s="434">
        <v>48.9</v>
      </c>
      <c r="D54" s="434">
        <v>103</v>
      </c>
      <c r="E54" s="434"/>
      <c r="F54" s="434"/>
      <c r="G54" s="434">
        <v>114.4</v>
      </c>
    </row>
    <row r="55" spans="1:7" x14ac:dyDescent="0.3">
      <c r="A55" s="454">
        <v>14</v>
      </c>
      <c r="B55" s="434">
        <v>19.2</v>
      </c>
      <c r="C55" s="434">
        <v>67.5</v>
      </c>
      <c r="D55" s="434">
        <v>96.9</v>
      </c>
      <c r="E55" s="434"/>
      <c r="F55" s="434"/>
      <c r="G55" s="434">
        <v>86.6</v>
      </c>
    </row>
    <row r="56" spans="1:7" x14ac:dyDescent="0.3">
      <c r="A56" s="454">
        <v>15</v>
      </c>
      <c r="B56" s="434"/>
      <c r="C56" s="434"/>
      <c r="D56" s="434">
        <v>73.5</v>
      </c>
      <c r="E56" s="434"/>
      <c r="F56" s="434"/>
      <c r="G56" s="434"/>
    </row>
    <row r="57" spans="1:7" x14ac:dyDescent="0.3">
      <c r="A57" s="670" t="s">
        <v>357</v>
      </c>
      <c r="B57" s="670"/>
      <c r="C57" s="670"/>
      <c r="D57" s="663"/>
      <c r="E57" s="670"/>
      <c r="F57" s="670"/>
      <c r="G57" s="670"/>
    </row>
    <row r="58" spans="1:7" x14ac:dyDescent="0.3">
      <c r="A58" s="396"/>
      <c r="B58" s="674" t="s">
        <v>364</v>
      </c>
      <c r="C58" s="674"/>
      <c r="D58" s="674"/>
      <c r="E58" s="674" t="s">
        <v>365</v>
      </c>
      <c r="F58" s="674"/>
      <c r="G58" s="674"/>
    </row>
    <row r="59" spans="1:7" x14ac:dyDescent="0.3">
      <c r="A59" s="454" t="s">
        <v>366</v>
      </c>
      <c r="B59" s="433" t="s">
        <v>344</v>
      </c>
      <c r="C59" s="433" t="s">
        <v>345</v>
      </c>
      <c r="D59" s="433" t="s">
        <v>367</v>
      </c>
      <c r="E59" s="433" t="s">
        <v>368</v>
      </c>
      <c r="F59" s="433" t="s">
        <v>369</v>
      </c>
      <c r="G59" s="433" t="s">
        <v>370</v>
      </c>
    </row>
    <row r="60" spans="1:7" x14ac:dyDescent="0.3">
      <c r="A60" s="454">
        <v>1</v>
      </c>
      <c r="B60" s="434">
        <v>26.3</v>
      </c>
      <c r="C60" s="434">
        <v>57.4</v>
      </c>
      <c r="D60" s="434">
        <v>70.900000000000006</v>
      </c>
      <c r="E60" s="434">
        <v>33.5</v>
      </c>
      <c r="F60" s="434">
        <v>76.400000000000006</v>
      </c>
      <c r="G60" s="434">
        <v>91.2</v>
      </c>
    </row>
    <row r="61" spans="1:7" x14ac:dyDescent="0.3">
      <c r="A61" s="454">
        <v>2</v>
      </c>
      <c r="B61" s="434">
        <v>35.799999999999997</v>
      </c>
      <c r="C61" s="434">
        <v>45.5</v>
      </c>
      <c r="D61" s="434">
        <v>75.2</v>
      </c>
      <c r="E61" s="434">
        <v>30.9</v>
      </c>
      <c r="F61" s="434">
        <v>67.400000000000006</v>
      </c>
      <c r="G61" s="434">
        <v>95.8</v>
      </c>
    </row>
    <row r="62" spans="1:7" x14ac:dyDescent="0.3">
      <c r="A62" s="454">
        <v>3</v>
      </c>
      <c r="B62" s="434">
        <v>36.700000000000003</v>
      </c>
      <c r="C62" s="434">
        <v>37.700000000000003</v>
      </c>
      <c r="D62" s="434">
        <v>83.7</v>
      </c>
      <c r="E62" s="434">
        <v>56.2</v>
      </c>
      <c r="F62" s="434">
        <v>61.5</v>
      </c>
      <c r="G62" s="434">
        <v>105.8</v>
      </c>
    </row>
    <row r="63" spans="1:7" x14ac:dyDescent="0.3">
      <c r="A63" s="454">
        <v>4</v>
      </c>
      <c r="B63" s="434">
        <v>28.6</v>
      </c>
      <c r="C63" s="434">
        <v>67.900000000000006</v>
      </c>
      <c r="D63" s="434">
        <v>73.8</v>
      </c>
      <c r="E63" s="434">
        <v>37.6</v>
      </c>
      <c r="F63" s="434">
        <v>69.900000000000006</v>
      </c>
      <c r="G63" s="434">
        <v>90</v>
      </c>
    </row>
    <row r="64" spans="1:7" x14ac:dyDescent="0.3">
      <c r="A64" s="454">
        <v>5</v>
      </c>
      <c r="B64" s="434">
        <v>27.6</v>
      </c>
      <c r="C64" s="434">
        <v>51</v>
      </c>
      <c r="D64" s="434">
        <v>80.900000000000006</v>
      </c>
      <c r="E64" s="434"/>
      <c r="F64" s="434">
        <v>75.900000000000006</v>
      </c>
      <c r="G64" s="434">
        <v>107.2</v>
      </c>
    </row>
    <row r="65" spans="1:7" x14ac:dyDescent="0.3">
      <c r="A65" s="454">
        <v>6</v>
      </c>
      <c r="B65" s="434">
        <v>30</v>
      </c>
      <c r="C65" s="434">
        <v>52.2</v>
      </c>
      <c r="D65" s="434">
        <v>82.3</v>
      </c>
      <c r="E65" s="434"/>
      <c r="F65" s="434"/>
      <c r="G65" s="434">
        <v>108.5</v>
      </c>
    </row>
    <row r="66" spans="1:7" x14ac:dyDescent="0.3">
      <c r="A66" s="454">
        <v>7</v>
      </c>
      <c r="B66" s="434">
        <v>15.8</v>
      </c>
      <c r="C66" s="434">
        <v>60.1</v>
      </c>
      <c r="D66" s="434">
        <v>98.8</v>
      </c>
      <c r="E66" s="434"/>
      <c r="F66" s="434"/>
      <c r="G66" s="434"/>
    </row>
    <row r="67" spans="1:7" x14ac:dyDescent="0.3">
      <c r="A67" s="454">
        <v>8</v>
      </c>
      <c r="B67" s="434">
        <v>17.399999999999999</v>
      </c>
      <c r="C67" s="434">
        <v>45.8</v>
      </c>
      <c r="D67" s="434">
        <v>85.1</v>
      </c>
      <c r="E67" s="434"/>
      <c r="F67" s="434"/>
      <c r="G67" s="434"/>
    </row>
    <row r="68" spans="1:7" x14ac:dyDescent="0.3">
      <c r="A68" s="454">
        <v>9</v>
      </c>
      <c r="B68" s="434">
        <v>26.8</v>
      </c>
      <c r="C68" s="434"/>
      <c r="D68" s="434">
        <v>92</v>
      </c>
      <c r="E68" s="433"/>
      <c r="F68" s="434"/>
      <c r="G68" s="434"/>
    </row>
    <row r="69" spans="1:7" x14ac:dyDescent="0.3">
      <c r="A69" s="670" t="s">
        <v>358</v>
      </c>
      <c r="B69" s="670"/>
      <c r="C69" s="670"/>
      <c r="D69" s="663"/>
      <c r="E69" s="670"/>
      <c r="F69" s="670"/>
      <c r="G69" s="670"/>
    </row>
    <row r="70" spans="1:7" x14ac:dyDescent="0.3">
      <c r="A70" s="396"/>
      <c r="B70" s="674" t="s">
        <v>364</v>
      </c>
      <c r="C70" s="674"/>
      <c r="D70" s="674"/>
      <c r="E70" s="674" t="s">
        <v>365</v>
      </c>
      <c r="F70" s="674"/>
      <c r="G70" s="674"/>
    </row>
    <row r="71" spans="1:7" x14ac:dyDescent="0.3">
      <c r="A71" s="454" t="s">
        <v>366</v>
      </c>
      <c r="B71" s="433" t="s">
        <v>344</v>
      </c>
      <c r="C71" s="433" t="s">
        <v>345</v>
      </c>
      <c r="D71" s="433" t="s">
        <v>367</v>
      </c>
      <c r="E71" s="433" t="s">
        <v>368</v>
      </c>
      <c r="F71" s="433" t="s">
        <v>369</v>
      </c>
      <c r="G71" s="433" t="s">
        <v>370</v>
      </c>
    </row>
    <row r="72" spans="1:7" x14ac:dyDescent="0.3">
      <c r="A72" s="454">
        <v>1</v>
      </c>
      <c r="B72" s="434">
        <v>31.3</v>
      </c>
      <c r="C72" s="434">
        <v>61.7</v>
      </c>
      <c r="D72" s="434">
        <v>102.9</v>
      </c>
      <c r="E72" s="434">
        <v>54.6</v>
      </c>
      <c r="F72" s="434">
        <v>66.8</v>
      </c>
      <c r="G72" s="434">
        <v>85.8</v>
      </c>
    </row>
    <row r="73" spans="1:7" x14ac:dyDescent="0.3">
      <c r="A73" s="454">
        <v>2</v>
      </c>
      <c r="B73" s="434">
        <v>19.899999999999999</v>
      </c>
      <c r="C73" s="434">
        <v>54.9</v>
      </c>
      <c r="D73" s="434">
        <v>72.7</v>
      </c>
      <c r="E73" s="434">
        <v>49</v>
      </c>
      <c r="F73" s="434">
        <v>64.5</v>
      </c>
      <c r="G73" s="434">
        <v>116.8</v>
      </c>
    </row>
    <row r="74" spans="1:7" x14ac:dyDescent="0.3">
      <c r="A74" s="454">
        <v>3</v>
      </c>
      <c r="B74" s="434">
        <v>17.3</v>
      </c>
      <c r="C74" s="434">
        <v>54.8</v>
      </c>
      <c r="D74" s="434">
        <v>79.8</v>
      </c>
      <c r="E74" s="434">
        <v>32.200000000000003</v>
      </c>
      <c r="F74" s="434">
        <v>62.1</v>
      </c>
      <c r="G74" s="434">
        <v>80.2</v>
      </c>
    </row>
    <row r="75" spans="1:7" x14ac:dyDescent="0.3">
      <c r="A75" s="454">
        <v>4</v>
      </c>
      <c r="B75" s="434">
        <v>25</v>
      </c>
      <c r="C75" s="434">
        <v>64.2</v>
      </c>
      <c r="D75" s="434">
        <v>74.3</v>
      </c>
      <c r="E75" s="434">
        <v>58.7</v>
      </c>
      <c r="F75" s="434">
        <v>79</v>
      </c>
      <c r="G75" s="434">
        <v>116.8</v>
      </c>
    </row>
    <row r="76" spans="1:7" x14ac:dyDescent="0.3">
      <c r="A76" s="454">
        <v>5</v>
      </c>
      <c r="B76" s="434">
        <v>25.2</v>
      </c>
      <c r="C76" s="434">
        <v>56.7</v>
      </c>
      <c r="D76" s="434">
        <v>68.3</v>
      </c>
      <c r="E76" s="434">
        <v>57.5</v>
      </c>
      <c r="F76" s="434">
        <v>60</v>
      </c>
      <c r="G76" s="434">
        <v>112.8</v>
      </c>
    </row>
    <row r="77" spans="1:7" x14ac:dyDescent="0.3">
      <c r="A77" s="454">
        <v>6</v>
      </c>
      <c r="B77" s="434">
        <v>18.100000000000001</v>
      </c>
      <c r="C77" s="434">
        <v>47.2</v>
      </c>
      <c r="D77" s="434">
        <v>100</v>
      </c>
      <c r="E77" s="434">
        <v>31.5</v>
      </c>
      <c r="F77" s="434">
        <v>68.400000000000006</v>
      </c>
      <c r="G77" s="434">
        <v>106.6</v>
      </c>
    </row>
    <row r="78" spans="1:7" x14ac:dyDescent="0.3">
      <c r="A78" s="454">
        <v>7</v>
      </c>
      <c r="B78" s="434">
        <v>32.200000000000003</v>
      </c>
      <c r="C78" s="434">
        <v>38.9</v>
      </c>
      <c r="D78" s="434">
        <v>68.8</v>
      </c>
      <c r="E78" s="434">
        <v>33.799999999999997</v>
      </c>
      <c r="F78" s="434">
        <v>73.900000000000006</v>
      </c>
      <c r="G78" s="434">
        <v>83.4</v>
      </c>
    </row>
    <row r="79" spans="1:7" x14ac:dyDescent="0.3">
      <c r="A79" s="454">
        <v>8</v>
      </c>
      <c r="B79" s="434">
        <v>24.4</v>
      </c>
      <c r="C79" s="434">
        <v>64</v>
      </c>
      <c r="D79" s="434">
        <v>77.8</v>
      </c>
      <c r="E79" s="434">
        <v>35</v>
      </c>
      <c r="F79" s="434">
        <v>65.3</v>
      </c>
      <c r="G79" s="434">
        <v>82</v>
      </c>
    </row>
    <row r="80" spans="1:7" x14ac:dyDescent="0.3">
      <c r="A80" s="454">
        <v>9</v>
      </c>
      <c r="B80" s="434">
        <v>18.600000000000001</v>
      </c>
      <c r="C80" s="434">
        <v>41.6</v>
      </c>
      <c r="D80" s="434">
        <v>95.7</v>
      </c>
      <c r="E80" s="434">
        <v>34.299999999999997</v>
      </c>
      <c r="F80" s="434">
        <v>73.3</v>
      </c>
      <c r="G80" s="434">
        <v>97</v>
      </c>
    </row>
    <row r="81" spans="1:7" x14ac:dyDescent="0.3">
      <c r="A81" s="454">
        <v>10</v>
      </c>
      <c r="B81" s="434">
        <v>35.299999999999997</v>
      </c>
      <c r="C81" s="434">
        <v>66.7</v>
      </c>
      <c r="D81" s="434">
        <v>88.3</v>
      </c>
      <c r="E81" s="434">
        <v>49</v>
      </c>
      <c r="F81" s="434">
        <v>65.900000000000006</v>
      </c>
      <c r="G81" s="434">
        <v>118.3</v>
      </c>
    </row>
    <row r="82" spans="1:7" x14ac:dyDescent="0.3">
      <c r="A82" s="454">
        <v>11</v>
      </c>
      <c r="B82" s="434">
        <v>20.399999999999999</v>
      </c>
      <c r="C82" s="434">
        <v>54.4</v>
      </c>
      <c r="D82" s="434">
        <v>94.7</v>
      </c>
      <c r="E82" s="434"/>
      <c r="F82" s="434">
        <v>69.7</v>
      </c>
      <c r="G82" s="434">
        <v>108.4</v>
      </c>
    </row>
    <row r="83" spans="1:7" x14ac:dyDescent="0.3">
      <c r="A83" s="454">
        <v>12</v>
      </c>
      <c r="B83" s="434">
        <v>20.6</v>
      </c>
      <c r="C83" s="434">
        <v>50.2</v>
      </c>
      <c r="D83" s="434">
        <v>103.9</v>
      </c>
      <c r="E83" s="434"/>
      <c r="F83" s="434">
        <v>78</v>
      </c>
      <c r="G83" s="434">
        <v>89.3</v>
      </c>
    </row>
    <row r="84" spans="1:7" x14ac:dyDescent="0.3">
      <c r="A84" s="454">
        <v>13</v>
      </c>
      <c r="B84" s="434">
        <v>36.1</v>
      </c>
      <c r="C84" s="434">
        <v>42</v>
      </c>
      <c r="D84" s="434">
        <v>76.099999999999994</v>
      </c>
      <c r="E84" s="434"/>
      <c r="F84" s="434">
        <v>76.599999999999994</v>
      </c>
      <c r="G84" s="434">
        <v>96.1</v>
      </c>
    </row>
    <row r="85" spans="1:7" x14ac:dyDescent="0.3">
      <c r="A85" s="454">
        <v>14</v>
      </c>
      <c r="B85" s="434">
        <v>28.6</v>
      </c>
      <c r="C85" s="434">
        <v>51.9</v>
      </c>
      <c r="D85" s="434">
        <v>99.1</v>
      </c>
      <c r="E85" s="434"/>
      <c r="F85" s="434">
        <v>63.1</v>
      </c>
      <c r="G85" s="434">
        <v>83.6</v>
      </c>
    </row>
    <row r="86" spans="1:7" x14ac:dyDescent="0.3">
      <c r="A86" s="454">
        <v>15</v>
      </c>
      <c r="B86" s="434">
        <v>29.9</v>
      </c>
      <c r="C86" s="434">
        <v>45</v>
      </c>
      <c r="D86" s="434">
        <v>73.400000000000006</v>
      </c>
      <c r="E86" s="434"/>
      <c r="F86" s="434"/>
      <c r="G86" s="434">
        <v>110.6</v>
      </c>
    </row>
    <row r="87" spans="1:7" x14ac:dyDescent="0.3">
      <c r="A87" s="454">
        <v>16</v>
      </c>
      <c r="B87" s="434"/>
      <c r="C87" s="434">
        <v>47.5</v>
      </c>
      <c r="D87" s="434">
        <v>69.400000000000006</v>
      </c>
      <c r="E87" s="434"/>
      <c r="F87" s="434"/>
      <c r="G87" s="434">
        <v>110.8</v>
      </c>
    </row>
    <row r="88" spans="1:7" x14ac:dyDescent="0.3">
      <c r="A88" s="454">
        <v>17</v>
      </c>
      <c r="B88" s="434"/>
      <c r="C88" s="434">
        <v>68.099999999999994</v>
      </c>
      <c r="D88" s="434">
        <v>80.599999999999994</v>
      </c>
      <c r="E88" s="434"/>
      <c r="F88" s="434"/>
      <c r="G88" s="434">
        <v>114.2</v>
      </c>
    </row>
    <row r="89" spans="1:7" x14ac:dyDescent="0.3">
      <c r="A89" s="454">
        <v>18</v>
      </c>
      <c r="B89" s="434"/>
      <c r="C89" s="434">
        <v>51.6</v>
      </c>
      <c r="D89" s="434">
        <v>69.5</v>
      </c>
      <c r="E89" s="438"/>
      <c r="F89" s="438"/>
      <c r="G89" s="438"/>
    </row>
    <row r="90" spans="1:7" x14ac:dyDescent="0.3">
      <c r="A90" s="454">
        <v>19</v>
      </c>
      <c r="B90" s="434"/>
      <c r="C90" s="434">
        <v>58.1</v>
      </c>
      <c r="D90" s="434"/>
      <c r="E90" s="438"/>
      <c r="F90" s="438"/>
      <c r="G90" s="438"/>
    </row>
    <row r="91" spans="1:7" x14ac:dyDescent="0.3">
      <c r="A91" s="670" t="s">
        <v>359</v>
      </c>
      <c r="B91" s="670"/>
      <c r="C91" s="670"/>
      <c r="D91" s="663"/>
      <c r="E91" s="670"/>
      <c r="F91" s="670"/>
      <c r="G91" s="670"/>
    </row>
    <row r="92" spans="1:7" x14ac:dyDescent="0.3">
      <c r="A92" s="396"/>
      <c r="B92" s="674" t="s">
        <v>364</v>
      </c>
      <c r="C92" s="674"/>
      <c r="D92" s="674"/>
      <c r="E92" s="674" t="s">
        <v>365</v>
      </c>
      <c r="F92" s="674"/>
      <c r="G92" s="674"/>
    </row>
    <row r="93" spans="1:7" x14ac:dyDescent="0.3">
      <c r="A93" s="454" t="s">
        <v>366</v>
      </c>
      <c r="B93" s="433" t="s">
        <v>344</v>
      </c>
      <c r="C93" s="433" t="s">
        <v>345</v>
      </c>
      <c r="D93" s="433" t="s">
        <v>367</v>
      </c>
      <c r="E93" s="433" t="s">
        <v>368</v>
      </c>
      <c r="F93" s="433" t="s">
        <v>369</v>
      </c>
      <c r="G93" s="433" t="s">
        <v>370</v>
      </c>
    </row>
    <row r="94" spans="1:7" x14ac:dyDescent="0.3">
      <c r="A94" s="454">
        <v>1</v>
      </c>
      <c r="B94" s="434">
        <v>21.5</v>
      </c>
      <c r="C94" s="434">
        <v>66.5</v>
      </c>
      <c r="D94" s="434">
        <v>95.8</v>
      </c>
      <c r="E94" s="434">
        <v>58.9</v>
      </c>
      <c r="F94" s="434">
        <v>71.599999999999994</v>
      </c>
      <c r="G94" s="434">
        <v>102.8</v>
      </c>
    </row>
    <row r="95" spans="1:7" x14ac:dyDescent="0.3">
      <c r="A95" s="454">
        <v>2</v>
      </c>
      <c r="B95" s="434">
        <v>19.5</v>
      </c>
      <c r="C95" s="434">
        <v>55.5</v>
      </c>
      <c r="D95" s="434">
        <v>81.599999999999994</v>
      </c>
      <c r="E95" s="434">
        <v>26.8</v>
      </c>
      <c r="F95" s="434">
        <v>72.400000000000006</v>
      </c>
      <c r="G95" s="434">
        <v>114.3</v>
      </c>
    </row>
    <row r="96" spans="1:7" x14ac:dyDescent="0.3">
      <c r="A96" s="454">
        <v>3</v>
      </c>
      <c r="B96" s="434">
        <v>26.9</v>
      </c>
      <c r="C96" s="434">
        <v>42.6</v>
      </c>
      <c r="D96" s="434">
        <v>98.1</v>
      </c>
      <c r="E96" s="434">
        <v>58.7</v>
      </c>
      <c r="F96" s="434">
        <v>71.099999999999994</v>
      </c>
      <c r="G96" s="434">
        <v>101.5</v>
      </c>
    </row>
    <row r="97" spans="1:7" x14ac:dyDescent="0.3">
      <c r="A97" s="454">
        <v>4</v>
      </c>
      <c r="B97" s="434">
        <v>28.5</v>
      </c>
      <c r="C97" s="434">
        <v>66.5</v>
      </c>
      <c r="D97" s="434">
        <v>95.7</v>
      </c>
      <c r="E97" s="434">
        <v>40.299999999999997</v>
      </c>
      <c r="F97" s="434">
        <v>65.900000000000006</v>
      </c>
      <c r="G97" s="434">
        <v>87.3</v>
      </c>
    </row>
    <row r="98" spans="1:7" x14ac:dyDescent="0.3">
      <c r="A98" s="454">
        <v>5</v>
      </c>
      <c r="B98" s="434">
        <v>35.799999999999997</v>
      </c>
      <c r="C98" s="434">
        <v>52.5</v>
      </c>
      <c r="D98" s="434">
        <v>74.400000000000006</v>
      </c>
      <c r="E98" s="434">
        <v>41.1</v>
      </c>
      <c r="F98" s="434">
        <v>62.2</v>
      </c>
      <c r="G98" s="434">
        <v>84.2</v>
      </c>
    </row>
    <row r="99" spans="1:7" x14ac:dyDescent="0.3">
      <c r="A99" s="454">
        <v>6</v>
      </c>
      <c r="B99" s="434">
        <v>21.3</v>
      </c>
      <c r="C99" s="434">
        <v>65.2</v>
      </c>
      <c r="D99" s="434">
        <v>102.6</v>
      </c>
      <c r="E99" s="434">
        <v>43.1</v>
      </c>
      <c r="F99" s="434">
        <v>60.5</v>
      </c>
      <c r="G99" s="434">
        <v>90.8</v>
      </c>
    </row>
    <row r="100" spans="1:7" x14ac:dyDescent="0.3">
      <c r="A100" s="454">
        <v>7</v>
      </c>
      <c r="B100" s="434">
        <v>19.899999999999999</v>
      </c>
      <c r="C100" s="434">
        <v>40.299999999999997</v>
      </c>
      <c r="D100" s="434">
        <v>90.3</v>
      </c>
      <c r="E100" s="434">
        <v>31.4</v>
      </c>
      <c r="F100" s="434">
        <v>78.400000000000006</v>
      </c>
      <c r="G100" s="434">
        <v>102.2</v>
      </c>
    </row>
    <row r="101" spans="1:7" x14ac:dyDescent="0.3">
      <c r="A101" s="454">
        <v>8</v>
      </c>
      <c r="B101" s="434">
        <v>27.6</v>
      </c>
      <c r="C101" s="434">
        <v>52</v>
      </c>
      <c r="D101" s="434">
        <v>94.1</v>
      </c>
      <c r="E101" s="434">
        <v>31.3</v>
      </c>
      <c r="F101" s="434">
        <v>62.9</v>
      </c>
      <c r="G101" s="434">
        <v>96.1</v>
      </c>
    </row>
    <row r="102" spans="1:7" x14ac:dyDescent="0.3">
      <c r="A102" s="454">
        <v>9</v>
      </c>
      <c r="B102" s="434">
        <v>17.3</v>
      </c>
      <c r="C102" s="434">
        <v>53.9</v>
      </c>
      <c r="D102" s="434">
        <v>83.8</v>
      </c>
      <c r="E102" s="434"/>
      <c r="F102" s="434">
        <v>76.2</v>
      </c>
      <c r="G102" s="434">
        <v>96.4</v>
      </c>
    </row>
    <row r="103" spans="1:7" x14ac:dyDescent="0.3">
      <c r="A103" s="454">
        <v>10</v>
      </c>
      <c r="B103" s="434">
        <v>28.4</v>
      </c>
      <c r="C103" s="434">
        <v>48.9</v>
      </c>
      <c r="D103" s="434">
        <v>93.8</v>
      </c>
      <c r="E103" s="434"/>
      <c r="F103" s="434">
        <v>78.599999999999994</v>
      </c>
      <c r="G103" s="434">
        <v>111.4</v>
      </c>
    </row>
    <row r="104" spans="1:7" x14ac:dyDescent="0.3">
      <c r="A104" s="454">
        <v>11</v>
      </c>
      <c r="B104" s="434">
        <v>19.2</v>
      </c>
      <c r="C104" s="434">
        <v>45.3</v>
      </c>
      <c r="D104" s="434">
        <v>78.900000000000006</v>
      </c>
      <c r="E104" s="434"/>
      <c r="F104" s="434"/>
      <c r="G104" s="434">
        <v>104.5</v>
      </c>
    </row>
    <row r="105" spans="1:7" x14ac:dyDescent="0.3">
      <c r="A105" s="454">
        <v>12</v>
      </c>
      <c r="B105" s="434">
        <v>32.9</v>
      </c>
      <c r="C105" s="434">
        <v>58.5</v>
      </c>
      <c r="D105" s="434">
        <v>77.5</v>
      </c>
      <c r="E105" s="434"/>
      <c r="F105" s="434"/>
      <c r="G105" s="434">
        <v>112</v>
      </c>
    </row>
    <row r="106" spans="1:7" x14ac:dyDescent="0.3">
      <c r="A106" s="454">
        <v>13</v>
      </c>
      <c r="B106" s="434"/>
      <c r="C106" s="434">
        <v>60.5</v>
      </c>
      <c r="D106" s="434">
        <v>76.7</v>
      </c>
      <c r="E106" s="438"/>
      <c r="F106" s="438"/>
      <c r="G106" s="438"/>
    </row>
    <row r="107" spans="1:7" x14ac:dyDescent="0.3">
      <c r="A107" s="454">
        <v>14</v>
      </c>
      <c r="B107" s="434"/>
      <c r="C107" s="434">
        <v>56.4</v>
      </c>
      <c r="D107" s="434">
        <v>71.5</v>
      </c>
      <c r="E107" s="438"/>
      <c r="F107" s="438"/>
      <c r="G107" s="438"/>
    </row>
    <row r="108" spans="1:7" x14ac:dyDescent="0.3">
      <c r="A108" s="454">
        <v>15</v>
      </c>
      <c r="B108" s="434"/>
      <c r="C108" s="434">
        <v>46.2</v>
      </c>
      <c r="D108" s="434">
        <v>77.2</v>
      </c>
      <c r="E108" s="438"/>
      <c r="F108" s="438"/>
      <c r="G108" s="438"/>
    </row>
    <row r="109" spans="1:7" x14ac:dyDescent="0.3">
      <c r="A109" s="670" t="s">
        <v>360</v>
      </c>
      <c r="B109" s="670"/>
      <c r="C109" s="670"/>
      <c r="D109" s="663"/>
      <c r="E109" s="670"/>
      <c r="F109" s="670"/>
      <c r="G109" s="670"/>
    </row>
    <row r="110" spans="1:7" x14ac:dyDescent="0.3">
      <c r="A110" s="396"/>
      <c r="B110" s="674" t="s">
        <v>364</v>
      </c>
      <c r="C110" s="674"/>
      <c r="D110" s="674"/>
      <c r="E110" s="674" t="s">
        <v>365</v>
      </c>
      <c r="F110" s="674"/>
      <c r="G110" s="674"/>
    </row>
    <row r="111" spans="1:7" x14ac:dyDescent="0.3">
      <c r="A111" s="454" t="s">
        <v>366</v>
      </c>
      <c r="B111" s="433" t="s">
        <v>344</v>
      </c>
      <c r="C111" s="433" t="s">
        <v>345</v>
      </c>
      <c r="D111" s="433" t="s">
        <v>367</v>
      </c>
      <c r="E111" s="433" t="s">
        <v>368</v>
      </c>
      <c r="F111" s="433" t="s">
        <v>369</v>
      </c>
      <c r="G111" s="433" t="s">
        <v>370</v>
      </c>
    </row>
    <row r="112" spans="1:7" x14ac:dyDescent="0.3">
      <c r="A112" s="454">
        <v>1</v>
      </c>
      <c r="B112" s="434">
        <v>0</v>
      </c>
      <c r="C112" s="434">
        <v>0</v>
      </c>
      <c r="D112" s="434">
        <v>0</v>
      </c>
      <c r="E112" s="434">
        <v>52.8</v>
      </c>
      <c r="F112" s="434">
        <v>72.2</v>
      </c>
      <c r="G112" s="434">
        <v>81.099999999999994</v>
      </c>
    </row>
    <row r="113" spans="1:7" x14ac:dyDescent="0.3">
      <c r="A113" s="454">
        <v>2</v>
      </c>
      <c r="B113" s="434"/>
      <c r="C113" s="434"/>
      <c r="D113" s="434"/>
      <c r="E113" s="434">
        <v>25.7</v>
      </c>
      <c r="F113" s="434">
        <v>76.7</v>
      </c>
      <c r="G113" s="434">
        <v>81.900000000000006</v>
      </c>
    </row>
    <row r="114" spans="1:7" x14ac:dyDescent="0.3">
      <c r="A114" s="454">
        <v>3</v>
      </c>
      <c r="B114" s="434"/>
      <c r="C114" s="434"/>
      <c r="D114" s="434"/>
      <c r="E114" s="434">
        <v>39.4</v>
      </c>
      <c r="F114" s="434">
        <v>69.7</v>
      </c>
      <c r="G114" s="434">
        <v>82.1</v>
      </c>
    </row>
    <row r="115" spans="1:7" x14ac:dyDescent="0.3">
      <c r="A115" s="454">
        <v>4</v>
      </c>
      <c r="B115" s="434"/>
      <c r="C115" s="434"/>
      <c r="D115" s="434"/>
      <c r="E115" s="434"/>
      <c r="F115" s="434">
        <v>61.5</v>
      </c>
      <c r="G115" s="434">
        <v>99.5</v>
      </c>
    </row>
    <row r="116" spans="1:7" x14ac:dyDescent="0.3">
      <c r="A116" s="454">
        <v>5</v>
      </c>
      <c r="B116" s="434"/>
      <c r="C116" s="434"/>
      <c r="D116" s="434"/>
      <c r="E116" s="434"/>
      <c r="F116" s="434">
        <v>77</v>
      </c>
      <c r="G116" s="434">
        <v>81.400000000000006</v>
      </c>
    </row>
    <row r="117" spans="1:7" x14ac:dyDescent="0.3">
      <c r="A117" s="670" t="s">
        <v>361</v>
      </c>
      <c r="B117" s="670"/>
      <c r="C117" s="670"/>
      <c r="D117" s="663"/>
      <c r="E117" s="670"/>
      <c r="F117" s="670"/>
      <c r="G117" s="670"/>
    </row>
    <row r="118" spans="1:7" x14ac:dyDescent="0.3">
      <c r="A118" s="396"/>
      <c r="B118" s="674" t="s">
        <v>364</v>
      </c>
      <c r="C118" s="674"/>
      <c r="D118" s="674"/>
      <c r="E118" s="674" t="s">
        <v>365</v>
      </c>
      <c r="F118" s="674"/>
      <c r="G118" s="674"/>
    </row>
    <row r="119" spans="1:7" x14ac:dyDescent="0.3">
      <c r="A119" s="454" t="s">
        <v>366</v>
      </c>
      <c r="B119" s="433" t="s">
        <v>344</v>
      </c>
      <c r="C119" s="433" t="s">
        <v>345</v>
      </c>
      <c r="D119" s="433" t="s">
        <v>367</v>
      </c>
      <c r="E119" s="433" t="s">
        <v>368</v>
      </c>
      <c r="F119" s="433" t="s">
        <v>369</v>
      </c>
      <c r="G119" s="433" t="s">
        <v>370</v>
      </c>
    </row>
    <row r="120" spans="1:7" x14ac:dyDescent="0.3">
      <c r="A120" s="454">
        <v>1</v>
      </c>
      <c r="B120" s="434">
        <v>20.8</v>
      </c>
      <c r="C120" s="434">
        <v>57.1</v>
      </c>
      <c r="D120" s="434">
        <v>68.7</v>
      </c>
      <c r="E120" s="434">
        <v>43.6</v>
      </c>
      <c r="F120" s="434">
        <v>73.599999999999994</v>
      </c>
      <c r="G120" s="434">
        <v>82.6</v>
      </c>
    </row>
    <row r="121" spans="1:7" x14ac:dyDescent="0.3">
      <c r="A121" s="454">
        <v>2</v>
      </c>
      <c r="B121" s="434">
        <v>17.3</v>
      </c>
      <c r="C121" s="434">
        <v>36.700000000000003</v>
      </c>
      <c r="D121" s="434">
        <v>98.6</v>
      </c>
      <c r="E121" s="434">
        <v>41.9</v>
      </c>
      <c r="F121" s="434">
        <v>77.400000000000006</v>
      </c>
      <c r="G121" s="434">
        <v>109.1</v>
      </c>
    </row>
    <row r="122" spans="1:7" x14ac:dyDescent="0.3">
      <c r="A122" s="454">
        <v>3</v>
      </c>
      <c r="B122" s="434">
        <v>30.9</v>
      </c>
      <c r="C122" s="434">
        <v>58.4</v>
      </c>
      <c r="D122" s="434">
        <v>99.9</v>
      </c>
      <c r="E122" s="434">
        <v>46.7</v>
      </c>
      <c r="F122" s="434">
        <v>62.9</v>
      </c>
      <c r="G122" s="434">
        <v>100.1</v>
      </c>
    </row>
    <row r="123" spans="1:7" x14ac:dyDescent="0.3">
      <c r="A123" s="454">
        <v>4</v>
      </c>
      <c r="B123" s="434">
        <v>22.3</v>
      </c>
      <c r="C123" s="434">
        <v>52.8</v>
      </c>
      <c r="D123" s="434">
        <v>72.900000000000006</v>
      </c>
      <c r="E123" s="434"/>
      <c r="F123" s="434">
        <v>68</v>
      </c>
      <c r="G123" s="434">
        <v>103.9</v>
      </c>
    </row>
    <row r="124" spans="1:7" x14ac:dyDescent="0.3">
      <c r="A124" s="454">
        <v>5</v>
      </c>
      <c r="B124" s="434">
        <v>33.799999999999997</v>
      </c>
      <c r="C124" s="434">
        <v>49.4</v>
      </c>
      <c r="D124" s="434">
        <v>71.900000000000006</v>
      </c>
      <c r="E124" s="434"/>
      <c r="F124" s="434">
        <v>79</v>
      </c>
      <c r="G124" s="434">
        <v>84.3</v>
      </c>
    </row>
    <row r="125" spans="1:7" x14ac:dyDescent="0.3">
      <c r="A125" s="454">
        <v>6</v>
      </c>
      <c r="B125" s="434">
        <v>16.3</v>
      </c>
      <c r="C125" s="434">
        <v>42.9</v>
      </c>
      <c r="D125" s="434">
        <v>79.900000000000006</v>
      </c>
      <c r="E125" s="434"/>
      <c r="F125" s="434"/>
      <c r="G125" s="434">
        <v>109.1</v>
      </c>
    </row>
    <row r="126" spans="1:7" x14ac:dyDescent="0.3">
      <c r="A126" s="454">
        <v>7</v>
      </c>
      <c r="B126" s="434">
        <v>17.2</v>
      </c>
      <c r="C126" s="434">
        <v>47.6</v>
      </c>
      <c r="D126" s="434">
        <v>97.7</v>
      </c>
      <c r="E126" s="434"/>
      <c r="F126" s="434"/>
      <c r="G126" s="434"/>
    </row>
    <row r="127" spans="1:7" x14ac:dyDescent="0.3">
      <c r="A127" s="454">
        <v>8</v>
      </c>
      <c r="B127" s="434"/>
      <c r="C127" s="434">
        <v>45.9</v>
      </c>
      <c r="D127" s="434">
        <v>90.3</v>
      </c>
      <c r="E127" s="434"/>
      <c r="F127" s="434"/>
      <c r="G127" s="434"/>
    </row>
    <row r="128" spans="1:7" x14ac:dyDescent="0.3">
      <c r="A128" s="454">
        <v>9</v>
      </c>
      <c r="B128" s="434"/>
      <c r="C128" s="434">
        <v>54.1</v>
      </c>
      <c r="D128" s="434"/>
      <c r="E128" s="434"/>
      <c r="F128" s="434"/>
      <c r="G128" s="434"/>
    </row>
    <row r="129" spans="1:7" x14ac:dyDescent="0.3">
      <c r="A129" s="670" t="s">
        <v>362</v>
      </c>
      <c r="B129" s="670"/>
      <c r="C129" s="670"/>
      <c r="D129" s="663"/>
      <c r="E129" s="670"/>
      <c r="F129" s="670"/>
      <c r="G129" s="670"/>
    </row>
    <row r="130" spans="1:7" x14ac:dyDescent="0.3">
      <c r="A130" s="396"/>
      <c r="B130" s="674" t="s">
        <v>364</v>
      </c>
      <c r="C130" s="674"/>
      <c r="D130" s="674"/>
      <c r="E130" s="674" t="s">
        <v>365</v>
      </c>
      <c r="F130" s="674"/>
      <c r="G130" s="674"/>
    </row>
    <row r="131" spans="1:7" x14ac:dyDescent="0.3">
      <c r="A131" s="454" t="s">
        <v>366</v>
      </c>
      <c r="B131" s="433" t="s">
        <v>344</v>
      </c>
      <c r="C131" s="433" t="s">
        <v>345</v>
      </c>
      <c r="D131" s="433" t="s">
        <v>367</v>
      </c>
      <c r="E131" s="433" t="s">
        <v>368</v>
      </c>
      <c r="F131" s="433" t="s">
        <v>369</v>
      </c>
      <c r="G131" s="433" t="s">
        <v>370</v>
      </c>
    </row>
    <row r="132" spans="1:7" x14ac:dyDescent="0.3">
      <c r="A132" s="454">
        <v>1</v>
      </c>
      <c r="B132" s="434">
        <v>0</v>
      </c>
      <c r="C132" s="434">
        <v>0</v>
      </c>
      <c r="D132" s="434">
        <v>0</v>
      </c>
      <c r="E132" s="434">
        <v>26.8</v>
      </c>
      <c r="F132" s="434">
        <v>79.3</v>
      </c>
      <c r="G132" s="434">
        <v>117.2</v>
      </c>
    </row>
    <row r="133" spans="1:7" x14ac:dyDescent="0.3">
      <c r="A133" s="454">
        <v>2</v>
      </c>
      <c r="B133" s="434"/>
      <c r="C133" s="434"/>
      <c r="D133" s="434"/>
      <c r="E133" s="434">
        <v>36.299999999999997</v>
      </c>
      <c r="F133" s="434">
        <v>63.2</v>
      </c>
      <c r="G133" s="434">
        <v>99.7</v>
      </c>
    </row>
    <row r="134" spans="1:7" x14ac:dyDescent="0.3">
      <c r="A134" s="454">
        <v>3</v>
      </c>
      <c r="B134" s="434"/>
      <c r="C134" s="434"/>
      <c r="D134" s="434"/>
      <c r="E134" s="434">
        <v>51.7</v>
      </c>
      <c r="F134" s="434">
        <v>77.400000000000006</v>
      </c>
      <c r="G134" s="434">
        <v>92.3</v>
      </c>
    </row>
    <row r="135" spans="1:7" x14ac:dyDescent="0.3">
      <c r="A135" s="454">
        <v>4</v>
      </c>
      <c r="B135" s="434"/>
      <c r="C135" s="434"/>
      <c r="D135" s="434"/>
      <c r="E135" s="434">
        <v>54.8</v>
      </c>
      <c r="F135" s="434">
        <v>69.3</v>
      </c>
      <c r="G135" s="434">
        <v>110.9</v>
      </c>
    </row>
    <row r="136" spans="1:7" x14ac:dyDescent="0.3">
      <c r="A136" s="454">
        <v>5</v>
      </c>
      <c r="B136" s="434"/>
      <c r="C136" s="434"/>
      <c r="D136" s="434"/>
      <c r="E136" s="434"/>
      <c r="F136" s="434">
        <v>72.5</v>
      </c>
      <c r="G136" s="434">
        <v>80.900000000000006</v>
      </c>
    </row>
    <row r="137" spans="1:7" x14ac:dyDescent="0.3">
      <c r="A137" s="442"/>
      <c r="B137" s="443"/>
      <c r="C137" s="443"/>
      <c r="D137" s="443"/>
      <c r="E137" s="443"/>
      <c r="F137" s="443"/>
      <c r="G137" s="443"/>
    </row>
    <row r="138" spans="1:7" x14ac:dyDescent="0.3">
      <c r="A138" s="442"/>
      <c r="B138" s="443"/>
      <c r="C138" s="443"/>
      <c r="D138" s="443"/>
      <c r="E138" s="441"/>
      <c r="F138" s="443"/>
      <c r="G138" s="443"/>
    </row>
    <row r="139" spans="1:7" x14ac:dyDescent="0.3">
      <c r="A139" s="442"/>
      <c r="B139" s="443"/>
      <c r="C139" s="443"/>
      <c r="D139" s="443"/>
      <c r="E139" s="441"/>
      <c r="F139" s="441"/>
      <c r="G139" s="443"/>
    </row>
    <row r="140" spans="1:7" x14ac:dyDescent="0.3">
      <c r="A140" s="442"/>
      <c r="B140" s="443"/>
      <c r="C140" s="443"/>
      <c r="D140" s="443"/>
      <c r="E140" s="441"/>
      <c r="F140" s="441"/>
      <c r="G140" s="441"/>
    </row>
    <row r="141" spans="1:7" x14ac:dyDescent="0.3">
      <c r="A141" s="668" t="s">
        <v>160</v>
      </c>
      <c r="B141" s="666" t="s">
        <v>161</v>
      </c>
      <c r="C141" s="667"/>
      <c r="D141" s="666" t="s">
        <v>162</v>
      </c>
      <c r="E141" s="667"/>
      <c r="F141" s="666" t="s">
        <v>163</v>
      </c>
      <c r="G141" s="667"/>
    </row>
    <row r="142" spans="1:7" x14ac:dyDescent="0.3">
      <c r="A142" s="669"/>
      <c r="B142" s="432" t="s">
        <v>164</v>
      </c>
      <c r="C142" s="432" t="s">
        <v>165</v>
      </c>
      <c r="D142" s="432" t="s">
        <v>164</v>
      </c>
      <c r="E142" s="432" t="s">
        <v>165</v>
      </c>
      <c r="F142" s="432" t="s">
        <v>164</v>
      </c>
      <c r="G142" s="432" t="s">
        <v>165</v>
      </c>
    </row>
    <row r="143" spans="1:7" x14ac:dyDescent="0.3">
      <c r="A143" s="433" t="s">
        <v>353</v>
      </c>
      <c r="B143" s="435">
        <f>ROUNDDOWN(AVERAGE(B6:D11),1)</f>
        <v>0</v>
      </c>
      <c r="C143" s="435">
        <f>ROUNDDOWN(AVERAGE(E6:G11),1)</f>
        <v>77.900000000000006</v>
      </c>
      <c r="D143" s="432">
        <v>0</v>
      </c>
      <c r="E143" s="432">
        <v>5579</v>
      </c>
      <c r="F143" s="432">
        <f>B143*D143</f>
        <v>0</v>
      </c>
      <c r="G143" s="432">
        <f>C143*E143</f>
        <v>434604.10000000003</v>
      </c>
    </row>
    <row r="144" spans="1:7" x14ac:dyDescent="0.3">
      <c r="A144" s="433" t="s">
        <v>354</v>
      </c>
      <c r="B144" s="435">
        <f>ROUNDDOWN(AVERAGE(B15:D20),1)</f>
        <v>0</v>
      </c>
      <c r="C144" s="435">
        <f>ROUNDDOWN(AVERAGE(E15:G20),1)</f>
        <v>77.400000000000006</v>
      </c>
      <c r="D144" s="432">
        <v>0</v>
      </c>
      <c r="E144" s="432">
        <v>6974</v>
      </c>
      <c r="F144" s="432">
        <f t="shared" ref="F144:G152" si="0">B144*D144</f>
        <v>0</v>
      </c>
      <c r="G144" s="432">
        <f t="shared" si="0"/>
        <v>539787.60000000009</v>
      </c>
    </row>
    <row r="145" spans="1:7" x14ac:dyDescent="0.3">
      <c r="A145" s="433" t="s">
        <v>355</v>
      </c>
      <c r="B145" s="435">
        <f>ROUNDDOWN(AVERAGE(B24:D38),1)</f>
        <v>55.4</v>
      </c>
      <c r="C145" s="435">
        <f>ROUNDDOWN(AVERAGE(E24:G38),1)</f>
        <v>74.7</v>
      </c>
      <c r="D145" s="432">
        <v>16871</v>
      </c>
      <c r="E145" s="432">
        <v>13876</v>
      </c>
      <c r="F145" s="432">
        <f t="shared" si="0"/>
        <v>934653.4</v>
      </c>
      <c r="G145" s="432">
        <f t="shared" si="0"/>
        <v>1036537.2000000001</v>
      </c>
    </row>
    <row r="146" spans="1:7" x14ac:dyDescent="0.3">
      <c r="A146" s="433" t="s">
        <v>356</v>
      </c>
      <c r="B146" s="435">
        <f>ROUNDDOWN(AVERAGE(B42:D56),1)</f>
        <v>54.8</v>
      </c>
      <c r="C146" s="435">
        <f>ROUNDDOWN(AVERAGE(E42:G56),1)</f>
        <v>78.900000000000006</v>
      </c>
      <c r="D146" s="432">
        <v>16520</v>
      </c>
      <c r="E146" s="432">
        <v>15193</v>
      </c>
      <c r="F146" s="432">
        <f t="shared" si="0"/>
        <v>905296</v>
      </c>
      <c r="G146" s="432">
        <f t="shared" si="0"/>
        <v>1198727.7000000002</v>
      </c>
    </row>
    <row r="147" spans="1:7" x14ac:dyDescent="0.3">
      <c r="A147" s="433" t="s">
        <v>357</v>
      </c>
      <c r="B147" s="435">
        <f>ROUNDDOWN(AVERAGE(B60:D68),1)</f>
        <v>54</v>
      </c>
      <c r="C147" s="435">
        <f>ROUNDDOWN(AVERAGE(E60:G68),1)</f>
        <v>73.8</v>
      </c>
      <c r="D147" s="432">
        <v>10059</v>
      </c>
      <c r="E147" s="432">
        <v>6458</v>
      </c>
      <c r="F147" s="432">
        <f t="shared" si="0"/>
        <v>543186</v>
      </c>
      <c r="G147" s="432">
        <f t="shared" si="0"/>
        <v>476600.39999999997</v>
      </c>
    </row>
    <row r="148" spans="1:7" x14ac:dyDescent="0.3">
      <c r="A148" s="433" t="s">
        <v>358</v>
      </c>
      <c r="B148" s="435">
        <f>ROUNDDOWN(AVERAGE(B72:D90),1)</f>
        <v>55.7</v>
      </c>
      <c r="C148" s="435">
        <f>ROUNDDOWN(AVERAGE(E72:G90),1)</f>
        <v>75.900000000000006</v>
      </c>
      <c r="D148" s="432">
        <v>20494</v>
      </c>
      <c r="E148" s="432">
        <v>19278</v>
      </c>
      <c r="F148" s="432">
        <f t="shared" si="0"/>
        <v>1141515.8</v>
      </c>
      <c r="G148" s="432">
        <f t="shared" si="0"/>
        <v>1463200.2000000002</v>
      </c>
    </row>
    <row r="149" spans="1:7" x14ac:dyDescent="0.3">
      <c r="A149" s="433" t="s">
        <v>359</v>
      </c>
      <c r="B149" s="435">
        <f>ROUNDDOWN(AVERAGE(B94:D108),1)</f>
        <v>57.1</v>
      </c>
      <c r="C149" s="435">
        <f>ROUNDDOWN(AVERAGE(E94:G108),1)</f>
        <v>74.400000000000006</v>
      </c>
      <c r="D149" s="432">
        <v>16458</v>
      </c>
      <c r="E149" s="432">
        <v>13945</v>
      </c>
      <c r="F149" s="432">
        <f t="shared" si="0"/>
        <v>939751.8</v>
      </c>
      <c r="G149" s="432">
        <f t="shared" si="0"/>
        <v>1037508.0000000001</v>
      </c>
    </row>
    <row r="150" spans="1:7" x14ac:dyDescent="0.3">
      <c r="A150" s="433" t="s">
        <v>360</v>
      </c>
      <c r="B150" s="435">
        <f>ROUNDDOWN(AVERAGE(B112:D116),1)</f>
        <v>0</v>
      </c>
      <c r="C150" s="435">
        <f>ROUNDDOWN(AVERAGE(E112:G116),1)</f>
        <v>69.3</v>
      </c>
      <c r="D150" s="432">
        <v>0</v>
      </c>
      <c r="E150" s="432">
        <v>5010</v>
      </c>
      <c r="F150" s="432">
        <f t="shared" si="0"/>
        <v>0</v>
      </c>
      <c r="G150" s="432">
        <f t="shared" si="0"/>
        <v>347193</v>
      </c>
    </row>
    <row r="151" spans="1:7" x14ac:dyDescent="0.3">
      <c r="A151" s="433" t="s">
        <v>361</v>
      </c>
      <c r="B151" s="435">
        <f>ROUNDDOWN(AVERAGE(B120:D128),1)</f>
        <v>53.4</v>
      </c>
      <c r="C151" s="435">
        <f>ROUNDDOWN(AVERAGE(E120:G128),1)</f>
        <v>77.3</v>
      </c>
      <c r="D151" s="432">
        <v>9275</v>
      </c>
      <c r="E151" s="432">
        <v>5939</v>
      </c>
      <c r="F151" s="432">
        <f t="shared" si="0"/>
        <v>495285</v>
      </c>
      <c r="G151" s="432">
        <f t="shared" si="0"/>
        <v>459084.7</v>
      </c>
    </row>
    <row r="152" spans="1:7" x14ac:dyDescent="0.3">
      <c r="A152" s="433" t="s">
        <v>362</v>
      </c>
      <c r="B152" s="435">
        <f>ROUNDDOWN(AVERAGE(B132:D136),1)</f>
        <v>0</v>
      </c>
      <c r="C152" s="435">
        <f>ROUNDDOWN(AVERAGE(E132:G136),1)</f>
        <v>73.7</v>
      </c>
      <c r="D152" s="432">
        <v>0</v>
      </c>
      <c r="E152" s="432">
        <v>5975</v>
      </c>
      <c r="F152" s="432">
        <f t="shared" si="0"/>
        <v>0</v>
      </c>
      <c r="G152" s="432">
        <f t="shared" si="0"/>
        <v>440357.5</v>
      </c>
    </row>
    <row r="153" spans="1:7" x14ac:dyDescent="0.3">
      <c r="A153" s="433" t="s">
        <v>166</v>
      </c>
      <c r="B153" s="433"/>
      <c r="C153" s="433"/>
      <c r="D153" s="432">
        <f>SUM(D143:D152)</f>
        <v>89677</v>
      </c>
      <c r="E153" s="432">
        <f>SUM(E143:E152)</f>
        <v>98227</v>
      </c>
      <c r="F153" s="432">
        <f>SUM(F143:F152)</f>
        <v>4959688</v>
      </c>
      <c r="G153" s="432">
        <f>SUM(G143:G152)</f>
        <v>7433600.4000000013</v>
      </c>
    </row>
    <row r="154" spans="1:7" x14ac:dyDescent="0.3">
      <c r="A154" s="441"/>
      <c r="B154" s="441"/>
      <c r="C154" s="441"/>
      <c r="D154" s="442"/>
      <c r="E154" s="442"/>
      <c r="F154" s="442"/>
      <c r="G154" s="442"/>
    </row>
    <row r="156" spans="1:7" x14ac:dyDescent="0.3">
      <c r="C156" s="666" t="s">
        <v>167</v>
      </c>
      <c r="D156" s="667"/>
    </row>
    <row r="157" spans="1:7" x14ac:dyDescent="0.3">
      <c r="C157" s="432" t="s">
        <v>164</v>
      </c>
      <c r="D157" s="432" t="s">
        <v>165</v>
      </c>
    </row>
    <row r="158" spans="1:7" x14ac:dyDescent="0.3">
      <c r="C158" s="436">
        <f>ROUNDDOWN(F153/D153,1)</f>
        <v>55.3</v>
      </c>
      <c r="D158" s="437">
        <f>ROUNDDOWN(G153/E153,1)</f>
        <v>75.599999999999994</v>
      </c>
    </row>
  </sheetData>
  <mergeCells count="37">
    <mergeCell ref="C156:D156"/>
    <mergeCell ref="B130:D130"/>
    <mergeCell ref="E130:G130"/>
    <mergeCell ref="A141:A142"/>
    <mergeCell ref="B141:C141"/>
    <mergeCell ref="D141:E141"/>
    <mergeCell ref="F141:G141"/>
    <mergeCell ref="A129:G129"/>
    <mergeCell ref="B70:D70"/>
    <mergeCell ref="E70:G70"/>
    <mergeCell ref="A91:G91"/>
    <mergeCell ref="B92:D92"/>
    <mergeCell ref="E92:G92"/>
    <mergeCell ref="A109:G109"/>
    <mergeCell ref="B110:D110"/>
    <mergeCell ref="E110:G110"/>
    <mergeCell ref="A117:G117"/>
    <mergeCell ref="B118:D118"/>
    <mergeCell ref="E118:G118"/>
    <mergeCell ref="A69:G69"/>
    <mergeCell ref="B13:D13"/>
    <mergeCell ref="E13:G13"/>
    <mergeCell ref="A21:G21"/>
    <mergeCell ref="B22:D22"/>
    <mergeCell ref="E22:G22"/>
    <mergeCell ref="A39:G39"/>
    <mergeCell ref="B40:D40"/>
    <mergeCell ref="E40:G40"/>
    <mergeCell ref="A57:G57"/>
    <mergeCell ref="B58:D58"/>
    <mergeCell ref="E58:G58"/>
    <mergeCell ref="A12:G12"/>
    <mergeCell ref="A1:G1"/>
    <mergeCell ref="A2:G2"/>
    <mergeCell ref="A3:G3"/>
    <mergeCell ref="B4:D4"/>
    <mergeCell ref="E4:G4"/>
  </mergeCells>
  <phoneticPr fontId="11" type="noConversion"/>
  <pageMargins left="0.7" right="0.7" top="0.75" bottom="0.75" header="0.3" footer="0.3"/>
  <pageSetup paperSize="9" orientation="portrait" horizontalDpi="1200" verticalDpi="1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5DE35-F365-4FDF-87AD-EDCF26D1BB89}">
  <dimension ref="A1:I158"/>
  <sheetViews>
    <sheetView zoomScale="80" zoomScaleNormal="80" workbookViewId="0">
      <selection activeCell="E164" sqref="E164"/>
    </sheetView>
  </sheetViews>
  <sheetFormatPr defaultColWidth="8.7265625" defaultRowHeight="14" x14ac:dyDescent="0.3"/>
  <cols>
    <col min="1" max="1" width="22.453125" style="395" customWidth="1"/>
    <col min="2" max="2" width="16.26953125" style="395" bestFit="1" customWidth="1"/>
    <col min="3" max="3" width="22.90625" style="395" bestFit="1" customWidth="1"/>
    <col min="4" max="4" width="22.6328125" style="395" bestFit="1" customWidth="1"/>
    <col min="5" max="5" width="21.453125" style="395" bestFit="1" customWidth="1"/>
    <col min="6" max="6" width="23.453125" style="395" bestFit="1" customWidth="1"/>
    <col min="7" max="7" width="23.08984375" style="395" bestFit="1" customWidth="1"/>
    <col min="8" max="8" width="14.81640625" style="395" customWidth="1"/>
    <col min="9" max="16384" width="8.7265625" style="395"/>
  </cols>
  <sheetData>
    <row r="1" spans="1:9" x14ac:dyDescent="0.3">
      <c r="A1" s="657" t="s">
        <v>322</v>
      </c>
      <c r="B1" s="658"/>
      <c r="C1" s="658"/>
      <c r="D1" s="658"/>
      <c r="E1" s="658"/>
      <c r="F1" s="658"/>
      <c r="G1" s="659"/>
    </row>
    <row r="2" spans="1:9" ht="33" customHeight="1" x14ac:dyDescent="0.3">
      <c r="A2" s="660" t="s">
        <v>386</v>
      </c>
      <c r="B2" s="661"/>
      <c r="C2" s="661"/>
      <c r="D2" s="661"/>
      <c r="E2" s="661"/>
      <c r="F2" s="661"/>
      <c r="G2" s="662"/>
    </row>
    <row r="3" spans="1:9" x14ac:dyDescent="0.3">
      <c r="A3" s="663" t="s">
        <v>353</v>
      </c>
      <c r="B3" s="663"/>
      <c r="C3" s="663"/>
      <c r="D3" s="663"/>
      <c r="E3" s="663"/>
      <c r="F3" s="663"/>
      <c r="G3" s="663"/>
    </row>
    <row r="4" spans="1:9" x14ac:dyDescent="0.3">
      <c r="A4" s="396"/>
      <c r="B4" s="674" t="s">
        <v>364</v>
      </c>
      <c r="C4" s="674"/>
      <c r="D4" s="674"/>
      <c r="E4" s="674" t="s">
        <v>365</v>
      </c>
      <c r="F4" s="674"/>
      <c r="G4" s="674"/>
    </row>
    <row r="5" spans="1:9" x14ac:dyDescent="0.3">
      <c r="A5" s="454" t="s">
        <v>366</v>
      </c>
      <c r="B5" s="433" t="s">
        <v>344</v>
      </c>
      <c r="C5" s="433" t="s">
        <v>345</v>
      </c>
      <c r="D5" s="433" t="s">
        <v>367</v>
      </c>
      <c r="E5" s="433" t="s">
        <v>368</v>
      </c>
      <c r="F5" s="433" t="s">
        <v>369</v>
      </c>
      <c r="G5" s="433" t="s">
        <v>370</v>
      </c>
      <c r="H5" s="440"/>
      <c r="I5" s="441"/>
    </row>
    <row r="6" spans="1:9" x14ac:dyDescent="0.3">
      <c r="A6" s="454">
        <v>1</v>
      </c>
      <c r="B6" s="434">
        <v>0</v>
      </c>
      <c r="C6" s="434">
        <v>0</v>
      </c>
      <c r="D6" s="434">
        <v>0</v>
      </c>
      <c r="E6" s="434">
        <v>29.9</v>
      </c>
      <c r="F6" s="434">
        <v>73.5</v>
      </c>
      <c r="G6" s="434">
        <v>103.5</v>
      </c>
    </row>
    <row r="7" spans="1:9" x14ac:dyDescent="0.3">
      <c r="A7" s="454">
        <v>2</v>
      </c>
      <c r="B7" s="434"/>
      <c r="C7" s="434"/>
      <c r="D7" s="434"/>
      <c r="E7" s="434">
        <v>45.6</v>
      </c>
      <c r="F7" s="434">
        <v>73.400000000000006</v>
      </c>
      <c r="G7" s="434">
        <v>93.2</v>
      </c>
    </row>
    <row r="8" spans="1:9" x14ac:dyDescent="0.3">
      <c r="A8" s="454">
        <v>3</v>
      </c>
      <c r="B8" s="434"/>
      <c r="C8" s="434"/>
      <c r="D8" s="434"/>
      <c r="E8" s="434">
        <v>55.1</v>
      </c>
      <c r="F8" s="434">
        <v>68</v>
      </c>
      <c r="G8" s="434">
        <v>115.9</v>
      </c>
    </row>
    <row r="9" spans="1:9" x14ac:dyDescent="0.3">
      <c r="A9" s="454">
        <v>4</v>
      </c>
      <c r="B9" s="434"/>
      <c r="C9" s="434"/>
      <c r="D9" s="434"/>
      <c r="E9" s="434"/>
      <c r="F9" s="434">
        <v>75.099999999999994</v>
      </c>
      <c r="G9" s="434">
        <v>102.5</v>
      </c>
    </row>
    <row r="10" spans="1:9" x14ac:dyDescent="0.3">
      <c r="A10" s="454">
        <v>5</v>
      </c>
      <c r="B10" s="434"/>
      <c r="C10" s="434"/>
      <c r="D10" s="434"/>
      <c r="E10" s="434"/>
      <c r="F10" s="434">
        <v>72.7</v>
      </c>
      <c r="G10" s="434">
        <v>102.9</v>
      </c>
    </row>
    <row r="11" spans="1:9" x14ac:dyDescent="0.3">
      <c r="A11" s="454">
        <v>6</v>
      </c>
      <c r="B11" s="434"/>
      <c r="C11" s="434"/>
      <c r="D11" s="434"/>
      <c r="E11" s="434"/>
      <c r="F11" s="434"/>
      <c r="G11" s="434">
        <v>92.5</v>
      </c>
    </row>
    <row r="12" spans="1:9" x14ac:dyDescent="0.3">
      <c r="A12" s="670" t="s">
        <v>354</v>
      </c>
      <c r="B12" s="670"/>
      <c r="C12" s="670"/>
      <c r="D12" s="670"/>
      <c r="E12" s="670"/>
      <c r="F12" s="670"/>
      <c r="G12" s="670"/>
    </row>
    <row r="13" spans="1:9" x14ac:dyDescent="0.3">
      <c r="A13" s="396"/>
      <c r="B13" s="674" t="s">
        <v>364</v>
      </c>
      <c r="C13" s="674"/>
      <c r="D13" s="674"/>
      <c r="E13" s="674" t="s">
        <v>365</v>
      </c>
      <c r="F13" s="674"/>
      <c r="G13" s="674"/>
    </row>
    <row r="14" spans="1:9" x14ac:dyDescent="0.3">
      <c r="A14" s="454" t="s">
        <v>366</v>
      </c>
      <c r="B14" s="433" t="s">
        <v>344</v>
      </c>
      <c r="C14" s="433" t="s">
        <v>345</v>
      </c>
      <c r="D14" s="433" t="s">
        <v>367</v>
      </c>
      <c r="E14" s="433" t="s">
        <v>368</v>
      </c>
      <c r="F14" s="433" t="s">
        <v>369</v>
      </c>
      <c r="G14" s="433" t="s">
        <v>370</v>
      </c>
    </row>
    <row r="15" spans="1:9" x14ac:dyDescent="0.3">
      <c r="A15" s="454">
        <v>1</v>
      </c>
      <c r="B15" s="434">
        <v>0</v>
      </c>
      <c r="C15" s="434">
        <v>0</v>
      </c>
      <c r="D15" s="434">
        <v>0</v>
      </c>
      <c r="E15" s="434">
        <v>43.7</v>
      </c>
      <c r="F15" s="434">
        <v>72.2</v>
      </c>
      <c r="G15" s="434">
        <v>105.2</v>
      </c>
    </row>
    <row r="16" spans="1:9" x14ac:dyDescent="0.3">
      <c r="A16" s="454">
        <v>2</v>
      </c>
      <c r="B16" s="434"/>
      <c r="C16" s="434"/>
      <c r="D16" s="434"/>
      <c r="E16" s="434">
        <v>26.5</v>
      </c>
      <c r="F16" s="434">
        <v>71</v>
      </c>
      <c r="G16" s="434">
        <v>90.3</v>
      </c>
    </row>
    <row r="17" spans="1:7" x14ac:dyDescent="0.3">
      <c r="A17" s="454">
        <v>3</v>
      </c>
      <c r="B17" s="434"/>
      <c r="C17" s="434"/>
      <c r="D17" s="434"/>
      <c r="E17" s="434">
        <v>47.5</v>
      </c>
      <c r="F17" s="434">
        <v>80</v>
      </c>
      <c r="G17" s="434">
        <v>90.5</v>
      </c>
    </row>
    <row r="18" spans="1:7" x14ac:dyDescent="0.3">
      <c r="A18" s="454">
        <v>4</v>
      </c>
      <c r="B18" s="434"/>
      <c r="C18" s="434"/>
      <c r="D18" s="434"/>
      <c r="E18" s="434">
        <v>48.1</v>
      </c>
      <c r="F18" s="434">
        <v>64.7</v>
      </c>
      <c r="G18" s="434">
        <v>97.6</v>
      </c>
    </row>
    <row r="19" spans="1:7" x14ac:dyDescent="0.3">
      <c r="A19" s="454">
        <v>5</v>
      </c>
      <c r="B19" s="434"/>
      <c r="C19" s="434"/>
      <c r="D19" s="434"/>
      <c r="E19" s="434"/>
      <c r="F19" s="434">
        <v>62.2</v>
      </c>
      <c r="G19" s="434">
        <v>94.7</v>
      </c>
    </row>
    <row r="20" spans="1:7" x14ac:dyDescent="0.3">
      <c r="A20" s="454">
        <v>6</v>
      </c>
      <c r="B20" s="434"/>
      <c r="C20" s="434"/>
      <c r="D20" s="434"/>
      <c r="E20" s="434"/>
      <c r="F20" s="434">
        <v>78</v>
      </c>
      <c r="G20" s="434">
        <v>84.6</v>
      </c>
    </row>
    <row r="21" spans="1:7" x14ac:dyDescent="0.3">
      <c r="A21" s="663" t="s">
        <v>355</v>
      </c>
      <c r="B21" s="663"/>
      <c r="C21" s="663"/>
      <c r="D21" s="663"/>
      <c r="E21" s="663"/>
      <c r="F21" s="663"/>
      <c r="G21" s="663"/>
    </row>
    <row r="22" spans="1:7" x14ac:dyDescent="0.3">
      <c r="A22" s="396"/>
      <c r="B22" s="674" t="s">
        <v>364</v>
      </c>
      <c r="C22" s="674"/>
      <c r="D22" s="674"/>
      <c r="E22" s="674" t="s">
        <v>365</v>
      </c>
      <c r="F22" s="674"/>
      <c r="G22" s="674"/>
    </row>
    <row r="23" spans="1:7" x14ac:dyDescent="0.3">
      <c r="A23" s="454" t="s">
        <v>366</v>
      </c>
      <c r="B23" s="433" t="s">
        <v>344</v>
      </c>
      <c r="C23" s="433" t="s">
        <v>345</v>
      </c>
      <c r="D23" s="433" t="s">
        <v>367</v>
      </c>
      <c r="E23" s="433" t="s">
        <v>368</v>
      </c>
      <c r="F23" s="433" t="s">
        <v>369</v>
      </c>
      <c r="G23" s="433" t="s">
        <v>370</v>
      </c>
    </row>
    <row r="24" spans="1:7" x14ac:dyDescent="0.3">
      <c r="A24" s="454">
        <v>1</v>
      </c>
      <c r="B24" s="434">
        <v>18.8</v>
      </c>
      <c r="C24" s="434">
        <v>42</v>
      </c>
      <c r="D24" s="434">
        <v>68.7</v>
      </c>
      <c r="E24" s="434">
        <v>35.700000000000003</v>
      </c>
      <c r="F24" s="434">
        <v>69.599999999999994</v>
      </c>
      <c r="G24" s="434">
        <v>103.8</v>
      </c>
    </row>
    <row r="25" spans="1:7" x14ac:dyDescent="0.3">
      <c r="A25" s="454">
        <v>2</v>
      </c>
      <c r="B25" s="434">
        <v>32.6</v>
      </c>
      <c r="C25" s="434">
        <v>38.700000000000003</v>
      </c>
      <c r="D25" s="434">
        <v>77.7</v>
      </c>
      <c r="E25" s="434">
        <v>34.4</v>
      </c>
      <c r="F25" s="434">
        <v>77.5</v>
      </c>
      <c r="G25" s="434">
        <v>92.2</v>
      </c>
    </row>
    <row r="26" spans="1:7" x14ac:dyDescent="0.3">
      <c r="A26" s="454">
        <v>3</v>
      </c>
      <c r="B26" s="434">
        <v>35.1</v>
      </c>
      <c r="C26" s="434">
        <v>58</v>
      </c>
      <c r="D26" s="434">
        <v>69.3</v>
      </c>
      <c r="E26" s="434">
        <v>31.9</v>
      </c>
      <c r="F26" s="434">
        <v>77.599999999999994</v>
      </c>
      <c r="G26" s="434">
        <v>109.6</v>
      </c>
    </row>
    <row r="27" spans="1:7" x14ac:dyDescent="0.3">
      <c r="A27" s="454">
        <v>4</v>
      </c>
      <c r="B27" s="434">
        <v>29.9</v>
      </c>
      <c r="C27" s="434">
        <v>48.4</v>
      </c>
      <c r="D27" s="434">
        <v>76.3</v>
      </c>
      <c r="E27" s="434">
        <v>52.7</v>
      </c>
      <c r="F27" s="434">
        <v>70.099999999999994</v>
      </c>
      <c r="G27" s="434">
        <v>82.8</v>
      </c>
    </row>
    <row r="28" spans="1:7" x14ac:dyDescent="0.3">
      <c r="A28" s="454">
        <v>5</v>
      </c>
      <c r="B28" s="434">
        <v>24.5</v>
      </c>
      <c r="C28" s="434">
        <v>52.1</v>
      </c>
      <c r="D28" s="434">
        <v>80.3</v>
      </c>
      <c r="E28" s="434">
        <v>25.6</v>
      </c>
      <c r="F28" s="434">
        <v>60.2</v>
      </c>
      <c r="G28" s="434">
        <v>87.4</v>
      </c>
    </row>
    <row r="29" spans="1:7" x14ac:dyDescent="0.3">
      <c r="A29" s="454">
        <v>6</v>
      </c>
      <c r="B29" s="434">
        <v>16.3</v>
      </c>
      <c r="C29" s="434">
        <v>36.799999999999997</v>
      </c>
      <c r="D29" s="434">
        <v>97.1</v>
      </c>
      <c r="E29" s="434">
        <v>36.299999999999997</v>
      </c>
      <c r="F29" s="434">
        <v>68.400000000000006</v>
      </c>
      <c r="G29" s="434">
        <v>82.1</v>
      </c>
    </row>
    <row r="30" spans="1:7" x14ac:dyDescent="0.3">
      <c r="A30" s="454">
        <v>7</v>
      </c>
      <c r="B30" s="434">
        <v>20.7</v>
      </c>
      <c r="C30" s="434">
        <v>57.2</v>
      </c>
      <c r="D30" s="434">
        <v>90.3</v>
      </c>
      <c r="E30" s="434">
        <v>59.3</v>
      </c>
      <c r="F30" s="434">
        <v>74.2</v>
      </c>
      <c r="G30" s="434">
        <v>115.1</v>
      </c>
    </row>
    <row r="31" spans="1:7" x14ac:dyDescent="0.3">
      <c r="A31" s="454">
        <v>8</v>
      </c>
      <c r="B31" s="434">
        <v>22.9</v>
      </c>
      <c r="C31" s="434">
        <v>64.599999999999994</v>
      </c>
      <c r="D31" s="434">
        <v>79.099999999999994</v>
      </c>
      <c r="E31" s="434"/>
      <c r="F31" s="434">
        <v>73.5</v>
      </c>
      <c r="G31" s="434">
        <v>84.2</v>
      </c>
    </row>
    <row r="32" spans="1:7" x14ac:dyDescent="0.3">
      <c r="A32" s="454">
        <v>9</v>
      </c>
      <c r="B32" s="434">
        <v>30.4</v>
      </c>
      <c r="C32" s="434">
        <v>41.7</v>
      </c>
      <c r="D32" s="434">
        <v>93.6</v>
      </c>
      <c r="E32" s="434"/>
      <c r="F32" s="434">
        <v>70.5</v>
      </c>
      <c r="G32" s="434">
        <v>96.2</v>
      </c>
    </row>
    <row r="33" spans="1:7" x14ac:dyDescent="0.3">
      <c r="A33" s="454">
        <v>10</v>
      </c>
      <c r="B33" s="434">
        <v>34.200000000000003</v>
      </c>
      <c r="C33" s="434">
        <v>48.8</v>
      </c>
      <c r="D33" s="434">
        <v>102.8</v>
      </c>
      <c r="E33" s="434"/>
      <c r="F33" s="434">
        <v>64.900000000000006</v>
      </c>
      <c r="G33" s="434">
        <v>101.5</v>
      </c>
    </row>
    <row r="34" spans="1:7" x14ac:dyDescent="0.3">
      <c r="A34" s="454">
        <v>11</v>
      </c>
      <c r="B34" s="434">
        <v>18.8</v>
      </c>
      <c r="C34" s="434">
        <v>45.5</v>
      </c>
      <c r="D34" s="434">
        <v>102.9</v>
      </c>
      <c r="E34" s="434"/>
      <c r="F34" s="434">
        <v>62.4</v>
      </c>
      <c r="G34" s="434">
        <v>94.8</v>
      </c>
    </row>
    <row r="35" spans="1:7" x14ac:dyDescent="0.3">
      <c r="A35" s="454">
        <v>12</v>
      </c>
      <c r="B35" s="434">
        <v>33.700000000000003</v>
      </c>
      <c r="C35" s="434">
        <v>48.2</v>
      </c>
      <c r="D35" s="434">
        <v>72.8</v>
      </c>
      <c r="E35" s="434"/>
      <c r="F35" s="434"/>
      <c r="G35" s="434">
        <v>103.9</v>
      </c>
    </row>
    <row r="36" spans="1:7" x14ac:dyDescent="0.3">
      <c r="A36" s="454">
        <v>13</v>
      </c>
      <c r="B36" s="434">
        <v>28.8</v>
      </c>
      <c r="C36" s="434">
        <v>45.7</v>
      </c>
      <c r="D36" s="434">
        <v>92.5</v>
      </c>
      <c r="E36" s="434"/>
      <c r="F36" s="434"/>
      <c r="G36" s="434"/>
    </row>
    <row r="37" spans="1:7" x14ac:dyDescent="0.3">
      <c r="A37" s="454">
        <v>14</v>
      </c>
      <c r="B37" s="434"/>
      <c r="C37" s="434">
        <v>62.4</v>
      </c>
      <c r="D37" s="434">
        <v>85.2</v>
      </c>
      <c r="E37" s="434"/>
      <c r="F37" s="434"/>
      <c r="G37" s="434"/>
    </row>
    <row r="38" spans="1:7" x14ac:dyDescent="0.3">
      <c r="A38" s="454">
        <v>15</v>
      </c>
      <c r="B38" s="434"/>
      <c r="C38" s="434">
        <v>39.6</v>
      </c>
      <c r="D38" s="434">
        <v>83.8</v>
      </c>
      <c r="E38" s="434"/>
      <c r="F38" s="434"/>
      <c r="G38" s="434"/>
    </row>
    <row r="39" spans="1:7" x14ac:dyDescent="0.3">
      <c r="A39" s="670" t="s">
        <v>356</v>
      </c>
      <c r="B39" s="670"/>
      <c r="C39" s="670"/>
      <c r="D39" s="663"/>
      <c r="E39" s="670"/>
      <c r="F39" s="670"/>
      <c r="G39" s="670"/>
    </row>
    <row r="40" spans="1:7" x14ac:dyDescent="0.3">
      <c r="A40" s="396"/>
      <c r="B40" s="674" t="s">
        <v>364</v>
      </c>
      <c r="C40" s="674"/>
      <c r="D40" s="674"/>
      <c r="E40" s="674" t="s">
        <v>365</v>
      </c>
      <c r="F40" s="674"/>
      <c r="G40" s="674"/>
    </row>
    <row r="41" spans="1:7" x14ac:dyDescent="0.3">
      <c r="A41" s="454" t="s">
        <v>366</v>
      </c>
      <c r="B41" s="433" t="s">
        <v>344</v>
      </c>
      <c r="C41" s="433" t="s">
        <v>345</v>
      </c>
      <c r="D41" s="433" t="s">
        <v>367</v>
      </c>
      <c r="E41" s="433" t="s">
        <v>368</v>
      </c>
      <c r="F41" s="433" t="s">
        <v>369</v>
      </c>
      <c r="G41" s="433" t="s">
        <v>370</v>
      </c>
    </row>
    <row r="42" spans="1:7" x14ac:dyDescent="0.3">
      <c r="A42" s="454">
        <v>1</v>
      </c>
      <c r="B42" s="434">
        <v>27.3</v>
      </c>
      <c r="C42" s="434">
        <v>67.099999999999994</v>
      </c>
      <c r="D42" s="434">
        <v>94.4</v>
      </c>
      <c r="E42" s="434">
        <v>48.4</v>
      </c>
      <c r="F42" s="434">
        <v>68.8</v>
      </c>
      <c r="G42" s="434">
        <v>115.4</v>
      </c>
    </row>
    <row r="43" spans="1:7" x14ac:dyDescent="0.3">
      <c r="A43" s="454">
        <v>2</v>
      </c>
      <c r="B43" s="434">
        <v>27.7</v>
      </c>
      <c r="C43" s="434">
        <v>51</v>
      </c>
      <c r="D43" s="434">
        <v>103.4</v>
      </c>
      <c r="E43" s="434">
        <v>43.3</v>
      </c>
      <c r="F43" s="434">
        <v>78.5</v>
      </c>
      <c r="G43" s="434">
        <v>119.7</v>
      </c>
    </row>
    <row r="44" spans="1:7" x14ac:dyDescent="0.3">
      <c r="A44" s="454">
        <v>3</v>
      </c>
      <c r="B44" s="434">
        <v>30.8</v>
      </c>
      <c r="C44" s="434">
        <v>53.4</v>
      </c>
      <c r="D44" s="434">
        <v>98.3</v>
      </c>
      <c r="E44" s="434">
        <v>42.1</v>
      </c>
      <c r="F44" s="434">
        <v>76.5</v>
      </c>
      <c r="G44" s="434">
        <v>109.6</v>
      </c>
    </row>
    <row r="45" spans="1:7" x14ac:dyDescent="0.3">
      <c r="A45" s="454">
        <v>4</v>
      </c>
      <c r="B45" s="434">
        <v>33.5</v>
      </c>
      <c r="C45" s="434">
        <v>53</v>
      </c>
      <c r="D45" s="434">
        <v>82.9</v>
      </c>
      <c r="E45" s="434">
        <v>48.7</v>
      </c>
      <c r="F45" s="434">
        <v>78.400000000000006</v>
      </c>
      <c r="G45" s="434">
        <v>92.1</v>
      </c>
    </row>
    <row r="46" spans="1:7" x14ac:dyDescent="0.3">
      <c r="A46" s="454">
        <v>5</v>
      </c>
      <c r="B46" s="434">
        <v>30.1</v>
      </c>
      <c r="C46" s="434">
        <v>58.4</v>
      </c>
      <c r="D46" s="434">
        <v>71.900000000000006</v>
      </c>
      <c r="E46" s="434">
        <v>37.299999999999997</v>
      </c>
      <c r="F46" s="434">
        <v>66.900000000000006</v>
      </c>
      <c r="G46" s="434">
        <v>85.7</v>
      </c>
    </row>
    <row r="47" spans="1:7" x14ac:dyDescent="0.3">
      <c r="A47" s="454">
        <v>6</v>
      </c>
      <c r="B47" s="434">
        <v>15.8</v>
      </c>
      <c r="C47" s="434">
        <v>59.2</v>
      </c>
      <c r="D47" s="434">
        <v>92.8</v>
      </c>
      <c r="E47" s="434">
        <v>59.7</v>
      </c>
      <c r="F47" s="434">
        <v>79.400000000000006</v>
      </c>
      <c r="G47" s="434">
        <v>88.6</v>
      </c>
    </row>
    <row r="48" spans="1:7" x14ac:dyDescent="0.3">
      <c r="A48" s="454">
        <v>7</v>
      </c>
      <c r="B48" s="434">
        <v>32.6</v>
      </c>
      <c r="C48" s="434">
        <v>42.2</v>
      </c>
      <c r="D48" s="434">
        <v>94.8</v>
      </c>
      <c r="E48" s="434">
        <v>34.1</v>
      </c>
      <c r="F48" s="434">
        <v>65.599999999999994</v>
      </c>
      <c r="G48" s="434">
        <v>107.9</v>
      </c>
    </row>
    <row r="49" spans="1:7" x14ac:dyDescent="0.3">
      <c r="A49" s="454">
        <v>8</v>
      </c>
      <c r="B49" s="434">
        <v>34.799999999999997</v>
      </c>
      <c r="C49" s="434">
        <v>61</v>
      </c>
      <c r="D49" s="434">
        <v>97.8</v>
      </c>
      <c r="E49" s="434"/>
      <c r="F49" s="434">
        <v>77.8</v>
      </c>
      <c r="G49" s="434">
        <v>116.5</v>
      </c>
    </row>
    <row r="50" spans="1:7" x14ac:dyDescent="0.3">
      <c r="A50" s="454">
        <v>9</v>
      </c>
      <c r="B50" s="434">
        <v>22.1</v>
      </c>
      <c r="C50" s="434">
        <v>55.3</v>
      </c>
      <c r="D50" s="434">
        <v>100.7</v>
      </c>
      <c r="E50" s="434"/>
      <c r="F50" s="434">
        <v>60.4</v>
      </c>
      <c r="G50" s="434">
        <v>93.2</v>
      </c>
    </row>
    <row r="51" spans="1:7" x14ac:dyDescent="0.3">
      <c r="A51" s="454">
        <v>10</v>
      </c>
      <c r="B51" s="434">
        <v>21.6</v>
      </c>
      <c r="C51" s="434">
        <v>37.799999999999997</v>
      </c>
      <c r="D51" s="434">
        <v>85.6</v>
      </c>
      <c r="E51" s="434"/>
      <c r="F51" s="434">
        <v>65.7</v>
      </c>
      <c r="G51" s="434">
        <v>87.8</v>
      </c>
    </row>
    <row r="52" spans="1:7" x14ac:dyDescent="0.3">
      <c r="A52" s="454">
        <v>11</v>
      </c>
      <c r="B52" s="434">
        <v>35.4</v>
      </c>
      <c r="C52" s="434">
        <v>64.8</v>
      </c>
      <c r="D52" s="434">
        <v>89.3</v>
      </c>
      <c r="E52" s="434"/>
      <c r="F52" s="434">
        <v>65.8</v>
      </c>
      <c r="G52" s="434">
        <v>80.8</v>
      </c>
    </row>
    <row r="53" spans="1:7" x14ac:dyDescent="0.3">
      <c r="A53" s="454">
        <v>12</v>
      </c>
      <c r="B53" s="434">
        <v>19</v>
      </c>
      <c r="C53" s="434">
        <v>68.099999999999994</v>
      </c>
      <c r="D53" s="434">
        <v>94.5</v>
      </c>
      <c r="E53" s="434"/>
      <c r="F53" s="434">
        <v>74.599999999999994</v>
      </c>
      <c r="G53" s="434">
        <v>110.3</v>
      </c>
    </row>
    <row r="54" spans="1:7" x14ac:dyDescent="0.3">
      <c r="A54" s="454">
        <v>13</v>
      </c>
      <c r="B54" s="434">
        <v>34.4</v>
      </c>
      <c r="C54" s="434">
        <v>63.5</v>
      </c>
      <c r="D54" s="434">
        <v>82.1</v>
      </c>
      <c r="E54" s="434"/>
      <c r="F54" s="434"/>
      <c r="G54" s="434">
        <v>103</v>
      </c>
    </row>
    <row r="55" spans="1:7" x14ac:dyDescent="0.3">
      <c r="A55" s="454">
        <v>14</v>
      </c>
      <c r="B55" s="434">
        <v>20.3</v>
      </c>
      <c r="C55" s="434">
        <v>63.3</v>
      </c>
      <c r="D55" s="434">
        <v>85.8</v>
      </c>
      <c r="E55" s="434"/>
      <c r="F55" s="434"/>
      <c r="G55" s="434">
        <v>89.2</v>
      </c>
    </row>
    <row r="56" spans="1:7" x14ac:dyDescent="0.3">
      <c r="A56" s="454">
        <v>15</v>
      </c>
      <c r="B56" s="434"/>
      <c r="C56" s="434"/>
      <c r="D56" s="434">
        <v>77.2</v>
      </c>
      <c r="E56" s="434"/>
      <c r="F56" s="434"/>
      <c r="G56" s="434"/>
    </row>
    <row r="57" spans="1:7" x14ac:dyDescent="0.3">
      <c r="A57" s="670" t="s">
        <v>357</v>
      </c>
      <c r="B57" s="670"/>
      <c r="C57" s="670"/>
      <c r="D57" s="663"/>
      <c r="E57" s="670"/>
      <c r="F57" s="670"/>
      <c r="G57" s="670"/>
    </row>
    <row r="58" spans="1:7" x14ac:dyDescent="0.3">
      <c r="A58" s="396"/>
      <c r="B58" s="674" t="s">
        <v>364</v>
      </c>
      <c r="C58" s="674"/>
      <c r="D58" s="674"/>
      <c r="E58" s="674" t="s">
        <v>365</v>
      </c>
      <c r="F58" s="674"/>
      <c r="G58" s="674"/>
    </row>
    <row r="59" spans="1:7" x14ac:dyDescent="0.3">
      <c r="A59" s="454" t="s">
        <v>366</v>
      </c>
      <c r="B59" s="433" t="s">
        <v>344</v>
      </c>
      <c r="C59" s="433" t="s">
        <v>345</v>
      </c>
      <c r="D59" s="433" t="s">
        <v>367</v>
      </c>
      <c r="E59" s="433" t="s">
        <v>368</v>
      </c>
      <c r="F59" s="433" t="s">
        <v>369</v>
      </c>
      <c r="G59" s="433" t="s">
        <v>370</v>
      </c>
    </row>
    <row r="60" spans="1:7" x14ac:dyDescent="0.3">
      <c r="A60" s="454">
        <v>1</v>
      </c>
      <c r="B60" s="434">
        <v>33</v>
      </c>
      <c r="C60" s="434">
        <v>67.7</v>
      </c>
      <c r="D60" s="434">
        <v>71.7</v>
      </c>
      <c r="E60" s="434">
        <v>42.7</v>
      </c>
      <c r="F60" s="434">
        <v>75.400000000000006</v>
      </c>
      <c r="G60" s="434">
        <v>99.8</v>
      </c>
    </row>
    <row r="61" spans="1:7" x14ac:dyDescent="0.3">
      <c r="A61" s="454">
        <v>2</v>
      </c>
      <c r="B61" s="434">
        <v>23.4</v>
      </c>
      <c r="C61" s="434">
        <v>51.3</v>
      </c>
      <c r="D61" s="434">
        <v>92.4</v>
      </c>
      <c r="E61" s="434">
        <v>44</v>
      </c>
      <c r="F61" s="434">
        <v>67.400000000000006</v>
      </c>
      <c r="G61" s="434">
        <v>101.6</v>
      </c>
    </row>
    <row r="62" spans="1:7" x14ac:dyDescent="0.3">
      <c r="A62" s="454">
        <v>3</v>
      </c>
      <c r="B62" s="434">
        <v>31.8</v>
      </c>
      <c r="C62" s="434">
        <v>43.8</v>
      </c>
      <c r="D62" s="434">
        <v>98</v>
      </c>
      <c r="E62" s="434">
        <v>30</v>
      </c>
      <c r="F62" s="434">
        <v>61.2</v>
      </c>
      <c r="G62" s="434">
        <v>116.4</v>
      </c>
    </row>
    <row r="63" spans="1:7" x14ac:dyDescent="0.3">
      <c r="A63" s="454">
        <v>4</v>
      </c>
      <c r="B63" s="434">
        <v>17.600000000000001</v>
      </c>
      <c r="C63" s="434">
        <v>53.2</v>
      </c>
      <c r="D63" s="434">
        <v>71.900000000000006</v>
      </c>
      <c r="E63" s="434">
        <v>58.7</v>
      </c>
      <c r="F63" s="434">
        <v>78.8</v>
      </c>
      <c r="G63" s="434">
        <v>86.4</v>
      </c>
    </row>
    <row r="64" spans="1:7" x14ac:dyDescent="0.3">
      <c r="A64" s="454">
        <v>5</v>
      </c>
      <c r="B64" s="434">
        <v>26.4</v>
      </c>
      <c r="C64" s="434">
        <v>63.3</v>
      </c>
      <c r="D64" s="434">
        <v>77.2</v>
      </c>
      <c r="E64" s="434"/>
      <c r="F64" s="434">
        <v>74.7</v>
      </c>
      <c r="G64" s="434">
        <v>91.5</v>
      </c>
    </row>
    <row r="65" spans="1:7" x14ac:dyDescent="0.3">
      <c r="A65" s="454">
        <v>6</v>
      </c>
      <c r="B65" s="434">
        <v>16.5</v>
      </c>
      <c r="C65" s="434">
        <v>48.6</v>
      </c>
      <c r="D65" s="434">
        <v>68.5</v>
      </c>
      <c r="E65" s="434"/>
      <c r="F65" s="434"/>
      <c r="G65" s="434">
        <v>86.9</v>
      </c>
    </row>
    <row r="66" spans="1:7" x14ac:dyDescent="0.3">
      <c r="A66" s="454">
        <v>7</v>
      </c>
      <c r="B66" s="434">
        <v>33.4</v>
      </c>
      <c r="C66" s="434">
        <v>66.2</v>
      </c>
      <c r="D66" s="434">
        <v>69.2</v>
      </c>
      <c r="E66" s="434"/>
      <c r="F66" s="434"/>
      <c r="G66" s="434"/>
    </row>
    <row r="67" spans="1:7" x14ac:dyDescent="0.3">
      <c r="A67" s="454">
        <v>8</v>
      </c>
      <c r="B67" s="434">
        <v>25.3</v>
      </c>
      <c r="C67" s="434">
        <v>58.3</v>
      </c>
      <c r="D67" s="434">
        <v>92.3</v>
      </c>
      <c r="E67" s="434"/>
      <c r="F67" s="434"/>
      <c r="G67" s="434"/>
    </row>
    <row r="68" spans="1:7" x14ac:dyDescent="0.3">
      <c r="A68" s="454">
        <v>9</v>
      </c>
      <c r="B68" s="434">
        <v>32.799999999999997</v>
      </c>
      <c r="C68" s="434"/>
      <c r="D68" s="434">
        <v>99.4</v>
      </c>
      <c r="E68" s="433"/>
      <c r="F68" s="434"/>
      <c r="G68" s="434"/>
    </row>
    <row r="69" spans="1:7" x14ac:dyDescent="0.3">
      <c r="A69" s="670" t="s">
        <v>358</v>
      </c>
      <c r="B69" s="670"/>
      <c r="C69" s="670"/>
      <c r="D69" s="663"/>
      <c r="E69" s="670"/>
      <c r="F69" s="670"/>
      <c r="G69" s="670"/>
    </row>
    <row r="70" spans="1:7" x14ac:dyDescent="0.3">
      <c r="A70" s="396"/>
      <c r="B70" s="674" t="s">
        <v>364</v>
      </c>
      <c r="C70" s="674"/>
      <c r="D70" s="674"/>
      <c r="E70" s="674" t="s">
        <v>365</v>
      </c>
      <c r="F70" s="674"/>
      <c r="G70" s="674"/>
    </row>
    <row r="71" spans="1:7" x14ac:dyDescent="0.3">
      <c r="A71" s="454" t="s">
        <v>366</v>
      </c>
      <c r="B71" s="433" t="s">
        <v>344</v>
      </c>
      <c r="C71" s="433" t="s">
        <v>345</v>
      </c>
      <c r="D71" s="433" t="s">
        <v>367</v>
      </c>
      <c r="E71" s="433" t="s">
        <v>368</v>
      </c>
      <c r="F71" s="433" t="s">
        <v>369</v>
      </c>
      <c r="G71" s="433" t="s">
        <v>370</v>
      </c>
    </row>
    <row r="72" spans="1:7" x14ac:dyDescent="0.3">
      <c r="A72" s="454">
        <v>1</v>
      </c>
      <c r="B72" s="434">
        <v>24.5</v>
      </c>
      <c r="C72" s="434">
        <v>58</v>
      </c>
      <c r="D72" s="434">
        <v>93.7</v>
      </c>
      <c r="E72" s="434">
        <v>51.5</v>
      </c>
      <c r="F72" s="434">
        <v>63.8</v>
      </c>
      <c r="G72" s="434">
        <v>98.5</v>
      </c>
    </row>
    <row r="73" spans="1:7" x14ac:dyDescent="0.3">
      <c r="A73" s="454">
        <v>2</v>
      </c>
      <c r="B73" s="434">
        <v>21.5</v>
      </c>
      <c r="C73" s="434">
        <v>46.6</v>
      </c>
      <c r="D73" s="434">
        <v>93.4</v>
      </c>
      <c r="E73" s="434">
        <v>25.7</v>
      </c>
      <c r="F73" s="434">
        <v>67</v>
      </c>
      <c r="G73" s="434">
        <v>107.9</v>
      </c>
    </row>
    <row r="74" spans="1:7" x14ac:dyDescent="0.3">
      <c r="A74" s="454">
        <v>3</v>
      </c>
      <c r="B74" s="434">
        <v>30.9</v>
      </c>
      <c r="C74" s="434">
        <v>39.700000000000003</v>
      </c>
      <c r="D74" s="434">
        <v>101.3</v>
      </c>
      <c r="E74" s="434">
        <v>27.5</v>
      </c>
      <c r="F74" s="434">
        <v>71.5</v>
      </c>
      <c r="G74" s="434">
        <v>87.7</v>
      </c>
    </row>
    <row r="75" spans="1:7" x14ac:dyDescent="0.3">
      <c r="A75" s="454">
        <v>4</v>
      </c>
      <c r="B75" s="434">
        <v>26.3</v>
      </c>
      <c r="C75" s="434">
        <v>42.2</v>
      </c>
      <c r="D75" s="434">
        <v>101.7</v>
      </c>
      <c r="E75" s="434">
        <v>34.9</v>
      </c>
      <c r="F75" s="434">
        <v>70.099999999999994</v>
      </c>
      <c r="G75" s="434">
        <v>86.3</v>
      </c>
    </row>
    <row r="76" spans="1:7" x14ac:dyDescent="0.3">
      <c r="A76" s="454">
        <v>5</v>
      </c>
      <c r="B76" s="434">
        <v>21.1</v>
      </c>
      <c r="C76" s="434">
        <v>67.400000000000006</v>
      </c>
      <c r="D76" s="434">
        <v>77.400000000000006</v>
      </c>
      <c r="E76" s="434">
        <v>39.1</v>
      </c>
      <c r="F76" s="434">
        <v>73.599999999999994</v>
      </c>
      <c r="G76" s="434">
        <v>96</v>
      </c>
    </row>
    <row r="77" spans="1:7" x14ac:dyDescent="0.3">
      <c r="A77" s="454">
        <v>6</v>
      </c>
      <c r="B77" s="434">
        <v>25</v>
      </c>
      <c r="C77" s="434">
        <v>54.3</v>
      </c>
      <c r="D77" s="434">
        <v>93.3</v>
      </c>
      <c r="E77" s="434">
        <v>59.9</v>
      </c>
      <c r="F77" s="434">
        <v>67</v>
      </c>
      <c r="G77" s="434">
        <v>119.1</v>
      </c>
    </row>
    <row r="78" spans="1:7" x14ac:dyDescent="0.3">
      <c r="A78" s="454">
        <v>7</v>
      </c>
      <c r="B78" s="434">
        <v>24.4</v>
      </c>
      <c r="C78" s="434">
        <v>41.1</v>
      </c>
      <c r="D78" s="434">
        <v>74.099999999999994</v>
      </c>
      <c r="E78" s="434">
        <v>52.1</v>
      </c>
      <c r="F78" s="434">
        <v>69.3</v>
      </c>
      <c r="G78" s="434">
        <v>87.7</v>
      </c>
    </row>
    <row r="79" spans="1:7" x14ac:dyDescent="0.3">
      <c r="A79" s="454">
        <v>8</v>
      </c>
      <c r="B79" s="434">
        <v>16.3</v>
      </c>
      <c r="C79" s="434">
        <v>50.7</v>
      </c>
      <c r="D79" s="434">
        <v>80.2</v>
      </c>
      <c r="E79" s="434">
        <v>30.7</v>
      </c>
      <c r="F79" s="434">
        <v>65.8</v>
      </c>
      <c r="G79" s="434">
        <v>106.8</v>
      </c>
    </row>
    <row r="80" spans="1:7" x14ac:dyDescent="0.3">
      <c r="A80" s="454">
        <v>9</v>
      </c>
      <c r="B80" s="434">
        <v>21.1</v>
      </c>
      <c r="C80" s="434">
        <v>47.9</v>
      </c>
      <c r="D80" s="434">
        <v>89.1</v>
      </c>
      <c r="E80" s="434">
        <v>35.700000000000003</v>
      </c>
      <c r="F80" s="434">
        <v>69.5</v>
      </c>
      <c r="G80" s="434">
        <v>90.3</v>
      </c>
    </row>
    <row r="81" spans="1:7" x14ac:dyDescent="0.3">
      <c r="A81" s="454">
        <v>10</v>
      </c>
      <c r="B81" s="434">
        <v>29</v>
      </c>
      <c r="C81" s="434">
        <v>52.2</v>
      </c>
      <c r="D81" s="434">
        <v>89.8</v>
      </c>
      <c r="E81" s="434">
        <v>47.2</v>
      </c>
      <c r="F81" s="434">
        <v>66.599999999999994</v>
      </c>
      <c r="G81" s="434">
        <v>99.7</v>
      </c>
    </row>
    <row r="82" spans="1:7" x14ac:dyDescent="0.3">
      <c r="A82" s="454">
        <v>11</v>
      </c>
      <c r="B82" s="434">
        <v>32.5</v>
      </c>
      <c r="C82" s="434">
        <v>45.6</v>
      </c>
      <c r="D82" s="434">
        <v>87.1</v>
      </c>
      <c r="E82" s="434"/>
      <c r="F82" s="434">
        <v>76.900000000000006</v>
      </c>
      <c r="G82" s="434">
        <v>105.6</v>
      </c>
    </row>
    <row r="83" spans="1:7" x14ac:dyDescent="0.3">
      <c r="A83" s="454">
        <v>12</v>
      </c>
      <c r="B83" s="434">
        <v>17.100000000000001</v>
      </c>
      <c r="C83" s="434">
        <v>51.9</v>
      </c>
      <c r="D83" s="434">
        <v>72.8</v>
      </c>
      <c r="E83" s="434"/>
      <c r="F83" s="434">
        <v>60.1</v>
      </c>
      <c r="G83" s="434">
        <v>109.7</v>
      </c>
    </row>
    <row r="84" spans="1:7" x14ac:dyDescent="0.3">
      <c r="A84" s="454">
        <v>13</v>
      </c>
      <c r="B84" s="434">
        <v>31.2</v>
      </c>
      <c r="C84" s="434">
        <v>49.2</v>
      </c>
      <c r="D84" s="434">
        <v>84.2</v>
      </c>
      <c r="E84" s="434"/>
      <c r="F84" s="434">
        <v>79.400000000000006</v>
      </c>
      <c r="G84" s="434">
        <v>100</v>
      </c>
    </row>
    <row r="85" spans="1:7" x14ac:dyDescent="0.3">
      <c r="A85" s="454">
        <v>14</v>
      </c>
      <c r="B85" s="434">
        <v>20.9</v>
      </c>
      <c r="C85" s="434">
        <v>48</v>
      </c>
      <c r="D85" s="434">
        <v>80.400000000000006</v>
      </c>
      <c r="E85" s="434"/>
      <c r="F85" s="434">
        <v>76.5</v>
      </c>
      <c r="G85" s="434">
        <v>116</v>
      </c>
    </row>
    <row r="86" spans="1:7" x14ac:dyDescent="0.3">
      <c r="A86" s="454">
        <v>15</v>
      </c>
      <c r="B86" s="434">
        <v>17</v>
      </c>
      <c r="C86" s="434">
        <v>64.400000000000006</v>
      </c>
      <c r="D86" s="434">
        <v>96.1</v>
      </c>
      <c r="E86" s="434"/>
      <c r="F86" s="434"/>
      <c r="G86" s="434">
        <v>118.2</v>
      </c>
    </row>
    <row r="87" spans="1:7" x14ac:dyDescent="0.3">
      <c r="A87" s="454">
        <v>16</v>
      </c>
      <c r="B87" s="434"/>
      <c r="C87" s="434">
        <v>60.6</v>
      </c>
      <c r="D87" s="434">
        <v>103.7</v>
      </c>
      <c r="E87" s="434"/>
      <c r="F87" s="434"/>
      <c r="G87" s="434">
        <v>81.400000000000006</v>
      </c>
    </row>
    <row r="88" spans="1:7" x14ac:dyDescent="0.3">
      <c r="A88" s="454">
        <v>17</v>
      </c>
      <c r="B88" s="434"/>
      <c r="C88" s="434">
        <v>55</v>
      </c>
      <c r="D88" s="434">
        <v>105.1</v>
      </c>
      <c r="E88" s="434"/>
      <c r="F88" s="434"/>
      <c r="G88" s="434">
        <v>115.7</v>
      </c>
    </row>
    <row r="89" spans="1:7" x14ac:dyDescent="0.3">
      <c r="A89" s="454">
        <v>18</v>
      </c>
      <c r="B89" s="434"/>
      <c r="C89" s="434">
        <v>41.5</v>
      </c>
      <c r="D89" s="434">
        <v>97</v>
      </c>
      <c r="E89" s="438"/>
      <c r="F89" s="438"/>
      <c r="G89" s="438"/>
    </row>
    <row r="90" spans="1:7" x14ac:dyDescent="0.3">
      <c r="A90" s="454">
        <v>19</v>
      </c>
      <c r="B90" s="434"/>
      <c r="C90" s="434">
        <v>41.9</v>
      </c>
      <c r="D90" s="434"/>
      <c r="E90" s="438"/>
      <c r="F90" s="438"/>
      <c r="G90" s="438"/>
    </row>
    <row r="91" spans="1:7" x14ac:dyDescent="0.3">
      <c r="A91" s="670" t="s">
        <v>359</v>
      </c>
      <c r="B91" s="670"/>
      <c r="C91" s="670"/>
      <c r="D91" s="663"/>
      <c r="E91" s="670"/>
      <c r="F91" s="670"/>
      <c r="G91" s="670"/>
    </row>
    <row r="92" spans="1:7" x14ac:dyDescent="0.3">
      <c r="A92" s="396"/>
      <c r="B92" s="674" t="s">
        <v>364</v>
      </c>
      <c r="C92" s="674"/>
      <c r="D92" s="674"/>
      <c r="E92" s="674" t="s">
        <v>365</v>
      </c>
      <c r="F92" s="674"/>
      <c r="G92" s="674"/>
    </row>
    <row r="93" spans="1:7" x14ac:dyDescent="0.3">
      <c r="A93" s="454" t="s">
        <v>366</v>
      </c>
      <c r="B93" s="433" t="s">
        <v>344</v>
      </c>
      <c r="C93" s="433" t="s">
        <v>345</v>
      </c>
      <c r="D93" s="433" t="s">
        <v>367</v>
      </c>
      <c r="E93" s="433" t="s">
        <v>368</v>
      </c>
      <c r="F93" s="433" t="s">
        <v>369</v>
      </c>
      <c r="G93" s="433" t="s">
        <v>370</v>
      </c>
    </row>
    <row r="94" spans="1:7" x14ac:dyDescent="0.3">
      <c r="A94" s="454">
        <v>1</v>
      </c>
      <c r="B94" s="434">
        <v>23.2</v>
      </c>
      <c r="C94" s="434">
        <v>52.3</v>
      </c>
      <c r="D94" s="434">
        <v>98</v>
      </c>
      <c r="E94" s="434">
        <v>53</v>
      </c>
      <c r="F94" s="434">
        <v>72</v>
      </c>
      <c r="G94" s="434">
        <v>106.7</v>
      </c>
    </row>
    <row r="95" spans="1:7" x14ac:dyDescent="0.3">
      <c r="A95" s="454">
        <v>2</v>
      </c>
      <c r="B95" s="434">
        <v>16.399999999999999</v>
      </c>
      <c r="C95" s="434">
        <v>37.700000000000003</v>
      </c>
      <c r="D95" s="434">
        <v>70.900000000000006</v>
      </c>
      <c r="E95" s="434">
        <v>32</v>
      </c>
      <c r="F95" s="434">
        <v>74.099999999999994</v>
      </c>
      <c r="G95" s="434">
        <v>94.2</v>
      </c>
    </row>
    <row r="96" spans="1:7" x14ac:dyDescent="0.3">
      <c r="A96" s="454">
        <v>3</v>
      </c>
      <c r="B96" s="434">
        <v>28.6</v>
      </c>
      <c r="C96" s="434">
        <v>44.4</v>
      </c>
      <c r="D96" s="434">
        <v>88.4</v>
      </c>
      <c r="E96" s="434">
        <v>57.4</v>
      </c>
      <c r="F96" s="434">
        <v>74.8</v>
      </c>
      <c r="G96" s="434">
        <v>105.9</v>
      </c>
    </row>
    <row r="97" spans="1:7" x14ac:dyDescent="0.3">
      <c r="A97" s="454">
        <v>4</v>
      </c>
      <c r="B97" s="434">
        <v>19.7</v>
      </c>
      <c r="C97" s="434">
        <v>55.5</v>
      </c>
      <c r="D97" s="434">
        <v>93.9</v>
      </c>
      <c r="E97" s="434">
        <v>34.200000000000003</v>
      </c>
      <c r="F97" s="434">
        <v>61.9</v>
      </c>
      <c r="G97" s="434">
        <v>95.6</v>
      </c>
    </row>
    <row r="98" spans="1:7" x14ac:dyDescent="0.3">
      <c r="A98" s="454">
        <v>5</v>
      </c>
      <c r="B98" s="434">
        <v>32.799999999999997</v>
      </c>
      <c r="C98" s="434">
        <v>60.3</v>
      </c>
      <c r="D98" s="434">
        <v>72.900000000000006</v>
      </c>
      <c r="E98" s="434">
        <v>56.3</v>
      </c>
      <c r="F98" s="434">
        <v>77.099999999999994</v>
      </c>
      <c r="G98" s="434">
        <v>96.1</v>
      </c>
    </row>
    <row r="99" spans="1:7" x14ac:dyDescent="0.3">
      <c r="A99" s="454">
        <v>6</v>
      </c>
      <c r="B99" s="434">
        <v>34.6</v>
      </c>
      <c r="C99" s="434">
        <v>49.1</v>
      </c>
      <c r="D99" s="434">
        <v>90.7</v>
      </c>
      <c r="E99" s="434">
        <v>32.9</v>
      </c>
      <c r="F99" s="434">
        <v>61.3</v>
      </c>
      <c r="G99" s="434">
        <v>89.5</v>
      </c>
    </row>
    <row r="100" spans="1:7" x14ac:dyDescent="0.3">
      <c r="A100" s="454">
        <v>7</v>
      </c>
      <c r="B100" s="434">
        <v>19.600000000000001</v>
      </c>
      <c r="C100" s="434">
        <v>64.900000000000006</v>
      </c>
      <c r="D100" s="434">
        <v>83.8</v>
      </c>
      <c r="E100" s="434">
        <v>51.6</v>
      </c>
      <c r="F100" s="434">
        <v>76.7</v>
      </c>
      <c r="G100" s="434">
        <v>117.3</v>
      </c>
    </row>
    <row r="101" spans="1:7" x14ac:dyDescent="0.3">
      <c r="A101" s="454">
        <v>8</v>
      </c>
      <c r="B101" s="434">
        <v>20.6</v>
      </c>
      <c r="C101" s="434">
        <v>59.1</v>
      </c>
      <c r="D101" s="434">
        <v>100.7</v>
      </c>
      <c r="E101" s="434">
        <v>39.9</v>
      </c>
      <c r="F101" s="434">
        <v>61.6</v>
      </c>
      <c r="G101" s="434">
        <v>88.4</v>
      </c>
    </row>
    <row r="102" spans="1:7" x14ac:dyDescent="0.3">
      <c r="A102" s="454">
        <v>9</v>
      </c>
      <c r="B102" s="434">
        <v>18.600000000000001</v>
      </c>
      <c r="C102" s="434">
        <v>41</v>
      </c>
      <c r="D102" s="434">
        <v>94.2</v>
      </c>
      <c r="E102" s="434"/>
      <c r="F102" s="434">
        <v>73.5</v>
      </c>
      <c r="G102" s="434">
        <v>111.3</v>
      </c>
    </row>
    <row r="103" spans="1:7" x14ac:dyDescent="0.3">
      <c r="A103" s="454">
        <v>10</v>
      </c>
      <c r="B103" s="434">
        <v>30.2</v>
      </c>
      <c r="C103" s="434">
        <v>60.9</v>
      </c>
      <c r="D103" s="434">
        <v>91.9</v>
      </c>
      <c r="E103" s="434"/>
      <c r="F103" s="434">
        <v>65.900000000000006</v>
      </c>
      <c r="G103" s="434">
        <v>82.2</v>
      </c>
    </row>
    <row r="104" spans="1:7" x14ac:dyDescent="0.3">
      <c r="A104" s="454">
        <v>11</v>
      </c>
      <c r="B104" s="434">
        <v>33</v>
      </c>
      <c r="C104" s="434">
        <v>51.1</v>
      </c>
      <c r="D104" s="434">
        <v>68.7</v>
      </c>
      <c r="E104" s="434"/>
      <c r="F104" s="434"/>
      <c r="G104" s="434">
        <v>98.1</v>
      </c>
    </row>
    <row r="105" spans="1:7" x14ac:dyDescent="0.3">
      <c r="A105" s="454">
        <v>12</v>
      </c>
      <c r="B105" s="434">
        <v>27.2</v>
      </c>
      <c r="C105" s="434">
        <v>51.3</v>
      </c>
      <c r="D105" s="434">
        <v>94.2</v>
      </c>
      <c r="E105" s="434"/>
      <c r="F105" s="434"/>
      <c r="G105" s="434">
        <v>101.5</v>
      </c>
    </row>
    <row r="106" spans="1:7" x14ac:dyDescent="0.3">
      <c r="A106" s="454">
        <v>13</v>
      </c>
      <c r="B106" s="434"/>
      <c r="C106" s="434">
        <v>39.1</v>
      </c>
      <c r="D106" s="434">
        <v>69</v>
      </c>
      <c r="E106" s="438"/>
      <c r="F106" s="438"/>
      <c r="G106" s="438"/>
    </row>
    <row r="107" spans="1:7" x14ac:dyDescent="0.3">
      <c r="A107" s="454">
        <v>14</v>
      </c>
      <c r="B107" s="434"/>
      <c r="C107" s="434">
        <v>40.5</v>
      </c>
      <c r="D107" s="434">
        <v>82.6</v>
      </c>
      <c r="E107" s="438"/>
      <c r="F107" s="438"/>
      <c r="G107" s="438"/>
    </row>
    <row r="108" spans="1:7" x14ac:dyDescent="0.3">
      <c r="A108" s="454">
        <v>15</v>
      </c>
      <c r="B108" s="434"/>
      <c r="C108" s="434">
        <v>49.2</v>
      </c>
      <c r="D108" s="434">
        <v>79.099999999999994</v>
      </c>
      <c r="E108" s="438"/>
      <c r="F108" s="438"/>
      <c r="G108" s="438"/>
    </row>
    <row r="109" spans="1:7" x14ac:dyDescent="0.3">
      <c r="A109" s="670" t="s">
        <v>360</v>
      </c>
      <c r="B109" s="670"/>
      <c r="C109" s="670"/>
      <c r="D109" s="663"/>
      <c r="E109" s="670"/>
      <c r="F109" s="670"/>
      <c r="G109" s="670"/>
    </row>
    <row r="110" spans="1:7" x14ac:dyDescent="0.3">
      <c r="A110" s="396"/>
      <c r="B110" s="674" t="s">
        <v>364</v>
      </c>
      <c r="C110" s="674"/>
      <c r="D110" s="674"/>
      <c r="E110" s="674" t="s">
        <v>365</v>
      </c>
      <c r="F110" s="674"/>
      <c r="G110" s="674"/>
    </row>
    <row r="111" spans="1:7" x14ac:dyDescent="0.3">
      <c r="A111" s="454" t="s">
        <v>366</v>
      </c>
      <c r="B111" s="433" t="s">
        <v>344</v>
      </c>
      <c r="C111" s="433" t="s">
        <v>345</v>
      </c>
      <c r="D111" s="433" t="s">
        <v>367</v>
      </c>
      <c r="E111" s="433" t="s">
        <v>368</v>
      </c>
      <c r="F111" s="433" t="s">
        <v>369</v>
      </c>
      <c r="G111" s="433" t="s">
        <v>370</v>
      </c>
    </row>
    <row r="112" spans="1:7" x14ac:dyDescent="0.3">
      <c r="A112" s="454">
        <v>1</v>
      </c>
      <c r="B112" s="434">
        <v>0</v>
      </c>
      <c r="C112" s="434">
        <v>0</v>
      </c>
      <c r="D112" s="434">
        <v>0</v>
      </c>
      <c r="E112" s="434">
        <v>28.7</v>
      </c>
      <c r="F112" s="434">
        <v>73.2</v>
      </c>
      <c r="G112" s="434">
        <v>84.9</v>
      </c>
    </row>
    <row r="113" spans="1:7" x14ac:dyDescent="0.3">
      <c r="A113" s="454">
        <v>2</v>
      </c>
      <c r="B113" s="434"/>
      <c r="C113" s="434"/>
      <c r="D113" s="434"/>
      <c r="E113" s="434">
        <v>59.6</v>
      </c>
      <c r="F113" s="434">
        <v>74.099999999999994</v>
      </c>
      <c r="G113" s="434">
        <v>91.6</v>
      </c>
    </row>
    <row r="114" spans="1:7" x14ac:dyDescent="0.3">
      <c r="A114" s="454">
        <v>3</v>
      </c>
      <c r="B114" s="434"/>
      <c r="C114" s="434"/>
      <c r="D114" s="434"/>
      <c r="E114" s="434">
        <v>46.6</v>
      </c>
      <c r="F114" s="434">
        <v>77.3</v>
      </c>
      <c r="G114" s="434">
        <v>90.4</v>
      </c>
    </row>
    <row r="115" spans="1:7" x14ac:dyDescent="0.3">
      <c r="A115" s="454">
        <v>4</v>
      </c>
      <c r="B115" s="434"/>
      <c r="C115" s="434"/>
      <c r="D115" s="434"/>
      <c r="E115" s="434"/>
      <c r="F115" s="434">
        <v>79.900000000000006</v>
      </c>
      <c r="G115" s="434">
        <v>87</v>
      </c>
    </row>
    <row r="116" spans="1:7" x14ac:dyDescent="0.3">
      <c r="A116" s="454">
        <v>5</v>
      </c>
      <c r="B116" s="434"/>
      <c r="C116" s="434"/>
      <c r="D116" s="434"/>
      <c r="E116" s="434"/>
      <c r="F116" s="434">
        <v>63.2</v>
      </c>
      <c r="G116" s="434">
        <v>105.6</v>
      </c>
    </row>
    <row r="117" spans="1:7" x14ac:dyDescent="0.3">
      <c r="A117" s="670" t="s">
        <v>361</v>
      </c>
      <c r="B117" s="670"/>
      <c r="C117" s="670"/>
      <c r="D117" s="663"/>
      <c r="E117" s="670"/>
      <c r="F117" s="670"/>
      <c r="G117" s="670"/>
    </row>
    <row r="118" spans="1:7" x14ac:dyDescent="0.3">
      <c r="A118" s="396"/>
      <c r="B118" s="674" t="s">
        <v>364</v>
      </c>
      <c r="C118" s="674"/>
      <c r="D118" s="674"/>
      <c r="E118" s="674" t="s">
        <v>365</v>
      </c>
      <c r="F118" s="674"/>
      <c r="G118" s="674"/>
    </row>
    <row r="119" spans="1:7" x14ac:dyDescent="0.3">
      <c r="A119" s="454" t="s">
        <v>366</v>
      </c>
      <c r="B119" s="433" t="s">
        <v>344</v>
      </c>
      <c r="C119" s="433" t="s">
        <v>345</v>
      </c>
      <c r="D119" s="433" t="s">
        <v>367</v>
      </c>
      <c r="E119" s="433" t="s">
        <v>368</v>
      </c>
      <c r="F119" s="433" t="s">
        <v>369</v>
      </c>
      <c r="G119" s="433" t="s">
        <v>370</v>
      </c>
    </row>
    <row r="120" spans="1:7" x14ac:dyDescent="0.3">
      <c r="A120" s="454">
        <v>1</v>
      </c>
      <c r="B120" s="434">
        <v>23.2</v>
      </c>
      <c r="C120" s="434">
        <v>54.2</v>
      </c>
      <c r="D120" s="434">
        <v>91.9</v>
      </c>
      <c r="E120" s="434">
        <v>26.1</v>
      </c>
      <c r="F120" s="434">
        <v>69.400000000000006</v>
      </c>
      <c r="G120" s="434">
        <v>114</v>
      </c>
    </row>
    <row r="121" spans="1:7" x14ac:dyDescent="0.3">
      <c r="A121" s="454">
        <v>2</v>
      </c>
      <c r="B121" s="434">
        <v>23.2</v>
      </c>
      <c r="C121" s="434">
        <v>39.799999999999997</v>
      </c>
      <c r="D121" s="434">
        <v>94.8</v>
      </c>
      <c r="E121" s="434">
        <v>29.8</v>
      </c>
      <c r="F121" s="434">
        <v>76.599999999999994</v>
      </c>
      <c r="G121" s="434">
        <v>98.8</v>
      </c>
    </row>
    <row r="122" spans="1:7" x14ac:dyDescent="0.3">
      <c r="A122" s="454">
        <v>3</v>
      </c>
      <c r="B122" s="434">
        <v>25.4</v>
      </c>
      <c r="C122" s="434">
        <v>51.6</v>
      </c>
      <c r="D122" s="434">
        <v>79.3</v>
      </c>
      <c r="E122" s="434">
        <v>55.2</v>
      </c>
      <c r="F122" s="434">
        <v>73.5</v>
      </c>
      <c r="G122" s="434">
        <v>101.9</v>
      </c>
    </row>
    <row r="123" spans="1:7" x14ac:dyDescent="0.3">
      <c r="A123" s="454">
        <v>4</v>
      </c>
      <c r="B123" s="434">
        <v>21.2</v>
      </c>
      <c r="C123" s="434">
        <v>60.6</v>
      </c>
      <c r="D123" s="434">
        <v>82.8</v>
      </c>
      <c r="E123" s="434"/>
      <c r="F123" s="434">
        <v>62.1</v>
      </c>
      <c r="G123" s="434">
        <v>89.3</v>
      </c>
    </row>
    <row r="124" spans="1:7" x14ac:dyDescent="0.3">
      <c r="A124" s="454">
        <v>5</v>
      </c>
      <c r="B124" s="434">
        <v>27.1</v>
      </c>
      <c r="C124" s="434">
        <v>62.7</v>
      </c>
      <c r="D124" s="434">
        <v>104.5</v>
      </c>
      <c r="E124" s="434"/>
      <c r="F124" s="434">
        <v>71.900000000000006</v>
      </c>
      <c r="G124" s="434">
        <v>80.599999999999994</v>
      </c>
    </row>
    <row r="125" spans="1:7" x14ac:dyDescent="0.3">
      <c r="A125" s="454">
        <v>6</v>
      </c>
      <c r="B125" s="434">
        <v>24.5</v>
      </c>
      <c r="C125" s="434">
        <v>55.5</v>
      </c>
      <c r="D125" s="434">
        <v>102.7</v>
      </c>
      <c r="E125" s="434"/>
      <c r="F125" s="434"/>
      <c r="G125" s="434">
        <v>114.2</v>
      </c>
    </row>
    <row r="126" spans="1:7" x14ac:dyDescent="0.3">
      <c r="A126" s="454">
        <v>7</v>
      </c>
      <c r="B126" s="434">
        <v>19.100000000000001</v>
      </c>
      <c r="C126" s="434">
        <v>54.7</v>
      </c>
      <c r="D126" s="434">
        <v>102.5</v>
      </c>
      <c r="E126" s="434"/>
      <c r="F126" s="434"/>
      <c r="G126" s="434"/>
    </row>
    <row r="127" spans="1:7" x14ac:dyDescent="0.3">
      <c r="A127" s="454">
        <v>8</v>
      </c>
      <c r="B127" s="434"/>
      <c r="C127" s="434">
        <v>61.3</v>
      </c>
      <c r="D127" s="434">
        <v>79.2</v>
      </c>
      <c r="E127" s="434"/>
      <c r="F127" s="434"/>
      <c r="G127" s="434"/>
    </row>
    <row r="128" spans="1:7" x14ac:dyDescent="0.3">
      <c r="A128" s="454">
        <v>9</v>
      </c>
      <c r="B128" s="434"/>
      <c r="C128" s="434">
        <v>67.5</v>
      </c>
      <c r="D128" s="434"/>
      <c r="E128" s="434"/>
      <c r="F128" s="434"/>
      <c r="G128" s="434"/>
    </row>
    <row r="129" spans="1:7" x14ac:dyDescent="0.3">
      <c r="A129" s="670" t="s">
        <v>362</v>
      </c>
      <c r="B129" s="670"/>
      <c r="C129" s="670"/>
      <c r="D129" s="663"/>
      <c r="E129" s="670"/>
      <c r="F129" s="670"/>
      <c r="G129" s="670"/>
    </row>
    <row r="130" spans="1:7" x14ac:dyDescent="0.3">
      <c r="A130" s="396"/>
      <c r="B130" s="674" t="s">
        <v>364</v>
      </c>
      <c r="C130" s="674"/>
      <c r="D130" s="674"/>
      <c r="E130" s="674" t="s">
        <v>365</v>
      </c>
      <c r="F130" s="674"/>
      <c r="G130" s="674"/>
    </row>
    <row r="131" spans="1:7" x14ac:dyDescent="0.3">
      <c r="A131" s="454" t="s">
        <v>366</v>
      </c>
      <c r="B131" s="433" t="s">
        <v>344</v>
      </c>
      <c r="C131" s="433" t="s">
        <v>345</v>
      </c>
      <c r="D131" s="433" t="s">
        <v>367</v>
      </c>
      <c r="E131" s="433" t="s">
        <v>368</v>
      </c>
      <c r="F131" s="433" t="s">
        <v>369</v>
      </c>
      <c r="G131" s="433" t="s">
        <v>370</v>
      </c>
    </row>
    <row r="132" spans="1:7" x14ac:dyDescent="0.3">
      <c r="A132" s="454">
        <v>1</v>
      </c>
      <c r="B132" s="434">
        <v>0</v>
      </c>
      <c r="C132" s="434">
        <v>0</v>
      </c>
      <c r="D132" s="434">
        <v>0</v>
      </c>
      <c r="E132" s="434">
        <v>54.1</v>
      </c>
      <c r="F132" s="434">
        <v>77.2</v>
      </c>
      <c r="G132" s="434">
        <v>108.3</v>
      </c>
    </row>
    <row r="133" spans="1:7" x14ac:dyDescent="0.3">
      <c r="A133" s="454">
        <v>2</v>
      </c>
      <c r="B133" s="434"/>
      <c r="C133" s="434"/>
      <c r="D133" s="434"/>
      <c r="E133" s="434">
        <v>35.4</v>
      </c>
      <c r="F133" s="434">
        <v>73.5</v>
      </c>
      <c r="G133" s="434">
        <v>81.3</v>
      </c>
    </row>
    <row r="134" spans="1:7" x14ac:dyDescent="0.3">
      <c r="A134" s="454">
        <v>3</v>
      </c>
      <c r="B134" s="434"/>
      <c r="C134" s="434"/>
      <c r="D134" s="434"/>
      <c r="E134" s="434">
        <v>34.9</v>
      </c>
      <c r="F134" s="434">
        <v>74.7</v>
      </c>
      <c r="G134" s="434">
        <v>91.5</v>
      </c>
    </row>
    <row r="135" spans="1:7" x14ac:dyDescent="0.3">
      <c r="A135" s="454">
        <v>4</v>
      </c>
      <c r="B135" s="434"/>
      <c r="C135" s="434"/>
      <c r="D135" s="434"/>
      <c r="E135" s="434">
        <v>58.3</v>
      </c>
      <c r="F135" s="434">
        <v>67.400000000000006</v>
      </c>
      <c r="G135" s="434">
        <v>107.3</v>
      </c>
    </row>
    <row r="136" spans="1:7" x14ac:dyDescent="0.3">
      <c r="A136" s="454">
        <v>5</v>
      </c>
      <c r="B136" s="434"/>
      <c r="C136" s="434"/>
      <c r="D136" s="434"/>
      <c r="E136" s="434"/>
      <c r="F136" s="434">
        <v>63.5</v>
      </c>
      <c r="G136" s="434">
        <v>119.8</v>
      </c>
    </row>
    <row r="137" spans="1:7" x14ac:dyDescent="0.3">
      <c r="A137" s="442"/>
      <c r="B137" s="443"/>
      <c r="C137" s="443"/>
      <c r="D137" s="443"/>
      <c r="E137" s="443"/>
      <c r="F137" s="443"/>
      <c r="G137" s="443"/>
    </row>
    <row r="138" spans="1:7" x14ac:dyDescent="0.3">
      <c r="A138" s="442"/>
      <c r="B138" s="443"/>
      <c r="C138" s="443"/>
      <c r="D138" s="443"/>
      <c r="E138" s="441"/>
      <c r="F138" s="443"/>
      <c r="G138" s="443"/>
    </row>
    <row r="139" spans="1:7" x14ac:dyDescent="0.3">
      <c r="A139" s="442"/>
      <c r="B139" s="443"/>
      <c r="C139" s="443"/>
      <c r="D139" s="443"/>
      <c r="E139" s="441"/>
      <c r="F139" s="441"/>
      <c r="G139" s="443"/>
    </row>
    <row r="140" spans="1:7" x14ac:dyDescent="0.3">
      <c r="A140" s="442"/>
      <c r="B140" s="443"/>
      <c r="C140" s="443"/>
      <c r="D140" s="443"/>
      <c r="E140" s="441"/>
      <c r="F140" s="441"/>
      <c r="G140" s="441"/>
    </row>
    <row r="141" spans="1:7" x14ac:dyDescent="0.3">
      <c r="A141" s="668" t="s">
        <v>160</v>
      </c>
      <c r="B141" s="666" t="s">
        <v>161</v>
      </c>
      <c r="C141" s="667"/>
      <c r="D141" s="666" t="s">
        <v>162</v>
      </c>
      <c r="E141" s="667"/>
      <c r="F141" s="666" t="s">
        <v>163</v>
      </c>
      <c r="G141" s="667"/>
    </row>
    <row r="142" spans="1:7" x14ac:dyDescent="0.3">
      <c r="A142" s="669"/>
      <c r="B142" s="432" t="s">
        <v>164</v>
      </c>
      <c r="C142" s="432" t="s">
        <v>165</v>
      </c>
      <c r="D142" s="432" t="s">
        <v>164</v>
      </c>
      <c r="E142" s="432" t="s">
        <v>165</v>
      </c>
      <c r="F142" s="432" t="s">
        <v>164</v>
      </c>
      <c r="G142" s="432" t="s">
        <v>165</v>
      </c>
    </row>
    <row r="143" spans="1:7" x14ac:dyDescent="0.3">
      <c r="A143" s="433" t="s">
        <v>353</v>
      </c>
      <c r="B143" s="435">
        <f>ROUNDDOWN(AVERAGE(B6:D11),1)</f>
        <v>0</v>
      </c>
      <c r="C143" s="435">
        <f>ROUNDDOWN(AVERAGE(E6:G11),1)</f>
        <v>78.8</v>
      </c>
      <c r="D143" s="432">
        <v>0</v>
      </c>
      <c r="E143" s="432">
        <v>5585</v>
      </c>
      <c r="F143" s="432">
        <f>B143*D143</f>
        <v>0</v>
      </c>
      <c r="G143" s="432">
        <f>C143*E143</f>
        <v>440098</v>
      </c>
    </row>
    <row r="144" spans="1:7" x14ac:dyDescent="0.3">
      <c r="A144" s="433" t="s">
        <v>354</v>
      </c>
      <c r="B144" s="435">
        <f>ROUNDDOWN(AVERAGE(B15:D20),1)</f>
        <v>0</v>
      </c>
      <c r="C144" s="435">
        <f>ROUNDDOWN(AVERAGE(E15:G20),1)</f>
        <v>72.3</v>
      </c>
      <c r="D144" s="432">
        <v>0</v>
      </c>
      <c r="E144" s="432">
        <v>6993</v>
      </c>
      <c r="F144" s="432">
        <f t="shared" ref="F144:G152" si="0">B144*D144</f>
        <v>0</v>
      </c>
      <c r="G144" s="432">
        <f t="shared" si="0"/>
        <v>505593.89999999997</v>
      </c>
    </row>
    <row r="145" spans="1:7" x14ac:dyDescent="0.3">
      <c r="A145" s="433" t="s">
        <v>355</v>
      </c>
      <c r="B145" s="435">
        <f>ROUNDDOWN(AVERAGE(B24:D38),1)</f>
        <v>54.6</v>
      </c>
      <c r="C145" s="435">
        <f>ROUNDDOWN(AVERAGE(E24:G38),1)</f>
        <v>73.2</v>
      </c>
      <c r="D145" s="432">
        <v>16871</v>
      </c>
      <c r="E145" s="432">
        <v>13862</v>
      </c>
      <c r="F145" s="432">
        <f t="shared" si="0"/>
        <v>921156.6</v>
      </c>
      <c r="G145" s="432">
        <f t="shared" si="0"/>
        <v>1014698.4</v>
      </c>
    </row>
    <row r="146" spans="1:7" x14ac:dyDescent="0.3">
      <c r="A146" s="433" t="s">
        <v>356</v>
      </c>
      <c r="B146" s="435">
        <f>ROUNDDOWN(AVERAGE(B42:D56),1)</f>
        <v>58.9</v>
      </c>
      <c r="C146" s="435">
        <f>ROUNDDOWN(AVERAGE(E42:G56),1)</f>
        <v>77.900000000000006</v>
      </c>
      <c r="D146" s="432">
        <v>16520</v>
      </c>
      <c r="E146" s="432">
        <v>15181</v>
      </c>
      <c r="F146" s="432">
        <f t="shared" si="0"/>
        <v>973028</v>
      </c>
      <c r="G146" s="432">
        <f t="shared" si="0"/>
        <v>1182599.9000000001</v>
      </c>
    </row>
    <row r="147" spans="1:7" x14ac:dyDescent="0.3">
      <c r="A147" s="433" t="s">
        <v>357</v>
      </c>
      <c r="B147" s="435">
        <f>ROUNDDOWN(AVERAGE(B60:D68),1)</f>
        <v>55.1</v>
      </c>
      <c r="C147" s="435">
        <f>ROUNDDOWN(AVERAGE(E60:G68),1)</f>
        <v>74.3</v>
      </c>
      <c r="D147" s="432">
        <v>10059</v>
      </c>
      <c r="E147" s="432">
        <v>6443</v>
      </c>
      <c r="F147" s="432">
        <f t="shared" si="0"/>
        <v>554250.9</v>
      </c>
      <c r="G147" s="432">
        <f t="shared" si="0"/>
        <v>478714.89999999997</v>
      </c>
    </row>
    <row r="148" spans="1:7" x14ac:dyDescent="0.3">
      <c r="A148" s="433" t="s">
        <v>358</v>
      </c>
      <c r="B148" s="435">
        <f>ROUNDDOWN(AVERAGE(B72:D90),1)</f>
        <v>56.4</v>
      </c>
      <c r="C148" s="435">
        <f>ROUNDDOWN(AVERAGE(E72:G90),1)</f>
        <v>75.8</v>
      </c>
      <c r="D148" s="432">
        <v>20494</v>
      </c>
      <c r="E148" s="432">
        <v>19312</v>
      </c>
      <c r="F148" s="432">
        <f t="shared" si="0"/>
        <v>1155861.5999999999</v>
      </c>
      <c r="G148" s="432">
        <f t="shared" si="0"/>
        <v>1463849.5999999999</v>
      </c>
    </row>
    <row r="149" spans="1:7" x14ac:dyDescent="0.3">
      <c r="A149" s="433" t="s">
        <v>359</v>
      </c>
      <c r="B149" s="435">
        <f>ROUNDDOWN(AVERAGE(B94:D108),1)</f>
        <v>55.7</v>
      </c>
      <c r="C149" s="435">
        <f>ROUNDDOWN(AVERAGE(E94:G108),1)</f>
        <v>74.7</v>
      </c>
      <c r="D149" s="432">
        <v>16458</v>
      </c>
      <c r="E149" s="432">
        <v>13947</v>
      </c>
      <c r="F149" s="432">
        <f t="shared" si="0"/>
        <v>916710.60000000009</v>
      </c>
      <c r="G149" s="432">
        <f t="shared" si="0"/>
        <v>1041840.9</v>
      </c>
    </row>
    <row r="150" spans="1:7" x14ac:dyDescent="0.3">
      <c r="A150" s="433" t="s">
        <v>360</v>
      </c>
      <c r="B150" s="435">
        <f>ROUNDDOWN(AVERAGE(B112:D116),1)</f>
        <v>0</v>
      </c>
      <c r="C150" s="435">
        <f>ROUNDDOWN(AVERAGE(E112:G116),1)</f>
        <v>74</v>
      </c>
      <c r="D150" s="432">
        <v>0</v>
      </c>
      <c r="E150" s="432">
        <v>5003</v>
      </c>
      <c r="F150" s="432">
        <f t="shared" si="0"/>
        <v>0</v>
      </c>
      <c r="G150" s="432">
        <f t="shared" si="0"/>
        <v>370222</v>
      </c>
    </row>
    <row r="151" spans="1:7" x14ac:dyDescent="0.3">
      <c r="A151" s="433" t="s">
        <v>361</v>
      </c>
      <c r="B151" s="435">
        <f>ROUNDDOWN(AVERAGE(B120:D128),1)</f>
        <v>58.7</v>
      </c>
      <c r="C151" s="435">
        <f>ROUNDDOWN(AVERAGE(E120:G128),1)</f>
        <v>75.900000000000006</v>
      </c>
      <c r="D151" s="432">
        <v>9275</v>
      </c>
      <c r="E151" s="432">
        <v>5951</v>
      </c>
      <c r="F151" s="432">
        <f t="shared" si="0"/>
        <v>544442.5</v>
      </c>
      <c r="G151" s="432">
        <f t="shared" si="0"/>
        <v>451680.9</v>
      </c>
    </row>
    <row r="152" spans="1:7" x14ac:dyDescent="0.3">
      <c r="A152" s="433" t="s">
        <v>362</v>
      </c>
      <c r="B152" s="435">
        <f>ROUNDDOWN(AVERAGE(B132:D136),1)</f>
        <v>0</v>
      </c>
      <c r="C152" s="435">
        <f>ROUNDDOWN(AVERAGE(E132:G136),1)</f>
        <v>74.8</v>
      </c>
      <c r="D152" s="432">
        <v>0</v>
      </c>
      <c r="E152" s="432">
        <v>6019</v>
      </c>
      <c r="F152" s="432">
        <f t="shared" si="0"/>
        <v>0</v>
      </c>
      <c r="G152" s="432">
        <f t="shared" si="0"/>
        <v>450221.2</v>
      </c>
    </row>
    <row r="153" spans="1:7" x14ac:dyDescent="0.3">
      <c r="A153" s="433" t="s">
        <v>166</v>
      </c>
      <c r="B153" s="433"/>
      <c r="C153" s="433"/>
      <c r="D153" s="432">
        <f>SUM(D143:D152)</f>
        <v>89677</v>
      </c>
      <c r="E153" s="432">
        <f>SUM(E143:E152)</f>
        <v>98296</v>
      </c>
      <c r="F153" s="432">
        <f>SUM(F143:F152)</f>
        <v>5065450.1999999993</v>
      </c>
      <c r="G153" s="432">
        <f>SUM(G143:G152)</f>
        <v>7399519.7000000011</v>
      </c>
    </row>
    <row r="154" spans="1:7" x14ac:dyDescent="0.3">
      <c r="A154" s="441"/>
      <c r="B154" s="441"/>
      <c r="C154" s="441"/>
      <c r="D154" s="442"/>
      <c r="E154" s="442"/>
      <c r="F154" s="442"/>
      <c r="G154" s="442"/>
    </row>
    <row r="156" spans="1:7" x14ac:dyDescent="0.3">
      <c r="C156" s="666" t="s">
        <v>167</v>
      </c>
      <c r="D156" s="667"/>
    </row>
    <row r="157" spans="1:7" x14ac:dyDescent="0.3">
      <c r="C157" s="432" t="s">
        <v>164</v>
      </c>
      <c r="D157" s="432" t="s">
        <v>165</v>
      </c>
    </row>
    <row r="158" spans="1:7" x14ac:dyDescent="0.3">
      <c r="C158" s="436">
        <f>ROUNDDOWN(F153/D153,1)</f>
        <v>56.4</v>
      </c>
      <c r="D158" s="437">
        <f>ROUNDDOWN(G153/E153,1)</f>
        <v>75.2</v>
      </c>
    </row>
  </sheetData>
  <mergeCells count="37">
    <mergeCell ref="C156:D156"/>
    <mergeCell ref="B130:D130"/>
    <mergeCell ref="E130:G130"/>
    <mergeCell ref="A141:A142"/>
    <mergeCell ref="B141:C141"/>
    <mergeCell ref="D141:E141"/>
    <mergeCell ref="F141:G141"/>
    <mergeCell ref="A129:G129"/>
    <mergeCell ref="B70:D70"/>
    <mergeCell ref="E70:G70"/>
    <mergeCell ref="A91:G91"/>
    <mergeCell ref="B92:D92"/>
    <mergeCell ref="E92:G92"/>
    <mergeCell ref="A109:G109"/>
    <mergeCell ref="B110:D110"/>
    <mergeCell ref="E110:G110"/>
    <mergeCell ref="A117:G117"/>
    <mergeCell ref="B118:D118"/>
    <mergeCell ref="E118:G118"/>
    <mergeCell ref="A69:G69"/>
    <mergeCell ref="B13:D13"/>
    <mergeCell ref="E13:G13"/>
    <mergeCell ref="A21:G21"/>
    <mergeCell ref="B22:D22"/>
    <mergeCell ref="E22:G22"/>
    <mergeCell ref="A39:G39"/>
    <mergeCell ref="B40:D40"/>
    <mergeCell ref="E40:G40"/>
    <mergeCell ref="A57:G57"/>
    <mergeCell ref="B58:D58"/>
    <mergeCell ref="E58:G58"/>
    <mergeCell ref="A12:G12"/>
    <mergeCell ref="A1:G1"/>
    <mergeCell ref="A2:G2"/>
    <mergeCell ref="A3:G3"/>
    <mergeCell ref="B4:D4"/>
    <mergeCell ref="E4:G4"/>
  </mergeCells>
  <phoneticPr fontId="11" type="noConversion"/>
  <pageMargins left="0.7" right="0.7" top="0.75" bottom="0.75" header="0.3" footer="0.3"/>
  <pageSetup paperSize="9"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A6CF-58FA-4696-A0BE-B61631089171}">
  <dimension ref="A1:I158"/>
  <sheetViews>
    <sheetView zoomScale="80" zoomScaleNormal="80" workbookViewId="0">
      <selection activeCell="E178" sqref="E178"/>
    </sheetView>
  </sheetViews>
  <sheetFormatPr defaultColWidth="8.7265625" defaultRowHeight="14" x14ac:dyDescent="0.3"/>
  <cols>
    <col min="1" max="1" width="22.453125" style="395" customWidth="1"/>
    <col min="2" max="2" width="16.26953125" style="395" bestFit="1" customWidth="1"/>
    <col min="3" max="3" width="22.90625" style="395" bestFit="1" customWidth="1"/>
    <col min="4" max="4" width="22.6328125" style="395" bestFit="1" customWidth="1"/>
    <col min="5" max="5" width="21.453125" style="395" bestFit="1" customWidth="1"/>
    <col min="6" max="6" width="23.453125" style="395" bestFit="1" customWidth="1"/>
    <col min="7" max="7" width="23.08984375" style="395" bestFit="1" customWidth="1"/>
    <col min="8" max="8" width="14.81640625" style="395" customWidth="1"/>
    <col min="9" max="16384" width="8.7265625" style="395"/>
  </cols>
  <sheetData>
    <row r="1" spans="1:9" x14ac:dyDescent="0.3">
      <c r="A1" s="657" t="s">
        <v>322</v>
      </c>
      <c r="B1" s="658"/>
      <c r="C1" s="658"/>
      <c r="D1" s="658"/>
      <c r="E1" s="658"/>
      <c r="F1" s="658"/>
      <c r="G1" s="659"/>
    </row>
    <row r="2" spans="1:9" ht="33" customHeight="1" x14ac:dyDescent="0.3">
      <c r="A2" s="660" t="s">
        <v>387</v>
      </c>
      <c r="B2" s="661"/>
      <c r="C2" s="661"/>
      <c r="D2" s="661"/>
      <c r="E2" s="661"/>
      <c r="F2" s="661"/>
      <c r="G2" s="662"/>
    </row>
    <row r="3" spans="1:9" x14ac:dyDescent="0.3">
      <c r="A3" s="663" t="s">
        <v>353</v>
      </c>
      <c r="B3" s="663"/>
      <c r="C3" s="663"/>
      <c r="D3" s="663"/>
      <c r="E3" s="663"/>
      <c r="F3" s="663"/>
      <c r="G3" s="663"/>
    </row>
    <row r="4" spans="1:9" x14ac:dyDescent="0.3">
      <c r="A4" s="396"/>
      <c r="B4" s="674" t="s">
        <v>364</v>
      </c>
      <c r="C4" s="674"/>
      <c r="D4" s="674"/>
      <c r="E4" s="674" t="s">
        <v>365</v>
      </c>
      <c r="F4" s="674"/>
      <c r="G4" s="674"/>
    </row>
    <row r="5" spans="1:9" x14ac:dyDescent="0.3">
      <c r="A5" s="454" t="s">
        <v>366</v>
      </c>
      <c r="B5" s="433" t="s">
        <v>344</v>
      </c>
      <c r="C5" s="433" t="s">
        <v>345</v>
      </c>
      <c r="D5" s="433" t="s">
        <v>367</v>
      </c>
      <c r="E5" s="433" t="s">
        <v>368</v>
      </c>
      <c r="F5" s="433" t="s">
        <v>369</v>
      </c>
      <c r="G5" s="433" t="s">
        <v>370</v>
      </c>
      <c r="H5" s="440"/>
      <c r="I5" s="441"/>
    </row>
    <row r="6" spans="1:9" x14ac:dyDescent="0.3">
      <c r="A6" s="454">
        <v>1</v>
      </c>
      <c r="B6" s="434">
        <v>0</v>
      </c>
      <c r="C6" s="434">
        <v>0</v>
      </c>
      <c r="D6" s="434">
        <v>0</v>
      </c>
      <c r="E6" s="434">
        <v>25.4</v>
      </c>
      <c r="F6" s="434">
        <v>69.099999999999994</v>
      </c>
      <c r="G6" s="434">
        <v>92.3</v>
      </c>
    </row>
    <row r="7" spans="1:9" x14ac:dyDescent="0.3">
      <c r="A7" s="454">
        <v>2</v>
      </c>
      <c r="B7" s="434"/>
      <c r="C7" s="434"/>
      <c r="D7" s="434"/>
      <c r="E7" s="434">
        <v>39.4</v>
      </c>
      <c r="F7" s="434">
        <v>61.7</v>
      </c>
      <c r="G7" s="434">
        <v>106.9</v>
      </c>
    </row>
    <row r="8" spans="1:9" x14ac:dyDescent="0.3">
      <c r="A8" s="454">
        <v>3</v>
      </c>
      <c r="B8" s="434"/>
      <c r="C8" s="434"/>
      <c r="D8" s="434"/>
      <c r="E8" s="434">
        <v>59.1</v>
      </c>
      <c r="F8" s="434">
        <v>67.8</v>
      </c>
      <c r="G8" s="434">
        <v>110.2</v>
      </c>
    </row>
    <row r="9" spans="1:9" x14ac:dyDescent="0.3">
      <c r="A9" s="454">
        <v>4</v>
      </c>
      <c r="B9" s="434"/>
      <c r="C9" s="434"/>
      <c r="D9" s="434"/>
      <c r="E9" s="434"/>
      <c r="F9" s="434">
        <v>72.099999999999994</v>
      </c>
      <c r="G9" s="434">
        <v>110.6</v>
      </c>
    </row>
    <row r="10" spans="1:9" x14ac:dyDescent="0.3">
      <c r="A10" s="454">
        <v>5</v>
      </c>
      <c r="B10" s="434"/>
      <c r="C10" s="434"/>
      <c r="D10" s="434"/>
      <c r="E10" s="434"/>
      <c r="F10" s="434">
        <v>76.599999999999994</v>
      </c>
      <c r="G10" s="434">
        <v>92.1</v>
      </c>
    </row>
    <row r="11" spans="1:9" x14ac:dyDescent="0.3">
      <c r="A11" s="454">
        <v>6</v>
      </c>
      <c r="B11" s="434"/>
      <c r="C11" s="434"/>
      <c r="D11" s="434"/>
      <c r="E11" s="434"/>
      <c r="F11" s="434"/>
      <c r="G11" s="434">
        <v>97</v>
      </c>
    </row>
    <row r="12" spans="1:9" x14ac:dyDescent="0.3">
      <c r="A12" s="670" t="s">
        <v>354</v>
      </c>
      <c r="B12" s="670"/>
      <c r="C12" s="670"/>
      <c r="D12" s="670"/>
      <c r="E12" s="670"/>
      <c r="F12" s="670"/>
      <c r="G12" s="670"/>
    </row>
    <row r="13" spans="1:9" x14ac:dyDescent="0.3">
      <c r="A13" s="396"/>
      <c r="B13" s="674" t="s">
        <v>364</v>
      </c>
      <c r="C13" s="674"/>
      <c r="D13" s="674"/>
      <c r="E13" s="674" t="s">
        <v>365</v>
      </c>
      <c r="F13" s="674"/>
      <c r="G13" s="674"/>
    </row>
    <row r="14" spans="1:9" x14ac:dyDescent="0.3">
      <c r="A14" s="454" t="s">
        <v>366</v>
      </c>
      <c r="B14" s="433" t="s">
        <v>344</v>
      </c>
      <c r="C14" s="433" t="s">
        <v>345</v>
      </c>
      <c r="D14" s="433" t="s">
        <v>367</v>
      </c>
      <c r="E14" s="433" t="s">
        <v>368</v>
      </c>
      <c r="F14" s="433" t="s">
        <v>369</v>
      </c>
      <c r="G14" s="433" t="s">
        <v>370</v>
      </c>
    </row>
    <row r="15" spans="1:9" x14ac:dyDescent="0.3">
      <c r="A15" s="454">
        <v>1</v>
      </c>
      <c r="B15" s="434">
        <v>0</v>
      </c>
      <c r="C15" s="434">
        <v>0</v>
      </c>
      <c r="D15" s="434">
        <v>0</v>
      </c>
      <c r="E15" s="434">
        <v>53.5</v>
      </c>
      <c r="F15" s="434">
        <v>77.8</v>
      </c>
      <c r="G15" s="434">
        <v>113.9</v>
      </c>
    </row>
    <row r="16" spans="1:9" x14ac:dyDescent="0.3">
      <c r="A16" s="454">
        <v>2</v>
      </c>
      <c r="B16" s="434"/>
      <c r="C16" s="434"/>
      <c r="D16" s="434"/>
      <c r="E16" s="434">
        <v>34.1</v>
      </c>
      <c r="F16" s="434">
        <v>76.2</v>
      </c>
      <c r="G16" s="434">
        <v>119.5</v>
      </c>
    </row>
    <row r="17" spans="1:7" x14ac:dyDescent="0.3">
      <c r="A17" s="454">
        <v>3</v>
      </c>
      <c r="B17" s="434"/>
      <c r="C17" s="434"/>
      <c r="D17" s="434"/>
      <c r="E17" s="434">
        <v>36.4</v>
      </c>
      <c r="F17" s="434">
        <v>70.7</v>
      </c>
      <c r="G17" s="434">
        <v>115.3</v>
      </c>
    </row>
    <row r="18" spans="1:7" x14ac:dyDescent="0.3">
      <c r="A18" s="454">
        <v>4</v>
      </c>
      <c r="B18" s="434"/>
      <c r="C18" s="434"/>
      <c r="D18" s="434"/>
      <c r="E18" s="434">
        <v>47.2</v>
      </c>
      <c r="F18" s="434">
        <v>63.7</v>
      </c>
      <c r="G18" s="434">
        <v>105.9</v>
      </c>
    </row>
    <row r="19" spans="1:7" x14ac:dyDescent="0.3">
      <c r="A19" s="454">
        <v>5</v>
      </c>
      <c r="B19" s="434"/>
      <c r="C19" s="434"/>
      <c r="D19" s="434"/>
      <c r="E19" s="434"/>
      <c r="F19" s="434">
        <v>65.099999999999994</v>
      </c>
      <c r="G19" s="434">
        <v>80.2</v>
      </c>
    </row>
    <row r="20" spans="1:7" x14ac:dyDescent="0.3">
      <c r="A20" s="454">
        <v>6</v>
      </c>
      <c r="B20" s="434"/>
      <c r="C20" s="434"/>
      <c r="D20" s="434"/>
      <c r="E20" s="434"/>
      <c r="F20" s="434">
        <v>76.900000000000006</v>
      </c>
      <c r="G20" s="434">
        <v>94.1</v>
      </c>
    </row>
    <row r="21" spans="1:7" x14ac:dyDescent="0.3">
      <c r="A21" s="663" t="s">
        <v>355</v>
      </c>
      <c r="B21" s="663"/>
      <c r="C21" s="663"/>
      <c r="D21" s="663"/>
      <c r="E21" s="663"/>
      <c r="F21" s="663"/>
      <c r="G21" s="663"/>
    </row>
    <row r="22" spans="1:7" x14ac:dyDescent="0.3">
      <c r="A22" s="396"/>
      <c r="B22" s="674" t="s">
        <v>364</v>
      </c>
      <c r="C22" s="674"/>
      <c r="D22" s="674"/>
      <c r="E22" s="674" t="s">
        <v>365</v>
      </c>
      <c r="F22" s="674"/>
      <c r="G22" s="674"/>
    </row>
    <row r="23" spans="1:7" x14ac:dyDescent="0.3">
      <c r="A23" s="454" t="s">
        <v>366</v>
      </c>
      <c r="B23" s="433" t="s">
        <v>344</v>
      </c>
      <c r="C23" s="433" t="s">
        <v>345</v>
      </c>
      <c r="D23" s="433" t="s">
        <v>367</v>
      </c>
      <c r="E23" s="433" t="s">
        <v>368</v>
      </c>
      <c r="F23" s="433" t="s">
        <v>369</v>
      </c>
      <c r="G23" s="433" t="s">
        <v>370</v>
      </c>
    </row>
    <row r="24" spans="1:7" x14ac:dyDescent="0.3">
      <c r="A24" s="454">
        <v>1</v>
      </c>
      <c r="B24" s="434">
        <v>23.5</v>
      </c>
      <c r="C24" s="434">
        <v>53.1</v>
      </c>
      <c r="D24" s="434">
        <v>73.599999999999994</v>
      </c>
      <c r="E24" s="434">
        <v>27.2</v>
      </c>
      <c r="F24" s="434">
        <v>66</v>
      </c>
      <c r="G24" s="434">
        <v>106.2</v>
      </c>
    </row>
    <row r="25" spans="1:7" x14ac:dyDescent="0.3">
      <c r="A25" s="454">
        <v>2</v>
      </c>
      <c r="B25" s="434">
        <v>35.4</v>
      </c>
      <c r="C25" s="434">
        <v>54.4</v>
      </c>
      <c r="D25" s="434">
        <v>73</v>
      </c>
      <c r="E25" s="434">
        <v>38.200000000000003</v>
      </c>
      <c r="F25" s="434">
        <v>74.099999999999994</v>
      </c>
      <c r="G25" s="434">
        <v>82.5</v>
      </c>
    </row>
    <row r="26" spans="1:7" x14ac:dyDescent="0.3">
      <c r="A26" s="454">
        <v>3</v>
      </c>
      <c r="B26" s="434">
        <v>31.4</v>
      </c>
      <c r="C26" s="434">
        <v>52</v>
      </c>
      <c r="D26" s="434">
        <v>93</v>
      </c>
      <c r="E26" s="434">
        <v>47.8</v>
      </c>
      <c r="F26" s="434">
        <v>75</v>
      </c>
      <c r="G26" s="434">
        <v>105.5</v>
      </c>
    </row>
    <row r="27" spans="1:7" x14ac:dyDescent="0.3">
      <c r="A27" s="454">
        <v>4</v>
      </c>
      <c r="B27" s="434">
        <v>35.799999999999997</v>
      </c>
      <c r="C27" s="434">
        <v>41.9</v>
      </c>
      <c r="D27" s="434">
        <v>76.2</v>
      </c>
      <c r="E27" s="434">
        <v>27.8</v>
      </c>
      <c r="F27" s="434">
        <v>68.7</v>
      </c>
      <c r="G27" s="434">
        <v>112.8</v>
      </c>
    </row>
    <row r="28" spans="1:7" x14ac:dyDescent="0.3">
      <c r="A28" s="454">
        <v>5</v>
      </c>
      <c r="B28" s="434">
        <v>25.9</v>
      </c>
      <c r="C28" s="434">
        <v>37.200000000000003</v>
      </c>
      <c r="D28" s="434">
        <v>103</v>
      </c>
      <c r="E28" s="434">
        <v>29.9</v>
      </c>
      <c r="F28" s="434">
        <v>72.8</v>
      </c>
      <c r="G28" s="434">
        <v>100.9</v>
      </c>
    </row>
    <row r="29" spans="1:7" x14ac:dyDescent="0.3">
      <c r="A29" s="454">
        <v>6</v>
      </c>
      <c r="B29" s="434">
        <v>32.6</v>
      </c>
      <c r="C29" s="434">
        <v>68.3</v>
      </c>
      <c r="D29" s="434">
        <v>90</v>
      </c>
      <c r="E29" s="434">
        <v>47</v>
      </c>
      <c r="F29" s="434">
        <v>64.400000000000006</v>
      </c>
      <c r="G29" s="434">
        <v>103.7</v>
      </c>
    </row>
    <row r="30" spans="1:7" x14ac:dyDescent="0.3">
      <c r="A30" s="454">
        <v>7</v>
      </c>
      <c r="B30" s="434">
        <v>23.4</v>
      </c>
      <c r="C30" s="434">
        <v>64.099999999999994</v>
      </c>
      <c r="D30" s="434">
        <v>77.2</v>
      </c>
      <c r="E30" s="434">
        <v>33.200000000000003</v>
      </c>
      <c r="F30" s="434">
        <v>72</v>
      </c>
      <c r="G30" s="434">
        <v>94.4</v>
      </c>
    </row>
    <row r="31" spans="1:7" x14ac:dyDescent="0.3">
      <c r="A31" s="454">
        <v>8</v>
      </c>
      <c r="B31" s="434">
        <v>35.6</v>
      </c>
      <c r="C31" s="434">
        <v>62.7</v>
      </c>
      <c r="D31" s="434">
        <v>80</v>
      </c>
      <c r="E31" s="434"/>
      <c r="F31" s="434">
        <v>65.599999999999994</v>
      </c>
      <c r="G31" s="434">
        <v>104.7</v>
      </c>
    </row>
    <row r="32" spans="1:7" x14ac:dyDescent="0.3">
      <c r="A32" s="454">
        <v>9</v>
      </c>
      <c r="B32" s="434">
        <v>25.5</v>
      </c>
      <c r="C32" s="434">
        <v>63.3</v>
      </c>
      <c r="D32" s="434">
        <v>103</v>
      </c>
      <c r="E32" s="434"/>
      <c r="F32" s="434">
        <v>70.099999999999994</v>
      </c>
      <c r="G32" s="434">
        <v>100.5</v>
      </c>
    </row>
    <row r="33" spans="1:7" x14ac:dyDescent="0.3">
      <c r="A33" s="454">
        <v>10</v>
      </c>
      <c r="B33" s="434">
        <v>28.2</v>
      </c>
      <c r="C33" s="434">
        <v>62.3</v>
      </c>
      <c r="D33" s="434">
        <v>102.6</v>
      </c>
      <c r="E33" s="434"/>
      <c r="F33" s="434">
        <v>75.5</v>
      </c>
      <c r="G33" s="434">
        <v>100.9</v>
      </c>
    </row>
    <row r="34" spans="1:7" x14ac:dyDescent="0.3">
      <c r="A34" s="454">
        <v>11</v>
      </c>
      <c r="B34" s="434">
        <v>22.1</v>
      </c>
      <c r="C34" s="434">
        <v>53.9</v>
      </c>
      <c r="D34" s="434">
        <v>87.2</v>
      </c>
      <c r="E34" s="434"/>
      <c r="F34" s="434">
        <v>75.7</v>
      </c>
      <c r="G34" s="434">
        <v>100.2</v>
      </c>
    </row>
    <row r="35" spans="1:7" x14ac:dyDescent="0.3">
      <c r="A35" s="454">
        <v>12</v>
      </c>
      <c r="B35" s="434">
        <v>32.299999999999997</v>
      </c>
      <c r="C35" s="434">
        <v>61</v>
      </c>
      <c r="D35" s="434">
        <v>77.3</v>
      </c>
      <c r="E35" s="434"/>
      <c r="F35" s="434"/>
      <c r="G35" s="434">
        <v>111.3</v>
      </c>
    </row>
    <row r="36" spans="1:7" x14ac:dyDescent="0.3">
      <c r="A36" s="454">
        <v>13</v>
      </c>
      <c r="B36" s="434">
        <v>24.4</v>
      </c>
      <c r="C36" s="434">
        <v>48.4</v>
      </c>
      <c r="D36" s="434">
        <v>102.4</v>
      </c>
      <c r="E36" s="434"/>
      <c r="F36" s="434"/>
      <c r="G36" s="434"/>
    </row>
    <row r="37" spans="1:7" x14ac:dyDescent="0.3">
      <c r="A37" s="454">
        <v>14</v>
      </c>
      <c r="B37" s="434"/>
      <c r="C37" s="434">
        <v>51.2</v>
      </c>
      <c r="D37" s="434">
        <v>91.7</v>
      </c>
      <c r="E37" s="434"/>
      <c r="F37" s="434"/>
      <c r="G37" s="434"/>
    </row>
    <row r="38" spans="1:7" x14ac:dyDescent="0.3">
      <c r="A38" s="454">
        <v>15</v>
      </c>
      <c r="B38" s="434"/>
      <c r="C38" s="434">
        <v>44.9</v>
      </c>
      <c r="D38" s="434">
        <v>78</v>
      </c>
      <c r="E38" s="434"/>
      <c r="F38" s="434"/>
      <c r="G38" s="434"/>
    </row>
    <row r="39" spans="1:7" x14ac:dyDescent="0.3">
      <c r="A39" s="670" t="s">
        <v>356</v>
      </c>
      <c r="B39" s="670"/>
      <c r="C39" s="670"/>
      <c r="D39" s="663"/>
      <c r="E39" s="670"/>
      <c r="F39" s="670"/>
      <c r="G39" s="670"/>
    </row>
    <row r="40" spans="1:7" x14ac:dyDescent="0.3">
      <c r="A40" s="396"/>
      <c r="B40" s="674" t="s">
        <v>364</v>
      </c>
      <c r="C40" s="674"/>
      <c r="D40" s="674"/>
      <c r="E40" s="674" t="s">
        <v>365</v>
      </c>
      <c r="F40" s="674"/>
      <c r="G40" s="674"/>
    </row>
    <row r="41" spans="1:7" x14ac:dyDescent="0.3">
      <c r="A41" s="454" t="s">
        <v>366</v>
      </c>
      <c r="B41" s="433" t="s">
        <v>344</v>
      </c>
      <c r="C41" s="433" t="s">
        <v>345</v>
      </c>
      <c r="D41" s="433" t="s">
        <v>367</v>
      </c>
      <c r="E41" s="433" t="s">
        <v>368</v>
      </c>
      <c r="F41" s="433" t="s">
        <v>369</v>
      </c>
      <c r="G41" s="433" t="s">
        <v>370</v>
      </c>
    </row>
    <row r="42" spans="1:7" x14ac:dyDescent="0.3">
      <c r="A42" s="454">
        <v>1</v>
      </c>
      <c r="B42" s="434">
        <v>20.5</v>
      </c>
      <c r="C42" s="434">
        <v>37</v>
      </c>
      <c r="D42" s="434">
        <v>90.2</v>
      </c>
      <c r="E42" s="434">
        <v>28.7</v>
      </c>
      <c r="F42" s="434">
        <v>72.5</v>
      </c>
      <c r="G42" s="434">
        <v>90.8</v>
      </c>
    </row>
    <row r="43" spans="1:7" x14ac:dyDescent="0.3">
      <c r="A43" s="454">
        <v>2</v>
      </c>
      <c r="B43" s="434">
        <v>32.200000000000003</v>
      </c>
      <c r="C43" s="434">
        <v>39.4</v>
      </c>
      <c r="D43" s="434">
        <v>95.7</v>
      </c>
      <c r="E43" s="434">
        <v>40.799999999999997</v>
      </c>
      <c r="F43" s="434">
        <v>63.2</v>
      </c>
      <c r="G43" s="434">
        <v>106.8</v>
      </c>
    </row>
    <row r="44" spans="1:7" x14ac:dyDescent="0.3">
      <c r="A44" s="454">
        <v>3</v>
      </c>
      <c r="B44" s="434">
        <v>24.7</v>
      </c>
      <c r="C44" s="434">
        <v>44</v>
      </c>
      <c r="D44" s="434">
        <v>92</v>
      </c>
      <c r="E44" s="434">
        <v>27</v>
      </c>
      <c r="F44" s="434">
        <v>60.2</v>
      </c>
      <c r="G44" s="434">
        <v>116.1</v>
      </c>
    </row>
    <row r="45" spans="1:7" x14ac:dyDescent="0.3">
      <c r="A45" s="454">
        <v>4</v>
      </c>
      <c r="B45" s="434">
        <v>24.4</v>
      </c>
      <c r="C45" s="434">
        <v>41.7</v>
      </c>
      <c r="D45" s="434">
        <v>87.9</v>
      </c>
      <c r="E45" s="434">
        <v>56</v>
      </c>
      <c r="F45" s="434">
        <v>71.7</v>
      </c>
      <c r="G45" s="434">
        <v>93.1</v>
      </c>
    </row>
    <row r="46" spans="1:7" x14ac:dyDescent="0.3">
      <c r="A46" s="454">
        <v>5</v>
      </c>
      <c r="B46" s="434">
        <v>21.7</v>
      </c>
      <c r="C46" s="434">
        <v>56.9</v>
      </c>
      <c r="D46" s="434">
        <v>94.3</v>
      </c>
      <c r="E46" s="434">
        <v>31.3</v>
      </c>
      <c r="F46" s="434">
        <v>68</v>
      </c>
      <c r="G46" s="434">
        <v>100.7</v>
      </c>
    </row>
    <row r="47" spans="1:7" x14ac:dyDescent="0.3">
      <c r="A47" s="454">
        <v>6</v>
      </c>
      <c r="B47" s="434">
        <v>20.8</v>
      </c>
      <c r="C47" s="434">
        <v>37</v>
      </c>
      <c r="D47" s="434">
        <v>95.8</v>
      </c>
      <c r="E47" s="434">
        <v>31.7</v>
      </c>
      <c r="F47" s="434">
        <v>72.599999999999994</v>
      </c>
      <c r="G47" s="434">
        <v>104.4</v>
      </c>
    </row>
    <row r="48" spans="1:7" x14ac:dyDescent="0.3">
      <c r="A48" s="454">
        <v>7</v>
      </c>
      <c r="B48" s="434">
        <v>29.6</v>
      </c>
      <c r="C48" s="434">
        <v>37.6</v>
      </c>
      <c r="D48" s="434">
        <v>84.2</v>
      </c>
      <c r="E48" s="434">
        <v>27.7</v>
      </c>
      <c r="F48" s="434">
        <v>79.5</v>
      </c>
      <c r="G48" s="434">
        <v>106.9</v>
      </c>
    </row>
    <row r="49" spans="1:7" x14ac:dyDescent="0.3">
      <c r="A49" s="454">
        <v>8</v>
      </c>
      <c r="B49" s="434">
        <v>22.9</v>
      </c>
      <c r="C49" s="434">
        <v>43.3</v>
      </c>
      <c r="D49" s="434">
        <v>76.400000000000006</v>
      </c>
      <c r="E49" s="434"/>
      <c r="F49" s="434">
        <v>64.400000000000006</v>
      </c>
      <c r="G49" s="434">
        <v>99.6</v>
      </c>
    </row>
    <row r="50" spans="1:7" x14ac:dyDescent="0.3">
      <c r="A50" s="454">
        <v>9</v>
      </c>
      <c r="B50" s="434">
        <v>21.9</v>
      </c>
      <c r="C50" s="434">
        <v>67.8</v>
      </c>
      <c r="D50" s="434">
        <v>87.2</v>
      </c>
      <c r="E50" s="434"/>
      <c r="F50" s="434">
        <v>61.1</v>
      </c>
      <c r="G50" s="434">
        <v>101</v>
      </c>
    </row>
    <row r="51" spans="1:7" x14ac:dyDescent="0.3">
      <c r="A51" s="454">
        <v>10</v>
      </c>
      <c r="B51" s="434">
        <v>33.1</v>
      </c>
      <c r="C51" s="434">
        <v>46.2</v>
      </c>
      <c r="D51" s="434">
        <v>88.2</v>
      </c>
      <c r="E51" s="434"/>
      <c r="F51" s="434">
        <v>62</v>
      </c>
      <c r="G51" s="434">
        <v>95</v>
      </c>
    </row>
    <row r="52" spans="1:7" x14ac:dyDescent="0.3">
      <c r="A52" s="454">
        <v>11</v>
      </c>
      <c r="B52" s="434">
        <v>21.4</v>
      </c>
      <c r="C52" s="434">
        <v>64.5</v>
      </c>
      <c r="D52" s="434">
        <v>95.4</v>
      </c>
      <c r="E52" s="434"/>
      <c r="F52" s="434">
        <v>73.5</v>
      </c>
      <c r="G52" s="434">
        <v>113.7</v>
      </c>
    </row>
    <row r="53" spans="1:7" x14ac:dyDescent="0.3">
      <c r="A53" s="454">
        <v>12</v>
      </c>
      <c r="B53" s="434">
        <v>25.9</v>
      </c>
      <c r="C53" s="434">
        <v>41.8</v>
      </c>
      <c r="D53" s="434">
        <v>91.3</v>
      </c>
      <c r="E53" s="434"/>
      <c r="F53" s="434">
        <v>70</v>
      </c>
      <c r="G53" s="434">
        <v>106.6</v>
      </c>
    </row>
    <row r="54" spans="1:7" x14ac:dyDescent="0.3">
      <c r="A54" s="454">
        <v>13</v>
      </c>
      <c r="B54" s="434">
        <v>29.2</v>
      </c>
      <c r="C54" s="434">
        <v>38.5</v>
      </c>
      <c r="D54" s="434">
        <v>86</v>
      </c>
      <c r="E54" s="434"/>
      <c r="F54" s="434"/>
      <c r="G54" s="434">
        <v>101.5</v>
      </c>
    </row>
    <row r="55" spans="1:7" x14ac:dyDescent="0.3">
      <c r="A55" s="454">
        <v>14</v>
      </c>
      <c r="B55" s="434">
        <v>29.2</v>
      </c>
      <c r="C55" s="434">
        <v>42.8</v>
      </c>
      <c r="D55" s="434">
        <v>81</v>
      </c>
      <c r="E55" s="434"/>
      <c r="F55" s="434"/>
      <c r="G55" s="434">
        <v>105.8</v>
      </c>
    </row>
    <row r="56" spans="1:7" x14ac:dyDescent="0.3">
      <c r="A56" s="454">
        <v>15</v>
      </c>
      <c r="B56" s="434"/>
      <c r="C56" s="434"/>
      <c r="D56" s="434">
        <v>73.7</v>
      </c>
      <c r="E56" s="434"/>
      <c r="F56" s="434"/>
      <c r="G56" s="434"/>
    </row>
    <row r="57" spans="1:7" x14ac:dyDescent="0.3">
      <c r="A57" s="670" t="s">
        <v>357</v>
      </c>
      <c r="B57" s="670"/>
      <c r="C57" s="670"/>
      <c r="D57" s="663"/>
      <c r="E57" s="670"/>
      <c r="F57" s="670"/>
      <c r="G57" s="670"/>
    </row>
    <row r="58" spans="1:7" x14ac:dyDescent="0.3">
      <c r="A58" s="396"/>
      <c r="B58" s="674" t="s">
        <v>364</v>
      </c>
      <c r="C58" s="674"/>
      <c r="D58" s="674"/>
      <c r="E58" s="674" t="s">
        <v>365</v>
      </c>
      <c r="F58" s="674"/>
      <c r="G58" s="674"/>
    </row>
    <row r="59" spans="1:7" x14ac:dyDescent="0.3">
      <c r="A59" s="454" t="s">
        <v>366</v>
      </c>
      <c r="B59" s="433" t="s">
        <v>344</v>
      </c>
      <c r="C59" s="433" t="s">
        <v>345</v>
      </c>
      <c r="D59" s="433" t="s">
        <v>367</v>
      </c>
      <c r="E59" s="433" t="s">
        <v>368</v>
      </c>
      <c r="F59" s="433" t="s">
        <v>369</v>
      </c>
      <c r="G59" s="433" t="s">
        <v>370</v>
      </c>
    </row>
    <row r="60" spans="1:7" x14ac:dyDescent="0.3">
      <c r="A60" s="454">
        <v>1</v>
      </c>
      <c r="B60" s="434">
        <v>30.5</v>
      </c>
      <c r="C60" s="434">
        <v>65.599999999999994</v>
      </c>
      <c r="D60" s="434">
        <v>100.4</v>
      </c>
      <c r="E60" s="434">
        <v>48.5</v>
      </c>
      <c r="F60" s="434">
        <v>70.8</v>
      </c>
      <c r="G60" s="434">
        <v>90.4</v>
      </c>
    </row>
    <row r="61" spans="1:7" x14ac:dyDescent="0.3">
      <c r="A61" s="454">
        <v>2</v>
      </c>
      <c r="B61" s="434">
        <v>33.700000000000003</v>
      </c>
      <c r="C61" s="434">
        <v>37.799999999999997</v>
      </c>
      <c r="D61" s="434">
        <v>95.1</v>
      </c>
      <c r="E61" s="434">
        <v>44.1</v>
      </c>
      <c r="F61" s="434">
        <v>67.400000000000006</v>
      </c>
      <c r="G61" s="434">
        <v>90.1</v>
      </c>
    </row>
    <row r="62" spans="1:7" x14ac:dyDescent="0.3">
      <c r="A62" s="454">
        <v>3</v>
      </c>
      <c r="B62" s="434">
        <v>19</v>
      </c>
      <c r="C62" s="434">
        <v>42.3</v>
      </c>
      <c r="D62" s="434">
        <v>92.1</v>
      </c>
      <c r="E62" s="434">
        <v>32.9</v>
      </c>
      <c r="F62" s="434">
        <v>77.8</v>
      </c>
      <c r="G62" s="434">
        <v>98.4</v>
      </c>
    </row>
    <row r="63" spans="1:7" x14ac:dyDescent="0.3">
      <c r="A63" s="454">
        <v>4</v>
      </c>
      <c r="B63" s="434">
        <v>34.799999999999997</v>
      </c>
      <c r="C63" s="434">
        <v>54.5</v>
      </c>
      <c r="D63" s="434">
        <v>69.7</v>
      </c>
      <c r="E63" s="434">
        <v>29.6</v>
      </c>
      <c r="F63" s="434">
        <v>67.5</v>
      </c>
      <c r="G63" s="434">
        <v>83.4</v>
      </c>
    </row>
    <row r="64" spans="1:7" x14ac:dyDescent="0.3">
      <c r="A64" s="454">
        <v>5</v>
      </c>
      <c r="B64" s="434">
        <v>22.4</v>
      </c>
      <c r="C64" s="434">
        <v>57</v>
      </c>
      <c r="D64" s="434">
        <v>85</v>
      </c>
      <c r="E64" s="434"/>
      <c r="F64" s="434">
        <v>71.900000000000006</v>
      </c>
      <c r="G64" s="434">
        <v>119.7</v>
      </c>
    </row>
    <row r="65" spans="1:7" x14ac:dyDescent="0.3">
      <c r="A65" s="454">
        <v>6</v>
      </c>
      <c r="B65" s="434">
        <v>24.7</v>
      </c>
      <c r="C65" s="434">
        <v>46.2</v>
      </c>
      <c r="D65" s="434">
        <v>85.9</v>
      </c>
      <c r="E65" s="434"/>
      <c r="F65" s="434"/>
      <c r="G65" s="434">
        <v>94.1</v>
      </c>
    </row>
    <row r="66" spans="1:7" x14ac:dyDescent="0.3">
      <c r="A66" s="454">
        <v>7</v>
      </c>
      <c r="B66" s="434">
        <v>18.5</v>
      </c>
      <c r="C66" s="434">
        <v>45.8</v>
      </c>
      <c r="D66" s="434">
        <v>89</v>
      </c>
      <c r="E66" s="434"/>
      <c r="F66" s="434"/>
      <c r="G66" s="434"/>
    </row>
    <row r="67" spans="1:7" x14ac:dyDescent="0.3">
      <c r="A67" s="454">
        <v>8</v>
      </c>
      <c r="B67" s="434">
        <v>26.4</v>
      </c>
      <c r="C67" s="434">
        <v>60.3</v>
      </c>
      <c r="D67" s="434">
        <v>89.7</v>
      </c>
      <c r="E67" s="434"/>
      <c r="F67" s="434"/>
      <c r="G67" s="434"/>
    </row>
    <row r="68" spans="1:7" x14ac:dyDescent="0.3">
      <c r="A68" s="454">
        <v>9</v>
      </c>
      <c r="B68" s="434">
        <v>26.5</v>
      </c>
      <c r="C68" s="434"/>
      <c r="D68" s="434">
        <v>86.9</v>
      </c>
      <c r="E68" s="433"/>
      <c r="F68" s="434"/>
      <c r="G68" s="434"/>
    </row>
    <row r="69" spans="1:7" x14ac:dyDescent="0.3">
      <c r="A69" s="670" t="s">
        <v>358</v>
      </c>
      <c r="B69" s="670"/>
      <c r="C69" s="670"/>
      <c r="D69" s="663"/>
      <c r="E69" s="670"/>
      <c r="F69" s="670"/>
      <c r="G69" s="670"/>
    </row>
    <row r="70" spans="1:7" x14ac:dyDescent="0.3">
      <c r="A70" s="396"/>
      <c r="B70" s="674" t="s">
        <v>364</v>
      </c>
      <c r="C70" s="674"/>
      <c r="D70" s="674"/>
      <c r="E70" s="674" t="s">
        <v>365</v>
      </c>
      <c r="F70" s="674"/>
      <c r="G70" s="674"/>
    </row>
    <row r="71" spans="1:7" x14ac:dyDescent="0.3">
      <c r="A71" s="454" t="s">
        <v>366</v>
      </c>
      <c r="B71" s="433" t="s">
        <v>344</v>
      </c>
      <c r="C71" s="433" t="s">
        <v>345</v>
      </c>
      <c r="D71" s="433" t="s">
        <v>367</v>
      </c>
      <c r="E71" s="433" t="s">
        <v>368</v>
      </c>
      <c r="F71" s="433" t="s">
        <v>369</v>
      </c>
      <c r="G71" s="433" t="s">
        <v>370</v>
      </c>
    </row>
    <row r="72" spans="1:7" x14ac:dyDescent="0.3">
      <c r="A72" s="454">
        <v>1</v>
      </c>
      <c r="B72" s="434">
        <v>27.5</v>
      </c>
      <c r="C72" s="434">
        <v>67.3</v>
      </c>
      <c r="D72" s="434">
        <v>76.5</v>
      </c>
      <c r="E72" s="434">
        <v>43.2</v>
      </c>
      <c r="F72" s="434">
        <v>67.8</v>
      </c>
      <c r="G72" s="434">
        <v>93.4</v>
      </c>
    </row>
    <row r="73" spans="1:7" x14ac:dyDescent="0.3">
      <c r="A73" s="454">
        <v>2</v>
      </c>
      <c r="B73" s="434">
        <v>35.9</v>
      </c>
      <c r="C73" s="434">
        <v>68.099999999999994</v>
      </c>
      <c r="D73" s="434">
        <v>86.2</v>
      </c>
      <c r="E73" s="434">
        <v>25.2</v>
      </c>
      <c r="F73" s="434">
        <v>75.400000000000006</v>
      </c>
      <c r="G73" s="434">
        <v>89.1</v>
      </c>
    </row>
    <row r="74" spans="1:7" x14ac:dyDescent="0.3">
      <c r="A74" s="454">
        <v>3</v>
      </c>
      <c r="B74" s="434">
        <v>17.600000000000001</v>
      </c>
      <c r="C74" s="434">
        <v>37.4</v>
      </c>
      <c r="D74" s="434">
        <v>74.8</v>
      </c>
      <c r="E74" s="434">
        <v>58.6</v>
      </c>
      <c r="F74" s="434">
        <v>72.5</v>
      </c>
      <c r="G74" s="434">
        <v>102.7</v>
      </c>
    </row>
    <row r="75" spans="1:7" x14ac:dyDescent="0.3">
      <c r="A75" s="454">
        <v>4</v>
      </c>
      <c r="B75" s="434">
        <v>23.3</v>
      </c>
      <c r="C75" s="434">
        <v>43.6</v>
      </c>
      <c r="D75" s="434">
        <v>74.3</v>
      </c>
      <c r="E75" s="434">
        <v>29.7</v>
      </c>
      <c r="F75" s="434">
        <v>66.099999999999994</v>
      </c>
      <c r="G75" s="434">
        <v>82</v>
      </c>
    </row>
    <row r="76" spans="1:7" x14ac:dyDescent="0.3">
      <c r="A76" s="454">
        <v>5</v>
      </c>
      <c r="B76" s="434">
        <v>31.5</v>
      </c>
      <c r="C76" s="434">
        <v>47.3</v>
      </c>
      <c r="D76" s="434">
        <v>99.6</v>
      </c>
      <c r="E76" s="434">
        <v>25.5</v>
      </c>
      <c r="F76" s="434">
        <v>62.1</v>
      </c>
      <c r="G76" s="434">
        <v>117.7</v>
      </c>
    </row>
    <row r="77" spans="1:7" x14ac:dyDescent="0.3">
      <c r="A77" s="454">
        <v>6</v>
      </c>
      <c r="B77" s="434">
        <v>25</v>
      </c>
      <c r="C77" s="434">
        <v>57.8</v>
      </c>
      <c r="D77" s="434">
        <v>77.8</v>
      </c>
      <c r="E77" s="434">
        <v>59.7</v>
      </c>
      <c r="F77" s="434">
        <v>76.5</v>
      </c>
      <c r="G77" s="434">
        <v>117</v>
      </c>
    </row>
    <row r="78" spans="1:7" x14ac:dyDescent="0.3">
      <c r="A78" s="454">
        <v>7</v>
      </c>
      <c r="B78" s="434">
        <v>27.6</v>
      </c>
      <c r="C78" s="434">
        <v>63.6</v>
      </c>
      <c r="D78" s="434">
        <v>98.8</v>
      </c>
      <c r="E78" s="434">
        <v>39.700000000000003</v>
      </c>
      <c r="F78" s="434">
        <v>75.7</v>
      </c>
      <c r="G78" s="434">
        <v>100.6</v>
      </c>
    </row>
    <row r="79" spans="1:7" x14ac:dyDescent="0.3">
      <c r="A79" s="454">
        <v>8</v>
      </c>
      <c r="B79" s="434">
        <v>29.9</v>
      </c>
      <c r="C79" s="434">
        <v>65</v>
      </c>
      <c r="D79" s="434">
        <v>88.5</v>
      </c>
      <c r="E79" s="434">
        <v>56</v>
      </c>
      <c r="F79" s="434">
        <v>62</v>
      </c>
      <c r="G79" s="434">
        <v>83</v>
      </c>
    </row>
    <row r="80" spans="1:7" x14ac:dyDescent="0.3">
      <c r="A80" s="454">
        <v>9</v>
      </c>
      <c r="B80" s="434">
        <v>29.4</v>
      </c>
      <c r="C80" s="434">
        <v>44.8</v>
      </c>
      <c r="D80" s="434">
        <v>89.5</v>
      </c>
      <c r="E80" s="434">
        <v>54.8</v>
      </c>
      <c r="F80" s="434">
        <v>61.3</v>
      </c>
      <c r="G80" s="434">
        <v>107.7</v>
      </c>
    </row>
    <row r="81" spans="1:7" x14ac:dyDescent="0.3">
      <c r="A81" s="454">
        <v>10</v>
      </c>
      <c r="B81" s="434">
        <v>24.1</v>
      </c>
      <c r="C81" s="434">
        <v>60.9</v>
      </c>
      <c r="D81" s="434">
        <v>96.3</v>
      </c>
      <c r="E81" s="434">
        <v>59.4</v>
      </c>
      <c r="F81" s="434">
        <v>61.2</v>
      </c>
      <c r="G81" s="434">
        <v>98.6</v>
      </c>
    </row>
    <row r="82" spans="1:7" x14ac:dyDescent="0.3">
      <c r="A82" s="454">
        <v>11</v>
      </c>
      <c r="B82" s="434">
        <v>17.8</v>
      </c>
      <c r="C82" s="434">
        <v>53.6</v>
      </c>
      <c r="D82" s="434">
        <v>96.9</v>
      </c>
      <c r="E82" s="434"/>
      <c r="F82" s="434">
        <v>66.599999999999994</v>
      </c>
      <c r="G82" s="434">
        <v>94.3</v>
      </c>
    </row>
    <row r="83" spans="1:7" x14ac:dyDescent="0.3">
      <c r="A83" s="454">
        <v>12</v>
      </c>
      <c r="B83" s="434">
        <v>32.6</v>
      </c>
      <c r="C83" s="434">
        <v>44.4</v>
      </c>
      <c r="D83" s="434">
        <v>79.7</v>
      </c>
      <c r="E83" s="434"/>
      <c r="F83" s="434">
        <v>60.5</v>
      </c>
      <c r="G83" s="434">
        <v>87.2</v>
      </c>
    </row>
    <row r="84" spans="1:7" x14ac:dyDescent="0.3">
      <c r="A84" s="454">
        <v>13</v>
      </c>
      <c r="B84" s="434">
        <v>23.1</v>
      </c>
      <c r="C84" s="434">
        <v>44.6</v>
      </c>
      <c r="D84" s="434">
        <v>80</v>
      </c>
      <c r="E84" s="434"/>
      <c r="F84" s="434">
        <v>76.099999999999994</v>
      </c>
      <c r="G84" s="434">
        <v>116</v>
      </c>
    </row>
    <row r="85" spans="1:7" x14ac:dyDescent="0.3">
      <c r="A85" s="454">
        <v>14</v>
      </c>
      <c r="B85" s="434">
        <v>23.9</v>
      </c>
      <c r="C85" s="434">
        <v>42.3</v>
      </c>
      <c r="D85" s="434">
        <v>70.3</v>
      </c>
      <c r="E85" s="434"/>
      <c r="F85" s="434">
        <v>63.4</v>
      </c>
      <c r="G85" s="434">
        <v>80</v>
      </c>
    </row>
    <row r="86" spans="1:7" x14ac:dyDescent="0.3">
      <c r="A86" s="454">
        <v>15</v>
      </c>
      <c r="B86" s="434">
        <v>21.7</v>
      </c>
      <c r="C86" s="434">
        <v>48.8</v>
      </c>
      <c r="D86" s="434">
        <v>69.8</v>
      </c>
      <c r="E86" s="434"/>
      <c r="F86" s="434"/>
      <c r="G86" s="434">
        <v>80.2</v>
      </c>
    </row>
    <row r="87" spans="1:7" x14ac:dyDescent="0.3">
      <c r="A87" s="454">
        <v>16</v>
      </c>
      <c r="B87" s="434"/>
      <c r="C87" s="434">
        <v>39.5</v>
      </c>
      <c r="D87" s="434">
        <v>74.900000000000006</v>
      </c>
      <c r="E87" s="434"/>
      <c r="F87" s="434"/>
      <c r="G87" s="434">
        <v>104.2</v>
      </c>
    </row>
    <row r="88" spans="1:7" x14ac:dyDescent="0.3">
      <c r="A88" s="454">
        <v>17</v>
      </c>
      <c r="B88" s="434"/>
      <c r="C88" s="434">
        <v>49.6</v>
      </c>
      <c r="D88" s="434">
        <v>95.4</v>
      </c>
      <c r="E88" s="434"/>
      <c r="F88" s="434"/>
      <c r="G88" s="434">
        <v>98.4</v>
      </c>
    </row>
    <row r="89" spans="1:7" x14ac:dyDescent="0.3">
      <c r="A89" s="454">
        <v>18</v>
      </c>
      <c r="B89" s="434"/>
      <c r="C89" s="434">
        <v>43.4</v>
      </c>
      <c r="D89" s="434">
        <v>95.5</v>
      </c>
      <c r="E89" s="438"/>
      <c r="F89" s="438"/>
      <c r="G89" s="438"/>
    </row>
    <row r="90" spans="1:7" x14ac:dyDescent="0.3">
      <c r="A90" s="454">
        <v>19</v>
      </c>
      <c r="B90" s="434"/>
      <c r="C90" s="434">
        <v>60.3</v>
      </c>
      <c r="D90" s="434"/>
      <c r="E90" s="438"/>
      <c r="F90" s="438"/>
      <c r="G90" s="438"/>
    </row>
    <row r="91" spans="1:7" x14ac:dyDescent="0.3">
      <c r="A91" s="670" t="s">
        <v>359</v>
      </c>
      <c r="B91" s="670"/>
      <c r="C91" s="670"/>
      <c r="D91" s="663"/>
      <c r="E91" s="670"/>
      <c r="F91" s="670"/>
      <c r="G91" s="670"/>
    </row>
    <row r="92" spans="1:7" x14ac:dyDescent="0.3">
      <c r="A92" s="396"/>
      <c r="B92" s="674" t="s">
        <v>364</v>
      </c>
      <c r="C92" s="674"/>
      <c r="D92" s="674"/>
      <c r="E92" s="674" t="s">
        <v>365</v>
      </c>
      <c r="F92" s="674"/>
      <c r="G92" s="674"/>
    </row>
    <row r="93" spans="1:7" x14ac:dyDescent="0.3">
      <c r="A93" s="454" t="s">
        <v>366</v>
      </c>
      <c r="B93" s="433" t="s">
        <v>344</v>
      </c>
      <c r="C93" s="433" t="s">
        <v>345</v>
      </c>
      <c r="D93" s="433" t="s">
        <v>367</v>
      </c>
      <c r="E93" s="433" t="s">
        <v>368</v>
      </c>
      <c r="F93" s="433" t="s">
        <v>369</v>
      </c>
      <c r="G93" s="433" t="s">
        <v>370</v>
      </c>
    </row>
    <row r="94" spans="1:7" x14ac:dyDescent="0.3">
      <c r="A94" s="454">
        <v>1</v>
      </c>
      <c r="B94" s="434">
        <v>23</v>
      </c>
      <c r="C94" s="434">
        <v>49.4</v>
      </c>
      <c r="D94" s="434">
        <v>80.5</v>
      </c>
      <c r="E94" s="434">
        <v>31.4</v>
      </c>
      <c r="F94" s="434">
        <v>67.3</v>
      </c>
      <c r="G94" s="434">
        <v>103.3</v>
      </c>
    </row>
    <row r="95" spans="1:7" x14ac:dyDescent="0.3">
      <c r="A95" s="454">
        <v>2</v>
      </c>
      <c r="B95" s="434">
        <v>29.2</v>
      </c>
      <c r="C95" s="434">
        <v>58.9</v>
      </c>
      <c r="D95" s="434">
        <v>93.4</v>
      </c>
      <c r="E95" s="434">
        <v>44.8</v>
      </c>
      <c r="F95" s="434">
        <v>77.5</v>
      </c>
      <c r="G95" s="434">
        <v>101.7</v>
      </c>
    </row>
    <row r="96" spans="1:7" x14ac:dyDescent="0.3">
      <c r="A96" s="454">
        <v>3</v>
      </c>
      <c r="B96" s="434">
        <v>24.4</v>
      </c>
      <c r="C96" s="434">
        <v>38.4</v>
      </c>
      <c r="D96" s="434">
        <v>78</v>
      </c>
      <c r="E96" s="434">
        <v>31</v>
      </c>
      <c r="F96" s="434">
        <v>60.2</v>
      </c>
      <c r="G96" s="434">
        <v>101.8</v>
      </c>
    </row>
    <row r="97" spans="1:7" x14ac:dyDescent="0.3">
      <c r="A97" s="454">
        <v>4</v>
      </c>
      <c r="B97" s="434">
        <v>25.5</v>
      </c>
      <c r="C97" s="434">
        <v>61.6</v>
      </c>
      <c r="D97" s="434">
        <v>84.5</v>
      </c>
      <c r="E97" s="434">
        <v>47.4</v>
      </c>
      <c r="F97" s="434">
        <v>70.8</v>
      </c>
      <c r="G97" s="434">
        <v>87.9</v>
      </c>
    </row>
    <row r="98" spans="1:7" x14ac:dyDescent="0.3">
      <c r="A98" s="454">
        <v>5</v>
      </c>
      <c r="B98" s="434">
        <v>16.8</v>
      </c>
      <c r="C98" s="434">
        <v>52.4</v>
      </c>
      <c r="D98" s="434">
        <v>78.900000000000006</v>
      </c>
      <c r="E98" s="434">
        <v>42.1</v>
      </c>
      <c r="F98" s="434">
        <v>67.599999999999994</v>
      </c>
      <c r="G98" s="434">
        <v>105.9</v>
      </c>
    </row>
    <row r="99" spans="1:7" x14ac:dyDescent="0.3">
      <c r="A99" s="454">
        <v>6</v>
      </c>
      <c r="B99" s="434">
        <v>23.2</v>
      </c>
      <c r="C99" s="434">
        <v>40.700000000000003</v>
      </c>
      <c r="D99" s="434">
        <v>101.7</v>
      </c>
      <c r="E99" s="434">
        <v>52.9</v>
      </c>
      <c r="F99" s="434">
        <v>72.8</v>
      </c>
      <c r="G99" s="434">
        <v>98.2</v>
      </c>
    </row>
    <row r="100" spans="1:7" x14ac:dyDescent="0.3">
      <c r="A100" s="454">
        <v>7</v>
      </c>
      <c r="B100" s="434">
        <v>19.2</v>
      </c>
      <c r="C100" s="434">
        <v>68.099999999999994</v>
      </c>
      <c r="D100" s="434">
        <v>102.4</v>
      </c>
      <c r="E100" s="434">
        <v>30.3</v>
      </c>
      <c r="F100" s="434">
        <v>77.8</v>
      </c>
      <c r="G100" s="434">
        <v>103.1</v>
      </c>
    </row>
    <row r="101" spans="1:7" x14ac:dyDescent="0.3">
      <c r="A101" s="454">
        <v>8</v>
      </c>
      <c r="B101" s="434">
        <v>17.3</v>
      </c>
      <c r="C101" s="434">
        <v>48.8</v>
      </c>
      <c r="D101" s="434">
        <v>81.2</v>
      </c>
      <c r="E101" s="434">
        <v>49.6</v>
      </c>
      <c r="F101" s="434">
        <v>72.400000000000006</v>
      </c>
      <c r="G101" s="434">
        <v>86.5</v>
      </c>
    </row>
    <row r="102" spans="1:7" x14ac:dyDescent="0.3">
      <c r="A102" s="454">
        <v>9</v>
      </c>
      <c r="B102" s="434">
        <v>27.4</v>
      </c>
      <c r="C102" s="434">
        <v>65.2</v>
      </c>
      <c r="D102" s="434">
        <v>102.7</v>
      </c>
      <c r="E102" s="434"/>
      <c r="F102" s="434">
        <v>68.3</v>
      </c>
      <c r="G102" s="434">
        <v>114.6</v>
      </c>
    </row>
    <row r="103" spans="1:7" x14ac:dyDescent="0.3">
      <c r="A103" s="454">
        <v>10</v>
      </c>
      <c r="B103" s="434">
        <v>34.1</v>
      </c>
      <c r="C103" s="434">
        <v>63</v>
      </c>
      <c r="D103" s="434">
        <v>90.6</v>
      </c>
      <c r="E103" s="434"/>
      <c r="F103" s="434">
        <v>74.2</v>
      </c>
      <c r="G103" s="434">
        <v>107.3</v>
      </c>
    </row>
    <row r="104" spans="1:7" x14ac:dyDescent="0.3">
      <c r="A104" s="454">
        <v>11</v>
      </c>
      <c r="B104" s="434">
        <v>31</v>
      </c>
      <c r="C104" s="434">
        <v>44.2</v>
      </c>
      <c r="D104" s="434">
        <v>79.400000000000006</v>
      </c>
      <c r="E104" s="434"/>
      <c r="F104" s="434"/>
      <c r="G104" s="434">
        <v>83.8</v>
      </c>
    </row>
    <row r="105" spans="1:7" x14ac:dyDescent="0.3">
      <c r="A105" s="454">
        <v>12</v>
      </c>
      <c r="B105" s="434">
        <v>23.7</v>
      </c>
      <c r="C105" s="434">
        <v>67.400000000000006</v>
      </c>
      <c r="D105" s="434">
        <v>73.7</v>
      </c>
      <c r="E105" s="434"/>
      <c r="F105" s="434"/>
      <c r="G105" s="434">
        <v>90.8</v>
      </c>
    </row>
    <row r="106" spans="1:7" x14ac:dyDescent="0.3">
      <c r="A106" s="454">
        <v>13</v>
      </c>
      <c r="B106" s="434"/>
      <c r="C106" s="434">
        <v>42.3</v>
      </c>
      <c r="D106" s="434">
        <v>71.3</v>
      </c>
      <c r="E106" s="438"/>
      <c r="F106" s="438"/>
      <c r="G106" s="438"/>
    </row>
    <row r="107" spans="1:7" x14ac:dyDescent="0.3">
      <c r="A107" s="454">
        <v>14</v>
      </c>
      <c r="B107" s="434"/>
      <c r="C107" s="434">
        <v>60.3</v>
      </c>
      <c r="D107" s="434">
        <v>74.8</v>
      </c>
      <c r="E107" s="438"/>
      <c r="F107" s="438"/>
      <c r="G107" s="438"/>
    </row>
    <row r="108" spans="1:7" x14ac:dyDescent="0.3">
      <c r="A108" s="454">
        <v>15</v>
      </c>
      <c r="B108" s="434"/>
      <c r="C108" s="434">
        <v>58.2</v>
      </c>
      <c r="D108" s="434">
        <v>100.3</v>
      </c>
      <c r="E108" s="438"/>
      <c r="F108" s="438"/>
      <c r="G108" s="438"/>
    </row>
    <row r="109" spans="1:7" x14ac:dyDescent="0.3">
      <c r="A109" s="670" t="s">
        <v>360</v>
      </c>
      <c r="B109" s="670"/>
      <c r="C109" s="670"/>
      <c r="D109" s="663"/>
      <c r="E109" s="670"/>
      <c r="F109" s="670"/>
      <c r="G109" s="670"/>
    </row>
    <row r="110" spans="1:7" x14ac:dyDescent="0.3">
      <c r="A110" s="396"/>
      <c r="B110" s="674" t="s">
        <v>364</v>
      </c>
      <c r="C110" s="674"/>
      <c r="D110" s="674"/>
      <c r="E110" s="674" t="s">
        <v>365</v>
      </c>
      <c r="F110" s="674"/>
      <c r="G110" s="674"/>
    </row>
    <row r="111" spans="1:7" x14ac:dyDescent="0.3">
      <c r="A111" s="454" t="s">
        <v>366</v>
      </c>
      <c r="B111" s="433" t="s">
        <v>344</v>
      </c>
      <c r="C111" s="433" t="s">
        <v>345</v>
      </c>
      <c r="D111" s="433" t="s">
        <v>367</v>
      </c>
      <c r="E111" s="433" t="s">
        <v>368</v>
      </c>
      <c r="F111" s="433" t="s">
        <v>369</v>
      </c>
      <c r="G111" s="433" t="s">
        <v>370</v>
      </c>
    </row>
    <row r="112" spans="1:7" x14ac:dyDescent="0.3">
      <c r="A112" s="454">
        <v>1</v>
      </c>
      <c r="B112" s="434">
        <v>0</v>
      </c>
      <c r="C112" s="434">
        <v>0</v>
      </c>
      <c r="D112" s="434">
        <v>0</v>
      </c>
      <c r="E112" s="434">
        <v>55.6</v>
      </c>
      <c r="F112" s="434">
        <v>74.8</v>
      </c>
      <c r="G112" s="434">
        <v>104.8</v>
      </c>
    </row>
    <row r="113" spans="1:7" x14ac:dyDescent="0.3">
      <c r="A113" s="454">
        <v>2</v>
      </c>
      <c r="B113" s="434"/>
      <c r="C113" s="434"/>
      <c r="D113" s="434"/>
      <c r="E113" s="434">
        <v>53</v>
      </c>
      <c r="F113" s="434">
        <v>72.5</v>
      </c>
      <c r="G113" s="434">
        <v>100.3</v>
      </c>
    </row>
    <row r="114" spans="1:7" x14ac:dyDescent="0.3">
      <c r="A114" s="454">
        <v>3</v>
      </c>
      <c r="B114" s="434"/>
      <c r="C114" s="434"/>
      <c r="D114" s="434"/>
      <c r="E114" s="434">
        <v>58.2</v>
      </c>
      <c r="F114" s="434">
        <v>73.099999999999994</v>
      </c>
      <c r="G114" s="434">
        <v>82</v>
      </c>
    </row>
    <row r="115" spans="1:7" x14ac:dyDescent="0.3">
      <c r="A115" s="454">
        <v>4</v>
      </c>
      <c r="B115" s="434"/>
      <c r="C115" s="434"/>
      <c r="D115" s="434"/>
      <c r="E115" s="434"/>
      <c r="F115" s="434">
        <v>71.400000000000006</v>
      </c>
      <c r="G115" s="434">
        <v>105.8</v>
      </c>
    </row>
    <row r="116" spans="1:7" x14ac:dyDescent="0.3">
      <c r="A116" s="454">
        <v>5</v>
      </c>
      <c r="B116" s="434"/>
      <c r="C116" s="434"/>
      <c r="D116" s="434"/>
      <c r="E116" s="434"/>
      <c r="F116" s="434">
        <v>67.099999999999994</v>
      </c>
      <c r="G116" s="434">
        <v>103.4</v>
      </c>
    </row>
    <row r="117" spans="1:7" x14ac:dyDescent="0.3">
      <c r="A117" s="670" t="s">
        <v>361</v>
      </c>
      <c r="B117" s="670"/>
      <c r="C117" s="670"/>
      <c r="D117" s="663"/>
      <c r="E117" s="670"/>
      <c r="F117" s="670"/>
      <c r="G117" s="670"/>
    </row>
    <row r="118" spans="1:7" x14ac:dyDescent="0.3">
      <c r="A118" s="396"/>
      <c r="B118" s="674" t="s">
        <v>364</v>
      </c>
      <c r="C118" s="674"/>
      <c r="D118" s="674"/>
      <c r="E118" s="674" t="s">
        <v>365</v>
      </c>
      <c r="F118" s="674"/>
      <c r="G118" s="674"/>
    </row>
    <row r="119" spans="1:7" x14ac:dyDescent="0.3">
      <c r="A119" s="454" t="s">
        <v>366</v>
      </c>
      <c r="B119" s="433" t="s">
        <v>344</v>
      </c>
      <c r="C119" s="433" t="s">
        <v>345</v>
      </c>
      <c r="D119" s="433" t="s">
        <v>367</v>
      </c>
      <c r="E119" s="433" t="s">
        <v>368</v>
      </c>
      <c r="F119" s="433" t="s">
        <v>369</v>
      </c>
      <c r="G119" s="433" t="s">
        <v>370</v>
      </c>
    </row>
    <row r="120" spans="1:7" x14ac:dyDescent="0.3">
      <c r="A120" s="454">
        <v>1</v>
      </c>
      <c r="B120" s="434">
        <v>34.299999999999997</v>
      </c>
      <c r="C120" s="434">
        <v>57.1</v>
      </c>
      <c r="D120" s="434">
        <v>94.6</v>
      </c>
      <c r="E120" s="434">
        <v>57.7</v>
      </c>
      <c r="F120" s="434">
        <v>70.3</v>
      </c>
      <c r="G120" s="434">
        <v>90.6</v>
      </c>
    </row>
    <row r="121" spans="1:7" x14ac:dyDescent="0.3">
      <c r="A121" s="454">
        <v>2</v>
      </c>
      <c r="B121" s="434">
        <v>20.7</v>
      </c>
      <c r="C121" s="434">
        <v>38.799999999999997</v>
      </c>
      <c r="D121" s="434">
        <v>77.900000000000006</v>
      </c>
      <c r="E121" s="434">
        <v>44.6</v>
      </c>
      <c r="F121" s="434">
        <v>64.8</v>
      </c>
      <c r="G121" s="434">
        <v>106.3</v>
      </c>
    </row>
    <row r="122" spans="1:7" x14ac:dyDescent="0.3">
      <c r="A122" s="454">
        <v>3</v>
      </c>
      <c r="B122" s="434">
        <v>17.8</v>
      </c>
      <c r="C122" s="434">
        <v>64.7</v>
      </c>
      <c r="D122" s="434">
        <v>76.599999999999994</v>
      </c>
      <c r="E122" s="434">
        <v>58.2</v>
      </c>
      <c r="F122" s="434">
        <v>78.8</v>
      </c>
      <c r="G122" s="434">
        <v>102.6</v>
      </c>
    </row>
    <row r="123" spans="1:7" x14ac:dyDescent="0.3">
      <c r="A123" s="454">
        <v>4</v>
      </c>
      <c r="B123" s="434">
        <v>35.799999999999997</v>
      </c>
      <c r="C123" s="434">
        <v>56.9</v>
      </c>
      <c r="D123" s="434">
        <v>105</v>
      </c>
      <c r="E123" s="434"/>
      <c r="F123" s="434">
        <v>77</v>
      </c>
      <c r="G123" s="434">
        <v>89.1</v>
      </c>
    </row>
    <row r="124" spans="1:7" x14ac:dyDescent="0.3">
      <c r="A124" s="454">
        <v>5</v>
      </c>
      <c r="B124" s="434">
        <v>20.9</v>
      </c>
      <c r="C124" s="434">
        <v>58.5</v>
      </c>
      <c r="D124" s="434">
        <v>79.3</v>
      </c>
      <c r="E124" s="434"/>
      <c r="F124" s="434">
        <v>66.400000000000006</v>
      </c>
      <c r="G124" s="434">
        <v>92</v>
      </c>
    </row>
    <row r="125" spans="1:7" x14ac:dyDescent="0.3">
      <c r="A125" s="454">
        <v>6</v>
      </c>
      <c r="B125" s="434">
        <v>18.100000000000001</v>
      </c>
      <c r="C125" s="434">
        <v>48.1</v>
      </c>
      <c r="D125" s="434">
        <v>80.8</v>
      </c>
      <c r="E125" s="434"/>
      <c r="F125" s="434"/>
      <c r="G125" s="434">
        <v>82</v>
      </c>
    </row>
    <row r="126" spans="1:7" x14ac:dyDescent="0.3">
      <c r="A126" s="454">
        <v>7</v>
      </c>
      <c r="B126" s="434">
        <v>21.2</v>
      </c>
      <c r="C126" s="434">
        <v>62.6</v>
      </c>
      <c r="D126" s="434">
        <v>97.3</v>
      </c>
      <c r="E126" s="434"/>
      <c r="F126" s="434"/>
      <c r="G126" s="434"/>
    </row>
    <row r="127" spans="1:7" x14ac:dyDescent="0.3">
      <c r="A127" s="454">
        <v>8</v>
      </c>
      <c r="B127" s="434"/>
      <c r="C127" s="434">
        <v>62.3</v>
      </c>
      <c r="D127" s="434">
        <v>94.5</v>
      </c>
      <c r="E127" s="434"/>
      <c r="F127" s="434"/>
      <c r="G127" s="434"/>
    </row>
    <row r="128" spans="1:7" x14ac:dyDescent="0.3">
      <c r="A128" s="454">
        <v>9</v>
      </c>
      <c r="B128" s="434"/>
      <c r="C128" s="434">
        <v>48.7</v>
      </c>
      <c r="D128" s="434"/>
      <c r="E128" s="434"/>
      <c r="F128" s="434"/>
      <c r="G128" s="434"/>
    </row>
    <row r="129" spans="1:7" x14ac:dyDescent="0.3">
      <c r="A129" s="670" t="s">
        <v>362</v>
      </c>
      <c r="B129" s="670"/>
      <c r="C129" s="670"/>
      <c r="D129" s="663"/>
      <c r="E129" s="670"/>
      <c r="F129" s="670"/>
      <c r="G129" s="670"/>
    </row>
    <row r="130" spans="1:7" x14ac:dyDescent="0.3">
      <c r="A130" s="396"/>
      <c r="B130" s="674" t="s">
        <v>364</v>
      </c>
      <c r="C130" s="674"/>
      <c r="D130" s="674"/>
      <c r="E130" s="674" t="s">
        <v>365</v>
      </c>
      <c r="F130" s="674"/>
      <c r="G130" s="674"/>
    </row>
    <row r="131" spans="1:7" x14ac:dyDescent="0.3">
      <c r="A131" s="454" t="s">
        <v>366</v>
      </c>
      <c r="B131" s="433" t="s">
        <v>344</v>
      </c>
      <c r="C131" s="433" t="s">
        <v>345</v>
      </c>
      <c r="D131" s="433" t="s">
        <v>367</v>
      </c>
      <c r="E131" s="433" t="s">
        <v>368</v>
      </c>
      <c r="F131" s="433" t="s">
        <v>369</v>
      </c>
      <c r="G131" s="433" t="s">
        <v>370</v>
      </c>
    </row>
    <row r="132" spans="1:7" x14ac:dyDescent="0.3">
      <c r="A132" s="454">
        <v>1</v>
      </c>
      <c r="B132" s="434">
        <v>0</v>
      </c>
      <c r="C132" s="434">
        <v>0</v>
      </c>
      <c r="D132" s="434">
        <v>0</v>
      </c>
      <c r="E132" s="434">
        <v>47.1</v>
      </c>
      <c r="F132" s="434">
        <v>68.900000000000006</v>
      </c>
      <c r="G132" s="434">
        <v>119.7</v>
      </c>
    </row>
    <row r="133" spans="1:7" x14ac:dyDescent="0.3">
      <c r="A133" s="454">
        <v>2</v>
      </c>
      <c r="B133" s="434"/>
      <c r="C133" s="434"/>
      <c r="D133" s="434"/>
      <c r="E133" s="434">
        <v>26.2</v>
      </c>
      <c r="F133" s="434">
        <v>60.7</v>
      </c>
      <c r="G133" s="434">
        <v>81</v>
      </c>
    </row>
    <row r="134" spans="1:7" x14ac:dyDescent="0.3">
      <c r="A134" s="454">
        <v>3</v>
      </c>
      <c r="B134" s="434"/>
      <c r="C134" s="434"/>
      <c r="D134" s="434"/>
      <c r="E134" s="434">
        <v>57</v>
      </c>
      <c r="F134" s="434">
        <v>60.1</v>
      </c>
      <c r="G134" s="434">
        <v>117.3</v>
      </c>
    </row>
    <row r="135" spans="1:7" x14ac:dyDescent="0.3">
      <c r="A135" s="454">
        <v>4</v>
      </c>
      <c r="B135" s="434"/>
      <c r="C135" s="434"/>
      <c r="D135" s="434"/>
      <c r="E135" s="434">
        <v>44.2</v>
      </c>
      <c r="F135" s="434">
        <v>71.099999999999994</v>
      </c>
      <c r="G135" s="434">
        <v>99.4</v>
      </c>
    </row>
    <row r="136" spans="1:7" x14ac:dyDescent="0.3">
      <c r="A136" s="454">
        <v>5</v>
      </c>
      <c r="B136" s="434"/>
      <c r="C136" s="434"/>
      <c r="D136" s="434"/>
      <c r="E136" s="434"/>
      <c r="F136" s="434">
        <v>78.3</v>
      </c>
      <c r="G136" s="434">
        <v>119.4</v>
      </c>
    </row>
    <row r="137" spans="1:7" x14ac:dyDescent="0.3">
      <c r="A137" s="442"/>
      <c r="B137" s="443"/>
      <c r="C137" s="443"/>
      <c r="D137" s="443"/>
      <c r="E137" s="443"/>
      <c r="F137" s="443"/>
      <c r="G137" s="443"/>
    </row>
    <row r="138" spans="1:7" x14ac:dyDescent="0.3">
      <c r="A138" s="442"/>
      <c r="B138" s="443"/>
      <c r="C138" s="443"/>
      <c r="D138" s="443"/>
      <c r="E138" s="441"/>
      <c r="F138" s="443"/>
      <c r="G138" s="443"/>
    </row>
    <row r="139" spans="1:7" x14ac:dyDescent="0.3">
      <c r="A139" s="442"/>
      <c r="B139" s="443"/>
      <c r="C139" s="443"/>
      <c r="D139" s="443"/>
      <c r="E139" s="441"/>
      <c r="F139" s="441"/>
      <c r="G139" s="443"/>
    </row>
    <row r="140" spans="1:7" x14ac:dyDescent="0.3">
      <c r="A140" s="442"/>
      <c r="B140" s="443"/>
      <c r="C140" s="443"/>
      <c r="D140" s="443"/>
      <c r="E140" s="441"/>
      <c r="F140" s="441"/>
      <c r="G140" s="441"/>
    </row>
    <row r="141" spans="1:7" x14ac:dyDescent="0.3">
      <c r="A141" s="668" t="s">
        <v>160</v>
      </c>
      <c r="B141" s="666" t="s">
        <v>161</v>
      </c>
      <c r="C141" s="667"/>
      <c r="D141" s="666" t="s">
        <v>162</v>
      </c>
      <c r="E141" s="667"/>
      <c r="F141" s="666" t="s">
        <v>163</v>
      </c>
      <c r="G141" s="667"/>
    </row>
    <row r="142" spans="1:7" x14ac:dyDescent="0.3">
      <c r="A142" s="669"/>
      <c r="B142" s="432" t="s">
        <v>164</v>
      </c>
      <c r="C142" s="432" t="s">
        <v>165</v>
      </c>
      <c r="D142" s="432" t="s">
        <v>164</v>
      </c>
      <c r="E142" s="432" t="s">
        <v>165</v>
      </c>
      <c r="F142" s="432" t="s">
        <v>164</v>
      </c>
      <c r="G142" s="432" t="s">
        <v>165</v>
      </c>
    </row>
    <row r="143" spans="1:7" x14ac:dyDescent="0.3">
      <c r="A143" s="433" t="s">
        <v>353</v>
      </c>
      <c r="B143" s="435">
        <f>ROUNDDOWN(AVERAGE(B6:D11),1)</f>
        <v>0</v>
      </c>
      <c r="C143" s="435">
        <f>ROUNDDOWN(AVERAGE(E6:G11),1)</f>
        <v>77.099999999999994</v>
      </c>
      <c r="D143" s="432">
        <v>0</v>
      </c>
      <c r="E143" s="432">
        <v>5604</v>
      </c>
      <c r="F143" s="432">
        <f>B143*D143</f>
        <v>0</v>
      </c>
      <c r="G143" s="432">
        <f>C143*E143</f>
        <v>432068.39999999997</v>
      </c>
    </row>
    <row r="144" spans="1:7" x14ac:dyDescent="0.3">
      <c r="A144" s="433" t="s">
        <v>354</v>
      </c>
      <c r="B144" s="435">
        <f>ROUNDDOWN(AVERAGE(B15:D20),1)</f>
        <v>0</v>
      </c>
      <c r="C144" s="435">
        <f>ROUNDDOWN(AVERAGE(E15:G20),1)</f>
        <v>76.900000000000006</v>
      </c>
      <c r="D144" s="432">
        <v>0</v>
      </c>
      <c r="E144" s="432">
        <v>7007</v>
      </c>
      <c r="F144" s="432">
        <f t="shared" ref="F144:G152" si="0">B144*D144</f>
        <v>0</v>
      </c>
      <c r="G144" s="432">
        <f t="shared" si="0"/>
        <v>538838.30000000005</v>
      </c>
    </row>
    <row r="145" spans="1:7" x14ac:dyDescent="0.3">
      <c r="A145" s="433" t="s">
        <v>355</v>
      </c>
      <c r="B145" s="435">
        <f>ROUNDDOWN(AVERAGE(B24:D38),1)</f>
        <v>58.2</v>
      </c>
      <c r="C145" s="435">
        <f>ROUNDDOWN(AVERAGE(E24:G38),1)</f>
        <v>75.099999999999994</v>
      </c>
      <c r="D145" s="432">
        <v>16871</v>
      </c>
      <c r="E145" s="432">
        <v>13925</v>
      </c>
      <c r="F145" s="432">
        <f t="shared" si="0"/>
        <v>981892.20000000007</v>
      </c>
      <c r="G145" s="432">
        <f t="shared" si="0"/>
        <v>1045767.4999999999</v>
      </c>
    </row>
    <row r="146" spans="1:7" x14ac:dyDescent="0.3">
      <c r="A146" s="433" t="s">
        <v>356</v>
      </c>
      <c r="B146" s="435">
        <f>ROUNDDOWN(AVERAGE(B42:D56),1)</f>
        <v>53.8</v>
      </c>
      <c r="C146" s="435">
        <f>ROUNDDOWN(AVERAGE(E42:G56),1)</f>
        <v>75.8</v>
      </c>
      <c r="D146" s="432">
        <v>16520</v>
      </c>
      <c r="E146" s="432">
        <v>15183</v>
      </c>
      <c r="F146" s="432">
        <f t="shared" si="0"/>
        <v>888776</v>
      </c>
      <c r="G146" s="432">
        <f t="shared" si="0"/>
        <v>1150871.3999999999</v>
      </c>
    </row>
    <row r="147" spans="1:7" x14ac:dyDescent="0.3">
      <c r="A147" s="433" t="s">
        <v>357</v>
      </c>
      <c r="B147" s="435">
        <f>ROUNDDOWN(AVERAGE(B60:D68),1)</f>
        <v>55.3</v>
      </c>
      <c r="C147" s="435">
        <f>ROUNDDOWN(AVERAGE(E60:G68),1)</f>
        <v>72.400000000000006</v>
      </c>
      <c r="D147" s="432">
        <v>10059</v>
      </c>
      <c r="E147" s="432">
        <v>6430</v>
      </c>
      <c r="F147" s="432">
        <f t="shared" si="0"/>
        <v>556262.69999999995</v>
      </c>
      <c r="G147" s="432">
        <f t="shared" si="0"/>
        <v>465532.00000000006</v>
      </c>
    </row>
    <row r="148" spans="1:7" x14ac:dyDescent="0.3">
      <c r="A148" s="433" t="s">
        <v>358</v>
      </c>
      <c r="B148" s="435">
        <f>ROUNDDOWN(AVERAGE(B72:D90),1)</f>
        <v>55.7</v>
      </c>
      <c r="C148" s="435">
        <f>ROUNDDOWN(AVERAGE(E72:G90),1)</f>
        <v>74.400000000000006</v>
      </c>
      <c r="D148" s="432">
        <v>20494</v>
      </c>
      <c r="E148" s="432">
        <v>19345</v>
      </c>
      <c r="F148" s="432">
        <f t="shared" si="0"/>
        <v>1141515.8</v>
      </c>
      <c r="G148" s="432">
        <f t="shared" si="0"/>
        <v>1439268</v>
      </c>
    </row>
    <row r="149" spans="1:7" x14ac:dyDescent="0.3">
      <c r="A149" s="433" t="s">
        <v>359</v>
      </c>
      <c r="B149" s="435">
        <f>ROUNDDOWN(AVERAGE(B94:D108),1)</f>
        <v>57.3</v>
      </c>
      <c r="C149" s="435">
        <f>ROUNDDOWN(AVERAGE(E94:G108),1)</f>
        <v>74.099999999999994</v>
      </c>
      <c r="D149" s="432">
        <v>16458</v>
      </c>
      <c r="E149" s="432">
        <v>13929</v>
      </c>
      <c r="F149" s="432">
        <f t="shared" si="0"/>
        <v>943043.39999999991</v>
      </c>
      <c r="G149" s="432">
        <f t="shared" si="0"/>
        <v>1032138.8999999999</v>
      </c>
    </row>
    <row r="150" spans="1:7" x14ac:dyDescent="0.3">
      <c r="A150" s="433" t="s">
        <v>360</v>
      </c>
      <c r="B150" s="435">
        <f>ROUNDDOWN(AVERAGE(B112:D116),1)</f>
        <v>0</v>
      </c>
      <c r="C150" s="435">
        <f>ROUNDDOWN(AVERAGE(E112:G116),1)</f>
        <v>78.599999999999994</v>
      </c>
      <c r="D150" s="432">
        <v>0</v>
      </c>
      <c r="E150" s="432">
        <v>5013</v>
      </c>
      <c r="F150" s="432">
        <f t="shared" si="0"/>
        <v>0</v>
      </c>
      <c r="G150" s="432">
        <f t="shared" si="0"/>
        <v>394021.8</v>
      </c>
    </row>
    <row r="151" spans="1:7" x14ac:dyDescent="0.3">
      <c r="A151" s="433" t="s">
        <v>361</v>
      </c>
      <c r="B151" s="435">
        <f>ROUNDDOWN(AVERAGE(B120:D128),1)</f>
        <v>57.1</v>
      </c>
      <c r="C151" s="435">
        <f>ROUNDDOWN(AVERAGE(E120:G128),1)</f>
        <v>77.099999999999994</v>
      </c>
      <c r="D151" s="432">
        <v>9275</v>
      </c>
      <c r="E151" s="432">
        <v>5952</v>
      </c>
      <c r="F151" s="432">
        <f t="shared" si="0"/>
        <v>529602.5</v>
      </c>
      <c r="G151" s="432">
        <f t="shared" si="0"/>
        <v>458899.19999999995</v>
      </c>
    </row>
    <row r="152" spans="1:7" x14ac:dyDescent="0.3">
      <c r="A152" s="433" t="s">
        <v>362</v>
      </c>
      <c r="B152" s="435">
        <f>ROUNDDOWN(AVERAGE(B132:D136),1)</f>
        <v>0</v>
      </c>
      <c r="C152" s="435">
        <f>ROUNDDOWN(AVERAGE(E132:G136),1)</f>
        <v>75</v>
      </c>
      <c r="D152" s="432">
        <v>0</v>
      </c>
      <c r="E152" s="432">
        <v>5972</v>
      </c>
      <c r="F152" s="432">
        <f t="shared" si="0"/>
        <v>0</v>
      </c>
      <c r="G152" s="432">
        <f t="shared" si="0"/>
        <v>447900</v>
      </c>
    </row>
    <row r="153" spans="1:7" x14ac:dyDescent="0.3">
      <c r="A153" s="433" t="s">
        <v>166</v>
      </c>
      <c r="B153" s="433"/>
      <c r="C153" s="433"/>
      <c r="D153" s="432">
        <f>SUM(D143:D152)</f>
        <v>89677</v>
      </c>
      <c r="E153" s="432">
        <f>SUM(E143:E152)</f>
        <v>98360</v>
      </c>
      <c r="F153" s="432">
        <f>SUM(F143:F152)</f>
        <v>5041092.5999999996</v>
      </c>
      <c r="G153" s="432">
        <f>SUM(G143:G152)</f>
        <v>7405305.5</v>
      </c>
    </row>
    <row r="154" spans="1:7" x14ac:dyDescent="0.3">
      <c r="A154" s="441"/>
      <c r="B154" s="441"/>
      <c r="C154" s="441"/>
      <c r="D154" s="442"/>
      <c r="E154" s="442"/>
      <c r="F154" s="442"/>
      <c r="G154" s="442"/>
    </row>
    <row r="156" spans="1:7" x14ac:dyDescent="0.3">
      <c r="C156" s="666" t="s">
        <v>167</v>
      </c>
      <c r="D156" s="667"/>
    </row>
    <row r="157" spans="1:7" x14ac:dyDescent="0.3">
      <c r="C157" s="432" t="s">
        <v>164</v>
      </c>
      <c r="D157" s="432" t="s">
        <v>165</v>
      </c>
    </row>
    <row r="158" spans="1:7" x14ac:dyDescent="0.3">
      <c r="C158" s="436">
        <f>ROUNDDOWN(F153/D153,1)</f>
        <v>56.2</v>
      </c>
      <c r="D158" s="437">
        <f>ROUNDDOWN(G153/E153,1)</f>
        <v>75.2</v>
      </c>
    </row>
  </sheetData>
  <mergeCells count="37">
    <mergeCell ref="C156:D156"/>
    <mergeCell ref="B130:D130"/>
    <mergeCell ref="E130:G130"/>
    <mergeCell ref="A141:A142"/>
    <mergeCell ref="B141:C141"/>
    <mergeCell ref="D141:E141"/>
    <mergeCell ref="F141:G141"/>
    <mergeCell ref="A129:G129"/>
    <mergeCell ref="B70:D70"/>
    <mergeCell ref="E70:G70"/>
    <mergeCell ref="A91:G91"/>
    <mergeCell ref="B92:D92"/>
    <mergeCell ref="E92:G92"/>
    <mergeCell ref="A109:G109"/>
    <mergeCell ref="B110:D110"/>
    <mergeCell ref="E110:G110"/>
    <mergeCell ref="A117:G117"/>
    <mergeCell ref="B118:D118"/>
    <mergeCell ref="E118:G118"/>
    <mergeCell ref="A69:G69"/>
    <mergeCell ref="B13:D13"/>
    <mergeCell ref="E13:G13"/>
    <mergeCell ref="A21:G21"/>
    <mergeCell ref="B22:D22"/>
    <mergeCell ref="E22:G22"/>
    <mergeCell ref="A39:G39"/>
    <mergeCell ref="B40:D40"/>
    <mergeCell ref="E40:G40"/>
    <mergeCell ref="A57:G57"/>
    <mergeCell ref="B58:D58"/>
    <mergeCell ref="E58:G58"/>
    <mergeCell ref="A12:G12"/>
    <mergeCell ref="A1:G1"/>
    <mergeCell ref="A2:G2"/>
    <mergeCell ref="A3:G3"/>
    <mergeCell ref="B4:D4"/>
    <mergeCell ref="E4:G4"/>
  </mergeCells>
  <phoneticPr fontId="11" type="noConversion"/>
  <pageMargins left="0.7" right="0.7" top="0.75" bottom="0.75" header="0.3" footer="0.3"/>
  <pageSetup paperSize="9" orientation="portrait" horizontalDpi="1200" verticalDpi="1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E1223-30D0-4BCD-9F6A-7888336D6BED}">
  <dimension ref="A1:I158"/>
  <sheetViews>
    <sheetView zoomScale="70" zoomScaleNormal="70" workbookViewId="0">
      <selection activeCell="M29" sqref="M29"/>
    </sheetView>
  </sheetViews>
  <sheetFormatPr defaultColWidth="8.7265625" defaultRowHeight="14" x14ac:dyDescent="0.3"/>
  <cols>
    <col min="1" max="1" width="22.453125" style="395" customWidth="1"/>
    <col min="2" max="2" width="16.26953125" style="395" bestFit="1" customWidth="1"/>
    <col min="3" max="3" width="22.90625" style="395" bestFit="1" customWidth="1"/>
    <col min="4" max="4" width="22.6328125" style="395" bestFit="1" customWidth="1"/>
    <col min="5" max="5" width="21.453125" style="395" bestFit="1" customWidth="1"/>
    <col min="6" max="6" width="23.453125" style="395" bestFit="1" customWidth="1"/>
    <col min="7" max="7" width="23.08984375" style="395" bestFit="1" customWidth="1"/>
    <col min="8" max="8" width="14.81640625" style="395" customWidth="1"/>
    <col min="9" max="16384" width="8.7265625" style="395"/>
  </cols>
  <sheetData>
    <row r="1" spans="1:9" x14ac:dyDescent="0.3">
      <c r="A1" s="657" t="s">
        <v>322</v>
      </c>
      <c r="B1" s="658"/>
      <c r="C1" s="658"/>
      <c r="D1" s="658"/>
      <c r="E1" s="658"/>
      <c r="F1" s="658"/>
      <c r="G1" s="659"/>
    </row>
    <row r="2" spans="1:9" ht="33" customHeight="1" x14ac:dyDescent="0.3">
      <c r="A2" s="660" t="s">
        <v>388</v>
      </c>
      <c r="B2" s="661"/>
      <c r="C2" s="661"/>
      <c r="D2" s="661"/>
      <c r="E2" s="661"/>
      <c r="F2" s="661"/>
      <c r="G2" s="662"/>
    </row>
    <row r="3" spans="1:9" x14ac:dyDescent="0.3">
      <c r="A3" s="663" t="s">
        <v>353</v>
      </c>
      <c r="B3" s="663"/>
      <c r="C3" s="663"/>
      <c r="D3" s="663"/>
      <c r="E3" s="663"/>
      <c r="F3" s="663"/>
      <c r="G3" s="663"/>
    </row>
    <row r="4" spans="1:9" x14ac:dyDescent="0.3">
      <c r="A4" s="396"/>
      <c r="B4" s="674" t="s">
        <v>364</v>
      </c>
      <c r="C4" s="674"/>
      <c r="D4" s="674"/>
      <c r="E4" s="674" t="s">
        <v>365</v>
      </c>
      <c r="F4" s="674"/>
      <c r="G4" s="674"/>
    </row>
    <row r="5" spans="1:9" x14ac:dyDescent="0.3">
      <c r="A5" s="454" t="s">
        <v>366</v>
      </c>
      <c r="B5" s="433" t="s">
        <v>344</v>
      </c>
      <c r="C5" s="433" t="s">
        <v>345</v>
      </c>
      <c r="D5" s="433" t="s">
        <v>367</v>
      </c>
      <c r="E5" s="433" t="s">
        <v>368</v>
      </c>
      <c r="F5" s="433" t="s">
        <v>369</v>
      </c>
      <c r="G5" s="433" t="s">
        <v>370</v>
      </c>
      <c r="H5" s="440"/>
      <c r="I5" s="441"/>
    </row>
    <row r="6" spans="1:9" x14ac:dyDescent="0.3">
      <c r="A6" s="454">
        <v>1</v>
      </c>
      <c r="B6" s="434">
        <v>0</v>
      </c>
      <c r="C6" s="434">
        <v>0</v>
      </c>
      <c r="D6" s="434">
        <v>0</v>
      </c>
      <c r="E6" s="434">
        <v>56.1</v>
      </c>
      <c r="F6" s="434">
        <v>69.599999999999994</v>
      </c>
      <c r="G6" s="434">
        <v>93.1</v>
      </c>
    </row>
    <row r="7" spans="1:9" x14ac:dyDescent="0.3">
      <c r="A7" s="454">
        <v>2</v>
      </c>
      <c r="B7" s="434"/>
      <c r="C7" s="434"/>
      <c r="D7" s="434"/>
      <c r="E7" s="434">
        <v>37.1</v>
      </c>
      <c r="F7" s="434">
        <v>64.7</v>
      </c>
      <c r="G7" s="434">
        <v>83.3</v>
      </c>
    </row>
    <row r="8" spans="1:9" x14ac:dyDescent="0.3">
      <c r="A8" s="454">
        <v>3</v>
      </c>
      <c r="B8" s="434"/>
      <c r="C8" s="434"/>
      <c r="D8" s="434"/>
      <c r="E8" s="434">
        <v>53.5</v>
      </c>
      <c r="F8" s="434">
        <v>78.599999999999994</v>
      </c>
      <c r="G8" s="434">
        <v>105.1</v>
      </c>
    </row>
    <row r="9" spans="1:9" x14ac:dyDescent="0.3">
      <c r="A9" s="454">
        <v>4</v>
      </c>
      <c r="B9" s="434"/>
      <c r="C9" s="434"/>
      <c r="D9" s="434"/>
      <c r="E9" s="434"/>
      <c r="F9" s="434">
        <v>68.5</v>
      </c>
      <c r="G9" s="434">
        <v>104</v>
      </c>
    </row>
    <row r="10" spans="1:9" x14ac:dyDescent="0.3">
      <c r="A10" s="454">
        <v>5</v>
      </c>
      <c r="B10" s="434"/>
      <c r="C10" s="434"/>
      <c r="D10" s="434"/>
      <c r="E10" s="434"/>
      <c r="F10" s="434">
        <v>60</v>
      </c>
      <c r="G10" s="434">
        <v>93</v>
      </c>
    </row>
    <row r="11" spans="1:9" x14ac:dyDescent="0.3">
      <c r="A11" s="454">
        <v>6</v>
      </c>
      <c r="B11" s="434"/>
      <c r="C11" s="434"/>
      <c r="D11" s="434"/>
      <c r="E11" s="434"/>
      <c r="F11" s="434"/>
      <c r="G11" s="434">
        <v>88.2</v>
      </c>
    </row>
    <row r="12" spans="1:9" x14ac:dyDescent="0.3">
      <c r="A12" s="670" t="s">
        <v>354</v>
      </c>
      <c r="B12" s="670"/>
      <c r="C12" s="670"/>
      <c r="D12" s="670"/>
      <c r="E12" s="670"/>
      <c r="F12" s="670"/>
      <c r="G12" s="670"/>
    </row>
    <row r="13" spans="1:9" x14ac:dyDescent="0.3">
      <c r="A13" s="396"/>
      <c r="B13" s="674" t="s">
        <v>364</v>
      </c>
      <c r="C13" s="674"/>
      <c r="D13" s="674"/>
      <c r="E13" s="674" t="s">
        <v>365</v>
      </c>
      <c r="F13" s="674"/>
      <c r="G13" s="674"/>
    </row>
    <row r="14" spans="1:9" x14ac:dyDescent="0.3">
      <c r="A14" s="454" t="s">
        <v>366</v>
      </c>
      <c r="B14" s="433" t="s">
        <v>344</v>
      </c>
      <c r="C14" s="433" t="s">
        <v>345</v>
      </c>
      <c r="D14" s="433" t="s">
        <v>367</v>
      </c>
      <c r="E14" s="433" t="s">
        <v>368</v>
      </c>
      <c r="F14" s="433" t="s">
        <v>369</v>
      </c>
      <c r="G14" s="433" t="s">
        <v>370</v>
      </c>
    </row>
    <row r="15" spans="1:9" x14ac:dyDescent="0.3">
      <c r="A15" s="454">
        <v>1</v>
      </c>
      <c r="B15" s="434">
        <v>0</v>
      </c>
      <c r="C15" s="434">
        <v>0</v>
      </c>
      <c r="D15" s="434">
        <v>0</v>
      </c>
      <c r="E15" s="434">
        <v>57.8</v>
      </c>
      <c r="F15" s="434">
        <v>78</v>
      </c>
      <c r="G15" s="434">
        <v>83.7</v>
      </c>
    </row>
    <row r="16" spans="1:9" x14ac:dyDescent="0.3">
      <c r="A16" s="454">
        <v>2</v>
      </c>
      <c r="B16" s="434"/>
      <c r="C16" s="434"/>
      <c r="D16" s="434"/>
      <c r="E16" s="434">
        <v>54.1</v>
      </c>
      <c r="F16" s="434">
        <v>61.9</v>
      </c>
      <c r="G16" s="434">
        <v>105.8</v>
      </c>
    </row>
    <row r="17" spans="1:7" x14ac:dyDescent="0.3">
      <c r="A17" s="454">
        <v>3</v>
      </c>
      <c r="B17" s="434"/>
      <c r="C17" s="434"/>
      <c r="D17" s="434"/>
      <c r="E17" s="434">
        <v>26.7</v>
      </c>
      <c r="F17" s="434">
        <v>76.7</v>
      </c>
      <c r="G17" s="434">
        <v>114.9</v>
      </c>
    </row>
    <row r="18" spans="1:7" x14ac:dyDescent="0.3">
      <c r="A18" s="454">
        <v>4</v>
      </c>
      <c r="B18" s="434"/>
      <c r="C18" s="434"/>
      <c r="D18" s="434"/>
      <c r="E18" s="434">
        <v>38.200000000000003</v>
      </c>
      <c r="F18" s="434">
        <v>70.599999999999994</v>
      </c>
      <c r="G18" s="434">
        <v>81.8</v>
      </c>
    </row>
    <row r="19" spans="1:7" x14ac:dyDescent="0.3">
      <c r="A19" s="454">
        <v>5</v>
      </c>
      <c r="B19" s="434"/>
      <c r="C19" s="434"/>
      <c r="D19" s="434"/>
      <c r="E19" s="434"/>
      <c r="F19" s="434">
        <v>62.9</v>
      </c>
      <c r="G19" s="434">
        <v>93.1</v>
      </c>
    </row>
    <row r="20" spans="1:7" x14ac:dyDescent="0.3">
      <c r="A20" s="454">
        <v>6</v>
      </c>
      <c r="B20" s="434"/>
      <c r="C20" s="434"/>
      <c r="D20" s="434"/>
      <c r="E20" s="434"/>
      <c r="F20" s="434">
        <v>76.8</v>
      </c>
      <c r="G20" s="434">
        <v>93.7</v>
      </c>
    </row>
    <row r="21" spans="1:7" x14ac:dyDescent="0.3">
      <c r="A21" s="663" t="s">
        <v>355</v>
      </c>
      <c r="B21" s="663"/>
      <c r="C21" s="663"/>
      <c r="D21" s="663"/>
      <c r="E21" s="663"/>
      <c r="F21" s="663"/>
      <c r="G21" s="663"/>
    </row>
    <row r="22" spans="1:7" x14ac:dyDescent="0.3">
      <c r="A22" s="396"/>
      <c r="B22" s="674" t="s">
        <v>364</v>
      </c>
      <c r="C22" s="674"/>
      <c r="D22" s="674"/>
      <c r="E22" s="674" t="s">
        <v>365</v>
      </c>
      <c r="F22" s="674"/>
      <c r="G22" s="674"/>
    </row>
    <row r="23" spans="1:7" x14ac:dyDescent="0.3">
      <c r="A23" s="454" t="s">
        <v>366</v>
      </c>
      <c r="B23" s="433" t="s">
        <v>344</v>
      </c>
      <c r="C23" s="433" t="s">
        <v>345</v>
      </c>
      <c r="D23" s="433" t="s">
        <v>367</v>
      </c>
      <c r="E23" s="433" t="s">
        <v>368</v>
      </c>
      <c r="F23" s="433" t="s">
        <v>369</v>
      </c>
      <c r="G23" s="433" t="s">
        <v>370</v>
      </c>
    </row>
    <row r="24" spans="1:7" x14ac:dyDescent="0.3">
      <c r="A24" s="454">
        <v>1</v>
      </c>
      <c r="B24" s="434">
        <v>17.2</v>
      </c>
      <c r="C24" s="434">
        <v>62.9</v>
      </c>
      <c r="D24" s="434">
        <v>93.6</v>
      </c>
      <c r="E24" s="434">
        <v>54.9</v>
      </c>
      <c r="F24" s="434">
        <v>66.099999999999994</v>
      </c>
      <c r="G24" s="434">
        <v>89.6</v>
      </c>
    </row>
    <row r="25" spans="1:7" x14ac:dyDescent="0.3">
      <c r="A25" s="454">
        <v>2</v>
      </c>
      <c r="B25" s="434">
        <v>30.5</v>
      </c>
      <c r="C25" s="434">
        <v>59.4</v>
      </c>
      <c r="D25" s="434">
        <v>81.400000000000006</v>
      </c>
      <c r="E25" s="434">
        <v>31.3</v>
      </c>
      <c r="F25" s="434">
        <v>66.7</v>
      </c>
      <c r="G25" s="434">
        <v>108.4</v>
      </c>
    </row>
    <row r="26" spans="1:7" x14ac:dyDescent="0.3">
      <c r="A26" s="454">
        <v>3</v>
      </c>
      <c r="B26" s="434">
        <v>36.6</v>
      </c>
      <c r="C26" s="434">
        <v>37.200000000000003</v>
      </c>
      <c r="D26" s="434">
        <v>98.6</v>
      </c>
      <c r="E26" s="434">
        <v>29.5</v>
      </c>
      <c r="F26" s="434">
        <v>63.2</v>
      </c>
      <c r="G26" s="434">
        <v>107</v>
      </c>
    </row>
    <row r="27" spans="1:7" x14ac:dyDescent="0.3">
      <c r="A27" s="454">
        <v>4</v>
      </c>
      <c r="B27" s="434">
        <v>26.2</v>
      </c>
      <c r="C27" s="434">
        <v>42.4</v>
      </c>
      <c r="D27" s="434">
        <v>90</v>
      </c>
      <c r="E27" s="434">
        <v>55.1</v>
      </c>
      <c r="F27" s="434">
        <v>76.900000000000006</v>
      </c>
      <c r="G27" s="434">
        <v>101.3</v>
      </c>
    </row>
    <row r="28" spans="1:7" x14ac:dyDescent="0.3">
      <c r="A28" s="454">
        <v>5</v>
      </c>
      <c r="B28" s="434">
        <v>29.3</v>
      </c>
      <c r="C28" s="434">
        <v>50.8</v>
      </c>
      <c r="D28" s="434">
        <v>97.3</v>
      </c>
      <c r="E28" s="434">
        <v>39.9</v>
      </c>
      <c r="F28" s="434">
        <v>78.5</v>
      </c>
      <c r="G28" s="434">
        <v>118.6</v>
      </c>
    </row>
    <row r="29" spans="1:7" x14ac:dyDescent="0.3">
      <c r="A29" s="454">
        <v>6</v>
      </c>
      <c r="B29" s="434">
        <v>31.2</v>
      </c>
      <c r="C29" s="434">
        <v>57.4</v>
      </c>
      <c r="D29" s="434">
        <v>78.900000000000006</v>
      </c>
      <c r="E29" s="434">
        <v>28</v>
      </c>
      <c r="F29" s="434">
        <v>77.599999999999994</v>
      </c>
      <c r="G29" s="434">
        <v>100.7</v>
      </c>
    </row>
    <row r="30" spans="1:7" x14ac:dyDescent="0.3">
      <c r="A30" s="454">
        <v>7</v>
      </c>
      <c r="B30" s="434">
        <v>23.3</v>
      </c>
      <c r="C30" s="434">
        <v>67.900000000000006</v>
      </c>
      <c r="D30" s="434">
        <v>81.2</v>
      </c>
      <c r="E30" s="434">
        <v>29.5</v>
      </c>
      <c r="F30" s="434">
        <v>64.900000000000006</v>
      </c>
      <c r="G30" s="434">
        <v>100.3</v>
      </c>
    </row>
    <row r="31" spans="1:7" x14ac:dyDescent="0.3">
      <c r="A31" s="454">
        <v>8</v>
      </c>
      <c r="B31" s="434">
        <v>21.2</v>
      </c>
      <c r="C31" s="434">
        <v>53.5</v>
      </c>
      <c r="D31" s="434">
        <v>78.400000000000006</v>
      </c>
      <c r="E31" s="434"/>
      <c r="F31" s="434">
        <v>62.6</v>
      </c>
      <c r="G31" s="434">
        <v>80.8</v>
      </c>
    </row>
    <row r="32" spans="1:7" x14ac:dyDescent="0.3">
      <c r="A32" s="454">
        <v>9</v>
      </c>
      <c r="B32" s="434">
        <v>18.100000000000001</v>
      </c>
      <c r="C32" s="434">
        <v>36.9</v>
      </c>
      <c r="D32" s="434">
        <v>100.6</v>
      </c>
      <c r="E32" s="434"/>
      <c r="F32" s="434">
        <v>62.7</v>
      </c>
      <c r="G32" s="434">
        <v>83.7</v>
      </c>
    </row>
    <row r="33" spans="1:7" x14ac:dyDescent="0.3">
      <c r="A33" s="454">
        <v>10</v>
      </c>
      <c r="B33" s="434">
        <v>31.3</v>
      </c>
      <c r="C33" s="434">
        <v>64.8</v>
      </c>
      <c r="D33" s="434">
        <v>71.900000000000006</v>
      </c>
      <c r="E33" s="434"/>
      <c r="F33" s="434">
        <v>66.400000000000006</v>
      </c>
      <c r="G33" s="434">
        <v>119.7</v>
      </c>
    </row>
    <row r="34" spans="1:7" x14ac:dyDescent="0.3">
      <c r="A34" s="454">
        <v>11</v>
      </c>
      <c r="B34" s="434">
        <v>22.2</v>
      </c>
      <c r="C34" s="434">
        <v>67.2</v>
      </c>
      <c r="D34" s="434">
        <v>103.9</v>
      </c>
      <c r="E34" s="434"/>
      <c r="F34" s="434">
        <v>65.2</v>
      </c>
      <c r="G34" s="434">
        <v>117.7</v>
      </c>
    </row>
    <row r="35" spans="1:7" x14ac:dyDescent="0.3">
      <c r="A35" s="454">
        <v>12</v>
      </c>
      <c r="B35" s="434">
        <v>26.7</v>
      </c>
      <c r="C35" s="434">
        <v>41.5</v>
      </c>
      <c r="D35" s="434">
        <v>73.599999999999994</v>
      </c>
      <c r="E35" s="434"/>
      <c r="F35" s="434"/>
      <c r="G35" s="434">
        <v>99.8</v>
      </c>
    </row>
    <row r="36" spans="1:7" x14ac:dyDescent="0.3">
      <c r="A36" s="454">
        <v>13</v>
      </c>
      <c r="B36" s="434">
        <v>24.3</v>
      </c>
      <c r="C36" s="434">
        <v>66.2</v>
      </c>
      <c r="D36" s="434">
        <v>74.7</v>
      </c>
      <c r="E36" s="434"/>
      <c r="F36" s="434"/>
      <c r="G36" s="434"/>
    </row>
    <row r="37" spans="1:7" x14ac:dyDescent="0.3">
      <c r="A37" s="454">
        <v>14</v>
      </c>
      <c r="B37" s="434"/>
      <c r="C37" s="434">
        <v>41.2</v>
      </c>
      <c r="D37" s="434">
        <v>97.9</v>
      </c>
      <c r="E37" s="434"/>
      <c r="F37" s="434"/>
      <c r="G37" s="434"/>
    </row>
    <row r="38" spans="1:7" x14ac:dyDescent="0.3">
      <c r="A38" s="454">
        <v>15</v>
      </c>
      <c r="B38" s="434"/>
      <c r="C38" s="434">
        <v>64.7</v>
      </c>
      <c r="D38" s="434">
        <v>77.8</v>
      </c>
      <c r="E38" s="434"/>
      <c r="F38" s="434"/>
      <c r="G38" s="434"/>
    </row>
    <row r="39" spans="1:7" x14ac:dyDescent="0.3">
      <c r="A39" s="670" t="s">
        <v>356</v>
      </c>
      <c r="B39" s="670"/>
      <c r="C39" s="670"/>
      <c r="D39" s="663"/>
      <c r="E39" s="670"/>
      <c r="F39" s="670"/>
      <c r="G39" s="670"/>
    </row>
    <row r="40" spans="1:7" x14ac:dyDescent="0.3">
      <c r="A40" s="396"/>
      <c r="B40" s="674" t="s">
        <v>364</v>
      </c>
      <c r="C40" s="674"/>
      <c r="D40" s="674"/>
      <c r="E40" s="674" t="s">
        <v>365</v>
      </c>
      <c r="F40" s="674"/>
      <c r="G40" s="674"/>
    </row>
    <row r="41" spans="1:7" x14ac:dyDescent="0.3">
      <c r="A41" s="454" t="s">
        <v>366</v>
      </c>
      <c r="B41" s="433" t="s">
        <v>344</v>
      </c>
      <c r="C41" s="433" t="s">
        <v>345</v>
      </c>
      <c r="D41" s="433" t="s">
        <v>367</v>
      </c>
      <c r="E41" s="433" t="s">
        <v>368</v>
      </c>
      <c r="F41" s="433" t="s">
        <v>369</v>
      </c>
      <c r="G41" s="433" t="s">
        <v>370</v>
      </c>
    </row>
    <row r="42" spans="1:7" x14ac:dyDescent="0.3">
      <c r="A42" s="454">
        <v>1</v>
      </c>
      <c r="B42" s="434">
        <v>26.3</v>
      </c>
      <c r="C42" s="434">
        <v>67.2</v>
      </c>
      <c r="D42" s="434">
        <v>90.2</v>
      </c>
      <c r="E42" s="434">
        <v>32.9</v>
      </c>
      <c r="F42" s="434">
        <v>61.2</v>
      </c>
      <c r="G42" s="434">
        <v>94.3</v>
      </c>
    </row>
    <row r="43" spans="1:7" x14ac:dyDescent="0.3">
      <c r="A43" s="454">
        <v>2</v>
      </c>
      <c r="B43" s="434">
        <v>26.5</v>
      </c>
      <c r="C43" s="434">
        <v>50.4</v>
      </c>
      <c r="D43" s="434">
        <v>70.8</v>
      </c>
      <c r="E43" s="434">
        <v>59.2</v>
      </c>
      <c r="F43" s="434">
        <v>68.7</v>
      </c>
      <c r="G43" s="434">
        <v>118</v>
      </c>
    </row>
    <row r="44" spans="1:7" x14ac:dyDescent="0.3">
      <c r="A44" s="454">
        <v>3</v>
      </c>
      <c r="B44" s="434">
        <v>26</v>
      </c>
      <c r="C44" s="434">
        <v>61.4</v>
      </c>
      <c r="D44" s="434">
        <v>73.5</v>
      </c>
      <c r="E44" s="434">
        <v>56.3</v>
      </c>
      <c r="F44" s="434">
        <v>71.900000000000006</v>
      </c>
      <c r="G44" s="434">
        <v>97.2</v>
      </c>
    </row>
    <row r="45" spans="1:7" x14ac:dyDescent="0.3">
      <c r="A45" s="454">
        <v>4</v>
      </c>
      <c r="B45" s="434">
        <v>34.6</v>
      </c>
      <c r="C45" s="434">
        <v>56.5</v>
      </c>
      <c r="D45" s="434">
        <v>94.1</v>
      </c>
      <c r="E45" s="434">
        <v>29.7</v>
      </c>
      <c r="F45" s="434">
        <v>63.7</v>
      </c>
      <c r="G45" s="434">
        <v>115.9</v>
      </c>
    </row>
    <row r="46" spans="1:7" x14ac:dyDescent="0.3">
      <c r="A46" s="454">
        <v>5</v>
      </c>
      <c r="B46" s="434">
        <v>31.5</v>
      </c>
      <c r="C46" s="434">
        <v>63.6</v>
      </c>
      <c r="D46" s="434">
        <v>74.3</v>
      </c>
      <c r="E46" s="434">
        <v>31.3</v>
      </c>
      <c r="F46" s="434">
        <v>70.400000000000006</v>
      </c>
      <c r="G46" s="434">
        <v>102</v>
      </c>
    </row>
    <row r="47" spans="1:7" x14ac:dyDescent="0.3">
      <c r="A47" s="454">
        <v>6</v>
      </c>
      <c r="B47" s="434">
        <v>18.399999999999999</v>
      </c>
      <c r="C47" s="434">
        <v>45.7</v>
      </c>
      <c r="D47" s="434">
        <v>84.8</v>
      </c>
      <c r="E47" s="434">
        <v>33.700000000000003</v>
      </c>
      <c r="F47" s="434">
        <v>70.2</v>
      </c>
      <c r="G47" s="434">
        <v>88.5</v>
      </c>
    </row>
    <row r="48" spans="1:7" x14ac:dyDescent="0.3">
      <c r="A48" s="454">
        <v>7</v>
      </c>
      <c r="B48" s="434">
        <v>31.9</v>
      </c>
      <c r="C48" s="434">
        <v>53.1</v>
      </c>
      <c r="D48" s="434">
        <v>82.7</v>
      </c>
      <c r="E48" s="434">
        <v>46.7</v>
      </c>
      <c r="F48" s="434">
        <v>60.1</v>
      </c>
      <c r="G48" s="434">
        <v>118.2</v>
      </c>
    </row>
    <row r="49" spans="1:7" x14ac:dyDescent="0.3">
      <c r="A49" s="454">
        <v>8</v>
      </c>
      <c r="B49" s="434">
        <v>35.1</v>
      </c>
      <c r="C49" s="434">
        <v>39.200000000000003</v>
      </c>
      <c r="D49" s="434">
        <v>82.7</v>
      </c>
      <c r="E49" s="434"/>
      <c r="F49" s="434">
        <v>72.7</v>
      </c>
      <c r="G49" s="434">
        <v>102.7</v>
      </c>
    </row>
    <row r="50" spans="1:7" x14ac:dyDescent="0.3">
      <c r="A50" s="454">
        <v>9</v>
      </c>
      <c r="B50" s="434">
        <v>21.6</v>
      </c>
      <c r="C50" s="434">
        <v>66.7</v>
      </c>
      <c r="D50" s="434">
        <v>80.2</v>
      </c>
      <c r="E50" s="434"/>
      <c r="F50" s="434">
        <v>70.900000000000006</v>
      </c>
      <c r="G50" s="434">
        <v>117</v>
      </c>
    </row>
    <row r="51" spans="1:7" x14ac:dyDescent="0.3">
      <c r="A51" s="454">
        <v>10</v>
      </c>
      <c r="B51" s="434">
        <v>27.3</v>
      </c>
      <c r="C51" s="434">
        <v>62.6</v>
      </c>
      <c r="D51" s="434">
        <v>95.6</v>
      </c>
      <c r="E51" s="434"/>
      <c r="F51" s="434">
        <v>70.599999999999994</v>
      </c>
      <c r="G51" s="434">
        <v>118.6</v>
      </c>
    </row>
    <row r="52" spans="1:7" x14ac:dyDescent="0.3">
      <c r="A52" s="454">
        <v>11</v>
      </c>
      <c r="B52" s="434">
        <v>22.2</v>
      </c>
      <c r="C52" s="434">
        <v>36.9</v>
      </c>
      <c r="D52" s="434">
        <v>72.5</v>
      </c>
      <c r="E52" s="434"/>
      <c r="F52" s="434">
        <v>67.7</v>
      </c>
      <c r="G52" s="434">
        <v>110.8</v>
      </c>
    </row>
    <row r="53" spans="1:7" x14ac:dyDescent="0.3">
      <c r="A53" s="454">
        <v>12</v>
      </c>
      <c r="B53" s="434">
        <v>20.2</v>
      </c>
      <c r="C53" s="434">
        <v>67.900000000000006</v>
      </c>
      <c r="D53" s="434">
        <v>82.6</v>
      </c>
      <c r="E53" s="434"/>
      <c r="F53" s="434">
        <v>78.400000000000006</v>
      </c>
      <c r="G53" s="434">
        <v>104.1</v>
      </c>
    </row>
    <row r="54" spans="1:7" x14ac:dyDescent="0.3">
      <c r="A54" s="454">
        <v>13</v>
      </c>
      <c r="B54" s="434">
        <v>24.4</v>
      </c>
      <c r="C54" s="434">
        <v>48</v>
      </c>
      <c r="D54" s="434">
        <v>87.9</v>
      </c>
      <c r="E54" s="434"/>
      <c r="F54" s="434"/>
      <c r="G54" s="434">
        <v>95.1</v>
      </c>
    </row>
    <row r="55" spans="1:7" x14ac:dyDescent="0.3">
      <c r="A55" s="454">
        <v>14</v>
      </c>
      <c r="B55" s="434">
        <v>35.799999999999997</v>
      </c>
      <c r="C55" s="434">
        <v>67.2</v>
      </c>
      <c r="D55" s="434">
        <v>98.4</v>
      </c>
      <c r="E55" s="434"/>
      <c r="F55" s="434"/>
      <c r="G55" s="434">
        <v>108.9</v>
      </c>
    </row>
    <row r="56" spans="1:7" x14ac:dyDescent="0.3">
      <c r="A56" s="454">
        <v>15</v>
      </c>
      <c r="B56" s="434"/>
      <c r="C56" s="434"/>
      <c r="D56" s="434">
        <v>98.1</v>
      </c>
      <c r="E56" s="434"/>
      <c r="F56" s="434"/>
      <c r="G56" s="434"/>
    </row>
    <row r="57" spans="1:7" x14ac:dyDescent="0.3">
      <c r="A57" s="670" t="s">
        <v>357</v>
      </c>
      <c r="B57" s="670"/>
      <c r="C57" s="670"/>
      <c r="D57" s="663"/>
      <c r="E57" s="670"/>
      <c r="F57" s="670"/>
      <c r="G57" s="670"/>
    </row>
    <row r="58" spans="1:7" x14ac:dyDescent="0.3">
      <c r="A58" s="396"/>
      <c r="B58" s="674" t="s">
        <v>364</v>
      </c>
      <c r="C58" s="674"/>
      <c r="D58" s="674"/>
      <c r="E58" s="674" t="s">
        <v>365</v>
      </c>
      <c r="F58" s="674"/>
      <c r="G58" s="674"/>
    </row>
    <row r="59" spans="1:7" x14ac:dyDescent="0.3">
      <c r="A59" s="454" t="s">
        <v>366</v>
      </c>
      <c r="B59" s="433" t="s">
        <v>344</v>
      </c>
      <c r="C59" s="433" t="s">
        <v>345</v>
      </c>
      <c r="D59" s="433" t="s">
        <v>367</v>
      </c>
      <c r="E59" s="433" t="s">
        <v>368</v>
      </c>
      <c r="F59" s="433" t="s">
        <v>369</v>
      </c>
      <c r="G59" s="433" t="s">
        <v>370</v>
      </c>
    </row>
    <row r="60" spans="1:7" x14ac:dyDescent="0.3">
      <c r="A60" s="454">
        <v>1</v>
      </c>
      <c r="B60" s="434">
        <v>17.2</v>
      </c>
      <c r="C60" s="434">
        <v>53.6</v>
      </c>
      <c r="D60" s="434">
        <v>88.5</v>
      </c>
      <c r="E60" s="434">
        <v>57.5</v>
      </c>
      <c r="F60" s="434">
        <v>60.5</v>
      </c>
      <c r="G60" s="434">
        <v>110</v>
      </c>
    </row>
    <row r="61" spans="1:7" x14ac:dyDescent="0.3">
      <c r="A61" s="454">
        <v>2</v>
      </c>
      <c r="B61" s="434">
        <v>23</v>
      </c>
      <c r="C61" s="434">
        <v>65.400000000000006</v>
      </c>
      <c r="D61" s="434">
        <v>78.8</v>
      </c>
      <c r="E61" s="434">
        <v>45</v>
      </c>
      <c r="F61" s="434">
        <v>62.5</v>
      </c>
      <c r="G61" s="434">
        <v>98.3</v>
      </c>
    </row>
    <row r="62" spans="1:7" x14ac:dyDescent="0.3">
      <c r="A62" s="454">
        <v>3</v>
      </c>
      <c r="B62" s="434">
        <v>26.2</v>
      </c>
      <c r="C62" s="434">
        <v>66.2</v>
      </c>
      <c r="D62" s="434">
        <v>77.8</v>
      </c>
      <c r="E62" s="434">
        <v>48.4</v>
      </c>
      <c r="F62" s="434">
        <v>70.2</v>
      </c>
      <c r="G62" s="434">
        <v>109.9</v>
      </c>
    </row>
    <row r="63" spans="1:7" x14ac:dyDescent="0.3">
      <c r="A63" s="454">
        <v>4</v>
      </c>
      <c r="B63" s="434">
        <v>29.5</v>
      </c>
      <c r="C63" s="434">
        <v>68.2</v>
      </c>
      <c r="D63" s="434">
        <v>89.2</v>
      </c>
      <c r="E63" s="434">
        <v>29.2</v>
      </c>
      <c r="F63" s="434">
        <v>61.5</v>
      </c>
      <c r="G63" s="434">
        <v>110.3</v>
      </c>
    </row>
    <row r="64" spans="1:7" x14ac:dyDescent="0.3">
      <c r="A64" s="454">
        <v>5</v>
      </c>
      <c r="B64" s="434">
        <v>15.9</v>
      </c>
      <c r="C64" s="434">
        <v>49.5</v>
      </c>
      <c r="D64" s="434">
        <v>71.2</v>
      </c>
      <c r="E64" s="434"/>
      <c r="F64" s="434">
        <v>61.2</v>
      </c>
      <c r="G64" s="434">
        <v>112</v>
      </c>
    </row>
    <row r="65" spans="1:7" x14ac:dyDescent="0.3">
      <c r="A65" s="454">
        <v>6</v>
      </c>
      <c r="B65" s="434">
        <v>15.8</v>
      </c>
      <c r="C65" s="434">
        <v>55</v>
      </c>
      <c r="D65" s="434">
        <v>88.3</v>
      </c>
      <c r="E65" s="434"/>
      <c r="F65" s="434"/>
      <c r="G65" s="434">
        <v>91.7</v>
      </c>
    </row>
    <row r="66" spans="1:7" x14ac:dyDescent="0.3">
      <c r="A66" s="454">
        <v>7</v>
      </c>
      <c r="B66" s="434">
        <v>24</v>
      </c>
      <c r="C66" s="434">
        <v>62.3</v>
      </c>
      <c r="D66" s="434">
        <v>80.5</v>
      </c>
      <c r="E66" s="434"/>
      <c r="F66" s="434"/>
      <c r="G66" s="434"/>
    </row>
    <row r="67" spans="1:7" x14ac:dyDescent="0.3">
      <c r="A67" s="454">
        <v>8</v>
      </c>
      <c r="B67" s="434">
        <v>16.100000000000001</v>
      </c>
      <c r="C67" s="434">
        <v>43</v>
      </c>
      <c r="D67" s="434">
        <v>92.6</v>
      </c>
      <c r="E67" s="434"/>
      <c r="F67" s="434"/>
      <c r="G67" s="434"/>
    </row>
    <row r="68" spans="1:7" x14ac:dyDescent="0.3">
      <c r="A68" s="454">
        <v>9</v>
      </c>
      <c r="B68" s="434">
        <v>30.9</v>
      </c>
      <c r="C68" s="434"/>
      <c r="D68" s="434">
        <v>77.7</v>
      </c>
      <c r="E68" s="433"/>
      <c r="F68" s="434"/>
      <c r="G68" s="434"/>
    </row>
    <row r="69" spans="1:7" x14ac:dyDescent="0.3">
      <c r="A69" s="670" t="s">
        <v>358</v>
      </c>
      <c r="B69" s="670"/>
      <c r="C69" s="670"/>
      <c r="D69" s="663"/>
      <c r="E69" s="670"/>
      <c r="F69" s="670"/>
      <c r="G69" s="670"/>
    </row>
    <row r="70" spans="1:7" x14ac:dyDescent="0.3">
      <c r="A70" s="396"/>
      <c r="B70" s="674" t="s">
        <v>364</v>
      </c>
      <c r="C70" s="674"/>
      <c r="D70" s="674"/>
      <c r="E70" s="674" t="s">
        <v>365</v>
      </c>
      <c r="F70" s="674"/>
      <c r="G70" s="674"/>
    </row>
    <row r="71" spans="1:7" x14ac:dyDescent="0.3">
      <c r="A71" s="454" t="s">
        <v>366</v>
      </c>
      <c r="B71" s="433" t="s">
        <v>344</v>
      </c>
      <c r="C71" s="433" t="s">
        <v>345</v>
      </c>
      <c r="D71" s="433" t="s">
        <v>367</v>
      </c>
      <c r="E71" s="433" t="s">
        <v>368</v>
      </c>
      <c r="F71" s="433" t="s">
        <v>369</v>
      </c>
      <c r="G71" s="433" t="s">
        <v>370</v>
      </c>
    </row>
    <row r="72" spans="1:7" x14ac:dyDescent="0.3">
      <c r="A72" s="454">
        <v>1</v>
      </c>
      <c r="B72" s="434">
        <v>33.1</v>
      </c>
      <c r="C72" s="434">
        <v>49.3</v>
      </c>
      <c r="D72" s="434">
        <v>96</v>
      </c>
      <c r="E72" s="434">
        <v>25.5</v>
      </c>
      <c r="F72" s="434">
        <v>65.400000000000006</v>
      </c>
      <c r="G72" s="434">
        <v>114.4</v>
      </c>
    </row>
    <row r="73" spans="1:7" x14ac:dyDescent="0.3">
      <c r="A73" s="454">
        <v>2</v>
      </c>
      <c r="B73" s="434">
        <v>22.2</v>
      </c>
      <c r="C73" s="434">
        <v>44.9</v>
      </c>
      <c r="D73" s="434">
        <v>102.7</v>
      </c>
      <c r="E73" s="434">
        <v>46.1</v>
      </c>
      <c r="F73" s="434">
        <v>67.5</v>
      </c>
      <c r="G73" s="434">
        <v>97.6</v>
      </c>
    </row>
    <row r="74" spans="1:7" x14ac:dyDescent="0.3">
      <c r="A74" s="454">
        <v>3</v>
      </c>
      <c r="B74" s="434">
        <v>15.9</v>
      </c>
      <c r="C74" s="434">
        <v>42.9</v>
      </c>
      <c r="D74" s="434">
        <v>73.400000000000006</v>
      </c>
      <c r="E74" s="434">
        <v>47.9</v>
      </c>
      <c r="F74" s="434">
        <v>75.599999999999994</v>
      </c>
      <c r="G74" s="434">
        <v>87.2</v>
      </c>
    </row>
    <row r="75" spans="1:7" x14ac:dyDescent="0.3">
      <c r="A75" s="454">
        <v>4</v>
      </c>
      <c r="B75" s="434">
        <v>26.2</v>
      </c>
      <c r="C75" s="434">
        <v>54.9</v>
      </c>
      <c r="D75" s="434">
        <v>102.5</v>
      </c>
      <c r="E75" s="434">
        <v>30.4</v>
      </c>
      <c r="F75" s="434">
        <v>70.3</v>
      </c>
      <c r="G75" s="434">
        <v>104</v>
      </c>
    </row>
    <row r="76" spans="1:7" x14ac:dyDescent="0.3">
      <c r="A76" s="454">
        <v>5</v>
      </c>
      <c r="B76" s="434">
        <v>26.3</v>
      </c>
      <c r="C76" s="434">
        <v>53.1</v>
      </c>
      <c r="D76" s="434">
        <v>73.2</v>
      </c>
      <c r="E76" s="434">
        <v>35.700000000000003</v>
      </c>
      <c r="F76" s="434">
        <v>65.400000000000006</v>
      </c>
      <c r="G76" s="434">
        <v>100.9</v>
      </c>
    </row>
    <row r="77" spans="1:7" x14ac:dyDescent="0.3">
      <c r="A77" s="454">
        <v>6</v>
      </c>
      <c r="B77" s="434">
        <v>30</v>
      </c>
      <c r="C77" s="434">
        <v>46.9</v>
      </c>
      <c r="D77" s="434">
        <v>72.599999999999994</v>
      </c>
      <c r="E77" s="434">
        <v>26.6</v>
      </c>
      <c r="F77" s="434">
        <v>71.099999999999994</v>
      </c>
      <c r="G77" s="434">
        <v>106.2</v>
      </c>
    </row>
    <row r="78" spans="1:7" x14ac:dyDescent="0.3">
      <c r="A78" s="454">
        <v>7</v>
      </c>
      <c r="B78" s="434">
        <v>30.1</v>
      </c>
      <c r="C78" s="434">
        <v>51.1</v>
      </c>
      <c r="D78" s="434">
        <v>91</v>
      </c>
      <c r="E78" s="434">
        <v>26.8</v>
      </c>
      <c r="F78" s="434">
        <v>70.7</v>
      </c>
      <c r="G78" s="434">
        <v>110.5</v>
      </c>
    </row>
    <row r="79" spans="1:7" x14ac:dyDescent="0.3">
      <c r="A79" s="454">
        <v>8</v>
      </c>
      <c r="B79" s="434">
        <v>30.3</v>
      </c>
      <c r="C79" s="434">
        <v>37.700000000000003</v>
      </c>
      <c r="D79" s="434">
        <v>69.3</v>
      </c>
      <c r="E79" s="434">
        <v>42.4</v>
      </c>
      <c r="F79" s="434">
        <v>67.900000000000006</v>
      </c>
      <c r="G79" s="434">
        <v>106.6</v>
      </c>
    </row>
    <row r="80" spans="1:7" x14ac:dyDescent="0.3">
      <c r="A80" s="454">
        <v>9</v>
      </c>
      <c r="B80" s="434">
        <v>23.9</v>
      </c>
      <c r="C80" s="434">
        <v>45.8</v>
      </c>
      <c r="D80" s="434">
        <v>102.7</v>
      </c>
      <c r="E80" s="434">
        <v>28.1</v>
      </c>
      <c r="F80" s="434">
        <v>61.2</v>
      </c>
      <c r="G80" s="434">
        <v>92.6</v>
      </c>
    </row>
    <row r="81" spans="1:7" x14ac:dyDescent="0.3">
      <c r="A81" s="454">
        <v>10</v>
      </c>
      <c r="B81" s="434">
        <v>36.299999999999997</v>
      </c>
      <c r="C81" s="434">
        <v>67.7</v>
      </c>
      <c r="D81" s="434">
        <v>88</v>
      </c>
      <c r="E81" s="434">
        <v>58.7</v>
      </c>
      <c r="F81" s="434">
        <v>75.3</v>
      </c>
      <c r="G81" s="434">
        <v>103.2</v>
      </c>
    </row>
    <row r="82" spans="1:7" x14ac:dyDescent="0.3">
      <c r="A82" s="454">
        <v>11</v>
      </c>
      <c r="B82" s="434">
        <v>22</v>
      </c>
      <c r="C82" s="434">
        <v>45.2</v>
      </c>
      <c r="D82" s="434">
        <v>101.3</v>
      </c>
      <c r="E82" s="434"/>
      <c r="F82" s="434">
        <v>69.099999999999994</v>
      </c>
      <c r="G82" s="434">
        <v>101.8</v>
      </c>
    </row>
    <row r="83" spans="1:7" x14ac:dyDescent="0.3">
      <c r="A83" s="454">
        <v>12</v>
      </c>
      <c r="B83" s="434">
        <v>20.5</v>
      </c>
      <c r="C83" s="434">
        <v>64.5</v>
      </c>
      <c r="D83" s="434">
        <v>89.3</v>
      </c>
      <c r="E83" s="434"/>
      <c r="F83" s="434">
        <v>62.6</v>
      </c>
      <c r="G83" s="434">
        <v>90.7</v>
      </c>
    </row>
    <row r="84" spans="1:7" x14ac:dyDescent="0.3">
      <c r="A84" s="454">
        <v>13</v>
      </c>
      <c r="B84" s="434">
        <v>16.100000000000001</v>
      </c>
      <c r="C84" s="434">
        <v>66.900000000000006</v>
      </c>
      <c r="D84" s="434">
        <v>75.7</v>
      </c>
      <c r="E84" s="434"/>
      <c r="F84" s="434">
        <v>70.7</v>
      </c>
      <c r="G84" s="434">
        <v>84</v>
      </c>
    </row>
    <row r="85" spans="1:7" x14ac:dyDescent="0.3">
      <c r="A85" s="454">
        <v>14</v>
      </c>
      <c r="B85" s="434">
        <v>16.100000000000001</v>
      </c>
      <c r="C85" s="434">
        <v>50.6</v>
      </c>
      <c r="D85" s="434">
        <v>76.5</v>
      </c>
      <c r="E85" s="434"/>
      <c r="F85" s="434">
        <v>71.099999999999994</v>
      </c>
      <c r="G85" s="434">
        <v>89</v>
      </c>
    </row>
    <row r="86" spans="1:7" x14ac:dyDescent="0.3">
      <c r="A86" s="454">
        <v>15</v>
      </c>
      <c r="B86" s="434">
        <v>36.5</v>
      </c>
      <c r="C86" s="434">
        <v>54.3</v>
      </c>
      <c r="D86" s="434">
        <v>96.6</v>
      </c>
      <c r="E86" s="434"/>
      <c r="F86" s="434"/>
      <c r="G86" s="434">
        <v>86.8</v>
      </c>
    </row>
    <row r="87" spans="1:7" x14ac:dyDescent="0.3">
      <c r="A87" s="454">
        <v>16</v>
      </c>
      <c r="B87" s="434"/>
      <c r="C87" s="434">
        <v>54.8</v>
      </c>
      <c r="D87" s="434">
        <v>91.2</v>
      </c>
      <c r="E87" s="434"/>
      <c r="F87" s="434"/>
      <c r="G87" s="434">
        <v>102.6</v>
      </c>
    </row>
    <row r="88" spans="1:7" x14ac:dyDescent="0.3">
      <c r="A88" s="454">
        <v>17</v>
      </c>
      <c r="B88" s="434"/>
      <c r="C88" s="434">
        <v>59.9</v>
      </c>
      <c r="D88" s="434">
        <v>101.5</v>
      </c>
      <c r="E88" s="434"/>
      <c r="F88" s="434"/>
      <c r="G88" s="434">
        <v>98.2</v>
      </c>
    </row>
    <row r="89" spans="1:7" x14ac:dyDescent="0.3">
      <c r="A89" s="454">
        <v>18</v>
      </c>
      <c r="B89" s="434"/>
      <c r="C89" s="434">
        <v>37</v>
      </c>
      <c r="D89" s="434">
        <v>90.1</v>
      </c>
      <c r="E89" s="438"/>
      <c r="F89" s="438"/>
      <c r="G89" s="438"/>
    </row>
    <row r="90" spans="1:7" x14ac:dyDescent="0.3">
      <c r="A90" s="454">
        <v>19</v>
      </c>
      <c r="B90" s="434"/>
      <c r="C90" s="434">
        <v>52.8</v>
      </c>
      <c r="D90" s="434"/>
      <c r="E90" s="438"/>
      <c r="F90" s="438"/>
      <c r="G90" s="438"/>
    </row>
    <row r="91" spans="1:7" x14ac:dyDescent="0.3">
      <c r="A91" s="670" t="s">
        <v>359</v>
      </c>
      <c r="B91" s="670"/>
      <c r="C91" s="670"/>
      <c r="D91" s="663"/>
      <c r="E91" s="670"/>
      <c r="F91" s="670"/>
      <c r="G91" s="670"/>
    </row>
    <row r="92" spans="1:7" x14ac:dyDescent="0.3">
      <c r="A92" s="396"/>
      <c r="B92" s="674" t="s">
        <v>364</v>
      </c>
      <c r="C92" s="674"/>
      <c r="D92" s="674"/>
      <c r="E92" s="674" t="s">
        <v>365</v>
      </c>
      <c r="F92" s="674"/>
      <c r="G92" s="674"/>
    </row>
    <row r="93" spans="1:7" x14ac:dyDescent="0.3">
      <c r="A93" s="454" t="s">
        <v>366</v>
      </c>
      <c r="B93" s="433" t="s">
        <v>344</v>
      </c>
      <c r="C93" s="433" t="s">
        <v>345</v>
      </c>
      <c r="D93" s="433" t="s">
        <v>367</v>
      </c>
      <c r="E93" s="433" t="s">
        <v>368</v>
      </c>
      <c r="F93" s="433" t="s">
        <v>369</v>
      </c>
      <c r="G93" s="433" t="s">
        <v>370</v>
      </c>
    </row>
    <row r="94" spans="1:7" x14ac:dyDescent="0.3">
      <c r="A94" s="454">
        <v>1</v>
      </c>
      <c r="B94" s="434">
        <v>21.6</v>
      </c>
      <c r="C94" s="434">
        <v>49.3</v>
      </c>
      <c r="D94" s="434">
        <v>92.4</v>
      </c>
      <c r="E94" s="434">
        <v>54.8</v>
      </c>
      <c r="F94" s="434">
        <v>71.8</v>
      </c>
      <c r="G94" s="434">
        <v>101.5</v>
      </c>
    </row>
    <row r="95" spans="1:7" x14ac:dyDescent="0.3">
      <c r="A95" s="454">
        <v>2</v>
      </c>
      <c r="B95" s="434">
        <v>31.9</v>
      </c>
      <c r="C95" s="434">
        <v>44.8</v>
      </c>
      <c r="D95" s="434">
        <v>84.9</v>
      </c>
      <c r="E95" s="434">
        <v>57.9</v>
      </c>
      <c r="F95" s="434">
        <v>78</v>
      </c>
      <c r="G95" s="434">
        <v>84.1</v>
      </c>
    </row>
    <row r="96" spans="1:7" x14ac:dyDescent="0.3">
      <c r="A96" s="454">
        <v>3</v>
      </c>
      <c r="B96" s="434">
        <v>34.299999999999997</v>
      </c>
      <c r="C96" s="434">
        <v>40</v>
      </c>
      <c r="D96" s="434">
        <v>83.4</v>
      </c>
      <c r="E96" s="434">
        <v>45.4</v>
      </c>
      <c r="F96" s="434">
        <v>65.5</v>
      </c>
      <c r="G96" s="434">
        <v>109.2</v>
      </c>
    </row>
    <row r="97" spans="1:7" x14ac:dyDescent="0.3">
      <c r="A97" s="454">
        <v>4</v>
      </c>
      <c r="B97" s="434">
        <v>16.2</v>
      </c>
      <c r="C97" s="434">
        <v>52.2</v>
      </c>
      <c r="D97" s="434">
        <v>72</v>
      </c>
      <c r="E97" s="434">
        <v>50.5</v>
      </c>
      <c r="F97" s="434">
        <v>68.599999999999994</v>
      </c>
      <c r="G97" s="434">
        <v>103.7</v>
      </c>
    </row>
    <row r="98" spans="1:7" x14ac:dyDescent="0.3">
      <c r="A98" s="454">
        <v>5</v>
      </c>
      <c r="B98" s="434">
        <v>21.1</v>
      </c>
      <c r="C98" s="434">
        <v>55.3</v>
      </c>
      <c r="D98" s="434">
        <v>88.2</v>
      </c>
      <c r="E98" s="434">
        <v>32.9</v>
      </c>
      <c r="F98" s="434">
        <v>66.7</v>
      </c>
      <c r="G98" s="434">
        <v>108.9</v>
      </c>
    </row>
    <row r="99" spans="1:7" x14ac:dyDescent="0.3">
      <c r="A99" s="454">
        <v>6</v>
      </c>
      <c r="B99" s="434">
        <v>29.9</v>
      </c>
      <c r="C99" s="434">
        <v>53.9</v>
      </c>
      <c r="D99" s="434">
        <v>90.1</v>
      </c>
      <c r="E99" s="434">
        <v>35.1</v>
      </c>
      <c r="F99" s="434">
        <v>62</v>
      </c>
      <c r="G99" s="434">
        <v>110.9</v>
      </c>
    </row>
    <row r="100" spans="1:7" x14ac:dyDescent="0.3">
      <c r="A100" s="454">
        <v>7</v>
      </c>
      <c r="B100" s="434">
        <v>34.5</v>
      </c>
      <c r="C100" s="434">
        <v>59.9</v>
      </c>
      <c r="D100" s="434">
        <v>98.9</v>
      </c>
      <c r="E100" s="434">
        <v>57.2</v>
      </c>
      <c r="F100" s="434">
        <v>69.599999999999994</v>
      </c>
      <c r="G100" s="434">
        <v>87.6</v>
      </c>
    </row>
    <row r="101" spans="1:7" x14ac:dyDescent="0.3">
      <c r="A101" s="454">
        <v>8</v>
      </c>
      <c r="B101" s="434">
        <v>32.5</v>
      </c>
      <c r="C101" s="434">
        <v>52.9</v>
      </c>
      <c r="D101" s="434">
        <v>92.4</v>
      </c>
      <c r="E101" s="434">
        <v>42.8</v>
      </c>
      <c r="F101" s="434">
        <v>65</v>
      </c>
      <c r="G101" s="434">
        <v>112.7</v>
      </c>
    </row>
    <row r="102" spans="1:7" x14ac:dyDescent="0.3">
      <c r="A102" s="454">
        <v>9</v>
      </c>
      <c r="B102" s="434">
        <v>15.8</v>
      </c>
      <c r="C102" s="434">
        <v>51</v>
      </c>
      <c r="D102" s="434">
        <v>97.9</v>
      </c>
      <c r="E102" s="434"/>
      <c r="F102" s="434">
        <v>66.7</v>
      </c>
      <c r="G102" s="434">
        <v>80.5</v>
      </c>
    </row>
    <row r="103" spans="1:7" x14ac:dyDescent="0.3">
      <c r="A103" s="454">
        <v>10</v>
      </c>
      <c r="B103" s="434">
        <v>32.700000000000003</v>
      </c>
      <c r="C103" s="434">
        <v>46.9</v>
      </c>
      <c r="D103" s="434">
        <v>99.5</v>
      </c>
      <c r="E103" s="434"/>
      <c r="F103" s="434">
        <v>61.1</v>
      </c>
      <c r="G103" s="434">
        <v>100.3</v>
      </c>
    </row>
    <row r="104" spans="1:7" x14ac:dyDescent="0.3">
      <c r="A104" s="454">
        <v>11</v>
      </c>
      <c r="B104" s="434">
        <v>35.5</v>
      </c>
      <c r="C104" s="434">
        <v>56.9</v>
      </c>
      <c r="D104" s="434">
        <v>94.2</v>
      </c>
      <c r="E104" s="434"/>
      <c r="F104" s="434"/>
      <c r="G104" s="434">
        <v>94</v>
      </c>
    </row>
    <row r="105" spans="1:7" x14ac:dyDescent="0.3">
      <c r="A105" s="454">
        <v>12</v>
      </c>
      <c r="B105" s="434">
        <v>35.1</v>
      </c>
      <c r="C105" s="434">
        <v>47.8</v>
      </c>
      <c r="D105" s="434">
        <v>88.8</v>
      </c>
      <c r="E105" s="434"/>
      <c r="F105" s="434"/>
      <c r="G105" s="434">
        <v>94</v>
      </c>
    </row>
    <row r="106" spans="1:7" x14ac:dyDescent="0.3">
      <c r="A106" s="454">
        <v>13</v>
      </c>
      <c r="B106" s="434"/>
      <c r="C106" s="434">
        <v>48.6</v>
      </c>
      <c r="D106" s="434">
        <v>72.400000000000006</v>
      </c>
      <c r="E106" s="438"/>
      <c r="F106" s="438"/>
      <c r="G106" s="438"/>
    </row>
    <row r="107" spans="1:7" x14ac:dyDescent="0.3">
      <c r="A107" s="454">
        <v>14</v>
      </c>
      <c r="B107" s="434"/>
      <c r="C107" s="434">
        <v>62.3</v>
      </c>
      <c r="D107" s="434">
        <v>98.4</v>
      </c>
      <c r="E107" s="438"/>
      <c r="F107" s="438"/>
      <c r="G107" s="438"/>
    </row>
    <row r="108" spans="1:7" x14ac:dyDescent="0.3">
      <c r="A108" s="454">
        <v>15</v>
      </c>
      <c r="B108" s="434"/>
      <c r="C108" s="434">
        <v>40.799999999999997</v>
      </c>
      <c r="D108" s="434">
        <v>79.5</v>
      </c>
      <c r="E108" s="438"/>
      <c r="F108" s="438"/>
      <c r="G108" s="438"/>
    </row>
    <row r="109" spans="1:7" x14ac:dyDescent="0.3">
      <c r="A109" s="670" t="s">
        <v>360</v>
      </c>
      <c r="B109" s="670"/>
      <c r="C109" s="670"/>
      <c r="D109" s="663"/>
      <c r="E109" s="670"/>
      <c r="F109" s="670"/>
      <c r="G109" s="670"/>
    </row>
    <row r="110" spans="1:7" x14ac:dyDescent="0.3">
      <c r="A110" s="396"/>
      <c r="B110" s="674" t="s">
        <v>364</v>
      </c>
      <c r="C110" s="674"/>
      <c r="D110" s="674"/>
      <c r="E110" s="674" t="s">
        <v>365</v>
      </c>
      <c r="F110" s="674"/>
      <c r="G110" s="674"/>
    </row>
    <row r="111" spans="1:7" x14ac:dyDescent="0.3">
      <c r="A111" s="454" t="s">
        <v>366</v>
      </c>
      <c r="B111" s="433" t="s">
        <v>344</v>
      </c>
      <c r="C111" s="433" t="s">
        <v>345</v>
      </c>
      <c r="D111" s="433" t="s">
        <v>367</v>
      </c>
      <c r="E111" s="433" t="s">
        <v>368</v>
      </c>
      <c r="F111" s="433" t="s">
        <v>369</v>
      </c>
      <c r="G111" s="433" t="s">
        <v>370</v>
      </c>
    </row>
    <row r="112" spans="1:7" x14ac:dyDescent="0.3">
      <c r="A112" s="454">
        <v>1</v>
      </c>
      <c r="B112" s="434">
        <v>0</v>
      </c>
      <c r="C112" s="434">
        <v>0</v>
      </c>
      <c r="D112" s="434">
        <v>0</v>
      </c>
      <c r="E112" s="434">
        <v>32.1</v>
      </c>
      <c r="F112" s="434">
        <v>74.2</v>
      </c>
      <c r="G112" s="434">
        <v>84.9</v>
      </c>
    </row>
    <row r="113" spans="1:7" x14ac:dyDescent="0.3">
      <c r="A113" s="454">
        <v>2</v>
      </c>
      <c r="B113" s="434"/>
      <c r="C113" s="434"/>
      <c r="D113" s="434"/>
      <c r="E113" s="434">
        <v>31.3</v>
      </c>
      <c r="F113" s="434">
        <v>71.5</v>
      </c>
      <c r="G113" s="434">
        <v>112.1</v>
      </c>
    </row>
    <row r="114" spans="1:7" x14ac:dyDescent="0.3">
      <c r="A114" s="454">
        <v>3</v>
      </c>
      <c r="B114" s="434"/>
      <c r="C114" s="434"/>
      <c r="D114" s="434"/>
      <c r="E114" s="434">
        <v>43.6</v>
      </c>
      <c r="F114" s="434">
        <v>79.599999999999994</v>
      </c>
      <c r="G114" s="434">
        <v>100.6</v>
      </c>
    </row>
    <row r="115" spans="1:7" x14ac:dyDescent="0.3">
      <c r="A115" s="454">
        <v>4</v>
      </c>
      <c r="B115" s="434"/>
      <c r="C115" s="434"/>
      <c r="D115" s="434"/>
      <c r="E115" s="434"/>
      <c r="F115" s="434">
        <v>60</v>
      </c>
      <c r="G115" s="434">
        <v>80.3</v>
      </c>
    </row>
    <row r="116" spans="1:7" x14ac:dyDescent="0.3">
      <c r="A116" s="454">
        <v>5</v>
      </c>
      <c r="B116" s="434"/>
      <c r="C116" s="434"/>
      <c r="D116" s="434"/>
      <c r="E116" s="434"/>
      <c r="F116" s="434">
        <v>79.2</v>
      </c>
      <c r="G116" s="434">
        <v>107.5</v>
      </c>
    </row>
    <row r="117" spans="1:7" x14ac:dyDescent="0.3">
      <c r="A117" s="670" t="s">
        <v>361</v>
      </c>
      <c r="B117" s="670"/>
      <c r="C117" s="670"/>
      <c r="D117" s="663"/>
      <c r="E117" s="670"/>
      <c r="F117" s="670"/>
      <c r="G117" s="670"/>
    </row>
    <row r="118" spans="1:7" x14ac:dyDescent="0.3">
      <c r="A118" s="396"/>
      <c r="B118" s="674" t="s">
        <v>364</v>
      </c>
      <c r="C118" s="674"/>
      <c r="D118" s="674"/>
      <c r="E118" s="674" t="s">
        <v>365</v>
      </c>
      <c r="F118" s="674"/>
      <c r="G118" s="674"/>
    </row>
    <row r="119" spans="1:7" x14ac:dyDescent="0.3">
      <c r="A119" s="454" t="s">
        <v>366</v>
      </c>
      <c r="B119" s="433" t="s">
        <v>344</v>
      </c>
      <c r="C119" s="433" t="s">
        <v>345</v>
      </c>
      <c r="D119" s="433" t="s">
        <v>367</v>
      </c>
      <c r="E119" s="433" t="s">
        <v>368</v>
      </c>
      <c r="F119" s="433" t="s">
        <v>369</v>
      </c>
      <c r="G119" s="433" t="s">
        <v>370</v>
      </c>
    </row>
    <row r="120" spans="1:7" x14ac:dyDescent="0.3">
      <c r="A120" s="454">
        <v>1</v>
      </c>
      <c r="B120" s="434">
        <v>22.8</v>
      </c>
      <c r="C120" s="434">
        <v>65.7</v>
      </c>
      <c r="D120" s="434">
        <v>104.3</v>
      </c>
      <c r="E120" s="434">
        <v>50.2</v>
      </c>
      <c r="F120" s="434">
        <v>73.2</v>
      </c>
      <c r="G120" s="434">
        <v>115.6</v>
      </c>
    </row>
    <row r="121" spans="1:7" x14ac:dyDescent="0.3">
      <c r="A121" s="454">
        <v>2</v>
      </c>
      <c r="B121" s="434">
        <v>22.2</v>
      </c>
      <c r="C121" s="434">
        <v>65.599999999999994</v>
      </c>
      <c r="D121" s="434">
        <v>68.3</v>
      </c>
      <c r="E121" s="434">
        <v>53.3</v>
      </c>
      <c r="F121" s="434">
        <v>63.6</v>
      </c>
      <c r="G121" s="434">
        <v>92.6</v>
      </c>
    </row>
    <row r="122" spans="1:7" x14ac:dyDescent="0.3">
      <c r="A122" s="454">
        <v>3</v>
      </c>
      <c r="B122" s="434">
        <v>33.6</v>
      </c>
      <c r="C122" s="434">
        <v>68</v>
      </c>
      <c r="D122" s="434">
        <v>82.8</v>
      </c>
      <c r="E122" s="434">
        <v>29.5</v>
      </c>
      <c r="F122" s="434">
        <v>60</v>
      </c>
      <c r="G122" s="434">
        <v>116.7</v>
      </c>
    </row>
    <row r="123" spans="1:7" x14ac:dyDescent="0.3">
      <c r="A123" s="454">
        <v>4</v>
      </c>
      <c r="B123" s="434">
        <v>26.7</v>
      </c>
      <c r="C123" s="434">
        <v>44.4</v>
      </c>
      <c r="D123" s="434">
        <v>95.6</v>
      </c>
      <c r="E123" s="434"/>
      <c r="F123" s="434">
        <v>72.599999999999994</v>
      </c>
      <c r="G123" s="434">
        <v>83.9</v>
      </c>
    </row>
    <row r="124" spans="1:7" x14ac:dyDescent="0.3">
      <c r="A124" s="454">
        <v>5</v>
      </c>
      <c r="B124" s="434">
        <v>31.9</v>
      </c>
      <c r="C124" s="434">
        <v>50.8</v>
      </c>
      <c r="D124" s="434">
        <v>77.3</v>
      </c>
      <c r="E124" s="434"/>
      <c r="F124" s="434">
        <v>60</v>
      </c>
      <c r="G124" s="434">
        <v>117.4</v>
      </c>
    </row>
    <row r="125" spans="1:7" x14ac:dyDescent="0.3">
      <c r="A125" s="454">
        <v>6</v>
      </c>
      <c r="B125" s="434">
        <v>31.4</v>
      </c>
      <c r="C125" s="434">
        <v>61.2</v>
      </c>
      <c r="D125" s="434">
        <v>92.1</v>
      </c>
      <c r="E125" s="434"/>
      <c r="F125" s="434"/>
      <c r="G125" s="434">
        <v>98.8</v>
      </c>
    </row>
    <row r="126" spans="1:7" x14ac:dyDescent="0.3">
      <c r="A126" s="454">
        <v>7</v>
      </c>
      <c r="B126" s="434">
        <v>33.5</v>
      </c>
      <c r="C126" s="434">
        <v>38.700000000000003</v>
      </c>
      <c r="D126" s="434">
        <v>77.2</v>
      </c>
      <c r="E126" s="434"/>
      <c r="F126" s="434"/>
      <c r="G126" s="434"/>
    </row>
    <row r="127" spans="1:7" x14ac:dyDescent="0.3">
      <c r="A127" s="454">
        <v>8</v>
      </c>
      <c r="B127" s="434"/>
      <c r="C127" s="434">
        <v>64.7</v>
      </c>
      <c r="D127" s="434">
        <v>93.1</v>
      </c>
      <c r="E127" s="434"/>
      <c r="F127" s="434"/>
      <c r="G127" s="434"/>
    </row>
    <row r="128" spans="1:7" x14ac:dyDescent="0.3">
      <c r="A128" s="454">
        <v>9</v>
      </c>
      <c r="B128" s="434"/>
      <c r="C128" s="434">
        <v>63.2</v>
      </c>
      <c r="D128" s="434"/>
      <c r="E128" s="434"/>
      <c r="F128" s="434"/>
      <c r="G128" s="434"/>
    </row>
    <row r="129" spans="1:7" x14ac:dyDescent="0.3">
      <c r="A129" s="670" t="s">
        <v>362</v>
      </c>
      <c r="B129" s="670"/>
      <c r="C129" s="670"/>
      <c r="D129" s="663"/>
      <c r="E129" s="670"/>
      <c r="F129" s="670"/>
      <c r="G129" s="670"/>
    </row>
    <row r="130" spans="1:7" x14ac:dyDescent="0.3">
      <c r="A130" s="396"/>
      <c r="B130" s="674" t="s">
        <v>364</v>
      </c>
      <c r="C130" s="674"/>
      <c r="D130" s="674"/>
      <c r="E130" s="674" t="s">
        <v>365</v>
      </c>
      <c r="F130" s="674"/>
      <c r="G130" s="674"/>
    </row>
    <row r="131" spans="1:7" x14ac:dyDescent="0.3">
      <c r="A131" s="454" t="s">
        <v>366</v>
      </c>
      <c r="B131" s="433" t="s">
        <v>344</v>
      </c>
      <c r="C131" s="433" t="s">
        <v>345</v>
      </c>
      <c r="D131" s="433" t="s">
        <v>367</v>
      </c>
      <c r="E131" s="433" t="s">
        <v>368</v>
      </c>
      <c r="F131" s="433" t="s">
        <v>369</v>
      </c>
      <c r="G131" s="433" t="s">
        <v>370</v>
      </c>
    </row>
    <row r="132" spans="1:7" x14ac:dyDescent="0.3">
      <c r="A132" s="454">
        <v>1</v>
      </c>
      <c r="B132" s="434">
        <v>0</v>
      </c>
      <c r="C132" s="434">
        <v>0</v>
      </c>
      <c r="D132" s="434">
        <v>0</v>
      </c>
      <c r="E132" s="434">
        <v>53.9</v>
      </c>
      <c r="F132" s="434">
        <v>79.099999999999994</v>
      </c>
      <c r="G132" s="434">
        <v>90.9</v>
      </c>
    </row>
    <row r="133" spans="1:7" x14ac:dyDescent="0.3">
      <c r="A133" s="454">
        <v>2</v>
      </c>
      <c r="B133" s="434"/>
      <c r="C133" s="434"/>
      <c r="D133" s="434"/>
      <c r="E133" s="434">
        <v>32.299999999999997</v>
      </c>
      <c r="F133" s="434">
        <v>75</v>
      </c>
      <c r="G133" s="434">
        <v>116.4</v>
      </c>
    </row>
    <row r="134" spans="1:7" x14ac:dyDescent="0.3">
      <c r="A134" s="454">
        <v>3</v>
      </c>
      <c r="B134" s="434"/>
      <c r="C134" s="434"/>
      <c r="D134" s="434"/>
      <c r="E134" s="434">
        <v>47.6</v>
      </c>
      <c r="F134" s="434">
        <v>67.3</v>
      </c>
      <c r="G134" s="434">
        <v>93.1</v>
      </c>
    </row>
    <row r="135" spans="1:7" x14ac:dyDescent="0.3">
      <c r="A135" s="454">
        <v>4</v>
      </c>
      <c r="B135" s="434"/>
      <c r="C135" s="434"/>
      <c r="D135" s="434"/>
      <c r="E135" s="434">
        <v>36.9</v>
      </c>
      <c r="F135" s="434">
        <v>62.4</v>
      </c>
      <c r="G135" s="434">
        <v>86.1</v>
      </c>
    </row>
    <row r="136" spans="1:7" x14ac:dyDescent="0.3">
      <c r="A136" s="454">
        <v>5</v>
      </c>
      <c r="B136" s="434"/>
      <c r="C136" s="434"/>
      <c r="D136" s="434"/>
      <c r="E136" s="434"/>
      <c r="F136" s="434">
        <v>79.7</v>
      </c>
      <c r="G136" s="434">
        <v>110.3</v>
      </c>
    </row>
    <row r="137" spans="1:7" x14ac:dyDescent="0.3">
      <c r="A137" s="442"/>
      <c r="B137" s="443"/>
      <c r="C137" s="443"/>
      <c r="D137" s="443"/>
      <c r="E137" s="443"/>
      <c r="F137" s="443"/>
      <c r="G137" s="443"/>
    </row>
    <row r="138" spans="1:7" x14ac:dyDescent="0.3">
      <c r="A138" s="442"/>
      <c r="B138" s="443"/>
      <c r="C138" s="443"/>
      <c r="D138" s="443"/>
      <c r="E138" s="441"/>
      <c r="F138" s="443"/>
      <c r="G138" s="443"/>
    </row>
    <row r="139" spans="1:7" x14ac:dyDescent="0.3">
      <c r="A139" s="442"/>
      <c r="B139" s="443"/>
      <c r="C139" s="443"/>
      <c r="D139" s="443"/>
      <c r="E139" s="441"/>
      <c r="F139" s="441"/>
      <c r="G139" s="443"/>
    </row>
    <row r="140" spans="1:7" x14ac:dyDescent="0.3">
      <c r="A140" s="442"/>
      <c r="B140" s="443"/>
      <c r="C140" s="443"/>
      <c r="D140" s="443"/>
      <c r="E140" s="441"/>
      <c r="F140" s="441"/>
      <c r="G140" s="441"/>
    </row>
    <row r="141" spans="1:7" x14ac:dyDescent="0.3">
      <c r="A141" s="668" t="s">
        <v>160</v>
      </c>
      <c r="B141" s="666" t="s">
        <v>161</v>
      </c>
      <c r="C141" s="667"/>
      <c r="D141" s="666" t="s">
        <v>162</v>
      </c>
      <c r="E141" s="667"/>
      <c r="F141" s="666" t="s">
        <v>163</v>
      </c>
      <c r="G141" s="667"/>
    </row>
    <row r="142" spans="1:7" x14ac:dyDescent="0.3">
      <c r="A142" s="669"/>
      <c r="B142" s="432" t="s">
        <v>164</v>
      </c>
      <c r="C142" s="432" t="s">
        <v>165</v>
      </c>
      <c r="D142" s="432" t="s">
        <v>164</v>
      </c>
      <c r="E142" s="432" t="s">
        <v>165</v>
      </c>
      <c r="F142" s="432" t="s">
        <v>164</v>
      </c>
      <c r="G142" s="432" t="s">
        <v>165</v>
      </c>
    </row>
    <row r="143" spans="1:7" x14ac:dyDescent="0.3">
      <c r="A143" s="433" t="s">
        <v>353</v>
      </c>
      <c r="B143" s="435">
        <f>ROUNDDOWN(AVERAGE(B6:D11),1)</f>
        <v>0</v>
      </c>
      <c r="C143" s="435">
        <f>ROUNDDOWN(AVERAGE(E6:G11),1)</f>
        <v>75.3</v>
      </c>
      <c r="D143" s="432">
        <v>0</v>
      </c>
      <c r="E143" s="432">
        <v>5606</v>
      </c>
      <c r="F143" s="432">
        <f>B143*D143</f>
        <v>0</v>
      </c>
      <c r="G143" s="432">
        <f>C143*E143</f>
        <v>422131.8</v>
      </c>
    </row>
    <row r="144" spans="1:7" x14ac:dyDescent="0.3">
      <c r="A144" s="433" t="s">
        <v>354</v>
      </c>
      <c r="B144" s="435">
        <f>ROUNDDOWN(AVERAGE(B15:D20),1)</f>
        <v>0</v>
      </c>
      <c r="C144" s="435">
        <f>ROUNDDOWN(AVERAGE(E15:G20),1)</f>
        <v>73.5</v>
      </c>
      <c r="D144" s="432">
        <v>0</v>
      </c>
      <c r="E144" s="432">
        <v>6981</v>
      </c>
      <c r="F144" s="432">
        <f t="shared" ref="F144:G152" si="0">B144*D144</f>
        <v>0</v>
      </c>
      <c r="G144" s="432">
        <f t="shared" si="0"/>
        <v>513103.5</v>
      </c>
    </row>
    <row r="145" spans="1:7" x14ac:dyDescent="0.3">
      <c r="A145" s="433" t="s">
        <v>355</v>
      </c>
      <c r="B145" s="435">
        <f>ROUNDDOWN(AVERAGE(B24:D38),1)</f>
        <v>57</v>
      </c>
      <c r="C145" s="435">
        <f>ROUNDDOWN(AVERAGE(E24:G38),1)</f>
        <v>74.8</v>
      </c>
      <c r="D145" s="432">
        <v>16871</v>
      </c>
      <c r="E145" s="432">
        <v>13924</v>
      </c>
      <c r="F145" s="432">
        <f t="shared" si="0"/>
        <v>961647</v>
      </c>
      <c r="G145" s="432">
        <f t="shared" si="0"/>
        <v>1041515.2</v>
      </c>
    </row>
    <row r="146" spans="1:7" x14ac:dyDescent="0.3">
      <c r="A146" s="433" t="s">
        <v>356</v>
      </c>
      <c r="B146" s="435">
        <f>ROUNDDOWN(AVERAGE(B42:D56),1)</f>
        <v>56.6</v>
      </c>
      <c r="C146" s="435">
        <f>ROUNDDOWN(AVERAGE(E42:G56),1)</f>
        <v>79</v>
      </c>
      <c r="D146" s="432">
        <v>16520</v>
      </c>
      <c r="E146" s="432">
        <v>15235</v>
      </c>
      <c r="F146" s="432">
        <f t="shared" si="0"/>
        <v>935032</v>
      </c>
      <c r="G146" s="432">
        <f t="shared" si="0"/>
        <v>1203565</v>
      </c>
    </row>
    <row r="147" spans="1:7" x14ac:dyDescent="0.3">
      <c r="A147" s="433" t="s">
        <v>357</v>
      </c>
      <c r="B147" s="435">
        <f>ROUNDDOWN(AVERAGE(B60:D68),1)</f>
        <v>54</v>
      </c>
      <c r="C147" s="435">
        <f>ROUNDDOWN(AVERAGE(E60:G68),1)</f>
        <v>75.2</v>
      </c>
      <c r="D147" s="432">
        <v>10059</v>
      </c>
      <c r="E147" s="432">
        <v>6449</v>
      </c>
      <c r="F147" s="432">
        <f t="shared" si="0"/>
        <v>543186</v>
      </c>
      <c r="G147" s="432">
        <f t="shared" si="0"/>
        <v>484964.80000000005</v>
      </c>
    </row>
    <row r="148" spans="1:7" x14ac:dyDescent="0.3">
      <c r="A148" s="433" t="s">
        <v>358</v>
      </c>
      <c r="B148" s="435">
        <f>ROUNDDOWN(AVERAGE(B72:D90),1)</f>
        <v>56.9</v>
      </c>
      <c r="C148" s="435">
        <f>ROUNDDOWN(AVERAGE(E72:G90),1)</f>
        <v>73.3</v>
      </c>
      <c r="D148" s="432">
        <v>20494</v>
      </c>
      <c r="E148" s="432">
        <v>19359</v>
      </c>
      <c r="F148" s="432">
        <f t="shared" si="0"/>
        <v>1166108.5999999999</v>
      </c>
      <c r="G148" s="432">
        <f t="shared" si="0"/>
        <v>1419014.7</v>
      </c>
    </row>
    <row r="149" spans="1:7" x14ac:dyDescent="0.3">
      <c r="A149" s="433" t="s">
        <v>359</v>
      </c>
      <c r="B149" s="435">
        <f>ROUNDDOWN(AVERAGE(B94:D108),1)</f>
        <v>58</v>
      </c>
      <c r="C149" s="435">
        <f>ROUNDDOWN(AVERAGE(E94:G108),1)</f>
        <v>74.599999999999994</v>
      </c>
      <c r="D149" s="432">
        <v>16458</v>
      </c>
      <c r="E149" s="432">
        <v>13964</v>
      </c>
      <c r="F149" s="432">
        <f t="shared" si="0"/>
        <v>954564</v>
      </c>
      <c r="G149" s="432">
        <f t="shared" si="0"/>
        <v>1041714.3999999999</v>
      </c>
    </row>
    <row r="150" spans="1:7" x14ac:dyDescent="0.3">
      <c r="A150" s="433" t="s">
        <v>360</v>
      </c>
      <c r="B150" s="435">
        <f>ROUNDDOWN(AVERAGE(B112:D116),1)</f>
        <v>0</v>
      </c>
      <c r="C150" s="435">
        <f>ROUNDDOWN(AVERAGE(E112:G116),1)</f>
        <v>73.599999999999994</v>
      </c>
      <c r="D150" s="432">
        <v>0</v>
      </c>
      <c r="E150" s="432">
        <v>4983</v>
      </c>
      <c r="F150" s="432">
        <f t="shared" si="0"/>
        <v>0</v>
      </c>
      <c r="G150" s="432">
        <f t="shared" si="0"/>
        <v>366748.8</v>
      </c>
    </row>
    <row r="151" spans="1:7" x14ac:dyDescent="0.3">
      <c r="A151" s="433" t="s">
        <v>361</v>
      </c>
      <c r="B151" s="435">
        <f>ROUNDDOWN(AVERAGE(B120:D128),1)</f>
        <v>58.9</v>
      </c>
      <c r="C151" s="435">
        <f>ROUNDDOWN(AVERAGE(E120:G128),1)</f>
        <v>77.599999999999994</v>
      </c>
      <c r="D151" s="432">
        <v>9275</v>
      </c>
      <c r="E151" s="432">
        <v>5937</v>
      </c>
      <c r="F151" s="432">
        <f t="shared" si="0"/>
        <v>546297.5</v>
      </c>
      <c r="G151" s="432">
        <f t="shared" si="0"/>
        <v>460711.19999999995</v>
      </c>
    </row>
    <row r="152" spans="1:7" x14ac:dyDescent="0.3">
      <c r="A152" s="433" t="s">
        <v>362</v>
      </c>
      <c r="B152" s="435">
        <f>ROUNDDOWN(AVERAGE(B132:D136),1)</f>
        <v>0</v>
      </c>
      <c r="C152" s="435">
        <f>ROUNDDOWN(AVERAGE(E132:G136),1)</f>
        <v>73.599999999999994</v>
      </c>
      <c r="D152" s="432">
        <v>0</v>
      </c>
      <c r="E152" s="432">
        <v>6021</v>
      </c>
      <c r="F152" s="432">
        <f t="shared" si="0"/>
        <v>0</v>
      </c>
      <c r="G152" s="432">
        <f t="shared" si="0"/>
        <v>443145.6</v>
      </c>
    </row>
    <row r="153" spans="1:7" x14ac:dyDescent="0.3">
      <c r="A153" s="433" t="s">
        <v>166</v>
      </c>
      <c r="B153" s="433"/>
      <c r="C153" s="433"/>
      <c r="D153" s="432">
        <f>SUM(D143:D152)</f>
        <v>89677</v>
      </c>
      <c r="E153" s="432">
        <f>SUM(E143:E152)</f>
        <v>98459</v>
      </c>
      <c r="F153" s="432">
        <f>SUM(F143:F152)</f>
        <v>5106835.0999999996</v>
      </c>
      <c r="G153" s="432">
        <f>SUM(G143:G152)</f>
        <v>7396615</v>
      </c>
    </row>
    <row r="154" spans="1:7" x14ac:dyDescent="0.3">
      <c r="A154" s="441"/>
      <c r="B154" s="441"/>
      <c r="C154" s="441"/>
      <c r="D154" s="442"/>
      <c r="E154" s="442"/>
      <c r="F154" s="442"/>
      <c r="G154" s="442"/>
    </row>
    <row r="156" spans="1:7" x14ac:dyDescent="0.3">
      <c r="C156" s="666" t="s">
        <v>167</v>
      </c>
      <c r="D156" s="667"/>
    </row>
    <row r="157" spans="1:7" x14ac:dyDescent="0.3">
      <c r="C157" s="432" t="s">
        <v>164</v>
      </c>
      <c r="D157" s="432" t="s">
        <v>165</v>
      </c>
    </row>
    <row r="158" spans="1:7" x14ac:dyDescent="0.3">
      <c r="C158" s="436">
        <f>ROUNDDOWN(F153/D153,1)</f>
        <v>56.9</v>
      </c>
      <c r="D158" s="437">
        <f>ROUNDDOWN(G153/E153,1)</f>
        <v>75.099999999999994</v>
      </c>
    </row>
  </sheetData>
  <mergeCells count="37">
    <mergeCell ref="C156:D156"/>
    <mergeCell ref="B130:D130"/>
    <mergeCell ref="E130:G130"/>
    <mergeCell ref="A141:A142"/>
    <mergeCell ref="B141:C141"/>
    <mergeCell ref="D141:E141"/>
    <mergeCell ref="F141:G141"/>
    <mergeCell ref="A129:G129"/>
    <mergeCell ref="B70:D70"/>
    <mergeCell ref="E70:G70"/>
    <mergeCell ref="A91:G91"/>
    <mergeCell ref="B92:D92"/>
    <mergeCell ref="E92:G92"/>
    <mergeCell ref="A109:G109"/>
    <mergeCell ref="B110:D110"/>
    <mergeCell ref="E110:G110"/>
    <mergeCell ref="A117:G117"/>
    <mergeCell ref="B118:D118"/>
    <mergeCell ref="E118:G118"/>
    <mergeCell ref="A69:G69"/>
    <mergeCell ref="B13:D13"/>
    <mergeCell ref="E13:G13"/>
    <mergeCell ref="A21:G21"/>
    <mergeCell ref="B22:D22"/>
    <mergeCell ref="E22:G22"/>
    <mergeCell ref="A39:G39"/>
    <mergeCell ref="B40:D40"/>
    <mergeCell ref="E40:G40"/>
    <mergeCell ref="A57:G57"/>
    <mergeCell ref="B58:D58"/>
    <mergeCell ref="E58:G58"/>
    <mergeCell ref="A12:G12"/>
    <mergeCell ref="A1:G1"/>
    <mergeCell ref="A2:G2"/>
    <mergeCell ref="A3:G3"/>
    <mergeCell ref="B4:D4"/>
    <mergeCell ref="E4:G4"/>
  </mergeCells>
  <phoneticPr fontId="11" type="noConversion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43"/>
  <sheetViews>
    <sheetView zoomScale="50" zoomScaleNormal="50" workbookViewId="0">
      <selection activeCell="E339" sqref="E339"/>
    </sheetView>
  </sheetViews>
  <sheetFormatPr defaultColWidth="8.7265625" defaultRowHeight="12.5" x14ac:dyDescent="0.25"/>
  <cols>
    <col min="1" max="1" width="32.453125" style="29" customWidth="1"/>
    <col min="2" max="3" width="15.1796875" style="29" customWidth="1"/>
    <col min="4" max="4" width="31.453125" style="29" customWidth="1"/>
    <col min="5" max="5" width="61.08984375" style="29" customWidth="1"/>
    <col min="6" max="6" width="12.7265625" style="29" bestFit="1" customWidth="1"/>
    <col min="7" max="7" width="13.7265625" style="29" bestFit="1" customWidth="1"/>
    <col min="8" max="16384" width="8.7265625" style="29"/>
  </cols>
  <sheetData>
    <row r="1" spans="1:6" ht="15.5" x14ac:dyDescent="0.35">
      <c r="A1" s="27" t="s">
        <v>32</v>
      </c>
      <c r="B1" s="27"/>
      <c r="C1" s="28"/>
    </row>
    <row r="2" spans="1:6" ht="15.5" x14ac:dyDescent="0.35">
      <c r="A2" s="27"/>
      <c r="B2" s="27"/>
      <c r="C2" s="28"/>
      <c r="D2" s="30"/>
    </row>
    <row r="3" spans="1:6" ht="15.5" x14ac:dyDescent="0.35">
      <c r="A3" s="27"/>
      <c r="B3" s="27"/>
      <c r="C3" s="28"/>
    </row>
    <row r="4" spans="1:6" ht="13" x14ac:dyDescent="0.3">
      <c r="A4" s="31" t="s">
        <v>33</v>
      </c>
      <c r="B4" s="28"/>
      <c r="C4" s="28"/>
    </row>
    <row r="5" spans="1:6" ht="13" x14ac:dyDescent="0.3">
      <c r="A5" s="28"/>
      <c r="B5" s="28"/>
      <c r="E5" s="32"/>
    </row>
    <row r="6" spans="1:6" ht="13" x14ac:dyDescent="0.3">
      <c r="A6" s="28"/>
      <c r="B6" s="28"/>
      <c r="E6" s="32"/>
    </row>
    <row r="7" spans="1:6" ht="13" x14ac:dyDescent="0.3">
      <c r="A7" s="28"/>
      <c r="B7" s="28"/>
      <c r="E7" s="32"/>
    </row>
    <row r="8" spans="1:6" ht="13" thickBot="1" x14ac:dyDescent="0.3"/>
    <row r="9" spans="1:6" ht="13" x14ac:dyDescent="0.3">
      <c r="A9" s="33" t="s">
        <v>3</v>
      </c>
      <c r="B9" s="34" t="s">
        <v>10</v>
      </c>
      <c r="C9" s="34"/>
      <c r="D9" s="34" t="s">
        <v>2</v>
      </c>
      <c r="E9" s="372" t="s">
        <v>4</v>
      </c>
      <c r="F9" s="35"/>
    </row>
    <row r="10" spans="1:6" ht="13" x14ac:dyDescent="0.3">
      <c r="A10" s="36"/>
      <c r="B10" s="37" t="s">
        <v>78</v>
      </c>
      <c r="C10" s="37" t="s">
        <v>79</v>
      </c>
      <c r="D10" s="37"/>
      <c r="E10" s="373"/>
      <c r="F10" s="35"/>
    </row>
    <row r="11" spans="1:6" x14ac:dyDescent="0.25">
      <c r="A11" s="38"/>
      <c r="B11" s="39"/>
      <c r="C11" s="39"/>
      <c r="D11" s="39"/>
      <c r="E11" s="353"/>
      <c r="F11" s="35"/>
    </row>
    <row r="12" spans="1:6" ht="15.5" x14ac:dyDescent="0.4">
      <c r="A12" s="38" t="s">
        <v>170</v>
      </c>
      <c r="B12" s="40">
        <v>25</v>
      </c>
      <c r="C12" s="40">
        <v>25</v>
      </c>
      <c r="D12" s="41" t="s">
        <v>171</v>
      </c>
      <c r="E12" s="353" t="s">
        <v>135</v>
      </c>
      <c r="F12" s="35"/>
    </row>
    <row r="13" spans="1:6" ht="15.5" x14ac:dyDescent="0.4">
      <c r="A13" s="38" t="s">
        <v>170</v>
      </c>
      <c r="B13" s="40">
        <v>28</v>
      </c>
      <c r="C13" s="40">
        <v>28</v>
      </c>
      <c r="D13" s="41" t="s">
        <v>171</v>
      </c>
      <c r="E13" s="353" t="s">
        <v>122</v>
      </c>
      <c r="F13" s="35"/>
    </row>
    <row r="14" spans="1:6" ht="15" x14ac:dyDescent="0.4">
      <c r="A14" s="38" t="s">
        <v>172</v>
      </c>
      <c r="B14" s="40">
        <v>6.7000000000000002E-4</v>
      </c>
      <c r="C14" s="40">
        <v>6.7000000000000002E-4</v>
      </c>
      <c r="D14" s="41" t="s">
        <v>123</v>
      </c>
      <c r="E14" s="353" t="s">
        <v>124</v>
      </c>
      <c r="F14" s="35"/>
    </row>
    <row r="15" spans="1:6" ht="15.5" x14ac:dyDescent="0.4">
      <c r="A15" s="38" t="s">
        <v>173</v>
      </c>
      <c r="B15" s="42">
        <v>0.75</v>
      </c>
      <c r="C15" s="42">
        <v>0.75</v>
      </c>
      <c r="D15" s="41" t="s">
        <v>1</v>
      </c>
      <c r="E15" s="353" t="s">
        <v>137</v>
      </c>
      <c r="F15" s="43"/>
    </row>
    <row r="16" spans="1:6" x14ac:dyDescent="0.25">
      <c r="A16" s="38" t="s">
        <v>37</v>
      </c>
      <c r="B16" s="40">
        <v>0.94</v>
      </c>
      <c r="C16" s="40">
        <v>0.94</v>
      </c>
      <c r="D16" s="41" t="s">
        <v>0</v>
      </c>
      <c r="E16" s="353" t="s">
        <v>57</v>
      </c>
      <c r="F16" s="43"/>
    </row>
    <row r="17" spans="1:7" x14ac:dyDescent="0.25">
      <c r="A17" s="38" t="s">
        <v>54</v>
      </c>
      <c r="B17" s="40">
        <f>B15*B16</f>
        <v>0.70499999999999996</v>
      </c>
      <c r="C17" s="40">
        <f>C15*C16</f>
        <v>0.70499999999999996</v>
      </c>
      <c r="D17" s="41" t="s">
        <v>0</v>
      </c>
      <c r="E17" s="353" t="s">
        <v>55</v>
      </c>
      <c r="F17" s="43"/>
    </row>
    <row r="18" spans="1:7" ht="16" x14ac:dyDescent="0.4">
      <c r="A18" s="38" t="s">
        <v>174</v>
      </c>
      <c r="B18" s="40">
        <v>0.28999999999999998</v>
      </c>
      <c r="C18" s="40">
        <v>0.28999999999999998</v>
      </c>
      <c r="D18" s="41" t="s">
        <v>175</v>
      </c>
      <c r="E18" s="353" t="s">
        <v>50</v>
      </c>
      <c r="F18" s="35"/>
    </row>
    <row r="19" spans="1:7" ht="15" customHeight="1" x14ac:dyDescent="0.35">
      <c r="A19" s="38" t="s">
        <v>176</v>
      </c>
      <c r="B19" s="44"/>
      <c r="C19" s="44"/>
      <c r="D19" s="494" t="s">
        <v>71</v>
      </c>
      <c r="E19" s="474" t="s">
        <v>177</v>
      </c>
      <c r="F19" s="35"/>
    </row>
    <row r="20" spans="1:7" ht="15" customHeight="1" x14ac:dyDescent="0.25">
      <c r="A20" s="45" t="str">
        <f>'monitoring results'!A4</f>
        <v>26/12/2020-31/12/2020</v>
      </c>
      <c r="B20" s="44">
        <f>'monitoring results'!B4</f>
        <v>89677</v>
      </c>
      <c r="C20" s="44">
        <f>'monitoring results'!C4</f>
        <v>83549</v>
      </c>
      <c r="D20" s="495"/>
      <c r="E20" s="475"/>
      <c r="F20" s="35"/>
    </row>
    <row r="21" spans="1:7" ht="15" customHeight="1" x14ac:dyDescent="0.25">
      <c r="A21" s="45" t="str">
        <f>'monitoring results'!A5</f>
        <v>01/01/2021-31/01/2021</v>
      </c>
      <c r="B21" s="44">
        <f>'monitoring results'!B5</f>
        <v>89677</v>
      </c>
      <c r="C21" s="44">
        <f>'monitoring results'!C5</f>
        <v>83651</v>
      </c>
      <c r="D21" s="495"/>
      <c r="E21" s="475"/>
      <c r="F21" s="35"/>
    </row>
    <row r="22" spans="1:7" ht="15" customHeight="1" x14ac:dyDescent="0.25">
      <c r="A22" s="45" t="str">
        <f>'monitoring results'!A6</f>
        <v>01/02/1021-28/02/2021</v>
      </c>
      <c r="B22" s="44">
        <f>'monitoring results'!B6</f>
        <v>89677</v>
      </c>
      <c r="C22" s="44">
        <f>'monitoring results'!C6</f>
        <v>83599</v>
      </c>
      <c r="D22" s="495"/>
      <c r="E22" s="475"/>
      <c r="F22" s="35"/>
    </row>
    <row r="23" spans="1:7" ht="15" customHeight="1" x14ac:dyDescent="0.25">
      <c r="A23" s="45" t="str">
        <f>'monitoring results'!A7</f>
        <v>01/03/2021-31/03/3021</v>
      </c>
      <c r="B23" s="44">
        <f>'monitoring results'!B7</f>
        <v>89677</v>
      </c>
      <c r="C23" s="44">
        <f>'monitoring results'!C7</f>
        <v>83559</v>
      </c>
      <c r="D23" s="495"/>
      <c r="E23" s="475"/>
      <c r="F23" s="35"/>
    </row>
    <row r="24" spans="1:7" ht="15" customHeight="1" x14ac:dyDescent="0.25">
      <c r="A24" s="45" t="str">
        <f>'monitoring results'!A8</f>
        <v>01/04/2021-30/04/2021</v>
      </c>
      <c r="B24" s="44">
        <f>'monitoring results'!B8</f>
        <v>89677</v>
      </c>
      <c r="C24" s="44">
        <f>'monitoring results'!C8</f>
        <v>83443</v>
      </c>
      <c r="D24" s="495"/>
      <c r="E24" s="475"/>
      <c r="F24" s="35"/>
    </row>
    <row r="25" spans="1:7" ht="15" customHeight="1" x14ac:dyDescent="0.25">
      <c r="A25" s="45" t="str">
        <f>'monitoring results'!A9</f>
        <v>01/05/2021-31/05/2021</v>
      </c>
      <c r="B25" s="44">
        <f>'monitoring results'!B9</f>
        <v>89677</v>
      </c>
      <c r="C25" s="44">
        <f>'monitoring results'!C9</f>
        <v>83653</v>
      </c>
      <c r="D25" s="495"/>
      <c r="E25" s="475"/>
      <c r="F25" s="35"/>
    </row>
    <row r="26" spans="1:7" ht="15" customHeight="1" x14ac:dyDescent="0.25">
      <c r="A26" s="45" t="str">
        <f>'monitoring results'!A10</f>
        <v>01/06/2021-30/06/2021</v>
      </c>
      <c r="B26" s="44">
        <f>'monitoring results'!B10</f>
        <v>89677</v>
      </c>
      <c r="C26" s="44">
        <f>'monitoring results'!C10</f>
        <v>83645</v>
      </c>
      <c r="D26" s="495"/>
      <c r="E26" s="475"/>
      <c r="F26" s="35"/>
    </row>
    <row r="27" spans="1:7" ht="15" customHeight="1" x14ac:dyDescent="0.25">
      <c r="A27" s="45" t="str">
        <f>'monitoring results'!A11</f>
        <v>01/07/2021-31/07/2021</v>
      </c>
      <c r="B27" s="44">
        <f>'monitoring results'!B11</f>
        <v>89677</v>
      </c>
      <c r="C27" s="44">
        <f>'monitoring results'!C11</f>
        <v>83554</v>
      </c>
      <c r="D27" s="495"/>
      <c r="E27" s="475"/>
      <c r="F27" s="35"/>
    </row>
    <row r="28" spans="1:7" ht="15" customHeight="1" x14ac:dyDescent="0.25">
      <c r="A28" s="45" t="str">
        <f>'monitoring results'!A12</f>
        <v>01/08/2021-31/08/2021</v>
      </c>
      <c r="B28" s="44">
        <f>'monitoring results'!B12</f>
        <v>89677</v>
      </c>
      <c r="C28" s="44">
        <f>'monitoring results'!C12</f>
        <v>83420</v>
      </c>
      <c r="D28" s="495"/>
      <c r="E28" s="475"/>
      <c r="F28" s="35"/>
      <c r="G28" s="46"/>
    </row>
    <row r="29" spans="1:7" ht="15" customHeight="1" x14ac:dyDescent="0.25">
      <c r="A29" s="45" t="str">
        <f>'monitoring results'!A13</f>
        <v>01/09/2021-30/09/2021</v>
      </c>
      <c r="B29" s="44">
        <f>'monitoring results'!B13</f>
        <v>89677</v>
      </c>
      <c r="C29" s="44">
        <f>'monitoring results'!C13</f>
        <v>83550</v>
      </c>
      <c r="D29" s="495"/>
      <c r="E29" s="475"/>
      <c r="F29" s="35"/>
      <c r="G29" s="46"/>
    </row>
    <row r="30" spans="1:7" ht="15" customHeight="1" x14ac:dyDescent="0.25">
      <c r="A30" s="45" t="str">
        <f>'monitoring results'!A14</f>
        <v>01/10/2021-31/10/2021</v>
      </c>
      <c r="B30" s="44">
        <f>'monitoring results'!B14</f>
        <v>89677</v>
      </c>
      <c r="C30" s="44">
        <f>'monitoring results'!C14</f>
        <v>83457</v>
      </c>
      <c r="D30" s="495"/>
      <c r="E30" s="475"/>
      <c r="F30" s="35"/>
      <c r="G30" s="46"/>
    </row>
    <row r="31" spans="1:7" ht="15" customHeight="1" x14ac:dyDescent="0.25">
      <c r="A31" s="45" t="str">
        <f>'monitoring results'!A15</f>
        <v>01/11/2021-30/11/2021</v>
      </c>
      <c r="B31" s="44">
        <f>'monitoring results'!B15</f>
        <v>89677</v>
      </c>
      <c r="C31" s="44">
        <f>'monitoring results'!C15</f>
        <v>83548</v>
      </c>
      <c r="D31" s="495"/>
      <c r="E31" s="475"/>
      <c r="F31" s="35"/>
      <c r="G31" s="46"/>
    </row>
    <row r="32" spans="1:7" ht="15" customHeight="1" x14ac:dyDescent="0.25">
      <c r="A32" s="45" t="str">
        <f>'monitoring results'!A16</f>
        <v>01/12/2021-31/12/2021</v>
      </c>
      <c r="B32" s="44">
        <f>'monitoring results'!B16</f>
        <v>89677</v>
      </c>
      <c r="C32" s="44">
        <f>'monitoring results'!C16</f>
        <v>83502</v>
      </c>
      <c r="D32" s="495"/>
      <c r="E32" s="475"/>
      <c r="F32" s="35"/>
      <c r="G32" s="46"/>
    </row>
    <row r="33" spans="1:7" ht="15" customHeight="1" x14ac:dyDescent="0.25">
      <c r="A33" s="45" t="str">
        <f>'monitoring results'!A17</f>
        <v>01/01/2022-31/01/2022</v>
      </c>
      <c r="B33" s="44">
        <f>'monitoring results'!B17</f>
        <v>89677</v>
      </c>
      <c r="C33" s="44">
        <f>'monitoring results'!C17</f>
        <v>83479</v>
      </c>
      <c r="D33" s="495"/>
      <c r="E33" s="475"/>
      <c r="F33" s="35"/>
      <c r="G33" s="46"/>
    </row>
    <row r="34" spans="1:7" ht="15" customHeight="1" x14ac:dyDescent="0.25">
      <c r="A34" s="45" t="str">
        <f>'monitoring results'!A18</f>
        <v>01/02/2022-28/02/2022</v>
      </c>
      <c r="B34" s="44">
        <f>'monitoring results'!B18</f>
        <v>89677</v>
      </c>
      <c r="C34" s="44">
        <f>'monitoring results'!C18</f>
        <v>83471</v>
      </c>
      <c r="D34" s="495"/>
      <c r="E34" s="475"/>
      <c r="F34" s="35"/>
      <c r="G34" s="46"/>
    </row>
    <row r="35" spans="1:7" s="400" customFormat="1" ht="15" customHeight="1" x14ac:dyDescent="0.25">
      <c r="A35" s="45" t="str">
        <f>'monitoring results'!A19</f>
        <v>01/03/2022-31/03/2022</v>
      </c>
      <c r="B35" s="44">
        <f>'monitoring results'!B19</f>
        <v>89677</v>
      </c>
      <c r="C35" s="44">
        <f>'monitoring results'!C19</f>
        <v>83597</v>
      </c>
      <c r="D35" s="495"/>
      <c r="E35" s="475"/>
      <c r="F35" s="401"/>
      <c r="G35" s="405"/>
    </row>
    <row r="36" spans="1:7" s="400" customFormat="1" ht="15" customHeight="1" x14ac:dyDescent="0.25">
      <c r="A36" s="404" t="str">
        <f>'monitoring results'!A20</f>
        <v>01/04/2022-30/04/2022</v>
      </c>
      <c r="B36" s="44">
        <f>'monitoring results'!B20</f>
        <v>89677</v>
      </c>
      <c r="C36" s="44">
        <f>'monitoring results'!C20</f>
        <v>83663</v>
      </c>
      <c r="D36" s="495"/>
      <c r="E36" s="475"/>
      <c r="F36" s="401"/>
      <c r="G36" s="405"/>
    </row>
    <row r="37" spans="1:7" s="400" customFormat="1" ht="15" customHeight="1" x14ac:dyDescent="0.25">
      <c r="A37" s="404" t="str">
        <f>'monitoring results'!A21</f>
        <v>01/05/2022-31/05/2022</v>
      </c>
      <c r="B37" s="44">
        <f>'monitoring results'!B21</f>
        <v>89677</v>
      </c>
      <c r="C37" s="44">
        <f>'monitoring results'!C21</f>
        <v>83546</v>
      </c>
      <c r="D37" s="495"/>
      <c r="E37" s="475"/>
      <c r="F37" s="401"/>
      <c r="G37" s="405"/>
    </row>
    <row r="38" spans="1:7" ht="15" customHeight="1" x14ac:dyDescent="0.25">
      <c r="A38" s="404" t="str">
        <f>'monitoring results'!A22</f>
        <v>01/06/2022-30/06/2022</v>
      </c>
      <c r="B38" s="44">
        <f>'monitoring results'!B22</f>
        <v>89677</v>
      </c>
      <c r="C38" s="44">
        <f>'monitoring results'!C22</f>
        <v>83583</v>
      </c>
      <c r="D38" s="496"/>
      <c r="E38" s="476"/>
      <c r="F38" s="35"/>
      <c r="G38" s="46"/>
    </row>
    <row r="39" spans="1:7" ht="15" customHeight="1" x14ac:dyDescent="0.35">
      <c r="A39" s="47" t="s">
        <v>178</v>
      </c>
      <c r="B39" s="48"/>
      <c r="C39" s="48"/>
      <c r="D39" s="494" t="s">
        <v>107</v>
      </c>
      <c r="E39" s="516" t="s">
        <v>208</v>
      </c>
      <c r="F39" s="35"/>
    </row>
    <row r="40" spans="1:7" ht="15" customHeight="1" x14ac:dyDescent="0.25">
      <c r="A40" s="45" t="str">
        <f t="shared" ref="A40:A54" si="0">A20</f>
        <v>26/12/2020-31/12/2020</v>
      </c>
      <c r="B40" s="48">
        <f>'monitoring results'!D4</f>
        <v>56.9</v>
      </c>
      <c r="C40" s="48">
        <f>'monitoring results'!E4</f>
        <v>74.400000000000006</v>
      </c>
      <c r="D40" s="495"/>
      <c r="E40" s="517"/>
      <c r="F40" s="35"/>
    </row>
    <row r="41" spans="1:7" ht="15" customHeight="1" x14ac:dyDescent="0.25">
      <c r="A41" s="45" t="str">
        <f t="shared" si="0"/>
        <v>01/01/2021-31/01/2021</v>
      </c>
      <c r="B41" s="48">
        <f>'monitoring results'!D5</f>
        <v>57.2</v>
      </c>
      <c r="C41" s="48">
        <f>'monitoring results'!E5</f>
        <v>75.400000000000006</v>
      </c>
      <c r="D41" s="495"/>
      <c r="E41" s="517"/>
      <c r="F41" s="35"/>
    </row>
    <row r="42" spans="1:7" ht="15" customHeight="1" x14ac:dyDescent="0.25">
      <c r="A42" s="45" t="str">
        <f t="shared" si="0"/>
        <v>01/02/1021-28/02/2021</v>
      </c>
      <c r="B42" s="48">
        <f>'monitoring results'!D6</f>
        <v>56.7</v>
      </c>
      <c r="C42" s="48">
        <f>'monitoring results'!E6</f>
        <v>75.3</v>
      </c>
      <c r="D42" s="495"/>
      <c r="E42" s="517"/>
      <c r="F42" s="35"/>
    </row>
    <row r="43" spans="1:7" ht="15" customHeight="1" x14ac:dyDescent="0.25">
      <c r="A43" s="45" t="str">
        <f t="shared" si="0"/>
        <v>01/03/2021-31/03/3021</v>
      </c>
      <c r="B43" s="48">
        <f>'monitoring results'!D7</f>
        <v>56</v>
      </c>
      <c r="C43" s="48">
        <f>'monitoring results'!E7</f>
        <v>74.900000000000006</v>
      </c>
      <c r="D43" s="495"/>
      <c r="E43" s="517"/>
      <c r="F43" s="35"/>
    </row>
    <row r="44" spans="1:7" ht="15" customHeight="1" x14ac:dyDescent="0.25">
      <c r="A44" s="45" t="str">
        <f t="shared" si="0"/>
        <v>01/04/2021-30/04/2021</v>
      </c>
      <c r="B44" s="48">
        <f>'monitoring results'!D8</f>
        <v>56.2</v>
      </c>
      <c r="C44" s="48">
        <f>'monitoring results'!E8</f>
        <v>75.900000000000006</v>
      </c>
      <c r="D44" s="495"/>
      <c r="E44" s="517"/>
      <c r="F44" s="35"/>
    </row>
    <row r="45" spans="1:7" ht="15" customHeight="1" x14ac:dyDescent="0.25">
      <c r="A45" s="45" t="str">
        <f t="shared" si="0"/>
        <v>01/05/2021-31/05/2021</v>
      </c>
      <c r="B45" s="48">
        <f>'monitoring results'!D9</f>
        <v>57.8</v>
      </c>
      <c r="C45" s="48">
        <f>'monitoring results'!E9</f>
        <v>74.900000000000006</v>
      </c>
      <c r="D45" s="495"/>
      <c r="E45" s="517"/>
      <c r="F45" s="35"/>
    </row>
    <row r="46" spans="1:7" ht="15" customHeight="1" x14ac:dyDescent="0.25">
      <c r="A46" s="45" t="str">
        <f t="shared" si="0"/>
        <v>01/06/2021-30/06/2021</v>
      </c>
      <c r="B46" s="48">
        <f>'monitoring results'!D10</f>
        <v>55.7</v>
      </c>
      <c r="C46" s="48">
        <f>'monitoring results'!E10</f>
        <v>76.099999999999994</v>
      </c>
      <c r="D46" s="495"/>
      <c r="E46" s="517"/>
      <c r="F46" s="35"/>
    </row>
    <row r="47" spans="1:7" ht="15" customHeight="1" x14ac:dyDescent="0.25">
      <c r="A47" s="45" t="str">
        <f t="shared" si="0"/>
        <v>01/07/2021-31/07/2021</v>
      </c>
      <c r="B47" s="48">
        <f>'monitoring results'!D11</f>
        <v>56.3</v>
      </c>
      <c r="C47" s="48">
        <f>'monitoring results'!E11</f>
        <v>74.900000000000006</v>
      </c>
      <c r="D47" s="495"/>
      <c r="E47" s="517"/>
      <c r="F47" s="35"/>
    </row>
    <row r="48" spans="1:7" ht="15" customHeight="1" x14ac:dyDescent="0.25">
      <c r="A48" s="45" t="str">
        <f t="shared" si="0"/>
        <v>01/08/2021-31/08/2021</v>
      </c>
      <c r="B48" s="48">
        <f>'monitoring results'!D12</f>
        <v>56</v>
      </c>
      <c r="C48" s="48">
        <f>'monitoring results'!E12</f>
        <v>75.900000000000006</v>
      </c>
      <c r="D48" s="495"/>
      <c r="E48" s="517"/>
      <c r="F48" s="35"/>
    </row>
    <row r="49" spans="1:6" ht="15" customHeight="1" x14ac:dyDescent="0.25">
      <c r="A49" s="45" t="str">
        <f t="shared" si="0"/>
        <v>01/09/2021-30/09/2021</v>
      </c>
      <c r="B49" s="48">
        <f>'monitoring results'!D13</f>
        <v>55.8</v>
      </c>
      <c r="C49" s="48">
        <f>'monitoring results'!E13</f>
        <v>75.2</v>
      </c>
      <c r="D49" s="495"/>
      <c r="E49" s="517"/>
      <c r="F49" s="35"/>
    </row>
    <row r="50" spans="1:6" ht="15" customHeight="1" x14ac:dyDescent="0.25">
      <c r="A50" s="45" t="str">
        <f t="shared" si="0"/>
        <v>01/10/2021-31/10/2021</v>
      </c>
      <c r="B50" s="48">
        <f>'monitoring results'!D14</f>
        <v>55.5</v>
      </c>
      <c r="C50" s="48">
        <f>'monitoring results'!E14</f>
        <v>75.3</v>
      </c>
      <c r="D50" s="495"/>
      <c r="E50" s="517"/>
      <c r="F50" s="35"/>
    </row>
    <row r="51" spans="1:6" ht="15" customHeight="1" x14ac:dyDescent="0.25">
      <c r="A51" s="45" t="str">
        <f t="shared" si="0"/>
        <v>01/11/2021-30/11/2021</v>
      </c>
      <c r="B51" s="48">
        <f>'monitoring results'!D15</f>
        <v>56.4</v>
      </c>
      <c r="C51" s="48">
        <f>'monitoring results'!E15</f>
        <v>75</v>
      </c>
      <c r="D51" s="495"/>
      <c r="E51" s="517"/>
      <c r="F51" s="35"/>
    </row>
    <row r="52" spans="1:6" ht="15" customHeight="1" x14ac:dyDescent="0.25">
      <c r="A52" s="45" t="str">
        <f t="shared" si="0"/>
        <v>01/12/2021-31/12/2021</v>
      </c>
      <c r="B52" s="48">
        <f>'monitoring results'!D16</f>
        <v>55.9</v>
      </c>
      <c r="C52" s="48">
        <f>'monitoring results'!E16</f>
        <v>75.400000000000006</v>
      </c>
      <c r="D52" s="495"/>
      <c r="E52" s="517"/>
      <c r="F52" s="35"/>
    </row>
    <row r="53" spans="1:6" ht="15" customHeight="1" x14ac:dyDescent="0.25">
      <c r="A53" s="45" t="str">
        <f t="shared" si="0"/>
        <v>01/01/2022-31/01/2022</v>
      </c>
      <c r="B53" s="48">
        <f>'monitoring results'!D17</f>
        <v>56.9</v>
      </c>
      <c r="C53" s="48">
        <f>'monitoring results'!E17</f>
        <v>75.3</v>
      </c>
      <c r="D53" s="495"/>
      <c r="E53" s="517"/>
      <c r="F53" s="35"/>
    </row>
    <row r="54" spans="1:6" ht="15" customHeight="1" x14ac:dyDescent="0.25">
      <c r="A54" s="45" t="str">
        <f t="shared" si="0"/>
        <v>01/02/2022-28/02/2022</v>
      </c>
      <c r="B54" s="48">
        <f>'monitoring results'!D18</f>
        <v>55.8</v>
      </c>
      <c r="C54" s="48">
        <f>'monitoring results'!E18</f>
        <v>75.599999999999994</v>
      </c>
      <c r="D54" s="495"/>
      <c r="E54" s="517"/>
      <c r="F54" s="35"/>
    </row>
    <row r="55" spans="1:6" s="400" customFormat="1" ht="15" customHeight="1" x14ac:dyDescent="0.25">
      <c r="A55" s="404" t="str">
        <f t="shared" ref="A55:A58" si="1">A35</f>
        <v>01/03/2022-31/03/2022</v>
      </c>
      <c r="B55" s="48">
        <f>'monitoring results'!D19</f>
        <v>55.3</v>
      </c>
      <c r="C55" s="48">
        <f>'monitoring results'!E19</f>
        <v>75.599999999999994</v>
      </c>
      <c r="D55" s="495"/>
      <c r="E55" s="517"/>
      <c r="F55" s="401"/>
    </row>
    <row r="56" spans="1:6" s="400" customFormat="1" ht="15" customHeight="1" x14ac:dyDescent="0.25">
      <c r="A56" s="404" t="str">
        <f t="shared" si="1"/>
        <v>01/04/2022-30/04/2022</v>
      </c>
      <c r="B56" s="48">
        <f>'monitoring results'!D20</f>
        <v>56.4</v>
      </c>
      <c r="C56" s="48">
        <f>'monitoring results'!E20</f>
        <v>75.2</v>
      </c>
      <c r="D56" s="495"/>
      <c r="E56" s="517"/>
      <c r="F56" s="401"/>
    </row>
    <row r="57" spans="1:6" s="400" customFormat="1" ht="15" customHeight="1" x14ac:dyDescent="0.25">
      <c r="A57" s="404" t="str">
        <f t="shared" si="1"/>
        <v>01/05/2022-31/05/2022</v>
      </c>
      <c r="B57" s="48">
        <f>'monitoring results'!D21</f>
        <v>56.2</v>
      </c>
      <c r="C57" s="48">
        <f>'monitoring results'!E21</f>
        <v>75.2</v>
      </c>
      <c r="D57" s="495"/>
      <c r="E57" s="517"/>
      <c r="F57" s="401"/>
    </row>
    <row r="58" spans="1:6" ht="15" customHeight="1" x14ac:dyDescent="0.25">
      <c r="A58" s="404" t="str">
        <f t="shared" si="1"/>
        <v>01/06/2022-30/06/2022</v>
      </c>
      <c r="B58" s="48">
        <f>'monitoring results'!D22</f>
        <v>56.9</v>
      </c>
      <c r="C58" s="48">
        <f>'monitoring results'!E22</f>
        <v>75.099999999999994</v>
      </c>
      <c r="D58" s="496"/>
      <c r="E58" s="518"/>
      <c r="F58" s="35"/>
    </row>
    <row r="59" spans="1:6" ht="15" customHeight="1" x14ac:dyDescent="0.4">
      <c r="A59" s="38" t="s">
        <v>179</v>
      </c>
      <c r="B59" s="44">
        <f>B183</f>
        <v>28</v>
      </c>
      <c r="C59" s="44">
        <f>C183</f>
        <v>28</v>
      </c>
      <c r="D59" s="41" t="s">
        <v>107</v>
      </c>
      <c r="E59" s="353" t="s">
        <v>50</v>
      </c>
      <c r="F59" s="35"/>
    </row>
    <row r="60" spans="1:6" x14ac:dyDescent="0.25">
      <c r="A60" s="49" t="s">
        <v>180</v>
      </c>
      <c r="B60" s="40">
        <v>0.3</v>
      </c>
      <c r="C60" s="40">
        <v>0.3</v>
      </c>
      <c r="D60" s="41" t="s">
        <v>6</v>
      </c>
      <c r="E60" s="353" t="str">
        <f>E18</f>
        <v>2006 IPCC guideline, volume 4, chapter 10, tbl. 10A-7</v>
      </c>
      <c r="F60" s="35"/>
    </row>
    <row r="61" spans="1:6" ht="20.5" customHeight="1" x14ac:dyDescent="0.35">
      <c r="A61" s="49" t="s">
        <v>181</v>
      </c>
      <c r="B61" s="50"/>
      <c r="C61" s="50"/>
      <c r="D61" s="494" t="s">
        <v>96</v>
      </c>
      <c r="E61" s="506" t="s">
        <v>108</v>
      </c>
      <c r="F61" s="35"/>
    </row>
    <row r="62" spans="1:6" x14ac:dyDescent="0.25">
      <c r="A62" s="45" t="str">
        <f t="shared" ref="A62:A76" si="2">A40</f>
        <v>26/12/2020-31/12/2020</v>
      </c>
      <c r="B62" s="50">
        <f t="shared" ref="B62:B80" si="3">(B40/$B$59)*$B$60*B83</f>
        <v>3.657857142857142</v>
      </c>
      <c r="C62" s="50">
        <f t="shared" ref="C62:C80" si="4">(C40/$C$59)*$C$60*C83</f>
        <v>4.7828571428571438</v>
      </c>
      <c r="D62" s="495"/>
      <c r="E62" s="507"/>
      <c r="F62" s="35"/>
    </row>
    <row r="63" spans="1:6" x14ac:dyDescent="0.25">
      <c r="A63" s="45" t="str">
        <f t="shared" si="2"/>
        <v>01/01/2021-31/01/2021</v>
      </c>
      <c r="B63" s="50">
        <f t="shared" si="3"/>
        <v>18.998571428571431</v>
      </c>
      <c r="C63" s="50">
        <f t="shared" si="4"/>
        <v>25.043571428571433</v>
      </c>
      <c r="D63" s="495"/>
      <c r="E63" s="507"/>
      <c r="F63" s="35"/>
    </row>
    <row r="64" spans="1:6" x14ac:dyDescent="0.25">
      <c r="A64" s="45" t="str">
        <f t="shared" si="2"/>
        <v>01/02/1021-28/02/2021</v>
      </c>
      <c r="B64" s="50">
        <f t="shared" si="3"/>
        <v>17.009999999999998</v>
      </c>
      <c r="C64" s="50">
        <f t="shared" si="4"/>
        <v>22.589999999999996</v>
      </c>
      <c r="D64" s="495"/>
      <c r="E64" s="507"/>
      <c r="F64" s="35"/>
    </row>
    <row r="65" spans="1:7" x14ac:dyDescent="0.25">
      <c r="A65" s="45" t="str">
        <f t="shared" si="2"/>
        <v>01/03/2021-31/03/3021</v>
      </c>
      <c r="B65" s="50">
        <f t="shared" si="3"/>
        <v>18.599999999999998</v>
      </c>
      <c r="C65" s="50">
        <f t="shared" si="4"/>
        <v>24.877500000000005</v>
      </c>
      <c r="D65" s="495"/>
      <c r="E65" s="507"/>
      <c r="F65" s="35"/>
    </row>
    <row r="66" spans="1:7" x14ac:dyDescent="0.25">
      <c r="A66" s="45" t="str">
        <f t="shared" si="2"/>
        <v>01/04/2021-30/04/2021</v>
      </c>
      <c r="B66" s="50">
        <f t="shared" si="3"/>
        <v>18.064285714285713</v>
      </c>
      <c r="C66" s="50">
        <f t="shared" si="4"/>
        <v>24.396428571428572</v>
      </c>
      <c r="D66" s="495"/>
      <c r="E66" s="507"/>
      <c r="F66" s="35"/>
    </row>
    <row r="67" spans="1:7" x14ac:dyDescent="0.25">
      <c r="A67" s="45" t="str">
        <f t="shared" si="2"/>
        <v>01/05/2021-31/05/2021</v>
      </c>
      <c r="B67" s="50">
        <f t="shared" si="3"/>
        <v>19.197857142857142</v>
      </c>
      <c r="C67" s="50">
        <f t="shared" si="4"/>
        <v>24.877500000000005</v>
      </c>
      <c r="D67" s="495"/>
      <c r="E67" s="507"/>
      <c r="F67" s="35"/>
      <c r="G67" s="46"/>
    </row>
    <row r="68" spans="1:7" x14ac:dyDescent="0.25">
      <c r="A68" s="45" t="str">
        <f t="shared" si="2"/>
        <v>01/06/2021-30/06/2021</v>
      </c>
      <c r="B68" s="50">
        <f t="shared" si="3"/>
        <v>17.903571428571428</v>
      </c>
      <c r="C68" s="50">
        <f t="shared" si="4"/>
        <v>24.460714285714282</v>
      </c>
      <c r="D68" s="495"/>
      <c r="E68" s="507"/>
      <c r="F68" s="35"/>
      <c r="G68" s="46"/>
    </row>
    <row r="69" spans="1:7" x14ac:dyDescent="0.25">
      <c r="A69" s="45" t="str">
        <f t="shared" si="2"/>
        <v>01/07/2021-31/07/2021</v>
      </c>
      <c r="B69" s="50">
        <f t="shared" si="3"/>
        <v>18.699642857142855</v>
      </c>
      <c r="C69" s="50">
        <f t="shared" si="4"/>
        <v>24.877500000000005</v>
      </c>
      <c r="D69" s="495"/>
      <c r="E69" s="507"/>
      <c r="F69" s="35"/>
    </row>
    <row r="70" spans="1:7" x14ac:dyDescent="0.25">
      <c r="A70" s="45" t="str">
        <f t="shared" si="2"/>
        <v>01/08/2021-31/08/2021</v>
      </c>
      <c r="B70" s="50">
        <f t="shared" si="3"/>
        <v>18.599999999999998</v>
      </c>
      <c r="C70" s="50">
        <f t="shared" si="4"/>
        <v>25.20964285714286</v>
      </c>
      <c r="D70" s="495"/>
      <c r="E70" s="507"/>
      <c r="F70" s="35"/>
    </row>
    <row r="71" spans="1:7" x14ac:dyDescent="0.25">
      <c r="A71" s="45" t="str">
        <f t="shared" si="2"/>
        <v>01/09/2021-30/09/2021</v>
      </c>
      <c r="B71" s="50">
        <f t="shared" si="3"/>
        <v>17.935714285714283</v>
      </c>
      <c r="C71" s="50">
        <f t="shared" si="4"/>
        <v>24.171428571428571</v>
      </c>
      <c r="D71" s="495"/>
      <c r="E71" s="507"/>
      <c r="F71" s="35"/>
    </row>
    <row r="72" spans="1:7" x14ac:dyDescent="0.25">
      <c r="A72" s="45" t="str">
        <f t="shared" si="2"/>
        <v>01/10/2021-31/10/2021</v>
      </c>
      <c r="B72" s="50">
        <f t="shared" si="3"/>
        <v>18.43392857142857</v>
      </c>
      <c r="C72" s="50">
        <f t="shared" si="4"/>
        <v>25.010357142857142</v>
      </c>
      <c r="D72" s="495"/>
      <c r="E72" s="507"/>
      <c r="F72" s="35"/>
    </row>
    <row r="73" spans="1:7" x14ac:dyDescent="0.25">
      <c r="A73" s="45" t="str">
        <f t="shared" si="2"/>
        <v>01/11/2021-30/11/2021</v>
      </c>
      <c r="B73" s="50">
        <f t="shared" si="3"/>
        <v>18.128571428571426</v>
      </c>
      <c r="C73" s="50">
        <f t="shared" si="4"/>
        <v>24.107142857142854</v>
      </c>
      <c r="D73" s="495"/>
      <c r="E73" s="507"/>
      <c r="F73" s="35"/>
    </row>
    <row r="74" spans="1:7" x14ac:dyDescent="0.25">
      <c r="A74" s="45" t="str">
        <f t="shared" si="2"/>
        <v>01/12/2021-31/12/2021</v>
      </c>
      <c r="B74" s="50">
        <f t="shared" si="3"/>
        <v>18.566785714285711</v>
      </c>
      <c r="C74" s="50">
        <f t="shared" si="4"/>
        <v>25.043571428571433</v>
      </c>
      <c r="D74" s="495"/>
      <c r="E74" s="507"/>
      <c r="F74" s="35"/>
    </row>
    <row r="75" spans="1:7" x14ac:dyDescent="0.25">
      <c r="A75" s="45" t="str">
        <f t="shared" si="2"/>
        <v>01/01/2022-31/01/2022</v>
      </c>
      <c r="B75" s="50">
        <f t="shared" si="3"/>
        <v>18.89892857142857</v>
      </c>
      <c r="C75" s="50">
        <f t="shared" si="4"/>
        <v>25.010357142857142</v>
      </c>
      <c r="D75" s="495"/>
      <c r="E75" s="507"/>
      <c r="F75" s="35"/>
    </row>
    <row r="76" spans="1:7" x14ac:dyDescent="0.25">
      <c r="A76" s="45" t="str">
        <f t="shared" si="2"/>
        <v>01/02/2022-28/02/2022</v>
      </c>
      <c r="B76" s="50">
        <f t="shared" si="3"/>
        <v>16.739999999999998</v>
      </c>
      <c r="C76" s="50">
        <f t="shared" si="4"/>
        <v>22.68</v>
      </c>
      <c r="D76" s="495"/>
      <c r="E76" s="507"/>
      <c r="F76" s="35"/>
    </row>
    <row r="77" spans="1:7" s="400" customFormat="1" x14ac:dyDescent="0.25">
      <c r="A77" s="404" t="str">
        <f t="shared" ref="A77:A80" si="5">A55</f>
        <v>01/03/2022-31/03/2022</v>
      </c>
      <c r="B77" s="406">
        <f t="shared" si="3"/>
        <v>18.367499999999996</v>
      </c>
      <c r="C77" s="406">
        <f t="shared" si="4"/>
        <v>25.11</v>
      </c>
      <c r="D77" s="495"/>
      <c r="E77" s="507"/>
      <c r="F77" s="401"/>
    </row>
    <row r="78" spans="1:7" s="400" customFormat="1" x14ac:dyDescent="0.25">
      <c r="A78" s="404" t="str">
        <f t="shared" si="5"/>
        <v>01/04/2022-30/04/2022</v>
      </c>
      <c r="B78" s="406">
        <f t="shared" si="3"/>
        <v>18.128571428571426</v>
      </c>
      <c r="C78" s="406">
        <f t="shared" si="4"/>
        <v>24.171428571428571</v>
      </c>
      <c r="D78" s="495"/>
      <c r="E78" s="507"/>
      <c r="F78" s="401"/>
    </row>
    <row r="79" spans="1:7" s="400" customFormat="1" x14ac:dyDescent="0.25">
      <c r="A79" s="404" t="str">
        <f t="shared" si="5"/>
        <v>01/05/2022-31/05/2022</v>
      </c>
      <c r="B79" s="406">
        <f t="shared" si="3"/>
        <v>18.666428571428568</v>
      </c>
      <c r="C79" s="406">
        <f t="shared" si="4"/>
        <v>24.977142857142859</v>
      </c>
      <c r="D79" s="495"/>
      <c r="E79" s="507"/>
      <c r="F79" s="401"/>
    </row>
    <row r="80" spans="1:7" x14ac:dyDescent="0.25">
      <c r="A80" s="404" t="str">
        <f t="shared" si="5"/>
        <v>01/06/2022-30/06/2022</v>
      </c>
      <c r="B80" s="406">
        <f t="shared" si="3"/>
        <v>18.289285714285711</v>
      </c>
      <c r="C80" s="406">
        <f t="shared" si="4"/>
        <v>24.139285714285712</v>
      </c>
      <c r="D80" s="496"/>
      <c r="E80" s="508"/>
      <c r="F80" s="35"/>
    </row>
    <row r="81" spans="1:6" ht="13.5" x14ac:dyDescent="0.35">
      <c r="A81" s="38" t="s">
        <v>182</v>
      </c>
      <c r="B81" s="42">
        <v>1</v>
      </c>
      <c r="C81" s="42">
        <v>1</v>
      </c>
      <c r="D81" s="41" t="s">
        <v>1</v>
      </c>
      <c r="E81" s="353" t="s">
        <v>109</v>
      </c>
      <c r="F81" s="35"/>
    </row>
    <row r="82" spans="1:6" x14ac:dyDescent="0.25">
      <c r="A82" s="38" t="s">
        <v>48</v>
      </c>
      <c r="B82" s="40"/>
      <c r="C82" s="40"/>
      <c r="D82" s="494" t="s">
        <v>53</v>
      </c>
      <c r="E82" s="511" t="s">
        <v>169</v>
      </c>
      <c r="F82" s="51"/>
    </row>
    <row r="83" spans="1:6" x14ac:dyDescent="0.25">
      <c r="A83" s="45" t="str">
        <f t="shared" ref="A83:A97" si="6">A62</f>
        <v>26/12/2020-31/12/2020</v>
      </c>
      <c r="B83" s="40">
        <v>6</v>
      </c>
      <c r="C83" s="40">
        <f>B83</f>
        <v>6</v>
      </c>
      <c r="D83" s="495"/>
      <c r="E83" s="511"/>
      <c r="F83" s="51"/>
    </row>
    <row r="84" spans="1:6" x14ac:dyDescent="0.25">
      <c r="A84" s="45" t="str">
        <f t="shared" si="6"/>
        <v>01/01/2021-31/01/2021</v>
      </c>
      <c r="B84" s="40">
        <v>31</v>
      </c>
      <c r="C84" s="40">
        <f t="shared" ref="C84:C97" si="7">B84</f>
        <v>31</v>
      </c>
      <c r="D84" s="495"/>
      <c r="E84" s="511"/>
      <c r="F84" s="35"/>
    </row>
    <row r="85" spans="1:6" x14ac:dyDescent="0.25">
      <c r="A85" s="45" t="str">
        <f t="shared" si="6"/>
        <v>01/02/1021-28/02/2021</v>
      </c>
      <c r="B85" s="40">
        <v>28</v>
      </c>
      <c r="C85" s="40">
        <f t="shared" si="7"/>
        <v>28</v>
      </c>
      <c r="D85" s="495"/>
      <c r="E85" s="511"/>
      <c r="F85" s="35"/>
    </row>
    <row r="86" spans="1:6" x14ac:dyDescent="0.25">
      <c r="A86" s="45" t="str">
        <f t="shared" si="6"/>
        <v>01/03/2021-31/03/3021</v>
      </c>
      <c r="B86" s="40">
        <v>31</v>
      </c>
      <c r="C86" s="40">
        <f t="shared" si="7"/>
        <v>31</v>
      </c>
      <c r="D86" s="495"/>
      <c r="E86" s="511"/>
      <c r="F86" s="35"/>
    </row>
    <row r="87" spans="1:6" x14ac:dyDescent="0.25">
      <c r="A87" s="45" t="str">
        <f t="shared" si="6"/>
        <v>01/04/2021-30/04/2021</v>
      </c>
      <c r="B87" s="40">
        <v>30</v>
      </c>
      <c r="C87" s="40">
        <f t="shared" si="7"/>
        <v>30</v>
      </c>
      <c r="D87" s="495"/>
      <c r="E87" s="511"/>
      <c r="F87" s="35"/>
    </row>
    <row r="88" spans="1:6" x14ac:dyDescent="0.25">
      <c r="A88" s="45" t="str">
        <f t="shared" si="6"/>
        <v>01/05/2021-31/05/2021</v>
      </c>
      <c r="B88" s="40">
        <v>31</v>
      </c>
      <c r="C88" s="40">
        <f t="shared" si="7"/>
        <v>31</v>
      </c>
      <c r="D88" s="495"/>
      <c r="E88" s="511"/>
      <c r="F88" s="35"/>
    </row>
    <row r="89" spans="1:6" x14ac:dyDescent="0.25">
      <c r="A89" s="45" t="str">
        <f t="shared" si="6"/>
        <v>01/06/2021-30/06/2021</v>
      </c>
      <c r="B89" s="40">
        <v>30</v>
      </c>
      <c r="C89" s="40">
        <f t="shared" si="7"/>
        <v>30</v>
      </c>
      <c r="D89" s="495"/>
      <c r="E89" s="511"/>
      <c r="F89" s="35"/>
    </row>
    <row r="90" spans="1:6" x14ac:dyDescent="0.25">
      <c r="A90" s="45" t="str">
        <f t="shared" si="6"/>
        <v>01/07/2021-31/07/2021</v>
      </c>
      <c r="B90" s="40">
        <v>31</v>
      </c>
      <c r="C90" s="40">
        <f t="shared" si="7"/>
        <v>31</v>
      </c>
      <c r="D90" s="495"/>
      <c r="E90" s="511"/>
      <c r="F90" s="35"/>
    </row>
    <row r="91" spans="1:6" x14ac:dyDescent="0.25">
      <c r="A91" s="45" t="str">
        <f t="shared" si="6"/>
        <v>01/08/2021-31/08/2021</v>
      </c>
      <c r="B91" s="40">
        <v>31</v>
      </c>
      <c r="C91" s="40">
        <f t="shared" si="7"/>
        <v>31</v>
      </c>
      <c r="D91" s="495"/>
      <c r="E91" s="511"/>
      <c r="F91" s="35"/>
    </row>
    <row r="92" spans="1:6" x14ac:dyDescent="0.25">
      <c r="A92" s="45" t="str">
        <f t="shared" si="6"/>
        <v>01/09/2021-30/09/2021</v>
      </c>
      <c r="B92" s="40">
        <v>30</v>
      </c>
      <c r="C92" s="40">
        <f t="shared" si="7"/>
        <v>30</v>
      </c>
      <c r="D92" s="495"/>
      <c r="E92" s="511"/>
      <c r="F92" s="35"/>
    </row>
    <row r="93" spans="1:6" x14ac:dyDescent="0.25">
      <c r="A93" s="45" t="str">
        <f t="shared" si="6"/>
        <v>01/10/2021-31/10/2021</v>
      </c>
      <c r="B93" s="40">
        <v>31</v>
      </c>
      <c r="C93" s="40">
        <f t="shared" si="7"/>
        <v>31</v>
      </c>
      <c r="D93" s="495"/>
      <c r="E93" s="511"/>
      <c r="F93" s="35"/>
    </row>
    <row r="94" spans="1:6" x14ac:dyDescent="0.25">
      <c r="A94" s="45" t="str">
        <f t="shared" si="6"/>
        <v>01/11/2021-30/11/2021</v>
      </c>
      <c r="B94" s="40">
        <v>30</v>
      </c>
      <c r="C94" s="40">
        <f t="shared" si="7"/>
        <v>30</v>
      </c>
      <c r="D94" s="495"/>
      <c r="E94" s="511"/>
      <c r="F94" s="35"/>
    </row>
    <row r="95" spans="1:6" x14ac:dyDescent="0.25">
      <c r="A95" s="45" t="str">
        <f t="shared" si="6"/>
        <v>01/12/2021-31/12/2021</v>
      </c>
      <c r="B95" s="40">
        <v>31</v>
      </c>
      <c r="C95" s="40">
        <f t="shared" si="7"/>
        <v>31</v>
      </c>
      <c r="D95" s="495"/>
      <c r="E95" s="511"/>
      <c r="F95" s="35"/>
    </row>
    <row r="96" spans="1:6" x14ac:dyDescent="0.25">
      <c r="A96" s="45" t="str">
        <f t="shared" si="6"/>
        <v>01/01/2022-31/01/2022</v>
      </c>
      <c r="B96" s="40">
        <v>31</v>
      </c>
      <c r="C96" s="40">
        <f t="shared" si="7"/>
        <v>31</v>
      </c>
      <c r="D96" s="495"/>
      <c r="E96" s="511"/>
      <c r="F96" s="35"/>
    </row>
    <row r="97" spans="1:6" x14ac:dyDescent="0.25">
      <c r="A97" s="45" t="str">
        <f t="shared" si="6"/>
        <v>01/02/2022-28/02/2022</v>
      </c>
      <c r="B97" s="40">
        <v>28</v>
      </c>
      <c r="C97" s="40">
        <f t="shared" si="7"/>
        <v>28</v>
      </c>
      <c r="D97" s="495"/>
      <c r="E97" s="511"/>
      <c r="F97" s="35"/>
    </row>
    <row r="98" spans="1:6" s="400" customFormat="1" x14ac:dyDescent="0.25">
      <c r="A98" s="404" t="str">
        <f t="shared" ref="A98:A101" si="8">A77</f>
        <v>01/03/2022-31/03/2022</v>
      </c>
      <c r="B98" s="402">
        <v>31</v>
      </c>
      <c r="C98" s="402">
        <f t="shared" ref="C98:C101" si="9">B98</f>
        <v>31</v>
      </c>
      <c r="D98" s="495"/>
      <c r="E98" s="511"/>
      <c r="F98" s="401"/>
    </row>
    <row r="99" spans="1:6" s="400" customFormat="1" x14ac:dyDescent="0.25">
      <c r="A99" s="404" t="str">
        <f t="shared" si="8"/>
        <v>01/04/2022-30/04/2022</v>
      </c>
      <c r="B99" s="402">
        <v>30</v>
      </c>
      <c r="C99" s="402">
        <f t="shared" si="9"/>
        <v>30</v>
      </c>
      <c r="D99" s="495"/>
      <c r="E99" s="511"/>
      <c r="F99" s="401"/>
    </row>
    <row r="100" spans="1:6" s="400" customFormat="1" x14ac:dyDescent="0.25">
      <c r="A100" s="404" t="str">
        <f t="shared" si="8"/>
        <v>01/05/2022-31/05/2022</v>
      </c>
      <c r="B100" s="402">
        <v>31</v>
      </c>
      <c r="C100" s="402">
        <f t="shared" si="9"/>
        <v>31</v>
      </c>
      <c r="D100" s="495"/>
      <c r="E100" s="511"/>
      <c r="F100" s="401"/>
    </row>
    <row r="101" spans="1:6" x14ac:dyDescent="0.25">
      <c r="A101" s="404" t="str">
        <f t="shared" si="8"/>
        <v>01/06/2022-30/06/2022</v>
      </c>
      <c r="B101" s="402">
        <v>30</v>
      </c>
      <c r="C101" s="402">
        <f t="shared" si="9"/>
        <v>30</v>
      </c>
      <c r="D101" s="495"/>
      <c r="E101" s="511"/>
      <c r="F101" s="35"/>
    </row>
    <row r="102" spans="1:6" ht="15.5" x14ac:dyDescent="0.4">
      <c r="A102" s="45" t="s">
        <v>183</v>
      </c>
      <c r="B102" s="40"/>
      <c r="C102" s="40"/>
      <c r="D102" s="41"/>
      <c r="E102" s="353"/>
      <c r="F102" s="35"/>
    </row>
    <row r="103" spans="1:6" ht="15.5" x14ac:dyDescent="0.4">
      <c r="A103" s="45" t="str">
        <f t="shared" ref="A103:A117" si="10">A83</f>
        <v>26/12/2020-31/12/2020</v>
      </c>
      <c r="B103" s="52">
        <f>ROUNDDOWN($B$12*$B$14*$B$17*$B$18*B20*B62*$B$81,0)</f>
        <v>1123</v>
      </c>
      <c r="C103" s="386">
        <f>ROUNDDOWN($C$12*$C$14*$C$17*$C$18*C20*C62*$C$81,0)</f>
        <v>1368</v>
      </c>
      <c r="D103" s="41" t="s">
        <v>184</v>
      </c>
      <c r="E103" s="506" t="s">
        <v>111</v>
      </c>
      <c r="F103" s="35"/>
    </row>
    <row r="104" spans="1:6" ht="15.5" x14ac:dyDescent="0.4">
      <c r="A104" s="45" t="str">
        <f t="shared" si="10"/>
        <v>01/01/2021-31/01/2021</v>
      </c>
      <c r="B104" s="52">
        <f t="shared" ref="B104:B117" si="11">ROUNDDOWN($B$13*$B$14*$B$17*$B$18*B21*B63*$B$81,0)</f>
        <v>6534</v>
      </c>
      <c r="C104" s="386">
        <f t="shared" ref="C104:C117" si="12">ROUNDDOWN($C$13*$C$14*$C$17*$C$18*C21*C63*$C$81,0)</f>
        <v>8035</v>
      </c>
      <c r="D104" s="41" t="s">
        <v>184</v>
      </c>
      <c r="E104" s="507"/>
      <c r="F104" s="35"/>
    </row>
    <row r="105" spans="1:6" ht="15.5" x14ac:dyDescent="0.4">
      <c r="A105" s="45" t="str">
        <f t="shared" si="10"/>
        <v>01/02/1021-28/02/2021</v>
      </c>
      <c r="B105" s="52">
        <f t="shared" si="11"/>
        <v>5850</v>
      </c>
      <c r="C105" s="386">
        <f t="shared" si="12"/>
        <v>7243</v>
      </c>
      <c r="D105" s="41" t="s">
        <v>184</v>
      </c>
      <c r="E105" s="507"/>
      <c r="F105" s="35"/>
    </row>
    <row r="106" spans="1:6" ht="15.5" x14ac:dyDescent="0.4">
      <c r="A106" s="45" t="str">
        <f t="shared" si="10"/>
        <v>01/03/2021-31/03/3021</v>
      </c>
      <c r="B106" s="52">
        <f t="shared" si="11"/>
        <v>6397</v>
      </c>
      <c r="C106" s="386">
        <f t="shared" si="12"/>
        <v>7972</v>
      </c>
      <c r="D106" s="41" t="s">
        <v>184</v>
      </c>
      <c r="E106" s="507"/>
      <c r="F106" s="35"/>
    </row>
    <row r="107" spans="1:6" ht="15.5" x14ac:dyDescent="0.4">
      <c r="A107" s="45" t="str">
        <f t="shared" si="10"/>
        <v>01/04/2021-30/04/2021</v>
      </c>
      <c r="B107" s="52">
        <f t="shared" si="11"/>
        <v>6213</v>
      </c>
      <c r="C107" s="386">
        <f t="shared" si="12"/>
        <v>7807</v>
      </c>
      <c r="D107" s="41" t="s">
        <v>184</v>
      </c>
      <c r="E107" s="507"/>
      <c r="F107" s="35"/>
    </row>
    <row r="108" spans="1:6" ht="15.5" x14ac:dyDescent="0.4">
      <c r="A108" s="45" t="str">
        <f t="shared" si="10"/>
        <v>01/05/2021-31/05/2021</v>
      </c>
      <c r="B108" s="52">
        <f t="shared" si="11"/>
        <v>6603</v>
      </c>
      <c r="C108" s="386">
        <f t="shared" si="12"/>
        <v>7981</v>
      </c>
      <c r="D108" s="41" t="s">
        <v>184</v>
      </c>
      <c r="E108" s="507"/>
      <c r="F108" s="35"/>
    </row>
    <row r="109" spans="1:6" ht="15.5" x14ac:dyDescent="0.4">
      <c r="A109" s="45" t="str">
        <f t="shared" si="10"/>
        <v>01/06/2021-30/06/2021</v>
      </c>
      <c r="B109" s="52">
        <f t="shared" si="11"/>
        <v>6158</v>
      </c>
      <c r="C109" s="386">
        <f t="shared" si="12"/>
        <v>7847</v>
      </c>
      <c r="D109" s="41" t="s">
        <v>184</v>
      </c>
      <c r="E109" s="507"/>
      <c r="F109" s="35"/>
    </row>
    <row r="110" spans="1:6" ht="15.5" x14ac:dyDescent="0.4">
      <c r="A110" s="45" t="str">
        <f t="shared" si="10"/>
        <v>01/07/2021-31/07/2021</v>
      </c>
      <c r="B110" s="52">
        <f t="shared" si="11"/>
        <v>6431</v>
      </c>
      <c r="C110" s="386">
        <f t="shared" si="12"/>
        <v>7972</v>
      </c>
      <c r="D110" s="41" t="s">
        <v>184</v>
      </c>
      <c r="E110" s="507"/>
      <c r="F110" s="35"/>
    </row>
    <row r="111" spans="1:6" ht="15.5" x14ac:dyDescent="0.4">
      <c r="A111" s="45" t="str">
        <f t="shared" si="10"/>
        <v>01/08/2021-31/08/2021</v>
      </c>
      <c r="B111" s="52">
        <f t="shared" si="11"/>
        <v>6397</v>
      </c>
      <c r="C111" s="386">
        <f t="shared" si="12"/>
        <v>8065</v>
      </c>
      <c r="D111" s="41" t="s">
        <v>184</v>
      </c>
      <c r="E111" s="507"/>
      <c r="F111" s="35"/>
    </row>
    <row r="112" spans="1:6" ht="15.5" x14ac:dyDescent="0.4">
      <c r="A112" s="45" t="str">
        <f t="shared" si="10"/>
        <v>01/09/2021-30/09/2021</v>
      </c>
      <c r="B112" s="52">
        <f t="shared" si="11"/>
        <v>6169</v>
      </c>
      <c r="C112" s="386">
        <f t="shared" si="12"/>
        <v>7745</v>
      </c>
      <c r="D112" s="41" t="s">
        <v>184</v>
      </c>
      <c r="E112" s="507"/>
      <c r="F112" s="35"/>
    </row>
    <row r="113" spans="1:6" ht="15.5" x14ac:dyDescent="0.4">
      <c r="A113" s="45" t="str">
        <f t="shared" si="10"/>
        <v>01/10/2021-31/10/2021</v>
      </c>
      <c r="B113" s="52">
        <f t="shared" si="11"/>
        <v>6340</v>
      </c>
      <c r="C113" s="386">
        <f t="shared" si="12"/>
        <v>8005</v>
      </c>
      <c r="D113" s="403" t="s">
        <v>184</v>
      </c>
      <c r="E113" s="507"/>
      <c r="F113" s="35"/>
    </row>
    <row r="114" spans="1:6" ht="15.5" x14ac:dyDescent="0.4">
      <c r="A114" s="45" t="str">
        <f t="shared" si="10"/>
        <v>01/11/2021-30/11/2021</v>
      </c>
      <c r="B114" s="52">
        <f t="shared" si="11"/>
        <v>6235</v>
      </c>
      <c r="C114" s="386">
        <f t="shared" si="12"/>
        <v>7725</v>
      </c>
      <c r="D114" s="403" t="s">
        <v>184</v>
      </c>
      <c r="E114" s="507"/>
      <c r="F114" s="35"/>
    </row>
    <row r="115" spans="1:6" ht="15.5" x14ac:dyDescent="0.4">
      <c r="A115" s="45" t="str">
        <f t="shared" si="10"/>
        <v>01/12/2021-31/12/2021</v>
      </c>
      <c r="B115" s="52">
        <f t="shared" si="11"/>
        <v>6386</v>
      </c>
      <c r="C115" s="386">
        <f t="shared" si="12"/>
        <v>8020</v>
      </c>
      <c r="D115" s="403" t="s">
        <v>184</v>
      </c>
      <c r="E115" s="507"/>
      <c r="F115" s="35"/>
    </row>
    <row r="116" spans="1:6" ht="15.5" x14ac:dyDescent="0.4">
      <c r="A116" s="45" t="str">
        <f t="shared" si="10"/>
        <v>01/01/2022-31/01/2022</v>
      </c>
      <c r="B116" s="52">
        <f t="shared" si="11"/>
        <v>6500</v>
      </c>
      <c r="C116" s="386">
        <f t="shared" si="12"/>
        <v>8007</v>
      </c>
      <c r="D116" s="403" t="s">
        <v>184</v>
      </c>
      <c r="E116" s="507"/>
      <c r="F116" s="35"/>
    </row>
    <row r="117" spans="1:6" ht="15.5" x14ac:dyDescent="0.4">
      <c r="A117" s="45" t="str">
        <f t="shared" si="10"/>
        <v>01/02/2022-28/02/2022</v>
      </c>
      <c r="B117" s="52">
        <f t="shared" si="11"/>
        <v>5757</v>
      </c>
      <c r="C117" s="386">
        <f t="shared" si="12"/>
        <v>7261</v>
      </c>
      <c r="D117" s="403" t="s">
        <v>184</v>
      </c>
      <c r="E117" s="507"/>
      <c r="F117" s="35"/>
    </row>
    <row r="118" spans="1:6" s="400" customFormat="1" ht="15.5" x14ac:dyDescent="0.4">
      <c r="A118" s="404" t="str">
        <f t="shared" ref="A118:A121" si="13">A98</f>
        <v>01/03/2022-31/03/2022</v>
      </c>
      <c r="B118" s="407">
        <f t="shared" ref="B118:B121" si="14">ROUNDDOWN($B$13*$B$14*$B$17*$B$18*B35*B77*$B$81,0)</f>
        <v>6317</v>
      </c>
      <c r="C118" s="430">
        <f t="shared" ref="C118:C121" si="15">ROUNDDOWN($C$13*$C$14*$C$17*$C$18*C35*C77*$C$81,0)</f>
        <v>8051</v>
      </c>
      <c r="D118" s="403" t="s">
        <v>184</v>
      </c>
      <c r="E118" s="507"/>
      <c r="F118" s="401"/>
    </row>
    <row r="119" spans="1:6" s="400" customFormat="1" ht="15.5" x14ac:dyDescent="0.4">
      <c r="A119" s="404" t="str">
        <f t="shared" si="13"/>
        <v>01/04/2022-30/04/2022</v>
      </c>
      <c r="B119" s="407">
        <f t="shared" si="14"/>
        <v>6235</v>
      </c>
      <c r="C119" s="430">
        <f t="shared" si="15"/>
        <v>7756</v>
      </c>
      <c r="D119" s="403" t="s">
        <v>184</v>
      </c>
      <c r="E119" s="507"/>
      <c r="F119" s="401"/>
    </row>
    <row r="120" spans="1:6" s="400" customFormat="1" ht="15.5" x14ac:dyDescent="0.4">
      <c r="A120" s="404" t="str">
        <f t="shared" si="13"/>
        <v>01/05/2022-31/05/2022</v>
      </c>
      <c r="B120" s="407">
        <f t="shared" si="14"/>
        <v>6420</v>
      </c>
      <c r="C120" s="430">
        <f t="shared" si="15"/>
        <v>8003</v>
      </c>
      <c r="D120" s="403" t="s">
        <v>184</v>
      </c>
      <c r="E120" s="507"/>
      <c r="F120" s="401"/>
    </row>
    <row r="121" spans="1:6" ht="15.5" x14ac:dyDescent="0.4">
      <c r="A121" s="404" t="str">
        <f t="shared" si="13"/>
        <v>01/06/2022-30/06/2022</v>
      </c>
      <c r="B121" s="407">
        <f t="shared" si="14"/>
        <v>6290</v>
      </c>
      <c r="C121" s="430">
        <f t="shared" si="15"/>
        <v>7738</v>
      </c>
      <c r="D121" s="403" t="s">
        <v>184</v>
      </c>
      <c r="E121" s="507"/>
      <c r="F121" s="35"/>
    </row>
    <row r="122" spans="1:6" ht="15.5" x14ac:dyDescent="0.4">
      <c r="A122" s="53" t="s">
        <v>339</v>
      </c>
      <c r="B122" s="491">
        <f>B103+C103</f>
        <v>2491</v>
      </c>
      <c r="C122" s="491"/>
      <c r="D122" s="403" t="s">
        <v>184</v>
      </c>
      <c r="E122" s="507"/>
      <c r="F122" s="35"/>
    </row>
    <row r="123" spans="1:6" ht="15.5" x14ac:dyDescent="0.4">
      <c r="A123" s="53" t="s">
        <v>155</v>
      </c>
      <c r="B123" s="491">
        <f>SUM(B104:C115)</f>
        <v>170130</v>
      </c>
      <c r="C123" s="491"/>
      <c r="D123" s="41" t="s">
        <v>184</v>
      </c>
      <c r="E123" s="507"/>
      <c r="F123" s="35"/>
    </row>
    <row r="124" spans="1:6" ht="15.5" x14ac:dyDescent="0.4">
      <c r="A124" s="53" t="s">
        <v>352</v>
      </c>
      <c r="B124" s="503">
        <f>SUM(B116:C121)</f>
        <v>84335</v>
      </c>
      <c r="C124" s="505"/>
      <c r="D124" s="41" t="s">
        <v>184</v>
      </c>
      <c r="E124" s="507"/>
      <c r="F124" s="35"/>
    </row>
    <row r="125" spans="1:6" ht="16" thickBot="1" x14ac:dyDescent="0.45">
      <c r="A125" s="54" t="s">
        <v>185</v>
      </c>
      <c r="B125" s="55">
        <f>B122+B123+B124</f>
        <v>256956</v>
      </c>
      <c r="C125" s="55"/>
      <c r="D125" s="56" t="s">
        <v>184</v>
      </c>
      <c r="E125" s="512"/>
      <c r="F125" s="35"/>
    </row>
    <row r="126" spans="1:6" x14ac:dyDescent="0.25">
      <c r="D126" s="57"/>
    </row>
    <row r="127" spans="1:6" ht="13" x14ac:dyDescent="0.3">
      <c r="A127" s="31" t="s">
        <v>34</v>
      </c>
      <c r="B127" s="28"/>
    </row>
    <row r="128" spans="1:6" ht="13" x14ac:dyDescent="0.3">
      <c r="A128" s="477"/>
      <c r="B128" s="478"/>
      <c r="C128" s="478"/>
      <c r="D128" s="478"/>
      <c r="E128" s="58"/>
    </row>
    <row r="129" spans="1:5" ht="13" x14ac:dyDescent="0.3">
      <c r="A129" s="59"/>
      <c r="E129" s="58"/>
    </row>
    <row r="130" spans="1:5" ht="13" x14ac:dyDescent="0.3">
      <c r="A130" s="59"/>
    </row>
    <row r="131" spans="1:5" ht="17" customHeight="1" x14ac:dyDescent="0.3">
      <c r="A131" s="28" t="s">
        <v>8</v>
      </c>
      <c r="B131" s="28"/>
    </row>
    <row r="132" spans="1:5" ht="12.75" customHeight="1" x14ac:dyDescent="0.3">
      <c r="A132" s="59"/>
      <c r="B132" s="60"/>
      <c r="C132" s="60"/>
      <c r="D132" s="60"/>
      <c r="E132" s="58"/>
    </row>
    <row r="133" spans="1:5" ht="12.75" customHeight="1" x14ac:dyDescent="0.3">
      <c r="A133" s="59"/>
      <c r="B133" s="60"/>
      <c r="C133" s="60"/>
      <c r="D133" s="60"/>
      <c r="E133" s="58"/>
    </row>
    <row r="134" spans="1:5" ht="12.75" customHeight="1" x14ac:dyDescent="0.3">
      <c r="A134" s="59"/>
      <c r="B134" s="60"/>
      <c r="C134" s="60"/>
      <c r="D134" s="60"/>
      <c r="E134" s="61"/>
    </row>
    <row r="135" spans="1:5" ht="12.75" customHeight="1" x14ac:dyDescent="0.3">
      <c r="A135" s="59"/>
      <c r="B135" s="60"/>
      <c r="C135" s="60"/>
      <c r="D135" s="60"/>
      <c r="E135" s="58"/>
    </row>
    <row r="136" spans="1:5" ht="12.75" customHeight="1" x14ac:dyDescent="0.3">
      <c r="A136" s="59"/>
      <c r="B136" s="60"/>
      <c r="C136" s="60"/>
      <c r="D136" s="60"/>
      <c r="E136" s="58"/>
    </row>
    <row r="137" spans="1:5" ht="13" thickBot="1" x14ac:dyDescent="0.3"/>
    <row r="138" spans="1:5" ht="13" x14ac:dyDescent="0.3">
      <c r="A138" s="62" t="s">
        <v>3</v>
      </c>
      <c r="B138" s="351" t="s">
        <v>9</v>
      </c>
      <c r="C138" s="351"/>
      <c r="D138" s="351" t="s">
        <v>2</v>
      </c>
      <c r="E138" s="352" t="s">
        <v>4</v>
      </c>
    </row>
    <row r="139" spans="1:5" ht="13" x14ac:dyDescent="0.3">
      <c r="A139" s="64"/>
      <c r="B139" s="345" t="str">
        <f>B10</f>
        <v>Market Swine</v>
      </c>
      <c r="C139" s="345" t="str">
        <f>C10</f>
        <v>Breeding Swine</v>
      </c>
      <c r="D139" s="345"/>
      <c r="E139" s="356"/>
    </row>
    <row r="140" spans="1:5" ht="15.5" x14ac:dyDescent="0.4">
      <c r="A140" s="47" t="s">
        <v>186</v>
      </c>
      <c r="B140" s="40">
        <v>0</v>
      </c>
      <c r="C140" s="66">
        <v>0</v>
      </c>
      <c r="D140" s="346" t="s">
        <v>187</v>
      </c>
      <c r="E140" s="347" t="s">
        <v>35</v>
      </c>
    </row>
    <row r="141" spans="1:5" ht="15" x14ac:dyDescent="0.4">
      <c r="A141" s="47" t="s">
        <v>188</v>
      </c>
      <c r="B141" s="68">
        <f>0.42</f>
        <v>0.42</v>
      </c>
      <c r="C141" s="69">
        <v>0.24</v>
      </c>
      <c r="D141" s="346" t="s">
        <v>49</v>
      </c>
      <c r="E141" s="347" t="s">
        <v>68</v>
      </c>
    </row>
    <row r="142" spans="1:5" ht="13.5" x14ac:dyDescent="0.35">
      <c r="A142" s="47" t="s">
        <v>189</v>
      </c>
      <c r="B142" s="50"/>
      <c r="C142" s="50"/>
      <c r="D142" s="487" t="s">
        <v>70</v>
      </c>
      <c r="E142" s="489" t="s">
        <v>47</v>
      </c>
    </row>
    <row r="143" spans="1:5" x14ac:dyDescent="0.25">
      <c r="A143" s="45" t="str">
        <f t="shared" ref="A143:A161" si="16">A103</f>
        <v>26/12/2020-31/12/2020</v>
      </c>
      <c r="B143" s="50">
        <f t="shared" ref="B143:B161" si="17">$B$141*$B$182/1000*B83</f>
        <v>7.0559999999999998E-2</v>
      </c>
      <c r="C143" s="50">
        <f t="shared" ref="C143:C161" si="18">$C$141*$C$182/1000*C83</f>
        <v>4.0319999999999995E-2</v>
      </c>
      <c r="D143" s="488"/>
      <c r="E143" s="490"/>
    </row>
    <row r="144" spans="1:5" x14ac:dyDescent="0.25">
      <c r="A144" s="45" t="str">
        <f t="shared" si="16"/>
        <v>01/01/2021-31/01/2021</v>
      </c>
      <c r="B144" s="50">
        <f t="shared" si="17"/>
        <v>0.36456</v>
      </c>
      <c r="C144" s="50">
        <f t="shared" si="18"/>
        <v>0.20831999999999998</v>
      </c>
      <c r="D144" s="488"/>
      <c r="E144" s="490"/>
    </row>
    <row r="145" spans="1:5" x14ac:dyDescent="0.25">
      <c r="A145" s="45" t="str">
        <f t="shared" si="16"/>
        <v>01/02/1021-28/02/2021</v>
      </c>
      <c r="B145" s="50">
        <f t="shared" si="17"/>
        <v>0.32928000000000002</v>
      </c>
      <c r="C145" s="50">
        <f t="shared" si="18"/>
        <v>0.18815999999999999</v>
      </c>
      <c r="D145" s="488"/>
      <c r="E145" s="490"/>
    </row>
    <row r="146" spans="1:5" x14ac:dyDescent="0.25">
      <c r="A146" s="45" t="str">
        <f t="shared" si="16"/>
        <v>01/03/2021-31/03/3021</v>
      </c>
      <c r="B146" s="50">
        <f t="shared" si="17"/>
        <v>0.36456</v>
      </c>
      <c r="C146" s="50">
        <f t="shared" si="18"/>
        <v>0.20831999999999998</v>
      </c>
      <c r="D146" s="488"/>
      <c r="E146" s="490"/>
    </row>
    <row r="147" spans="1:5" x14ac:dyDescent="0.25">
      <c r="A147" s="45" t="str">
        <f t="shared" si="16"/>
        <v>01/04/2021-30/04/2021</v>
      </c>
      <c r="B147" s="50">
        <f t="shared" si="17"/>
        <v>0.3528</v>
      </c>
      <c r="C147" s="50">
        <f t="shared" si="18"/>
        <v>0.20159999999999997</v>
      </c>
      <c r="D147" s="488"/>
      <c r="E147" s="490"/>
    </row>
    <row r="148" spans="1:5" x14ac:dyDescent="0.25">
      <c r="A148" s="45" t="str">
        <f t="shared" si="16"/>
        <v>01/05/2021-31/05/2021</v>
      </c>
      <c r="B148" s="50">
        <f t="shared" si="17"/>
        <v>0.36456</v>
      </c>
      <c r="C148" s="50">
        <f t="shared" si="18"/>
        <v>0.20831999999999998</v>
      </c>
      <c r="D148" s="488"/>
      <c r="E148" s="490"/>
    </row>
    <row r="149" spans="1:5" x14ac:dyDescent="0.25">
      <c r="A149" s="45" t="str">
        <f t="shared" si="16"/>
        <v>01/06/2021-30/06/2021</v>
      </c>
      <c r="B149" s="50">
        <f t="shared" si="17"/>
        <v>0.3528</v>
      </c>
      <c r="C149" s="50">
        <f t="shared" si="18"/>
        <v>0.20159999999999997</v>
      </c>
      <c r="D149" s="488"/>
      <c r="E149" s="490"/>
    </row>
    <row r="150" spans="1:5" x14ac:dyDescent="0.25">
      <c r="A150" s="45" t="str">
        <f t="shared" si="16"/>
        <v>01/07/2021-31/07/2021</v>
      </c>
      <c r="B150" s="50">
        <f t="shared" si="17"/>
        <v>0.36456</v>
      </c>
      <c r="C150" s="50">
        <f t="shared" si="18"/>
        <v>0.20831999999999998</v>
      </c>
      <c r="D150" s="488"/>
      <c r="E150" s="490"/>
    </row>
    <row r="151" spans="1:5" x14ac:dyDescent="0.25">
      <c r="A151" s="45" t="str">
        <f t="shared" si="16"/>
        <v>01/08/2021-31/08/2021</v>
      </c>
      <c r="B151" s="50">
        <f t="shared" si="17"/>
        <v>0.36456</v>
      </c>
      <c r="C151" s="50">
        <f t="shared" si="18"/>
        <v>0.20831999999999998</v>
      </c>
      <c r="D151" s="488"/>
      <c r="E151" s="490"/>
    </row>
    <row r="152" spans="1:5" x14ac:dyDescent="0.25">
      <c r="A152" s="45" t="str">
        <f t="shared" si="16"/>
        <v>01/09/2021-30/09/2021</v>
      </c>
      <c r="B152" s="50">
        <f t="shared" si="17"/>
        <v>0.3528</v>
      </c>
      <c r="C152" s="50">
        <f t="shared" si="18"/>
        <v>0.20159999999999997</v>
      </c>
      <c r="D152" s="488"/>
      <c r="E152" s="490"/>
    </row>
    <row r="153" spans="1:5" x14ac:dyDescent="0.25">
      <c r="A153" s="45" t="str">
        <f t="shared" si="16"/>
        <v>01/10/2021-31/10/2021</v>
      </c>
      <c r="B153" s="50">
        <f t="shared" si="17"/>
        <v>0.36456</v>
      </c>
      <c r="C153" s="50">
        <f t="shared" si="18"/>
        <v>0.20831999999999998</v>
      </c>
      <c r="D153" s="488"/>
      <c r="E153" s="490"/>
    </row>
    <row r="154" spans="1:5" x14ac:dyDescent="0.25">
      <c r="A154" s="45" t="str">
        <f t="shared" si="16"/>
        <v>01/11/2021-30/11/2021</v>
      </c>
      <c r="B154" s="50">
        <f t="shared" si="17"/>
        <v>0.3528</v>
      </c>
      <c r="C154" s="50">
        <f t="shared" si="18"/>
        <v>0.20159999999999997</v>
      </c>
      <c r="D154" s="488"/>
      <c r="E154" s="490"/>
    </row>
    <row r="155" spans="1:5" x14ac:dyDescent="0.25">
      <c r="A155" s="45" t="str">
        <f t="shared" si="16"/>
        <v>01/12/2021-31/12/2021</v>
      </c>
      <c r="B155" s="50">
        <f t="shared" si="17"/>
        <v>0.36456</v>
      </c>
      <c r="C155" s="50">
        <f t="shared" si="18"/>
        <v>0.20831999999999998</v>
      </c>
      <c r="D155" s="488"/>
      <c r="E155" s="490"/>
    </row>
    <row r="156" spans="1:5" x14ac:dyDescent="0.25">
      <c r="A156" s="45" t="str">
        <f t="shared" si="16"/>
        <v>01/01/2022-31/01/2022</v>
      </c>
      <c r="B156" s="50">
        <f t="shared" si="17"/>
        <v>0.36456</v>
      </c>
      <c r="C156" s="50">
        <f t="shared" si="18"/>
        <v>0.20831999999999998</v>
      </c>
      <c r="D156" s="488"/>
      <c r="E156" s="490"/>
    </row>
    <row r="157" spans="1:5" x14ac:dyDescent="0.25">
      <c r="A157" s="45" t="str">
        <f t="shared" si="16"/>
        <v>01/02/2022-28/02/2022</v>
      </c>
      <c r="B157" s="50">
        <f t="shared" si="17"/>
        <v>0.32928000000000002</v>
      </c>
      <c r="C157" s="50">
        <f t="shared" si="18"/>
        <v>0.18815999999999999</v>
      </c>
      <c r="D157" s="488"/>
      <c r="E157" s="490"/>
    </row>
    <row r="158" spans="1:5" s="444" customFormat="1" x14ac:dyDescent="0.25">
      <c r="A158" s="404" t="str">
        <f t="shared" si="16"/>
        <v>01/03/2022-31/03/2022</v>
      </c>
      <c r="B158" s="406">
        <f t="shared" si="17"/>
        <v>0.36456</v>
      </c>
      <c r="C158" s="406">
        <f t="shared" si="18"/>
        <v>0.20831999999999998</v>
      </c>
      <c r="D158" s="488"/>
      <c r="E158" s="490"/>
    </row>
    <row r="159" spans="1:5" s="444" customFormat="1" x14ac:dyDescent="0.25">
      <c r="A159" s="404" t="str">
        <f t="shared" si="16"/>
        <v>01/04/2022-30/04/2022</v>
      </c>
      <c r="B159" s="406">
        <f t="shared" si="17"/>
        <v>0.3528</v>
      </c>
      <c r="C159" s="406">
        <f t="shared" si="18"/>
        <v>0.20159999999999997</v>
      </c>
      <c r="D159" s="488"/>
      <c r="E159" s="490"/>
    </row>
    <row r="160" spans="1:5" s="444" customFormat="1" x14ac:dyDescent="0.25">
      <c r="A160" s="404" t="str">
        <f t="shared" si="16"/>
        <v>01/05/2022-31/05/2022</v>
      </c>
      <c r="B160" s="406">
        <f t="shared" si="17"/>
        <v>0.36456</v>
      </c>
      <c r="C160" s="406">
        <f t="shared" si="18"/>
        <v>0.20831999999999998</v>
      </c>
      <c r="D160" s="488"/>
      <c r="E160" s="490"/>
    </row>
    <row r="161" spans="1:5" x14ac:dyDescent="0.25">
      <c r="A161" s="404" t="str">
        <f t="shared" si="16"/>
        <v>01/06/2022-30/06/2022</v>
      </c>
      <c r="B161" s="406">
        <f t="shared" si="17"/>
        <v>0.3528</v>
      </c>
      <c r="C161" s="406">
        <f t="shared" si="18"/>
        <v>0.20159999999999997</v>
      </c>
      <c r="D161" s="509"/>
      <c r="E161" s="510"/>
    </row>
    <row r="162" spans="1:5" ht="13.5" x14ac:dyDescent="0.35">
      <c r="A162" s="47" t="s">
        <v>178</v>
      </c>
      <c r="B162" s="70"/>
      <c r="C162" s="70"/>
      <c r="D162" s="487" t="s">
        <v>5</v>
      </c>
      <c r="E162" s="489" t="str">
        <f>E39</f>
        <v>Weight record</v>
      </c>
    </row>
    <row r="163" spans="1:5" x14ac:dyDescent="0.25">
      <c r="A163" s="45" t="str">
        <f t="shared" ref="A163:A177" si="19">A143</f>
        <v>26/12/2020-31/12/2020</v>
      </c>
      <c r="B163" s="71">
        <f>'monitoring results'!D4</f>
        <v>56.9</v>
      </c>
      <c r="C163" s="71">
        <f>'monitoring results'!E4</f>
        <v>74.400000000000006</v>
      </c>
      <c r="D163" s="488"/>
      <c r="E163" s="490"/>
    </row>
    <row r="164" spans="1:5" x14ac:dyDescent="0.25">
      <c r="A164" s="45" t="str">
        <f t="shared" si="19"/>
        <v>01/01/2021-31/01/2021</v>
      </c>
      <c r="B164" s="71">
        <f>'monitoring results'!D5</f>
        <v>57.2</v>
      </c>
      <c r="C164" s="71">
        <f>'monitoring results'!E5</f>
        <v>75.400000000000006</v>
      </c>
      <c r="D164" s="488"/>
      <c r="E164" s="490"/>
    </row>
    <row r="165" spans="1:5" x14ac:dyDescent="0.25">
      <c r="A165" s="45" t="str">
        <f t="shared" si="19"/>
        <v>01/02/1021-28/02/2021</v>
      </c>
      <c r="B165" s="71">
        <f>'monitoring results'!D6</f>
        <v>56.7</v>
      </c>
      <c r="C165" s="71">
        <f>'monitoring results'!E6</f>
        <v>75.3</v>
      </c>
      <c r="D165" s="488"/>
      <c r="E165" s="490"/>
    </row>
    <row r="166" spans="1:5" x14ac:dyDescent="0.25">
      <c r="A166" s="45" t="str">
        <f t="shared" si="19"/>
        <v>01/03/2021-31/03/3021</v>
      </c>
      <c r="B166" s="71">
        <f>'monitoring results'!D7</f>
        <v>56</v>
      </c>
      <c r="C166" s="71">
        <f>'monitoring results'!E7</f>
        <v>74.900000000000006</v>
      </c>
      <c r="D166" s="488"/>
      <c r="E166" s="490"/>
    </row>
    <row r="167" spans="1:5" x14ac:dyDescent="0.25">
      <c r="A167" s="45" t="str">
        <f t="shared" si="19"/>
        <v>01/04/2021-30/04/2021</v>
      </c>
      <c r="B167" s="71">
        <f>'monitoring results'!D8</f>
        <v>56.2</v>
      </c>
      <c r="C167" s="71">
        <f>'monitoring results'!E8</f>
        <v>75.900000000000006</v>
      </c>
      <c r="D167" s="488"/>
      <c r="E167" s="490"/>
    </row>
    <row r="168" spans="1:5" x14ac:dyDescent="0.25">
      <c r="A168" s="45" t="str">
        <f t="shared" si="19"/>
        <v>01/05/2021-31/05/2021</v>
      </c>
      <c r="B168" s="71">
        <f>'monitoring results'!D9</f>
        <v>57.8</v>
      </c>
      <c r="C168" s="71">
        <f>'monitoring results'!E9</f>
        <v>74.900000000000006</v>
      </c>
      <c r="D168" s="488"/>
      <c r="E168" s="490"/>
    </row>
    <row r="169" spans="1:5" x14ac:dyDescent="0.25">
      <c r="A169" s="45" t="str">
        <f t="shared" si="19"/>
        <v>01/06/2021-30/06/2021</v>
      </c>
      <c r="B169" s="71">
        <f>'monitoring results'!D10</f>
        <v>55.7</v>
      </c>
      <c r="C169" s="71">
        <f>'monitoring results'!E10</f>
        <v>76.099999999999994</v>
      </c>
      <c r="D169" s="488"/>
      <c r="E169" s="490"/>
    </row>
    <row r="170" spans="1:5" x14ac:dyDescent="0.25">
      <c r="A170" s="45" t="str">
        <f t="shared" si="19"/>
        <v>01/07/2021-31/07/2021</v>
      </c>
      <c r="B170" s="71">
        <f>'monitoring results'!D11</f>
        <v>56.3</v>
      </c>
      <c r="C170" s="71">
        <f>'monitoring results'!E11</f>
        <v>74.900000000000006</v>
      </c>
      <c r="D170" s="488"/>
      <c r="E170" s="490"/>
    </row>
    <row r="171" spans="1:5" x14ac:dyDescent="0.25">
      <c r="A171" s="45" t="str">
        <f t="shared" si="19"/>
        <v>01/08/2021-31/08/2021</v>
      </c>
      <c r="B171" s="71">
        <f>'monitoring results'!D12</f>
        <v>56</v>
      </c>
      <c r="C171" s="71">
        <f>'monitoring results'!E12</f>
        <v>75.900000000000006</v>
      </c>
      <c r="D171" s="488"/>
      <c r="E171" s="490"/>
    </row>
    <row r="172" spans="1:5" x14ac:dyDescent="0.25">
      <c r="A172" s="45" t="str">
        <f t="shared" si="19"/>
        <v>01/09/2021-30/09/2021</v>
      </c>
      <c r="B172" s="71">
        <f>'monitoring results'!D13</f>
        <v>55.8</v>
      </c>
      <c r="C172" s="71">
        <f>'monitoring results'!E13</f>
        <v>75.2</v>
      </c>
      <c r="D172" s="488"/>
      <c r="E172" s="490"/>
    </row>
    <row r="173" spans="1:5" x14ac:dyDescent="0.25">
      <c r="A173" s="45" t="str">
        <f t="shared" si="19"/>
        <v>01/10/2021-31/10/2021</v>
      </c>
      <c r="B173" s="71">
        <f>'monitoring results'!D14</f>
        <v>55.5</v>
      </c>
      <c r="C173" s="71">
        <f>'monitoring results'!E14</f>
        <v>75.3</v>
      </c>
      <c r="D173" s="488"/>
      <c r="E173" s="490"/>
    </row>
    <row r="174" spans="1:5" x14ac:dyDescent="0.25">
      <c r="A174" s="45" t="str">
        <f t="shared" si="19"/>
        <v>01/11/2021-30/11/2021</v>
      </c>
      <c r="B174" s="71">
        <f>'monitoring results'!D15</f>
        <v>56.4</v>
      </c>
      <c r="C174" s="71">
        <f>'monitoring results'!E15</f>
        <v>75</v>
      </c>
      <c r="D174" s="488"/>
      <c r="E174" s="490"/>
    </row>
    <row r="175" spans="1:5" x14ac:dyDescent="0.25">
      <c r="A175" s="45" t="str">
        <f t="shared" si="19"/>
        <v>01/12/2021-31/12/2021</v>
      </c>
      <c r="B175" s="71">
        <f>'monitoring results'!D16</f>
        <v>55.9</v>
      </c>
      <c r="C175" s="71">
        <f>'monitoring results'!E16</f>
        <v>75.400000000000006</v>
      </c>
      <c r="D175" s="488"/>
      <c r="E175" s="490"/>
    </row>
    <row r="176" spans="1:5" x14ac:dyDescent="0.25">
      <c r="A176" s="45" t="str">
        <f t="shared" si="19"/>
        <v>01/01/2022-31/01/2022</v>
      </c>
      <c r="B176" s="71">
        <f>'monitoring results'!D17</f>
        <v>56.9</v>
      </c>
      <c r="C176" s="71">
        <f>'monitoring results'!E17</f>
        <v>75.3</v>
      </c>
      <c r="D176" s="488"/>
      <c r="E176" s="490"/>
    </row>
    <row r="177" spans="1:5" x14ac:dyDescent="0.25">
      <c r="A177" s="45" t="str">
        <f t="shared" si="19"/>
        <v>01/02/2022-28/02/2022</v>
      </c>
      <c r="B177" s="71">
        <f>'monitoring results'!D18</f>
        <v>55.8</v>
      </c>
      <c r="C177" s="71">
        <f>'monitoring results'!E18</f>
        <v>75.599999999999994</v>
      </c>
      <c r="D177" s="488"/>
      <c r="E177" s="490"/>
    </row>
    <row r="178" spans="1:5" s="444" customFormat="1" x14ac:dyDescent="0.25">
      <c r="A178" s="404" t="str">
        <f t="shared" ref="A178:A181" si="20">A158</f>
        <v>01/03/2022-31/03/2022</v>
      </c>
      <c r="B178" s="71">
        <f>'monitoring results'!D19</f>
        <v>55.3</v>
      </c>
      <c r="C178" s="71">
        <f>'monitoring results'!E19</f>
        <v>75.599999999999994</v>
      </c>
      <c r="D178" s="488"/>
      <c r="E178" s="490"/>
    </row>
    <row r="179" spans="1:5" s="444" customFormat="1" x14ac:dyDescent="0.25">
      <c r="A179" s="404" t="str">
        <f t="shared" si="20"/>
        <v>01/04/2022-30/04/2022</v>
      </c>
      <c r="B179" s="71">
        <f>'monitoring results'!D20</f>
        <v>56.4</v>
      </c>
      <c r="C179" s="71">
        <f>'monitoring results'!E20</f>
        <v>75.2</v>
      </c>
      <c r="D179" s="488"/>
      <c r="E179" s="490"/>
    </row>
    <row r="180" spans="1:5" s="444" customFormat="1" x14ac:dyDescent="0.25">
      <c r="A180" s="404" t="str">
        <f t="shared" si="20"/>
        <v>01/05/2022-31/05/2022</v>
      </c>
      <c r="B180" s="71">
        <f>'monitoring results'!D21</f>
        <v>56.2</v>
      </c>
      <c r="C180" s="71">
        <f>'monitoring results'!E21</f>
        <v>75.2</v>
      </c>
      <c r="D180" s="488"/>
      <c r="E180" s="490"/>
    </row>
    <row r="181" spans="1:5" x14ac:dyDescent="0.25">
      <c r="A181" s="404" t="str">
        <f t="shared" si="20"/>
        <v>01/06/2022-30/06/2022</v>
      </c>
      <c r="B181" s="71">
        <f>'monitoring results'!D22</f>
        <v>56.9</v>
      </c>
      <c r="C181" s="71">
        <f>'monitoring results'!E22</f>
        <v>75.099999999999994</v>
      </c>
      <c r="D181" s="509"/>
      <c r="E181" s="510"/>
    </row>
    <row r="182" spans="1:5" ht="13" x14ac:dyDescent="0.3">
      <c r="A182" s="47" t="s">
        <v>67</v>
      </c>
      <c r="B182" s="70">
        <v>28</v>
      </c>
      <c r="C182" s="70">
        <v>28</v>
      </c>
      <c r="D182" s="346" t="s">
        <v>5</v>
      </c>
      <c r="E182" s="369" t="s">
        <v>45</v>
      </c>
    </row>
    <row r="183" spans="1:5" ht="13.5" x14ac:dyDescent="0.35">
      <c r="A183" s="47" t="s">
        <v>190</v>
      </c>
      <c r="B183" s="68">
        <v>28</v>
      </c>
      <c r="C183" s="72">
        <v>28</v>
      </c>
      <c r="D183" s="346" t="s">
        <v>5</v>
      </c>
      <c r="E183" s="369" t="s">
        <v>45</v>
      </c>
    </row>
    <row r="184" spans="1:5" ht="15" x14ac:dyDescent="0.4">
      <c r="A184" s="47" t="s">
        <v>191</v>
      </c>
      <c r="B184" s="50"/>
      <c r="C184" s="50"/>
      <c r="D184" s="104"/>
      <c r="E184" s="370"/>
    </row>
    <row r="185" spans="1:5" x14ac:dyDescent="0.25">
      <c r="A185" s="45" t="str">
        <f t="shared" ref="A185:A199" si="21">A163</f>
        <v>26/12/2020-31/12/2020</v>
      </c>
      <c r="B185" s="50">
        <f t="shared" ref="B185:B199" si="22">(B163/$B$183)*B143</f>
        <v>0.14338799999999999</v>
      </c>
      <c r="C185" s="50">
        <f t="shared" ref="C185:C199" si="23">(C163/$C$183)*C143</f>
        <v>0.107136</v>
      </c>
      <c r="D185" s="487" t="s">
        <v>70</v>
      </c>
      <c r="E185" s="489" t="s">
        <v>51</v>
      </c>
    </row>
    <row r="186" spans="1:5" x14ac:dyDescent="0.25">
      <c r="A186" s="45" t="str">
        <f t="shared" si="21"/>
        <v>01/01/2021-31/01/2021</v>
      </c>
      <c r="B186" s="50">
        <f t="shared" si="22"/>
        <v>0.74474400000000007</v>
      </c>
      <c r="C186" s="50">
        <f t="shared" si="23"/>
        <v>0.56097600000000003</v>
      </c>
      <c r="D186" s="488"/>
      <c r="E186" s="490"/>
    </row>
    <row r="187" spans="1:5" x14ac:dyDescent="0.25">
      <c r="A187" s="45" t="str">
        <f t="shared" si="21"/>
        <v>01/02/1021-28/02/2021</v>
      </c>
      <c r="B187" s="50">
        <f t="shared" si="22"/>
        <v>0.66679200000000005</v>
      </c>
      <c r="C187" s="50">
        <f t="shared" si="23"/>
        <v>0.50601599999999991</v>
      </c>
      <c r="D187" s="488"/>
      <c r="E187" s="490"/>
    </row>
    <row r="188" spans="1:5" x14ac:dyDescent="0.25">
      <c r="A188" s="45" t="str">
        <f t="shared" si="21"/>
        <v>01/03/2021-31/03/3021</v>
      </c>
      <c r="B188" s="50">
        <f t="shared" si="22"/>
        <v>0.72911999999999999</v>
      </c>
      <c r="C188" s="50">
        <f t="shared" si="23"/>
        <v>0.55725599999999997</v>
      </c>
      <c r="D188" s="488"/>
      <c r="E188" s="490"/>
    </row>
    <row r="189" spans="1:5" x14ac:dyDescent="0.25">
      <c r="A189" s="45" t="str">
        <f t="shared" si="21"/>
        <v>01/04/2021-30/04/2021</v>
      </c>
      <c r="B189" s="50">
        <f t="shared" si="22"/>
        <v>0.70811999999999997</v>
      </c>
      <c r="C189" s="50">
        <f t="shared" si="23"/>
        <v>0.54647999999999997</v>
      </c>
      <c r="D189" s="488"/>
      <c r="E189" s="490"/>
    </row>
    <row r="190" spans="1:5" x14ac:dyDescent="0.25">
      <c r="A190" s="45" t="str">
        <f t="shared" si="21"/>
        <v>01/05/2021-31/05/2021</v>
      </c>
      <c r="B190" s="50">
        <f t="shared" si="22"/>
        <v>0.75255599999999989</v>
      </c>
      <c r="C190" s="50">
        <f t="shared" si="23"/>
        <v>0.55725599999999997</v>
      </c>
      <c r="D190" s="488"/>
      <c r="E190" s="490"/>
    </row>
    <row r="191" spans="1:5" x14ac:dyDescent="0.25">
      <c r="A191" s="45" t="str">
        <f t="shared" si="21"/>
        <v>01/06/2021-30/06/2021</v>
      </c>
      <c r="B191" s="50">
        <f t="shared" si="22"/>
        <v>0.70182</v>
      </c>
      <c r="C191" s="50">
        <f t="shared" si="23"/>
        <v>0.54791999999999985</v>
      </c>
      <c r="D191" s="488"/>
      <c r="E191" s="490"/>
    </row>
    <row r="192" spans="1:5" x14ac:dyDescent="0.25">
      <c r="A192" s="45" t="str">
        <f t="shared" si="21"/>
        <v>01/07/2021-31/07/2021</v>
      </c>
      <c r="B192" s="50">
        <f t="shared" si="22"/>
        <v>0.73302599999999996</v>
      </c>
      <c r="C192" s="50">
        <f t="shared" si="23"/>
        <v>0.55725599999999997</v>
      </c>
      <c r="D192" s="488"/>
      <c r="E192" s="490"/>
    </row>
    <row r="193" spans="1:5" x14ac:dyDescent="0.25">
      <c r="A193" s="45" t="str">
        <f t="shared" si="21"/>
        <v>01/08/2021-31/08/2021</v>
      </c>
      <c r="B193" s="50">
        <f t="shared" si="22"/>
        <v>0.72911999999999999</v>
      </c>
      <c r="C193" s="50">
        <f t="shared" si="23"/>
        <v>0.56469599999999998</v>
      </c>
      <c r="D193" s="488"/>
      <c r="E193" s="490"/>
    </row>
    <row r="194" spans="1:5" x14ac:dyDescent="0.25">
      <c r="A194" s="45" t="str">
        <f t="shared" si="21"/>
        <v>01/09/2021-30/09/2021</v>
      </c>
      <c r="B194" s="50">
        <f t="shared" si="22"/>
        <v>0.70307999999999993</v>
      </c>
      <c r="C194" s="50">
        <f t="shared" si="23"/>
        <v>0.54143999999999992</v>
      </c>
      <c r="D194" s="488"/>
      <c r="E194" s="490"/>
    </row>
    <row r="195" spans="1:5" x14ac:dyDescent="0.25">
      <c r="A195" s="45" t="str">
        <f t="shared" si="21"/>
        <v>01/10/2021-31/10/2021</v>
      </c>
      <c r="B195" s="50">
        <f t="shared" si="22"/>
        <v>0.72260999999999997</v>
      </c>
      <c r="C195" s="50">
        <f t="shared" si="23"/>
        <v>0.56023199999999984</v>
      </c>
      <c r="D195" s="488"/>
      <c r="E195" s="490"/>
    </row>
    <row r="196" spans="1:5" x14ac:dyDescent="0.25">
      <c r="A196" s="45" t="str">
        <f t="shared" si="21"/>
        <v>01/11/2021-30/11/2021</v>
      </c>
      <c r="B196" s="50">
        <f t="shared" si="22"/>
        <v>0.71063999999999994</v>
      </c>
      <c r="C196" s="50">
        <f t="shared" si="23"/>
        <v>0.53999999999999992</v>
      </c>
      <c r="D196" s="488"/>
      <c r="E196" s="490"/>
    </row>
    <row r="197" spans="1:5" x14ac:dyDescent="0.25">
      <c r="A197" s="45" t="str">
        <f t="shared" si="21"/>
        <v>01/12/2021-31/12/2021</v>
      </c>
      <c r="B197" s="50">
        <f t="shared" si="22"/>
        <v>0.72781799999999996</v>
      </c>
      <c r="C197" s="50">
        <f t="shared" si="23"/>
        <v>0.56097600000000003</v>
      </c>
      <c r="D197" s="488"/>
      <c r="E197" s="490"/>
    </row>
    <row r="198" spans="1:5" x14ac:dyDescent="0.25">
      <c r="A198" s="45" t="str">
        <f t="shared" si="21"/>
        <v>01/01/2022-31/01/2022</v>
      </c>
      <c r="B198" s="50">
        <f t="shared" si="22"/>
        <v>0.740838</v>
      </c>
      <c r="C198" s="50">
        <f t="shared" si="23"/>
        <v>0.56023199999999984</v>
      </c>
      <c r="D198" s="488"/>
      <c r="E198" s="490"/>
    </row>
    <row r="199" spans="1:5" x14ac:dyDescent="0.25">
      <c r="A199" s="45" t="str">
        <f t="shared" si="21"/>
        <v>01/02/2022-28/02/2022</v>
      </c>
      <c r="B199" s="50">
        <f t="shared" si="22"/>
        <v>0.65620800000000001</v>
      </c>
      <c r="C199" s="50">
        <f t="shared" si="23"/>
        <v>0.50803199999999993</v>
      </c>
      <c r="D199" s="488"/>
      <c r="E199" s="490"/>
    </row>
    <row r="200" spans="1:5" s="444" customFormat="1" x14ac:dyDescent="0.25">
      <c r="A200" s="404" t="str">
        <f t="shared" ref="A200:A203" si="24">A178</f>
        <v>01/03/2022-31/03/2022</v>
      </c>
      <c r="B200" s="406">
        <f t="shared" ref="B200:B203" si="25">(B178/$B$183)*B158</f>
        <v>0.72000599999999992</v>
      </c>
      <c r="C200" s="406">
        <f t="shared" ref="C200:C203" si="26">(C178/$C$183)*C158</f>
        <v>0.56246399999999985</v>
      </c>
      <c r="D200" s="488"/>
      <c r="E200" s="490"/>
    </row>
    <row r="201" spans="1:5" s="444" customFormat="1" x14ac:dyDescent="0.25">
      <c r="A201" s="404" t="str">
        <f t="shared" si="24"/>
        <v>01/04/2022-30/04/2022</v>
      </c>
      <c r="B201" s="406">
        <f t="shared" si="25"/>
        <v>0.71063999999999994</v>
      </c>
      <c r="C201" s="406">
        <f t="shared" si="26"/>
        <v>0.54143999999999992</v>
      </c>
      <c r="D201" s="488"/>
      <c r="E201" s="490"/>
    </row>
    <row r="202" spans="1:5" s="444" customFormat="1" x14ac:dyDescent="0.25">
      <c r="A202" s="404" t="str">
        <f t="shared" si="24"/>
        <v>01/05/2022-31/05/2022</v>
      </c>
      <c r="B202" s="406">
        <f t="shared" si="25"/>
        <v>0.73172399999999993</v>
      </c>
      <c r="C202" s="406">
        <f t="shared" si="26"/>
        <v>0.55948799999999999</v>
      </c>
      <c r="D202" s="488"/>
      <c r="E202" s="490"/>
    </row>
    <row r="203" spans="1:5" x14ac:dyDescent="0.25">
      <c r="A203" s="404" t="str">
        <f t="shared" si="24"/>
        <v>01/06/2022-30/06/2022</v>
      </c>
      <c r="B203" s="406">
        <f t="shared" si="25"/>
        <v>0.71693999999999991</v>
      </c>
      <c r="C203" s="406">
        <f t="shared" si="26"/>
        <v>0.54071999999999987</v>
      </c>
      <c r="D203" s="509"/>
      <c r="E203" s="510"/>
    </row>
    <row r="204" spans="1:5" ht="13.5" customHeight="1" x14ac:dyDescent="0.35">
      <c r="A204" s="73" t="s">
        <v>192</v>
      </c>
      <c r="B204" s="44"/>
      <c r="C204" s="44"/>
      <c r="D204" s="487" t="str">
        <f>D19</f>
        <v>No of heads</v>
      </c>
      <c r="E204" s="479" t="str">
        <f>E19</f>
        <v>calculated as equatoin 5 in MR, of which NLT for marke swine and breeding swine is sourced from  "market swine production record" and " Breeding Pig stock record"</v>
      </c>
    </row>
    <row r="205" spans="1:5" x14ac:dyDescent="0.25">
      <c r="A205" s="45" t="str">
        <f t="shared" ref="A205:A219" si="27">A185</f>
        <v>26/12/2020-31/12/2020</v>
      </c>
      <c r="B205" s="44">
        <f>'monitoring results'!B4</f>
        <v>89677</v>
      </c>
      <c r="C205" s="44">
        <f>'monitoring results'!C4</f>
        <v>83549</v>
      </c>
      <c r="D205" s="488"/>
      <c r="E205" s="480"/>
    </row>
    <row r="206" spans="1:5" x14ac:dyDescent="0.25">
      <c r="A206" s="45" t="str">
        <f t="shared" si="27"/>
        <v>01/01/2021-31/01/2021</v>
      </c>
      <c r="B206" s="44">
        <f>'monitoring results'!B5</f>
        <v>89677</v>
      </c>
      <c r="C206" s="44">
        <f>'monitoring results'!C5</f>
        <v>83651</v>
      </c>
      <c r="D206" s="488"/>
      <c r="E206" s="480"/>
    </row>
    <row r="207" spans="1:5" x14ac:dyDescent="0.25">
      <c r="A207" s="45" t="str">
        <f t="shared" si="27"/>
        <v>01/02/1021-28/02/2021</v>
      </c>
      <c r="B207" s="44">
        <f>'monitoring results'!B6</f>
        <v>89677</v>
      </c>
      <c r="C207" s="44">
        <f>'monitoring results'!C6</f>
        <v>83599</v>
      </c>
      <c r="D207" s="488"/>
      <c r="E207" s="480"/>
    </row>
    <row r="208" spans="1:5" x14ac:dyDescent="0.25">
      <c r="A208" s="45" t="str">
        <f t="shared" si="27"/>
        <v>01/03/2021-31/03/3021</v>
      </c>
      <c r="B208" s="44">
        <f>'monitoring results'!B7</f>
        <v>89677</v>
      </c>
      <c r="C208" s="44">
        <f>'monitoring results'!C7</f>
        <v>83559</v>
      </c>
      <c r="D208" s="488"/>
      <c r="E208" s="480"/>
    </row>
    <row r="209" spans="1:5" x14ac:dyDescent="0.25">
      <c r="A209" s="45" t="str">
        <f t="shared" si="27"/>
        <v>01/04/2021-30/04/2021</v>
      </c>
      <c r="B209" s="44">
        <f>'monitoring results'!B8</f>
        <v>89677</v>
      </c>
      <c r="C209" s="44">
        <f>'monitoring results'!C8</f>
        <v>83443</v>
      </c>
      <c r="D209" s="488"/>
      <c r="E209" s="480"/>
    </row>
    <row r="210" spans="1:5" x14ac:dyDescent="0.25">
      <c r="A210" s="45" t="str">
        <f t="shared" si="27"/>
        <v>01/05/2021-31/05/2021</v>
      </c>
      <c r="B210" s="44">
        <f>'monitoring results'!B9</f>
        <v>89677</v>
      </c>
      <c r="C210" s="44">
        <f>'monitoring results'!C9</f>
        <v>83653</v>
      </c>
      <c r="D210" s="488"/>
      <c r="E210" s="480"/>
    </row>
    <row r="211" spans="1:5" x14ac:dyDescent="0.25">
      <c r="A211" s="45" t="str">
        <f t="shared" si="27"/>
        <v>01/06/2021-30/06/2021</v>
      </c>
      <c r="B211" s="44">
        <f>'monitoring results'!B10</f>
        <v>89677</v>
      </c>
      <c r="C211" s="44">
        <f>'monitoring results'!C10</f>
        <v>83645</v>
      </c>
      <c r="D211" s="488"/>
      <c r="E211" s="480"/>
    </row>
    <row r="212" spans="1:5" x14ac:dyDescent="0.25">
      <c r="A212" s="45" t="str">
        <f t="shared" si="27"/>
        <v>01/07/2021-31/07/2021</v>
      </c>
      <c r="B212" s="44">
        <f>'monitoring results'!B11</f>
        <v>89677</v>
      </c>
      <c r="C212" s="44">
        <f>'monitoring results'!C11</f>
        <v>83554</v>
      </c>
      <c r="D212" s="488"/>
      <c r="E212" s="480"/>
    </row>
    <row r="213" spans="1:5" x14ac:dyDescent="0.25">
      <c r="A213" s="45" t="str">
        <f t="shared" si="27"/>
        <v>01/08/2021-31/08/2021</v>
      </c>
      <c r="B213" s="44">
        <f>'monitoring results'!B12</f>
        <v>89677</v>
      </c>
      <c r="C213" s="44">
        <f>'monitoring results'!C12</f>
        <v>83420</v>
      </c>
      <c r="D213" s="488"/>
      <c r="E213" s="480"/>
    </row>
    <row r="214" spans="1:5" x14ac:dyDescent="0.25">
      <c r="A214" s="45" t="str">
        <f t="shared" si="27"/>
        <v>01/09/2021-30/09/2021</v>
      </c>
      <c r="B214" s="44">
        <f>'monitoring results'!B13</f>
        <v>89677</v>
      </c>
      <c r="C214" s="44">
        <f>'monitoring results'!C13</f>
        <v>83550</v>
      </c>
      <c r="D214" s="488"/>
      <c r="E214" s="480"/>
    </row>
    <row r="215" spans="1:5" x14ac:dyDescent="0.25">
      <c r="A215" s="45" t="str">
        <f t="shared" si="27"/>
        <v>01/10/2021-31/10/2021</v>
      </c>
      <c r="B215" s="44">
        <f>'monitoring results'!B14</f>
        <v>89677</v>
      </c>
      <c r="C215" s="44">
        <f>'monitoring results'!C14</f>
        <v>83457</v>
      </c>
      <c r="D215" s="488"/>
      <c r="E215" s="480"/>
    </row>
    <row r="216" spans="1:5" x14ac:dyDescent="0.25">
      <c r="A216" s="45" t="str">
        <f t="shared" si="27"/>
        <v>01/11/2021-30/11/2021</v>
      </c>
      <c r="B216" s="44">
        <f>'monitoring results'!B15</f>
        <v>89677</v>
      </c>
      <c r="C216" s="44">
        <f>'monitoring results'!C15</f>
        <v>83548</v>
      </c>
      <c r="D216" s="488"/>
      <c r="E216" s="480"/>
    </row>
    <row r="217" spans="1:5" x14ac:dyDescent="0.25">
      <c r="A217" s="45" t="str">
        <f t="shared" si="27"/>
        <v>01/12/2021-31/12/2021</v>
      </c>
      <c r="B217" s="44">
        <f>'monitoring results'!B16</f>
        <v>89677</v>
      </c>
      <c r="C217" s="44">
        <f>'monitoring results'!C16</f>
        <v>83502</v>
      </c>
      <c r="D217" s="488"/>
      <c r="E217" s="480"/>
    </row>
    <row r="218" spans="1:5" x14ac:dyDescent="0.25">
      <c r="A218" s="45" t="str">
        <f t="shared" si="27"/>
        <v>01/01/2022-31/01/2022</v>
      </c>
      <c r="B218" s="44">
        <f>'monitoring results'!B17</f>
        <v>89677</v>
      </c>
      <c r="C218" s="44">
        <f>'monitoring results'!C17</f>
        <v>83479</v>
      </c>
      <c r="D218" s="488"/>
      <c r="E218" s="480"/>
    </row>
    <row r="219" spans="1:5" x14ac:dyDescent="0.25">
      <c r="A219" s="45" t="str">
        <f t="shared" si="27"/>
        <v>01/02/2022-28/02/2022</v>
      </c>
      <c r="B219" s="44">
        <f>'monitoring results'!B18</f>
        <v>89677</v>
      </c>
      <c r="C219" s="44">
        <f>'monitoring results'!C18</f>
        <v>83471</v>
      </c>
      <c r="D219" s="488"/>
      <c r="E219" s="480"/>
    </row>
    <row r="220" spans="1:5" s="444" customFormat="1" x14ac:dyDescent="0.25">
      <c r="A220" s="404" t="str">
        <f t="shared" ref="A220:A223" si="28">A200</f>
        <v>01/03/2022-31/03/2022</v>
      </c>
      <c r="B220" s="44">
        <f>'monitoring results'!B19</f>
        <v>89677</v>
      </c>
      <c r="C220" s="44">
        <f>'monitoring results'!C19</f>
        <v>83597</v>
      </c>
      <c r="D220" s="488"/>
      <c r="E220" s="480"/>
    </row>
    <row r="221" spans="1:5" s="444" customFormat="1" x14ac:dyDescent="0.25">
      <c r="A221" s="404" t="str">
        <f t="shared" si="28"/>
        <v>01/04/2022-30/04/2022</v>
      </c>
      <c r="B221" s="44">
        <f>'monitoring results'!B20</f>
        <v>89677</v>
      </c>
      <c r="C221" s="44">
        <f>'monitoring results'!C20</f>
        <v>83663</v>
      </c>
      <c r="D221" s="488"/>
      <c r="E221" s="480"/>
    </row>
    <row r="222" spans="1:5" s="444" customFormat="1" x14ac:dyDescent="0.25">
      <c r="A222" s="404" t="str">
        <f t="shared" si="28"/>
        <v>01/05/2022-31/05/2022</v>
      </c>
      <c r="B222" s="44">
        <f>'monitoring results'!B21</f>
        <v>89677</v>
      </c>
      <c r="C222" s="44">
        <f>'monitoring results'!C21</f>
        <v>83546</v>
      </c>
      <c r="D222" s="488"/>
      <c r="E222" s="480"/>
    </row>
    <row r="223" spans="1:5" x14ac:dyDescent="0.25">
      <c r="A223" s="404" t="str">
        <f t="shared" si="28"/>
        <v>01/06/2022-30/06/2022</v>
      </c>
      <c r="B223" s="44">
        <f>'monitoring results'!B22</f>
        <v>89677</v>
      </c>
      <c r="C223" s="44">
        <f>'monitoring results'!C22</f>
        <v>83583</v>
      </c>
      <c r="D223" s="509"/>
      <c r="E223" s="481"/>
    </row>
    <row r="224" spans="1:5" ht="13.5" x14ac:dyDescent="0.35">
      <c r="A224" s="38" t="s">
        <v>182</v>
      </c>
      <c r="B224" s="42">
        <f>B81</f>
        <v>1</v>
      </c>
      <c r="C224" s="42">
        <f>C81</f>
        <v>1</v>
      </c>
      <c r="D224" s="346" t="str">
        <f>D81</f>
        <v>%</v>
      </c>
      <c r="E224" s="369" t="s">
        <v>25</v>
      </c>
    </row>
    <row r="225" spans="1:5" ht="15" x14ac:dyDescent="0.4">
      <c r="A225" s="74" t="s">
        <v>193</v>
      </c>
      <c r="B225" s="345"/>
      <c r="C225" s="345"/>
      <c r="D225" s="346"/>
      <c r="E225" s="371"/>
    </row>
    <row r="226" spans="1:5" ht="13" customHeight="1" x14ac:dyDescent="0.25">
      <c r="A226" s="45" t="str">
        <f t="shared" ref="A226:A240" si="29">A205</f>
        <v>26/12/2020-31/12/2020</v>
      </c>
      <c r="B226" s="346">
        <f t="shared" ref="B226:B240" si="30">ROUNDDOWN($B$140*B185*B205*$B$224,0)</f>
        <v>0</v>
      </c>
      <c r="C226" s="346">
        <f t="shared" ref="C226:C240" si="31">ROUNDDOWN($C$140*C185*C205*$C$224,0)</f>
        <v>0</v>
      </c>
      <c r="D226" s="487" t="s">
        <v>194</v>
      </c>
      <c r="E226" s="513" t="s">
        <v>111</v>
      </c>
    </row>
    <row r="227" spans="1:5" ht="13" customHeight="1" x14ac:dyDescent="0.25">
      <c r="A227" s="45" t="str">
        <f t="shared" si="29"/>
        <v>01/01/2021-31/01/2021</v>
      </c>
      <c r="B227" s="346">
        <f t="shared" si="30"/>
        <v>0</v>
      </c>
      <c r="C227" s="383">
        <f t="shared" si="31"/>
        <v>0</v>
      </c>
      <c r="D227" s="488"/>
      <c r="E227" s="514"/>
    </row>
    <row r="228" spans="1:5" ht="13" customHeight="1" x14ac:dyDescent="0.25">
      <c r="A228" s="45" t="str">
        <f t="shared" si="29"/>
        <v>01/02/1021-28/02/2021</v>
      </c>
      <c r="B228" s="346">
        <f t="shared" si="30"/>
        <v>0</v>
      </c>
      <c r="C228" s="383">
        <f t="shared" si="31"/>
        <v>0</v>
      </c>
      <c r="D228" s="488"/>
      <c r="E228" s="514"/>
    </row>
    <row r="229" spans="1:5" ht="13" customHeight="1" x14ac:dyDescent="0.25">
      <c r="A229" s="45" t="str">
        <f t="shared" si="29"/>
        <v>01/03/2021-31/03/3021</v>
      </c>
      <c r="B229" s="346">
        <f t="shared" si="30"/>
        <v>0</v>
      </c>
      <c r="C229" s="383">
        <f t="shared" si="31"/>
        <v>0</v>
      </c>
      <c r="D229" s="488"/>
      <c r="E229" s="514"/>
    </row>
    <row r="230" spans="1:5" ht="13" customHeight="1" x14ac:dyDescent="0.25">
      <c r="A230" s="45" t="str">
        <f t="shared" si="29"/>
        <v>01/04/2021-30/04/2021</v>
      </c>
      <c r="B230" s="346">
        <f t="shared" si="30"/>
        <v>0</v>
      </c>
      <c r="C230" s="383">
        <f t="shared" si="31"/>
        <v>0</v>
      </c>
      <c r="D230" s="488"/>
      <c r="E230" s="514"/>
    </row>
    <row r="231" spans="1:5" ht="13" customHeight="1" x14ac:dyDescent="0.25">
      <c r="A231" s="45" t="str">
        <f t="shared" si="29"/>
        <v>01/05/2021-31/05/2021</v>
      </c>
      <c r="B231" s="346">
        <f t="shared" si="30"/>
        <v>0</v>
      </c>
      <c r="C231" s="383">
        <f t="shared" si="31"/>
        <v>0</v>
      </c>
      <c r="D231" s="488"/>
      <c r="E231" s="514"/>
    </row>
    <row r="232" spans="1:5" ht="13" customHeight="1" x14ac:dyDescent="0.25">
      <c r="A232" s="45" t="str">
        <f t="shared" si="29"/>
        <v>01/06/2021-30/06/2021</v>
      </c>
      <c r="B232" s="346">
        <f t="shared" si="30"/>
        <v>0</v>
      </c>
      <c r="C232" s="383">
        <f t="shared" si="31"/>
        <v>0</v>
      </c>
      <c r="D232" s="488"/>
      <c r="E232" s="514"/>
    </row>
    <row r="233" spans="1:5" ht="13" customHeight="1" x14ac:dyDescent="0.25">
      <c r="A233" s="45" t="str">
        <f t="shared" si="29"/>
        <v>01/07/2021-31/07/2021</v>
      </c>
      <c r="B233" s="346">
        <f t="shared" si="30"/>
        <v>0</v>
      </c>
      <c r="C233" s="383">
        <f t="shared" si="31"/>
        <v>0</v>
      </c>
      <c r="D233" s="488"/>
      <c r="E233" s="514"/>
    </row>
    <row r="234" spans="1:5" ht="13" customHeight="1" x14ac:dyDescent="0.25">
      <c r="A234" s="45" t="str">
        <f t="shared" si="29"/>
        <v>01/08/2021-31/08/2021</v>
      </c>
      <c r="B234" s="346">
        <f t="shared" si="30"/>
        <v>0</v>
      </c>
      <c r="C234" s="383">
        <f t="shared" si="31"/>
        <v>0</v>
      </c>
      <c r="D234" s="488"/>
      <c r="E234" s="514"/>
    </row>
    <row r="235" spans="1:5" ht="13" customHeight="1" x14ac:dyDescent="0.25">
      <c r="A235" s="45" t="str">
        <f t="shared" si="29"/>
        <v>01/09/2021-30/09/2021</v>
      </c>
      <c r="B235" s="346">
        <f t="shared" si="30"/>
        <v>0</v>
      </c>
      <c r="C235" s="383">
        <f t="shared" si="31"/>
        <v>0</v>
      </c>
      <c r="D235" s="488"/>
      <c r="E235" s="514"/>
    </row>
    <row r="236" spans="1:5" ht="13" customHeight="1" x14ac:dyDescent="0.25">
      <c r="A236" s="45" t="str">
        <f t="shared" si="29"/>
        <v>01/10/2021-31/10/2021</v>
      </c>
      <c r="B236" s="346">
        <f t="shared" si="30"/>
        <v>0</v>
      </c>
      <c r="C236" s="383">
        <f t="shared" si="31"/>
        <v>0</v>
      </c>
      <c r="D236" s="488"/>
      <c r="E236" s="514"/>
    </row>
    <row r="237" spans="1:5" ht="13" customHeight="1" x14ac:dyDescent="0.25">
      <c r="A237" s="45" t="str">
        <f t="shared" si="29"/>
        <v>01/11/2021-30/11/2021</v>
      </c>
      <c r="B237" s="346">
        <f t="shared" si="30"/>
        <v>0</v>
      </c>
      <c r="C237" s="383">
        <f t="shared" si="31"/>
        <v>0</v>
      </c>
      <c r="D237" s="488"/>
      <c r="E237" s="514"/>
    </row>
    <row r="238" spans="1:5" ht="13" customHeight="1" x14ac:dyDescent="0.25">
      <c r="A238" s="45" t="str">
        <f t="shared" si="29"/>
        <v>01/12/2021-31/12/2021</v>
      </c>
      <c r="B238" s="346">
        <f t="shared" si="30"/>
        <v>0</v>
      </c>
      <c r="C238" s="383">
        <f t="shared" si="31"/>
        <v>0</v>
      </c>
      <c r="D238" s="488"/>
      <c r="E238" s="514"/>
    </row>
    <row r="239" spans="1:5" ht="13" customHeight="1" x14ac:dyDescent="0.25">
      <c r="A239" s="45" t="str">
        <f t="shared" si="29"/>
        <v>01/01/2022-31/01/2022</v>
      </c>
      <c r="B239" s="346">
        <f t="shared" si="30"/>
        <v>0</v>
      </c>
      <c r="C239" s="383">
        <f t="shared" si="31"/>
        <v>0</v>
      </c>
      <c r="D239" s="488"/>
      <c r="E239" s="514"/>
    </row>
    <row r="240" spans="1:5" ht="13" customHeight="1" x14ac:dyDescent="0.25">
      <c r="A240" s="45" t="str">
        <f t="shared" si="29"/>
        <v>01/02/2022-28/02/2022</v>
      </c>
      <c r="B240" s="346">
        <f t="shared" si="30"/>
        <v>0</v>
      </c>
      <c r="C240" s="383">
        <f t="shared" si="31"/>
        <v>0</v>
      </c>
      <c r="D240" s="488"/>
      <c r="E240" s="514"/>
    </row>
    <row r="241" spans="1:5" s="444" customFormat="1" ht="13" customHeight="1" x14ac:dyDescent="0.25">
      <c r="A241" s="404" t="str">
        <f t="shared" ref="A241:A244" si="32">A220</f>
        <v>01/03/2022-31/03/2022</v>
      </c>
      <c r="B241" s="445">
        <f t="shared" ref="B241:B244" si="33">ROUNDDOWN($B$140*B200*B220*$B$224,0)</f>
        <v>0</v>
      </c>
      <c r="C241" s="445">
        <f t="shared" ref="C241:C244" si="34">ROUNDDOWN($C$140*C200*C220*$C$224,0)</f>
        <v>0</v>
      </c>
      <c r="D241" s="488"/>
      <c r="E241" s="514"/>
    </row>
    <row r="242" spans="1:5" s="444" customFormat="1" ht="13" customHeight="1" x14ac:dyDescent="0.25">
      <c r="A242" s="404" t="str">
        <f t="shared" si="32"/>
        <v>01/04/2022-30/04/2022</v>
      </c>
      <c r="B242" s="445">
        <f t="shared" si="33"/>
        <v>0</v>
      </c>
      <c r="C242" s="445">
        <f t="shared" si="34"/>
        <v>0</v>
      </c>
      <c r="D242" s="488"/>
      <c r="E242" s="514"/>
    </row>
    <row r="243" spans="1:5" s="444" customFormat="1" ht="13" customHeight="1" x14ac:dyDescent="0.25">
      <c r="A243" s="404" t="str">
        <f t="shared" si="32"/>
        <v>01/05/2022-31/05/2022</v>
      </c>
      <c r="B243" s="445">
        <f t="shared" si="33"/>
        <v>0</v>
      </c>
      <c r="C243" s="445">
        <f t="shared" si="34"/>
        <v>0</v>
      </c>
      <c r="D243" s="488"/>
      <c r="E243" s="514"/>
    </row>
    <row r="244" spans="1:5" ht="13" customHeight="1" x14ac:dyDescent="0.25">
      <c r="A244" s="404" t="str">
        <f t="shared" si="32"/>
        <v>01/06/2022-30/06/2022</v>
      </c>
      <c r="B244" s="445">
        <f t="shared" si="33"/>
        <v>0</v>
      </c>
      <c r="C244" s="445">
        <f t="shared" si="34"/>
        <v>0</v>
      </c>
      <c r="D244" s="509"/>
      <c r="E244" s="514"/>
    </row>
    <row r="245" spans="1:5" ht="13" customHeight="1" x14ac:dyDescent="0.4">
      <c r="A245" s="53" t="str">
        <f>A122</f>
        <v>26/12/2020-31/12/2020</v>
      </c>
      <c r="B245" s="482">
        <f>B226+C226</f>
        <v>0</v>
      </c>
      <c r="C245" s="483"/>
      <c r="D245" s="346" t="s">
        <v>194</v>
      </c>
      <c r="E245" s="514"/>
    </row>
    <row r="246" spans="1:5" ht="15.5" x14ac:dyDescent="0.4">
      <c r="A246" s="53" t="str">
        <f>A123</f>
        <v>01/01/2021-31/12/2021</v>
      </c>
      <c r="B246" s="492">
        <f>SUM(B227:C238)</f>
        <v>0</v>
      </c>
      <c r="C246" s="492"/>
      <c r="D246" s="346" t="s">
        <v>194</v>
      </c>
      <c r="E246" s="514"/>
    </row>
    <row r="247" spans="1:5" ht="15.5" x14ac:dyDescent="0.4">
      <c r="A247" s="53" t="str">
        <f>A124</f>
        <v>01/01/2022-30/06/2022</v>
      </c>
      <c r="B247" s="492">
        <f>SUM(B239:C244)</f>
        <v>0</v>
      </c>
      <c r="C247" s="492"/>
      <c r="D247" s="346" t="s">
        <v>194</v>
      </c>
      <c r="E247" s="514"/>
    </row>
    <row r="248" spans="1:5" ht="16" thickBot="1" x14ac:dyDescent="0.45">
      <c r="A248" s="75" t="s">
        <v>195</v>
      </c>
      <c r="B248" s="504">
        <f>B246+B247+B245</f>
        <v>0</v>
      </c>
      <c r="C248" s="504"/>
      <c r="D248" s="76" t="s">
        <v>196</v>
      </c>
      <c r="E248" s="515"/>
    </row>
    <row r="249" spans="1:5" ht="13" x14ac:dyDescent="0.3">
      <c r="A249" s="28"/>
      <c r="B249" s="77"/>
      <c r="C249" s="77"/>
      <c r="D249" s="78"/>
      <c r="E249" s="79"/>
    </row>
    <row r="251" spans="1:5" ht="13" x14ac:dyDescent="0.3">
      <c r="A251" s="28" t="s">
        <v>11</v>
      </c>
    </row>
    <row r="252" spans="1:5" ht="13" x14ac:dyDescent="0.3">
      <c r="B252" s="60"/>
      <c r="C252" s="28"/>
      <c r="D252" s="28"/>
      <c r="E252" s="30"/>
    </row>
    <row r="253" spans="1:5" ht="13" x14ac:dyDescent="0.3">
      <c r="B253" s="60"/>
      <c r="C253" s="28"/>
      <c r="D253" s="28"/>
      <c r="E253" s="30"/>
    </row>
    <row r="254" spans="1:5" ht="13.5" thickBot="1" x14ac:dyDescent="0.35">
      <c r="B254" s="28"/>
      <c r="C254" s="28"/>
    </row>
    <row r="255" spans="1:5" ht="13" x14ac:dyDescent="0.3">
      <c r="A255" s="62" t="s">
        <v>3</v>
      </c>
      <c r="B255" s="351" t="s">
        <v>9</v>
      </c>
      <c r="C255" s="351"/>
      <c r="D255" s="351" t="s">
        <v>2</v>
      </c>
      <c r="E255" s="352" t="s">
        <v>4</v>
      </c>
    </row>
    <row r="256" spans="1:5" ht="13" x14ac:dyDescent="0.3">
      <c r="A256" s="64"/>
      <c r="B256" s="345" t="str">
        <f>B139</f>
        <v>Market Swine</v>
      </c>
      <c r="C256" s="345" t="str">
        <f>C139</f>
        <v>Breeding Swine</v>
      </c>
      <c r="D256" s="345"/>
      <c r="E256" s="356"/>
    </row>
    <row r="257" spans="1:5" ht="27" customHeight="1" x14ac:dyDescent="0.4">
      <c r="A257" s="47" t="s">
        <v>197</v>
      </c>
      <c r="B257" s="40">
        <v>0.01</v>
      </c>
      <c r="C257" s="80">
        <v>0.01</v>
      </c>
      <c r="D257" s="346" t="s">
        <v>198</v>
      </c>
      <c r="E257" s="347" t="s">
        <v>36</v>
      </c>
    </row>
    <row r="258" spans="1:5" ht="15" x14ac:dyDescent="0.4">
      <c r="A258" s="47" t="s">
        <v>199</v>
      </c>
      <c r="B258" s="42">
        <v>0.4</v>
      </c>
      <c r="C258" s="42">
        <v>0.4</v>
      </c>
      <c r="D258" s="346" t="s">
        <v>1</v>
      </c>
      <c r="E258" s="355" t="s">
        <v>69</v>
      </c>
    </row>
    <row r="259" spans="1:5" ht="15.5" x14ac:dyDescent="0.4">
      <c r="A259" s="73" t="s">
        <v>200</v>
      </c>
      <c r="B259" s="82"/>
      <c r="C259" s="82"/>
      <c r="D259" s="487" t="s">
        <v>125</v>
      </c>
      <c r="E259" s="489" t="s">
        <v>51</v>
      </c>
    </row>
    <row r="260" spans="1:5" x14ac:dyDescent="0.25">
      <c r="A260" s="45" t="str">
        <f>A226</f>
        <v>26/12/2020-31/12/2020</v>
      </c>
      <c r="B260" s="83">
        <f>B185</f>
        <v>0.14338799999999999</v>
      </c>
      <c r="C260" s="83">
        <f>C185</f>
        <v>0.107136</v>
      </c>
      <c r="D260" s="488"/>
      <c r="E260" s="490"/>
    </row>
    <row r="261" spans="1:5" x14ac:dyDescent="0.25">
      <c r="A261" s="404" t="str">
        <f t="shared" ref="A261:A278" si="35">A227</f>
        <v>01/01/2021-31/01/2021</v>
      </c>
      <c r="B261" s="83">
        <f t="shared" ref="B261:C261" si="36">B186</f>
        <v>0.74474400000000007</v>
      </c>
      <c r="C261" s="83">
        <f t="shared" si="36"/>
        <v>0.56097600000000003</v>
      </c>
      <c r="D261" s="488"/>
      <c r="E261" s="490"/>
    </row>
    <row r="262" spans="1:5" x14ac:dyDescent="0.25">
      <c r="A262" s="404" t="str">
        <f t="shared" si="35"/>
        <v>01/02/1021-28/02/2021</v>
      </c>
      <c r="B262" s="83">
        <f t="shared" ref="B262:C262" si="37">B187</f>
        <v>0.66679200000000005</v>
      </c>
      <c r="C262" s="83">
        <f t="shared" si="37"/>
        <v>0.50601599999999991</v>
      </c>
      <c r="D262" s="488"/>
      <c r="E262" s="490"/>
    </row>
    <row r="263" spans="1:5" x14ac:dyDescent="0.25">
      <c r="A263" s="404" t="str">
        <f t="shared" si="35"/>
        <v>01/03/2021-31/03/3021</v>
      </c>
      <c r="B263" s="83">
        <f t="shared" ref="B263:C263" si="38">B188</f>
        <v>0.72911999999999999</v>
      </c>
      <c r="C263" s="83">
        <f t="shared" si="38"/>
        <v>0.55725599999999997</v>
      </c>
      <c r="D263" s="488"/>
      <c r="E263" s="490"/>
    </row>
    <row r="264" spans="1:5" x14ac:dyDescent="0.25">
      <c r="A264" s="404" t="str">
        <f t="shared" si="35"/>
        <v>01/04/2021-30/04/2021</v>
      </c>
      <c r="B264" s="83">
        <f t="shared" ref="B264:C264" si="39">B189</f>
        <v>0.70811999999999997</v>
      </c>
      <c r="C264" s="83">
        <f t="shared" si="39"/>
        <v>0.54647999999999997</v>
      </c>
      <c r="D264" s="488"/>
      <c r="E264" s="490"/>
    </row>
    <row r="265" spans="1:5" x14ac:dyDescent="0.25">
      <c r="A265" s="404" t="str">
        <f t="shared" si="35"/>
        <v>01/05/2021-31/05/2021</v>
      </c>
      <c r="B265" s="83">
        <f t="shared" ref="B265:C265" si="40">B190</f>
        <v>0.75255599999999989</v>
      </c>
      <c r="C265" s="83">
        <f t="shared" si="40"/>
        <v>0.55725599999999997</v>
      </c>
      <c r="D265" s="488"/>
      <c r="E265" s="490"/>
    </row>
    <row r="266" spans="1:5" x14ac:dyDescent="0.25">
      <c r="A266" s="404" t="str">
        <f t="shared" si="35"/>
        <v>01/06/2021-30/06/2021</v>
      </c>
      <c r="B266" s="83">
        <f t="shared" ref="B266:C266" si="41">B191</f>
        <v>0.70182</v>
      </c>
      <c r="C266" s="83">
        <f t="shared" si="41"/>
        <v>0.54791999999999985</v>
      </c>
      <c r="D266" s="488"/>
      <c r="E266" s="490"/>
    </row>
    <row r="267" spans="1:5" x14ac:dyDescent="0.25">
      <c r="A267" s="404" t="str">
        <f t="shared" si="35"/>
        <v>01/07/2021-31/07/2021</v>
      </c>
      <c r="B267" s="83">
        <f t="shared" ref="B267:C267" si="42">B192</f>
        <v>0.73302599999999996</v>
      </c>
      <c r="C267" s="83">
        <f t="shared" si="42"/>
        <v>0.55725599999999997</v>
      </c>
      <c r="D267" s="488"/>
      <c r="E267" s="490"/>
    </row>
    <row r="268" spans="1:5" x14ac:dyDescent="0.25">
      <c r="A268" s="404" t="str">
        <f t="shared" si="35"/>
        <v>01/08/2021-31/08/2021</v>
      </c>
      <c r="B268" s="83">
        <f t="shared" ref="B268:C268" si="43">B193</f>
        <v>0.72911999999999999</v>
      </c>
      <c r="C268" s="83">
        <f t="shared" si="43"/>
        <v>0.56469599999999998</v>
      </c>
      <c r="D268" s="488"/>
      <c r="E268" s="490"/>
    </row>
    <row r="269" spans="1:5" x14ac:dyDescent="0.25">
      <c r="A269" s="404" t="str">
        <f t="shared" si="35"/>
        <v>01/09/2021-30/09/2021</v>
      </c>
      <c r="B269" s="83">
        <f t="shared" ref="B269:C269" si="44">B194</f>
        <v>0.70307999999999993</v>
      </c>
      <c r="C269" s="83">
        <f t="shared" si="44"/>
        <v>0.54143999999999992</v>
      </c>
      <c r="D269" s="488"/>
      <c r="E269" s="490"/>
    </row>
    <row r="270" spans="1:5" x14ac:dyDescent="0.25">
      <c r="A270" s="404" t="str">
        <f t="shared" si="35"/>
        <v>01/10/2021-31/10/2021</v>
      </c>
      <c r="B270" s="83">
        <f t="shared" ref="B270:C270" si="45">B195</f>
        <v>0.72260999999999997</v>
      </c>
      <c r="C270" s="83">
        <f t="shared" si="45"/>
        <v>0.56023199999999984</v>
      </c>
      <c r="D270" s="488"/>
      <c r="E270" s="490"/>
    </row>
    <row r="271" spans="1:5" x14ac:dyDescent="0.25">
      <c r="A271" s="404" t="str">
        <f t="shared" si="35"/>
        <v>01/11/2021-30/11/2021</v>
      </c>
      <c r="B271" s="83">
        <f t="shared" ref="B271:C271" si="46">B196</f>
        <v>0.71063999999999994</v>
      </c>
      <c r="C271" s="83">
        <f t="shared" si="46"/>
        <v>0.53999999999999992</v>
      </c>
      <c r="D271" s="488"/>
      <c r="E271" s="490"/>
    </row>
    <row r="272" spans="1:5" x14ac:dyDescent="0.25">
      <c r="A272" s="404" t="str">
        <f t="shared" si="35"/>
        <v>01/12/2021-31/12/2021</v>
      </c>
      <c r="B272" s="83">
        <f t="shared" ref="B272:C272" si="47">B197</f>
        <v>0.72781799999999996</v>
      </c>
      <c r="C272" s="83">
        <f t="shared" si="47"/>
        <v>0.56097600000000003</v>
      </c>
      <c r="D272" s="488"/>
      <c r="E272" s="490"/>
    </row>
    <row r="273" spans="1:5" x14ac:dyDescent="0.25">
      <c r="A273" s="404" t="str">
        <f t="shared" si="35"/>
        <v>01/01/2022-31/01/2022</v>
      </c>
      <c r="B273" s="83">
        <f t="shared" ref="B273:C273" si="48">B198</f>
        <v>0.740838</v>
      </c>
      <c r="C273" s="83">
        <f t="shared" si="48"/>
        <v>0.56023199999999984</v>
      </c>
      <c r="D273" s="488"/>
      <c r="E273" s="490"/>
    </row>
    <row r="274" spans="1:5" x14ac:dyDescent="0.25">
      <c r="A274" s="404" t="str">
        <f t="shared" si="35"/>
        <v>01/02/2022-28/02/2022</v>
      </c>
      <c r="B274" s="83">
        <f t="shared" ref="B274:C274" si="49">B199</f>
        <v>0.65620800000000001</v>
      </c>
      <c r="C274" s="83">
        <f t="shared" si="49"/>
        <v>0.50803199999999993</v>
      </c>
      <c r="D274" s="488"/>
      <c r="E274" s="490"/>
    </row>
    <row r="275" spans="1:5" s="444" customFormat="1" x14ac:dyDescent="0.25">
      <c r="A275" s="404" t="str">
        <f t="shared" si="35"/>
        <v>01/03/2022-31/03/2022</v>
      </c>
      <c r="B275" s="83">
        <f t="shared" ref="B275:C275" si="50">B200</f>
        <v>0.72000599999999992</v>
      </c>
      <c r="C275" s="83">
        <f t="shared" si="50"/>
        <v>0.56246399999999985</v>
      </c>
      <c r="D275" s="488"/>
      <c r="E275" s="490"/>
    </row>
    <row r="276" spans="1:5" s="444" customFormat="1" x14ac:dyDescent="0.25">
      <c r="A276" s="404" t="str">
        <f t="shared" si="35"/>
        <v>01/04/2022-30/04/2022</v>
      </c>
      <c r="B276" s="83">
        <f t="shared" ref="B276:C276" si="51">B201</f>
        <v>0.71063999999999994</v>
      </c>
      <c r="C276" s="83">
        <f t="shared" si="51"/>
        <v>0.54143999999999992</v>
      </c>
      <c r="D276" s="488"/>
      <c r="E276" s="490"/>
    </row>
    <row r="277" spans="1:5" s="444" customFormat="1" x14ac:dyDescent="0.25">
      <c r="A277" s="404" t="str">
        <f t="shared" si="35"/>
        <v>01/05/2022-31/05/2022</v>
      </c>
      <c r="B277" s="83">
        <f t="shared" ref="B277:C277" si="52">B202</f>
        <v>0.73172399999999993</v>
      </c>
      <c r="C277" s="83">
        <f t="shared" si="52"/>
        <v>0.55948799999999999</v>
      </c>
      <c r="D277" s="488"/>
      <c r="E277" s="490"/>
    </row>
    <row r="278" spans="1:5" s="444" customFormat="1" x14ac:dyDescent="0.25">
      <c r="A278" s="404" t="str">
        <f t="shared" si="35"/>
        <v>01/06/2022-30/06/2022</v>
      </c>
      <c r="B278" s="83">
        <f t="shared" ref="B278:C278" si="53">B203</f>
        <v>0.71693999999999991</v>
      </c>
      <c r="C278" s="83">
        <f t="shared" si="53"/>
        <v>0.54071999999999987</v>
      </c>
      <c r="D278" s="488"/>
      <c r="E278" s="490"/>
    </row>
    <row r="279" spans="1:5" ht="13.5" customHeight="1" x14ac:dyDescent="0.35">
      <c r="A279" s="73" t="s">
        <v>192</v>
      </c>
      <c r="B279" s="44"/>
      <c r="C279" s="44"/>
      <c r="D279" s="487" t="str">
        <f>D204</f>
        <v>No of heads</v>
      </c>
      <c r="E279" s="479" t="str">
        <f>E204</f>
        <v>calculated as equatoin 5 in MR, of which NLT for marke swine and breeding swine is sourced from  "market swine production record" and " Breeding Pig stock record"</v>
      </c>
    </row>
    <row r="280" spans="1:5" x14ac:dyDescent="0.25">
      <c r="A280" s="45" t="str">
        <f t="shared" ref="A280:A293" si="54">A260</f>
        <v>26/12/2020-31/12/2020</v>
      </c>
      <c r="B280" s="44">
        <f t="shared" ref="B280:C293" si="55">B205</f>
        <v>89677</v>
      </c>
      <c r="C280" s="44">
        <f t="shared" si="55"/>
        <v>83549</v>
      </c>
      <c r="D280" s="488"/>
      <c r="E280" s="480"/>
    </row>
    <row r="281" spans="1:5" x14ac:dyDescent="0.25">
      <c r="A281" s="45" t="str">
        <f t="shared" si="54"/>
        <v>01/01/2021-31/01/2021</v>
      </c>
      <c r="B281" s="44">
        <f t="shared" si="55"/>
        <v>89677</v>
      </c>
      <c r="C281" s="44">
        <f t="shared" si="55"/>
        <v>83651</v>
      </c>
      <c r="D281" s="488"/>
      <c r="E281" s="480"/>
    </row>
    <row r="282" spans="1:5" x14ac:dyDescent="0.25">
      <c r="A282" s="45" t="str">
        <f t="shared" si="54"/>
        <v>01/02/1021-28/02/2021</v>
      </c>
      <c r="B282" s="44">
        <f t="shared" si="55"/>
        <v>89677</v>
      </c>
      <c r="C282" s="44">
        <f t="shared" si="55"/>
        <v>83599</v>
      </c>
      <c r="D282" s="488"/>
      <c r="E282" s="480"/>
    </row>
    <row r="283" spans="1:5" x14ac:dyDescent="0.25">
      <c r="A283" s="45" t="str">
        <f t="shared" si="54"/>
        <v>01/03/2021-31/03/3021</v>
      </c>
      <c r="B283" s="44">
        <f t="shared" si="55"/>
        <v>89677</v>
      </c>
      <c r="C283" s="44">
        <f t="shared" si="55"/>
        <v>83559</v>
      </c>
      <c r="D283" s="488"/>
      <c r="E283" s="480"/>
    </row>
    <row r="284" spans="1:5" x14ac:dyDescent="0.25">
      <c r="A284" s="45" t="str">
        <f t="shared" si="54"/>
        <v>01/04/2021-30/04/2021</v>
      </c>
      <c r="B284" s="44">
        <f t="shared" si="55"/>
        <v>89677</v>
      </c>
      <c r="C284" s="44">
        <f t="shared" si="55"/>
        <v>83443</v>
      </c>
      <c r="D284" s="488"/>
      <c r="E284" s="480"/>
    </row>
    <row r="285" spans="1:5" x14ac:dyDescent="0.25">
      <c r="A285" s="45" t="str">
        <f t="shared" si="54"/>
        <v>01/05/2021-31/05/2021</v>
      </c>
      <c r="B285" s="44">
        <f t="shared" si="55"/>
        <v>89677</v>
      </c>
      <c r="C285" s="44">
        <f t="shared" si="55"/>
        <v>83653</v>
      </c>
      <c r="D285" s="488"/>
      <c r="E285" s="480"/>
    </row>
    <row r="286" spans="1:5" x14ac:dyDescent="0.25">
      <c r="A286" s="45" t="str">
        <f t="shared" si="54"/>
        <v>01/06/2021-30/06/2021</v>
      </c>
      <c r="B286" s="44">
        <f t="shared" si="55"/>
        <v>89677</v>
      </c>
      <c r="C286" s="44">
        <f t="shared" si="55"/>
        <v>83645</v>
      </c>
      <c r="D286" s="488"/>
      <c r="E286" s="480"/>
    </row>
    <row r="287" spans="1:5" x14ac:dyDescent="0.25">
      <c r="A287" s="45" t="str">
        <f t="shared" si="54"/>
        <v>01/07/2021-31/07/2021</v>
      </c>
      <c r="B287" s="44">
        <f t="shared" si="55"/>
        <v>89677</v>
      </c>
      <c r="C287" s="44">
        <f t="shared" si="55"/>
        <v>83554</v>
      </c>
      <c r="D287" s="488"/>
      <c r="E287" s="480"/>
    </row>
    <row r="288" spans="1:5" x14ac:dyDescent="0.25">
      <c r="A288" s="45" t="str">
        <f t="shared" si="54"/>
        <v>01/08/2021-31/08/2021</v>
      </c>
      <c r="B288" s="44">
        <f t="shared" si="55"/>
        <v>89677</v>
      </c>
      <c r="C288" s="44">
        <f t="shared" si="55"/>
        <v>83420</v>
      </c>
      <c r="D288" s="488"/>
      <c r="E288" s="480"/>
    </row>
    <row r="289" spans="1:5" x14ac:dyDescent="0.25">
      <c r="A289" s="45" t="str">
        <f t="shared" si="54"/>
        <v>01/09/2021-30/09/2021</v>
      </c>
      <c r="B289" s="44">
        <f t="shared" si="55"/>
        <v>89677</v>
      </c>
      <c r="C289" s="44">
        <f t="shared" si="55"/>
        <v>83550</v>
      </c>
      <c r="D289" s="488"/>
      <c r="E289" s="480"/>
    </row>
    <row r="290" spans="1:5" x14ac:dyDescent="0.25">
      <c r="A290" s="45" t="str">
        <f t="shared" si="54"/>
        <v>01/10/2021-31/10/2021</v>
      </c>
      <c r="B290" s="44">
        <f t="shared" si="55"/>
        <v>89677</v>
      </c>
      <c r="C290" s="44">
        <f t="shared" si="55"/>
        <v>83457</v>
      </c>
      <c r="D290" s="488"/>
      <c r="E290" s="480"/>
    </row>
    <row r="291" spans="1:5" x14ac:dyDescent="0.25">
      <c r="A291" s="45" t="str">
        <f t="shared" si="54"/>
        <v>01/11/2021-30/11/2021</v>
      </c>
      <c r="B291" s="44">
        <f t="shared" si="55"/>
        <v>89677</v>
      </c>
      <c r="C291" s="44">
        <f t="shared" si="55"/>
        <v>83548</v>
      </c>
      <c r="D291" s="488"/>
      <c r="E291" s="480"/>
    </row>
    <row r="292" spans="1:5" x14ac:dyDescent="0.25">
      <c r="A292" s="45" t="str">
        <f t="shared" si="54"/>
        <v>01/12/2021-31/12/2021</v>
      </c>
      <c r="B292" s="44">
        <f t="shared" si="55"/>
        <v>89677</v>
      </c>
      <c r="C292" s="44">
        <f t="shared" si="55"/>
        <v>83502</v>
      </c>
      <c r="D292" s="488"/>
      <c r="E292" s="480"/>
    </row>
    <row r="293" spans="1:5" x14ac:dyDescent="0.25">
      <c r="A293" s="45" t="str">
        <f t="shared" si="54"/>
        <v>01/01/2022-31/01/2022</v>
      </c>
      <c r="B293" s="44">
        <f t="shared" si="55"/>
        <v>89677</v>
      </c>
      <c r="C293" s="44">
        <f t="shared" si="55"/>
        <v>83479</v>
      </c>
      <c r="D293" s="488"/>
      <c r="E293" s="480"/>
    </row>
    <row r="294" spans="1:5" s="444" customFormat="1" x14ac:dyDescent="0.25">
      <c r="A294" s="404" t="str">
        <f t="shared" ref="A294:A297" si="56">A274</f>
        <v>01/02/2022-28/02/2022</v>
      </c>
      <c r="B294" s="44">
        <f t="shared" ref="B294:C294" si="57">B219</f>
        <v>89677</v>
      </c>
      <c r="C294" s="44">
        <f t="shared" si="57"/>
        <v>83471</v>
      </c>
      <c r="D294" s="488"/>
      <c r="E294" s="480"/>
    </row>
    <row r="295" spans="1:5" s="444" customFormat="1" x14ac:dyDescent="0.25">
      <c r="A295" s="404" t="str">
        <f t="shared" si="56"/>
        <v>01/03/2022-31/03/2022</v>
      </c>
      <c r="B295" s="44">
        <f t="shared" ref="B295:C295" si="58">B220</f>
        <v>89677</v>
      </c>
      <c r="C295" s="44">
        <f t="shared" si="58"/>
        <v>83597</v>
      </c>
      <c r="D295" s="488"/>
      <c r="E295" s="480"/>
    </row>
    <row r="296" spans="1:5" s="444" customFormat="1" x14ac:dyDescent="0.25">
      <c r="A296" s="404" t="str">
        <f t="shared" si="56"/>
        <v>01/04/2022-30/04/2022</v>
      </c>
      <c r="B296" s="44">
        <f t="shared" ref="B296:C296" si="59">B221</f>
        <v>89677</v>
      </c>
      <c r="C296" s="44">
        <f t="shared" si="59"/>
        <v>83663</v>
      </c>
      <c r="D296" s="488"/>
      <c r="E296" s="480"/>
    </row>
    <row r="297" spans="1:5" s="444" customFormat="1" x14ac:dyDescent="0.25">
      <c r="A297" s="404" t="str">
        <f t="shared" si="56"/>
        <v>01/05/2022-31/05/2022</v>
      </c>
      <c r="B297" s="44">
        <f t="shared" ref="B297:C297" si="60">B222</f>
        <v>89677</v>
      </c>
      <c r="C297" s="44">
        <f t="shared" si="60"/>
        <v>83546</v>
      </c>
      <c r="D297" s="488"/>
      <c r="E297" s="480"/>
    </row>
    <row r="298" spans="1:5" x14ac:dyDescent="0.25">
      <c r="A298" s="404" t="str">
        <f>A278</f>
        <v>01/06/2022-30/06/2022</v>
      </c>
      <c r="B298" s="44">
        <f>B223</f>
        <v>89677</v>
      </c>
      <c r="C298" s="44">
        <f>C223</f>
        <v>83583</v>
      </c>
      <c r="D298" s="488"/>
      <c r="E298" s="480"/>
    </row>
    <row r="299" spans="1:5" ht="13.5" x14ac:dyDescent="0.35">
      <c r="A299" s="38" t="s">
        <v>182</v>
      </c>
      <c r="B299" s="42">
        <f>B224</f>
        <v>1</v>
      </c>
      <c r="C299" s="42">
        <f>C224</f>
        <v>1</v>
      </c>
      <c r="D299" s="346" t="str">
        <f>D224</f>
        <v>%</v>
      </c>
      <c r="E299" s="369" t="s">
        <v>109</v>
      </c>
    </row>
    <row r="300" spans="1:5" ht="15.5" x14ac:dyDescent="0.4">
      <c r="A300" s="73" t="s">
        <v>201</v>
      </c>
      <c r="B300" s="84">
        <v>298</v>
      </c>
      <c r="C300" s="84">
        <v>298</v>
      </c>
      <c r="D300" s="346" t="s">
        <v>202</v>
      </c>
      <c r="E300" s="353" t="s">
        <v>135</v>
      </c>
    </row>
    <row r="301" spans="1:5" ht="25" customHeight="1" x14ac:dyDescent="0.4">
      <c r="A301" s="73" t="s">
        <v>201</v>
      </c>
      <c r="B301" s="84">
        <v>265</v>
      </c>
      <c r="C301" s="84">
        <v>265</v>
      </c>
      <c r="D301" s="346" t="s">
        <v>202</v>
      </c>
      <c r="E301" s="353" t="s">
        <v>122</v>
      </c>
    </row>
    <row r="302" spans="1:5" ht="15.5" x14ac:dyDescent="0.4">
      <c r="A302" s="73" t="s">
        <v>203</v>
      </c>
      <c r="B302" s="82">
        <f>44/28</f>
        <v>1.5714285714285714</v>
      </c>
      <c r="C302" s="82">
        <f>44/28</f>
        <v>1.5714285714285714</v>
      </c>
      <c r="D302" s="346" t="s">
        <v>204</v>
      </c>
      <c r="E302" s="369" t="s">
        <v>57</v>
      </c>
    </row>
    <row r="303" spans="1:5" ht="15.5" x14ac:dyDescent="0.4">
      <c r="A303" s="73" t="s">
        <v>209</v>
      </c>
      <c r="B303" s="82"/>
      <c r="C303" s="82"/>
      <c r="D303" s="346"/>
      <c r="E303" s="369"/>
    </row>
    <row r="304" spans="1:5" ht="13.5" customHeight="1" x14ac:dyDescent="0.25">
      <c r="A304" s="45" t="str">
        <f t="shared" ref="A304:A317" si="61">A280</f>
        <v>26/12/2020-31/12/2020</v>
      </c>
      <c r="B304" s="85">
        <f t="shared" ref="B304:B317" si="62">ROUNDDOWN($B$257*$B$258*B260*B280*$B$299,0)</f>
        <v>51</v>
      </c>
      <c r="C304" s="385">
        <f t="shared" ref="C304:C317" si="63">ROUNDDOWN($C$257*$C$258*C260*C280*$C$299,0)</f>
        <v>35</v>
      </c>
      <c r="D304" s="487" t="s">
        <v>196</v>
      </c>
      <c r="E304" s="484" t="s">
        <v>111</v>
      </c>
    </row>
    <row r="305" spans="1:5" x14ac:dyDescent="0.25">
      <c r="A305" s="45" t="str">
        <f t="shared" si="61"/>
        <v>01/01/2021-31/01/2021</v>
      </c>
      <c r="B305" s="85">
        <f t="shared" si="62"/>
        <v>267</v>
      </c>
      <c r="C305" s="385">
        <f t="shared" si="63"/>
        <v>187</v>
      </c>
      <c r="D305" s="488"/>
      <c r="E305" s="485"/>
    </row>
    <row r="306" spans="1:5" x14ac:dyDescent="0.25">
      <c r="A306" s="45" t="str">
        <f t="shared" si="61"/>
        <v>01/02/1021-28/02/2021</v>
      </c>
      <c r="B306" s="85">
        <f t="shared" si="62"/>
        <v>239</v>
      </c>
      <c r="C306" s="385">
        <f t="shared" si="63"/>
        <v>169</v>
      </c>
      <c r="D306" s="488"/>
      <c r="E306" s="485"/>
    </row>
    <row r="307" spans="1:5" x14ac:dyDescent="0.25">
      <c r="A307" s="45" t="str">
        <f t="shared" si="61"/>
        <v>01/03/2021-31/03/3021</v>
      </c>
      <c r="B307" s="85">
        <f t="shared" si="62"/>
        <v>261</v>
      </c>
      <c r="C307" s="385">
        <f t="shared" si="63"/>
        <v>186</v>
      </c>
      <c r="D307" s="488"/>
      <c r="E307" s="485"/>
    </row>
    <row r="308" spans="1:5" x14ac:dyDescent="0.25">
      <c r="A308" s="45" t="str">
        <f t="shared" si="61"/>
        <v>01/04/2021-30/04/2021</v>
      </c>
      <c r="B308" s="85">
        <f t="shared" si="62"/>
        <v>254</v>
      </c>
      <c r="C308" s="385">
        <f t="shared" si="63"/>
        <v>182</v>
      </c>
      <c r="D308" s="488"/>
      <c r="E308" s="485"/>
    </row>
    <row r="309" spans="1:5" x14ac:dyDescent="0.25">
      <c r="A309" s="45" t="str">
        <f t="shared" si="61"/>
        <v>01/05/2021-31/05/2021</v>
      </c>
      <c r="B309" s="85">
        <f t="shared" si="62"/>
        <v>269</v>
      </c>
      <c r="C309" s="385">
        <f t="shared" si="63"/>
        <v>186</v>
      </c>
      <c r="D309" s="488"/>
      <c r="E309" s="485"/>
    </row>
    <row r="310" spans="1:5" x14ac:dyDescent="0.25">
      <c r="A310" s="45" t="str">
        <f t="shared" si="61"/>
        <v>01/06/2021-30/06/2021</v>
      </c>
      <c r="B310" s="85">
        <f t="shared" si="62"/>
        <v>251</v>
      </c>
      <c r="C310" s="385">
        <f t="shared" si="63"/>
        <v>183</v>
      </c>
      <c r="D310" s="488"/>
      <c r="E310" s="485"/>
    </row>
    <row r="311" spans="1:5" x14ac:dyDescent="0.25">
      <c r="A311" s="45" t="str">
        <f t="shared" si="61"/>
        <v>01/07/2021-31/07/2021</v>
      </c>
      <c r="B311" s="85">
        <f t="shared" si="62"/>
        <v>262</v>
      </c>
      <c r="C311" s="385">
        <f t="shared" si="63"/>
        <v>186</v>
      </c>
      <c r="D311" s="488"/>
      <c r="E311" s="485"/>
    </row>
    <row r="312" spans="1:5" x14ac:dyDescent="0.25">
      <c r="A312" s="45" t="str">
        <f t="shared" si="61"/>
        <v>01/08/2021-31/08/2021</v>
      </c>
      <c r="B312" s="85">
        <f t="shared" si="62"/>
        <v>261</v>
      </c>
      <c r="C312" s="385">
        <f t="shared" si="63"/>
        <v>188</v>
      </c>
      <c r="D312" s="488"/>
      <c r="E312" s="485"/>
    </row>
    <row r="313" spans="1:5" x14ac:dyDescent="0.25">
      <c r="A313" s="45" t="str">
        <f t="shared" si="61"/>
        <v>01/09/2021-30/09/2021</v>
      </c>
      <c r="B313" s="85">
        <f t="shared" si="62"/>
        <v>252</v>
      </c>
      <c r="C313" s="385">
        <f t="shared" si="63"/>
        <v>180</v>
      </c>
      <c r="D313" s="488"/>
      <c r="E313" s="485"/>
    </row>
    <row r="314" spans="1:5" x14ac:dyDescent="0.25">
      <c r="A314" s="45" t="str">
        <f t="shared" si="61"/>
        <v>01/10/2021-31/10/2021</v>
      </c>
      <c r="B314" s="85">
        <f t="shared" si="62"/>
        <v>259</v>
      </c>
      <c r="C314" s="385">
        <f t="shared" si="63"/>
        <v>187</v>
      </c>
      <c r="D314" s="488"/>
      <c r="E314" s="485"/>
    </row>
    <row r="315" spans="1:5" x14ac:dyDescent="0.25">
      <c r="A315" s="45" t="str">
        <f t="shared" si="61"/>
        <v>01/11/2021-30/11/2021</v>
      </c>
      <c r="B315" s="85">
        <f t="shared" si="62"/>
        <v>254</v>
      </c>
      <c r="C315" s="385">
        <f t="shared" si="63"/>
        <v>180</v>
      </c>
      <c r="D315" s="488"/>
      <c r="E315" s="485"/>
    </row>
    <row r="316" spans="1:5" x14ac:dyDescent="0.25">
      <c r="A316" s="45" t="str">
        <f t="shared" si="61"/>
        <v>01/12/2021-31/12/2021</v>
      </c>
      <c r="B316" s="85">
        <f t="shared" si="62"/>
        <v>261</v>
      </c>
      <c r="C316" s="385">
        <f t="shared" si="63"/>
        <v>187</v>
      </c>
      <c r="D316" s="488"/>
      <c r="E316" s="485"/>
    </row>
    <row r="317" spans="1:5" x14ac:dyDescent="0.25">
      <c r="A317" s="45" t="str">
        <f t="shared" si="61"/>
        <v>01/01/2022-31/01/2022</v>
      </c>
      <c r="B317" s="85">
        <f t="shared" si="62"/>
        <v>265</v>
      </c>
      <c r="C317" s="385">
        <f t="shared" si="63"/>
        <v>187</v>
      </c>
      <c r="D317" s="488"/>
      <c r="E317" s="485"/>
    </row>
    <row r="318" spans="1:5" s="444" customFormat="1" x14ac:dyDescent="0.25">
      <c r="A318" s="404" t="str">
        <f t="shared" ref="A318:A322" si="64">A294</f>
        <v>01/02/2022-28/02/2022</v>
      </c>
      <c r="B318" s="85">
        <f t="shared" ref="B318:B322" si="65">ROUNDDOWN($B$257*$B$258*B274*B294*$B$299,0)</f>
        <v>235</v>
      </c>
      <c r="C318" s="385">
        <f t="shared" ref="C318:C322" si="66">ROUNDDOWN($C$257*$C$258*C274*C294*$C$299,0)</f>
        <v>169</v>
      </c>
      <c r="D318" s="488"/>
      <c r="E318" s="485"/>
    </row>
    <row r="319" spans="1:5" s="444" customFormat="1" x14ac:dyDescent="0.25">
      <c r="A319" s="404" t="str">
        <f t="shared" si="64"/>
        <v>01/03/2022-31/03/2022</v>
      </c>
      <c r="B319" s="85">
        <f t="shared" si="65"/>
        <v>258</v>
      </c>
      <c r="C319" s="385">
        <f t="shared" si="66"/>
        <v>188</v>
      </c>
      <c r="D319" s="488"/>
      <c r="E319" s="485"/>
    </row>
    <row r="320" spans="1:5" s="444" customFormat="1" x14ac:dyDescent="0.25">
      <c r="A320" s="404" t="str">
        <f t="shared" si="64"/>
        <v>01/04/2022-30/04/2022</v>
      </c>
      <c r="B320" s="85">
        <f t="shared" si="65"/>
        <v>254</v>
      </c>
      <c r="C320" s="385">
        <f t="shared" si="66"/>
        <v>181</v>
      </c>
      <c r="D320" s="488"/>
      <c r="E320" s="485"/>
    </row>
    <row r="321" spans="1:6" s="444" customFormat="1" x14ac:dyDescent="0.25">
      <c r="A321" s="404" t="str">
        <f t="shared" si="64"/>
        <v>01/05/2022-31/05/2022</v>
      </c>
      <c r="B321" s="85">
        <f t="shared" si="65"/>
        <v>262</v>
      </c>
      <c r="C321" s="385">
        <f t="shared" si="66"/>
        <v>186</v>
      </c>
      <c r="D321" s="488"/>
      <c r="E321" s="485"/>
    </row>
    <row r="322" spans="1:6" x14ac:dyDescent="0.25">
      <c r="A322" s="404" t="str">
        <f t="shared" si="64"/>
        <v>01/06/2022-30/06/2022</v>
      </c>
      <c r="B322" s="85">
        <f t="shared" si="65"/>
        <v>257</v>
      </c>
      <c r="C322" s="385">
        <f t="shared" si="66"/>
        <v>180</v>
      </c>
      <c r="D322" s="488"/>
      <c r="E322" s="485"/>
    </row>
    <row r="323" spans="1:6" ht="15.5" x14ac:dyDescent="0.4">
      <c r="A323" s="53" t="str">
        <f>A245</f>
        <v>26/12/2020-31/12/2020</v>
      </c>
      <c r="B323" s="503">
        <f>B304+C304</f>
        <v>86</v>
      </c>
      <c r="C323" s="483"/>
      <c r="D323" s="346" t="s">
        <v>196</v>
      </c>
      <c r="E323" s="485"/>
    </row>
    <row r="324" spans="1:6" ht="15.5" x14ac:dyDescent="0.4">
      <c r="A324" s="53" t="str">
        <f>A246</f>
        <v>01/01/2021-31/12/2021</v>
      </c>
      <c r="B324" s="491">
        <f>SUM(B305:C316)</f>
        <v>5291</v>
      </c>
      <c r="C324" s="492"/>
      <c r="D324" s="346" t="s">
        <v>196</v>
      </c>
      <c r="E324" s="485"/>
    </row>
    <row r="325" spans="1:6" ht="15.5" x14ac:dyDescent="0.4">
      <c r="A325" s="53" t="str">
        <f>A247</f>
        <v>01/01/2022-30/06/2022</v>
      </c>
      <c r="B325" s="491">
        <f>SUM(B317:C322)</f>
        <v>2622</v>
      </c>
      <c r="C325" s="492"/>
      <c r="D325" s="346" t="s">
        <v>196</v>
      </c>
      <c r="E325" s="485"/>
    </row>
    <row r="326" spans="1:6" ht="16" thickBot="1" x14ac:dyDescent="0.45">
      <c r="A326" s="75" t="s">
        <v>205</v>
      </c>
      <c r="B326" s="493">
        <f>B324+B325+B323</f>
        <v>7999</v>
      </c>
      <c r="C326" s="493"/>
      <c r="D326" s="76" t="s">
        <v>194</v>
      </c>
      <c r="E326" s="486"/>
    </row>
    <row r="327" spans="1:6" ht="13" x14ac:dyDescent="0.3">
      <c r="A327" s="28"/>
      <c r="B327" s="86"/>
      <c r="C327" s="86"/>
    </row>
    <row r="328" spans="1:6" ht="16" thickBot="1" x14ac:dyDescent="0.4">
      <c r="A328" s="477" t="s">
        <v>206</v>
      </c>
      <c r="B328" s="478"/>
      <c r="C328" s="478"/>
      <c r="D328" s="478"/>
      <c r="E328" s="87">
        <f>B329+B330+B331</f>
        <v>3334</v>
      </c>
      <c r="F328" s="469" t="s">
        <v>334</v>
      </c>
    </row>
    <row r="329" spans="1:6" s="28" customFormat="1" ht="13" x14ac:dyDescent="0.3">
      <c r="A329" s="88" t="str">
        <f>A323</f>
        <v>26/12/2020-31/12/2020</v>
      </c>
      <c r="B329" s="363">
        <f>INT(B300*B302/1000*(B323+B245))</f>
        <v>40</v>
      </c>
      <c r="C329" s="497" t="s">
        <v>324</v>
      </c>
      <c r="E329" s="89"/>
    </row>
    <row r="330" spans="1:6" s="28" customFormat="1" ht="13" x14ac:dyDescent="0.3">
      <c r="A330" s="53" t="str">
        <f t="shared" ref="A330:A331" si="67">A324</f>
        <v>01/01/2021-31/12/2021</v>
      </c>
      <c r="B330" s="362">
        <f>INT(B301*B302/1000*(B324+B246))</f>
        <v>2203</v>
      </c>
      <c r="C330" s="498"/>
    </row>
    <row r="331" spans="1:6" ht="13.5" thickBot="1" x14ac:dyDescent="0.35">
      <c r="A331" s="101" t="str">
        <f t="shared" si="67"/>
        <v>01/01/2022-30/06/2022</v>
      </c>
      <c r="B331" s="364">
        <f>INT(B302*B301/1000*(B325+B247))</f>
        <v>1091</v>
      </c>
      <c r="C331" s="499"/>
    </row>
    <row r="332" spans="1:6" x14ac:dyDescent="0.25">
      <c r="A332" s="90"/>
      <c r="B332" s="91"/>
      <c r="C332" s="92"/>
      <c r="D332" s="78"/>
    </row>
    <row r="333" spans="1:6" ht="15.5" x14ac:dyDescent="0.35">
      <c r="A333" s="93" t="s">
        <v>95</v>
      </c>
      <c r="B333" s="94"/>
      <c r="C333" s="95" t="s">
        <v>207</v>
      </c>
      <c r="D333" s="96"/>
      <c r="E333" s="87">
        <f>B335+B336+B337</f>
        <v>260290</v>
      </c>
      <c r="F333" s="469" t="s">
        <v>334</v>
      </c>
    </row>
    <row r="334" spans="1:6" ht="13" thickBot="1" x14ac:dyDescent="0.3">
      <c r="B334" s="97"/>
    </row>
    <row r="335" spans="1:6" ht="13" x14ac:dyDescent="0.3">
      <c r="A335" s="88" t="str">
        <f>A329</f>
        <v>26/12/2020-31/12/2020</v>
      </c>
      <c r="B335" s="367">
        <f>ROUNDDOWN(B329+B122,0)</f>
        <v>2531</v>
      </c>
      <c r="C335" s="500" t="s">
        <v>324</v>
      </c>
      <c r="D335" s="78"/>
    </row>
    <row r="336" spans="1:6" ht="13" x14ac:dyDescent="0.3">
      <c r="A336" s="53" t="str">
        <f t="shared" ref="A336:A337" si="68">A330</f>
        <v>01/01/2021-31/12/2021</v>
      </c>
      <c r="B336" s="366">
        <f>ROUNDDOWN(B330+B123,0)</f>
        <v>172333</v>
      </c>
      <c r="C336" s="501"/>
      <c r="D336" s="98"/>
    </row>
    <row r="337" spans="1:5" ht="13.5" thickBot="1" x14ac:dyDescent="0.35">
      <c r="A337" s="101" t="str">
        <f t="shared" si="68"/>
        <v>01/01/2022-30/06/2022</v>
      </c>
      <c r="B337" s="368">
        <f>ROUNDDOWN(B331+B124,0)</f>
        <v>85426</v>
      </c>
      <c r="C337" s="502"/>
      <c r="D337" s="98"/>
      <c r="E337" s="46"/>
    </row>
    <row r="338" spans="1:5" x14ac:dyDescent="0.25">
      <c r="A338" s="104"/>
      <c r="B338" s="365"/>
    </row>
    <row r="339" spans="1:5" x14ac:dyDescent="0.25">
      <c r="A339" s="104"/>
      <c r="B339" s="104"/>
    </row>
    <row r="340" spans="1:5" x14ac:dyDescent="0.25">
      <c r="A340" s="104"/>
      <c r="B340" s="104"/>
    </row>
    <row r="343" spans="1:5" x14ac:dyDescent="0.25">
      <c r="D343" s="100"/>
    </row>
  </sheetData>
  <mergeCells count="40">
    <mergeCell ref="E185:E203"/>
    <mergeCell ref="E226:E248"/>
    <mergeCell ref="E39:E58"/>
    <mergeCell ref="D162:D181"/>
    <mergeCell ref="E162:E181"/>
    <mergeCell ref="D185:D203"/>
    <mergeCell ref="D226:D244"/>
    <mergeCell ref="D204:D223"/>
    <mergeCell ref="B124:C124"/>
    <mergeCell ref="E61:E80"/>
    <mergeCell ref="D61:D80"/>
    <mergeCell ref="D142:D161"/>
    <mergeCell ref="E142:E161"/>
    <mergeCell ref="A128:D128"/>
    <mergeCell ref="D82:D101"/>
    <mergeCell ref="E82:E101"/>
    <mergeCell ref="E103:E125"/>
    <mergeCell ref="B122:C122"/>
    <mergeCell ref="B123:C123"/>
    <mergeCell ref="C329:C331"/>
    <mergeCell ref="C335:C337"/>
    <mergeCell ref="B323:C323"/>
    <mergeCell ref="D304:D322"/>
    <mergeCell ref="B248:C248"/>
    <mergeCell ref="E19:E38"/>
    <mergeCell ref="A328:D328"/>
    <mergeCell ref="E204:E223"/>
    <mergeCell ref="B245:C245"/>
    <mergeCell ref="E304:E326"/>
    <mergeCell ref="D279:D298"/>
    <mergeCell ref="E279:E298"/>
    <mergeCell ref="D259:D278"/>
    <mergeCell ref="E259:E278"/>
    <mergeCell ref="B324:C324"/>
    <mergeCell ref="B325:C325"/>
    <mergeCell ref="B326:C326"/>
    <mergeCell ref="B246:C246"/>
    <mergeCell ref="B247:C247"/>
    <mergeCell ref="D19:D38"/>
    <mergeCell ref="D39:D58"/>
  </mergeCells>
  <phoneticPr fontId="11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64"/>
  <sheetViews>
    <sheetView zoomScale="40" zoomScaleNormal="40" workbookViewId="0">
      <selection activeCell="I56" sqref="I56"/>
    </sheetView>
  </sheetViews>
  <sheetFormatPr defaultColWidth="8.7265625" defaultRowHeight="12.5" x14ac:dyDescent="0.25"/>
  <cols>
    <col min="1" max="1" width="35.1796875" style="29" customWidth="1"/>
    <col min="2" max="2" width="20.81640625" style="29" customWidth="1"/>
    <col min="3" max="3" width="24.453125" style="29" customWidth="1"/>
    <col min="4" max="4" width="28" style="29" customWidth="1"/>
    <col min="5" max="5" width="47" style="29" customWidth="1"/>
    <col min="6" max="6" width="8.7265625" style="29"/>
    <col min="7" max="7" width="11.7265625" style="29" bestFit="1" customWidth="1"/>
    <col min="8" max="10" width="13" style="29" bestFit="1" customWidth="1"/>
    <col min="11" max="16384" width="8.7265625" style="29"/>
  </cols>
  <sheetData>
    <row r="1" spans="1:5" ht="13" x14ac:dyDescent="0.3">
      <c r="A1" s="28" t="s">
        <v>41</v>
      </c>
    </row>
    <row r="3" spans="1:5" x14ac:dyDescent="0.25">
      <c r="E3" s="58"/>
    </row>
    <row r="4" spans="1:5" ht="13" x14ac:dyDescent="0.3">
      <c r="A4" s="240" t="s">
        <v>17</v>
      </c>
    </row>
    <row r="5" spans="1:5" ht="13" x14ac:dyDescent="0.3">
      <c r="A5" s="240"/>
    </row>
    <row r="6" spans="1:5" x14ac:dyDescent="0.25">
      <c r="A6" s="252" t="s">
        <v>38</v>
      </c>
      <c r="B6" s="252"/>
    </row>
    <row r="7" spans="1:5" ht="13" x14ac:dyDescent="0.3">
      <c r="A7" s="28"/>
    </row>
    <row r="8" spans="1:5" ht="13" x14ac:dyDescent="0.3">
      <c r="A8" s="253"/>
      <c r="B8" s="279"/>
      <c r="D8" s="254"/>
      <c r="E8" s="58"/>
    </row>
    <row r="9" spans="1:5" ht="13" x14ac:dyDescent="0.3">
      <c r="A9" s="253"/>
      <c r="B9" s="279"/>
      <c r="C9" s="90"/>
      <c r="D9" s="90"/>
      <c r="E9" s="58"/>
    </row>
    <row r="10" spans="1:5" ht="13" x14ac:dyDescent="0.3">
      <c r="A10" s="253"/>
      <c r="B10" s="279"/>
      <c r="C10" s="90"/>
      <c r="D10" s="90"/>
      <c r="E10" s="58"/>
    </row>
    <row r="11" spans="1:5" x14ac:dyDescent="0.25">
      <c r="B11" s="279"/>
      <c r="C11" s="90"/>
      <c r="D11" s="90"/>
      <c r="E11" s="58"/>
    </row>
    <row r="12" spans="1:5" ht="13.5" thickBot="1" x14ac:dyDescent="0.35">
      <c r="A12" s="253"/>
      <c r="B12" s="279"/>
      <c r="C12" s="90"/>
      <c r="D12" s="90"/>
    </row>
    <row r="13" spans="1:5" ht="13" x14ac:dyDescent="0.3">
      <c r="A13" s="255" t="s">
        <v>63</v>
      </c>
      <c r="B13" s="63" t="s">
        <v>62</v>
      </c>
      <c r="C13" s="63" t="s">
        <v>60</v>
      </c>
      <c r="D13" s="546" t="s">
        <v>61</v>
      </c>
      <c r="E13" s="497"/>
    </row>
    <row r="14" spans="1:5" ht="15" customHeight="1" x14ac:dyDescent="0.4">
      <c r="A14" s="256" t="s">
        <v>285</v>
      </c>
      <c r="B14" s="102"/>
      <c r="C14" s="563" t="s">
        <v>110</v>
      </c>
      <c r="D14" s="556" t="s">
        <v>328</v>
      </c>
      <c r="E14" s="557"/>
    </row>
    <row r="15" spans="1:5" ht="15" customHeight="1" x14ac:dyDescent="0.25">
      <c r="A15" s="45" t="str">
        <f>'Baseline emission'!A304</f>
        <v>26/12/2020-31/12/2020</v>
      </c>
      <c r="B15" s="102">
        <f>'monitoring results'!B28</f>
        <v>16.596999999999998</v>
      </c>
      <c r="C15" s="564"/>
      <c r="D15" s="558"/>
      <c r="E15" s="559"/>
    </row>
    <row r="16" spans="1:5" ht="15" customHeight="1" x14ac:dyDescent="0.25">
      <c r="A16" s="45" t="str">
        <f>'Baseline emission'!A305</f>
        <v>01/01/2021-31/01/2021</v>
      </c>
      <c r="B16" s="102">
        <f>'monitoring results'!B29</f>
        <v>85.622</v>
      </c>
      <c r="C16" s="564"/>
      <c r="D16" s="558"/>
      <c r="E16" s="559"/>
    </row>
    <row r="17" spans="1:5" ht="15" customHeight="1" x14ac:dyDescent="0.25">
      <c r="A17" s="45" t="str">
        <f>'Baseline emission'!A306</f>
        <v>01/02/1021-28/02/2021</v>
      </c>
      <c r="B17" s="102">
        <f>'monitoring results'!B30</f>
        <v>77.182000000000002</v>
      </c>
      <c r="C17" s="564"/>
      <c r="D17" s="558"/>
      <c r="E17" s="559"/>
    </row>
    <row r="18" spans="1:5" ht="15" customHeight="1" x14ac:dyDescent="0.25">
      <c r="A18" s="45" t="str">
        <f>'Baseline emission'!A307</f>
        <v>01/03/2021-31/03/3021</v>
      </c>
      <c r="B18" s="102">
        <f>'monitoring results'!B31</f>
        <v>85.143000000000001</v>
      </c>
      <c r="C18" s="564"/>
      <c r="D18" s="558"/>
      <c r="E18" s="559"/>
    </row>
    <row r="19" spans="1:5" ht="15" customHeight="1" x14ac:dyDescent="0.25">
      <c r="A19" s="45" t="str">
        <f>'Baseline emission'!A308</f>
        <v>01/04/2021-30/04/2021</v>
      </c>
      <c r="B19" s="102">
        <f>'monitoring results'!B32</f>
        <v>82.919999999999973</v>
      </c>
      <c r="C19" s="564"/>
      <c r="D19" s="558"/>
      <c r="E19" s="559"/>
    </row>
    <row r="20" spans="1:5" ht="15" customHeight="1" x14ac:dyDescent="0.25">
      <c r="A20" s="45" t="str">
        <f>'Baseline emission'!A309</f>
        <v>01/05/2021-31/05/2021</v>
      </c>
      <c r="B20" s="102">
        <f>'monitoring results'!B33</f>
        <v>85.634999999999991</v>
      </c>
      <c r="C20" s="564"/>
      <c r="D20" s="558"/>
      <c r="E20" s="559"/>
    </row>
    <row r="21" spans="1:5" ht="15" customHeight="1" x14ac:dyDescent="0.25">
      <c r="A21" s="45" t="str">
        <f>'Baseline emission'!A310</f>
        <v>01/06/2021-30/06/2021</v>
      </c>
      <c r="B21" s="102">
        <f>'monitoring results'!B34</f>
        <v>82.816000000000003</v>
      </c>
      <c r="C21" s="564"/>
      <c r="D21" s="558"/>
      <c r="E21" s="559"/>
    </row>
    <row r="22" spans="1:5" ht="15" customHeight="1" x14ac:dyDescent="0.25">
      <c r="A22" s="45" t="str">
        <f>'Baseline emission'!A311</f>
        <v>01/07/2021-31/07/2021</v>
      </c>
      <c r="B22" s="102">
        <f>'monitoring results'!B35</f>
        <v>85.586000000000013</v>
      </c>
      <c r="C22" s="564"/>
      <c r="D22" s="558"/>
      <c r="E22" s="559"/>
    </row>
    <row r="23" spans="1:5" ht="15" customHeight="1" x14ac:dyDescent="0.25">
      <c r="A23" s="45" t="str">
        <f>'Baseline emission'!A312</f>
        <v>01/08/2021-31/08/2021</v>
      </c>
      <c r="B23" s="102">
        <f>'monitoring results'!B36</f>
        <v>85.440000000000012</v>
      </c>
      <c r="C23" s="564"/>
      <c r="D23" s="558"/>
      <c r="E23" s="559"/>
    </row>
    <row r="24" spans="1:5" ht="15" customHeight="1" x14ac:dyDescent="0.25">
      <c r="A24" s="45" t="str">
        <f>'Baseline emission'!A313</f>
        <v>01/09/2021-30/09/2021</v>
      </c>
      <c r="B24" s="102">
        <f>'monitoring results'!B37</f>
        <v>82.707999999999998</v>
      </c>
      <c r="C24" s="564"/>
      <c r="D24" s="558"/>
      <c r="E24" s="559"/>
    </row>
    <row r="25" spans="1:5" ht="15" customHeight="1" x14ac:dyDescent="0.25">
      <c r="A25" s="45" t="str">
        <f>'Baseline emission'!A314</f>
        <v>01/10/2021-31/10/2021</v>
      </c>
      <c r="B25" s="102">
        <f>'monitoring results'!B38</f>
        <v>85.660999999999987</v>
      </c>
      <c r="C25" s="564"/>
      <c r="D25" s="558"/>
      <c r="E25" s="559"/>
    </row>
    <row r="26" spans="1:5" ht="15" customHeight="1" x14ac:dyDescent="0.25">
      <c r="A26" s="45" t="str">
        <f>'Baseline emission'!A315</f>
        <v>01/11/2021-30/11/2021</v>
      </c>
      <c r="B26" s="102">
        <f>'monitoring results'!B39</f>
        <v>82.673000000000002</v>
      </c>
      <c r="C26" s="564"/>
      <c r="D26" s="558"/>
      <c r="E26" s="559"/>
    </row>
    <row r="27" spans="1:5" ht="15" customHeight="1" x14ac:dyDescent="0.25">
      <c r="A27" s="45" t="str">
        <f>'Baseline emission'!A316</f>
        <v>01/12/2021-31/12/2021</v>
      </c>
      <c r="B27" s="102">
        <f>'monitoring results'!B40</f>
        <v>85.55</v>
      </c>
      <c r="C27" s="564"/>
      <c r="D27" s="558"/>
      <c r="E27" s="559"/>
    </row>
    <row r="28" spans="1:5" ht="15" customHeight="1" x14ac:dyDescent="0.25">
      <c r="A28" s="45" t="str">
        <f>'Baseline emission'!A317</f>
        <v>01/01/2022-31/01/2022</v>
      </c>
      <c r="B28" s="102">
        <f>'monitoring results'!B41</f>
        <v>85.535999999999987</v>
      </c>
      <c r="C28" s="564"/>
      <c r="D28" s="558"/>
      <c r="E28" s="559"/>
    </row>
    <row r="29" spans="1:5" s="444" customFormat="1" ht="15" customHeight="1" x14ac:dyDescent="0.25">
      <c r="A29" s="404" t="str">
        <f>'Baseline emission'!A318</f>
        <v>01/02/2022-28/02/2022</v>
      </c>
      <c r="B29" s="102">
        <f>'monitoring results'!B42</f>
        <v>77.157999999999987</v>
      </c>
      <c r="C29" s="564"/>
      <c r="D29" s="558"/>
      <c r="E29" s="559"/>
    </row>
    <row r="30" spans="1:5" s="444" customFormat="1" ht="15" customHeight="1" x14ac:dyDescent="0.25">
      <c r="A30" s="404" t="str">
        <f>'Baseline emission'!A319</f>
        <v>01/03/2022-31/03/2022</v>
      </c>
      <c r="B30" s="102">
        <f>'monitoring results'!B43</f>
        <v>85.548000000000016</v>
      </c>
      <c r="C30" s="564"/>
      <c r="D30" s="558"/>
      <c r="E30" s="559"/>
    </row>
    <row r="31" spans="1:5" s="444" customFormat="1" ht="15" customHeight="1" x14ac:dyDescent="0.25">
      <c r="A31" s="404" t="str">
        <f>'Baseline emission'!A320</f>
        <v>01/04/2022-30/04/2022</v>
      </c>
      <c r="B31" s="102">
        <f>'monitoring results'!B44</f>
        <v>83.012999999999991</v>
      </c>
      <c r="C31" s="564"/>
      <c r="D31" s="558"/>
      <c r="E31" s="559"/>
    </row>
    <row r="32" spans="1:5" s="444" customFormat="1" ht="15" customHeight="1" x14ac:dyDescent="0.25">
      <c r="A32" s="404" t="str">
        <f>'Baseline emission'!A321</f>
        <v>01/05/2022-31/05/2022</v>
      </c>
      <c r="B32" s="102">
        <f>'monitoring results'!B45</f>
        <v>85.572000000000003</v>
      </c>
      <c r="C32" s="564"/>
      <c r="D32" s="558"/>
      <c r="E32" s="559"/>
    </row>
    <row r="33" spans="1:5" ht="15" customHeight="1" x14ac:dyDescent="0.25">
      <c r="A33" s="404" t="str">
        <f>'Baseline emission'!A322</f>
        <v>01/06/2022-30/06/2022</v>
      </c>
      <c r="B33" s="102">
        <f>'monitoring results'!B46</f>
        <v>82.686999999999998</v>
      </c>
      <c r="C33" s="564"/>
      <c r="D33" s="558"/>
      <c r="E33" s="559"/>
    </row>
    <row r="34" spans="1:5" ht="28" customHeight="1" x14ac:dyDescent="0.4">
      <c r="A34" s="256" t="s">
        <v>286</v>
      </c>
      <c r="B34" s="257">
        <v>0.58955000000000002</v>
      </c>
      <c r="C34" s="229" t="s">
        <v>287</v>
      </c>
      <c r="D34" s="547" t="s">
        <v>126</v>
      </c>
      <c r="E34" s="548"/>
    </row>
    <row r="35" spans="1:5" ht="28.5" customHeight="1" x14ac:dyDescent="0.4">
      <c r="A35" s="256" t="s">
        <v>288</v>
      </c>
      <c r="B35" s="258">
        <v>0.2</v>
      </c>
      <c r="C35" s="229" t="s">
        <v>94</v>
      </c>
      <c r="D35" s="547" t="s">
        <v>127</v>
      </c>
      <c r="E35" s="548"/>
    </row>
    <row r="36" spans="1:5" ht="15" customHeight="1" x14ac:dyDescent="0.4">
      <c r="A36" s="259" t="s">
        <v>289</v>
      </c>
      <c r="B36" s="260">
        <f>B37+B38+B39</f>
        <v>1079</v>
      </c>
      <c r="C36" s="229"/>
      <c r="D36" s="571"/>
      <c r="E36" s="572"/>
    </row>
    <row r="37" spans="1:5" ht="15" customHeight="1" x14ac:dyDescent="0.3">
      <c r="A37" s="261" t="str">
        <f>'Baseline emission'!A323</f>
        <v>26/12/2020-31/12/2020</v>
      </c>
      <c r="B37" s="260">
        <f>ROUNDUP(B15*B34*(1+B35),0)</f>
        <v>12</v>
      </c>
      <c r="C37" s="229" t="s">
        <v>260</v>
      </c>
      <c r="D37" s="565" t="s">
        <v>111</v>
      </c>
      <c r="E37" s="566"/>
    </row>
    <row r="38" spans="1:5" ht="15" customHeight="1" x14ac:dyDescent="0.3">
      <c r="A38" s="261" t="str">
        <f>'Baseline emission'!A324</f>
        <v>01/01/2021-31/12/2021</v>
      </c>
      <c r="B38" s="260">
        <f>ROUNDUP(SUM(B16:B27)*B34*(1+B35),0)</f>
        <v>713</v>
      </c>
      <c r="C38" s="229" t="s">
        <v>260</v>
      </c>
      <c r="D38" s="567"/>
      <c r="E38" s="568"/>
    </row>
    <row r="39" spans="1:5" ht="15" customHeight="1" x14ac:dyDescent="0.3">
      <c r="A39" s="261" t="str">
        <f>'Baseline emission'!A325</f>
        <v>01/01/2022-30/06/2022</v>
      </c>
      <c r="B39" s="260">
        <f>ROUNDUP(SUM(B28:B33)*B34*(1+B35),0)</f>
        <v>354</v>
      </c>
      <c r="C39" s="229" t="s">
        <v>260</v>
      </c>
      <c r="D39" s="569"/>
      <c r="E39" s="570"/>
    </row>
    <row r="40" spans="1:5" ht="23.5" customHeight="1" thickBot="1" x14ac:dyDescent="0.45">
      <c r="A40" s="262" t="s">
        <v>290</v>
      </c>
      <c r="B40" s="313">
        <v>0</v>
      </c>
      <c r="C40" s="263" t="s">
        <v>260</v>
      </c>
      <c r="D40" s="575" t="s">
        <v>128</v>
      </c>
      <c r="E40" s="576"/>
    </row>
    <row r="41" spans="1:5" ht="23.5" customHeight="1" x14ac:dyDescent="0.3">
      <c r="A41" s="253"/>
      <c r="B41" s="280"/>
      <c r="C41" s="264"/>
      <c r="D41" s="265"/>
      <c r="E41" s="265"/>
    </row>
    <row r="42" spans="1:5" ht="23.5" customHeight="1" x14ac:dyDescent="0.3">
      <c r="A42" s="253"/>
      <c r="B42" s="280"/>
      <c r="C42" s="264"/>
      <c r="D42" s="265"/>
      <c r="E42" s="265"/>
    </row>
    <row r="43" spans="1:5" ht="15" customHeight="1" x14ac:dyDescent="0.3">
      <c r="A43" s="253"/>
      <c r="B43" s="279"/>
      <c r="C43" s="90"/>
      <c r="D43" s="90"/>
    </row>
    <row r="44" spans="1:5" ht="15" customHeight="1" x14ac:dyDescent="0.3">
      <c r="A44" s="253"/>
      <c r="B44" s="279"/>
      <c r="C44" s="90"/>
      <c r="D44" s="90"/>
    </row>
    <row r="45" spans="1:5" ht="13.5" thickBot="1" x14ac:dyDescent="0.35">
      <c r="A45" s="253"/>
      <c r="B45" s="279"/>
      <c r="C45" s="90"/>
      <c r="D45" s="90"/>
    </row>
    <row r="46" spans="1:5" ht="13.5" thickBot="1" x14ac:dyDescent="0.35">
      <c r="A46" s="318" t="s">
        <v>63</v>
      </c>
      <c r="B46" s="319" t="s">
        <v>129</v>
      </c>
      <c r="C46" s="319" t="s">
        <v>60</v>
      </c>
      <c r="D46" s="577" t="s">
        <v>4</v>
      </c>
      <c r="E46" s="578"/>
    </row>
    <row r="47" spans="1:5" ht="15.5" x14ac:dyDescent="0.4">
      <c r="A47" s="320" t="s">
        <v>291</v>
      </c>
      <c r="B47" s="321">
        <f>'Baseline emission'!B12</f>
        <v>25</v>
      </c>
      <c r="C47" s="322" t="s">
        <v>278</v>
      </c>
      <c r="D47" s="573" t="s">
        <v>136</v>
      </c>
      <c r="E47" s="574"/>
    </row>
    <row r="48" spans="1:5" ht="15.5" x14ac:dyDescent="0.4">
      <c r="A48" s="38" t="s">
        <v>291</v>
      </c>
      <c r="B48" s="40">
        <f>'Baseline emission'!B13</f>
        <v>28</v>
      </c>
      <c r="C48" s="67" t="s">
        <v>278</v>
      </c>
      <c r="D48" s="579" t="s">
        <v>130</v>
      </c>
      <c r="E48" s="580"/>
    </row>
    <row r="49" spans="1:10" ht="15.5" x14ac:dyDescent="0.4">
      <c r="A49" s="38" t="s">
        <v>292</v>
      </c>
      <c r="B49" s="266">
        <v>0.05</v>
      </c>
      <c r="C49" s="67" t="s">
        <v>293</v>
      </c>
      <c r="D49" s="579" t="s">
        <v>97</v>
      </c>
      <c r="E49" s="580"/>
    </row>
    <row r="50" spans="1:10" ht="15.5" customHeight="1" x14ac:dyDescent="0.25">
      <c r="A50" s="214" t="s">
        <v>294</v>
      </c>
      <c r="B50" s="267"/>
      <c r="C50" s="581" t="s">
        <v>103</v>
      </c>
      <c r="D50" s="556" t="s">
        <v>329</v>
      </c>
      <c r="E50" s="557"/>
    </row>
    <row r="51" spans="1:10" x14ac:dyDescent="0.25">
      <c r="A51" s="45" t="str">
        <f t="shared" ref="A51:A64" si="0">A15</f>
        <v>26/12/2020-31/12/2020</v>
      </c>
      <c r="B51" s="341">
        <f>'monitoring results'!M53</f>
        <v>93.945809512207802</v>
      </c>
      <c r="C51" s="582"/>
      <c r="D51" s="558"/>
      <c r="E51" s="559"/>
    </row>
    <row r="52" spans="1:10" x14ac:dyDescent="0.25">
      <c r="A52" s="45" t="str">
        <f t="shared" si="0"/>
        <v>01/01/2021-31/01/2021</v>
      </c>
      <c r="B52" s="341">
        <f>'monitoring results'!M54</f>
        <v>478.89028415778489</v>
      </c>
      <c r="C52" s="582"/>
      <c r="D52" s="558"/>
      <c r="E52" s="559"/>
    </row>
    <row r="53" spans="1:10" x14ac:dyDescent="0.25">
      <c r="A53" s="45" t="str">
        <f t="shared" si="0"/>
        <v>01/02/1021-28/02/2021</v>
      </c>
      <c r="B53" s="341">
        <f>'monitoring results'!M55</f>
        <v>436.03871760854997</v>
      </c>
      <c r="C53" s="582"/>
      <c r="D53" s="558"/>
      <c r="E53" s="559"/>
    </row>
    <row r="54" spans="1:10" x14ac:dyDescent="0.25">
      <c r="A54" s="45" t="str">
        <f t="shared" si="0"/>
        <v>01/03/2021-31/03/3021</v>
      </c>
      <c r="B54" s="341">
        <f>'monitoring results'!M56</f>
        <v>481.35005729618223</v>
      </c>
      <c r="C54" s="582"/>
      <c r="D54" s="558"/>
      <c r="E54" s="559"/>
    </row>
    <row r="55" spans="1:10" x14ac:dyDescent="0.25">
      <c r="A55" s="45" t="str">
        <f t="shared" si="0"/>
        <v>01/04/2021-30/04/2021</v>
      </c>
      <c r="B55" s="341">
        <f>'monitoring results'!M57</f>
        <v>469.05288181219453</v>
      </c>
      <c r="C55" s="582"/>
      <c r="D55" s="558"/>
      <c r="E55" s="559"/>
    </row>
    <row r="56" spans="1:10" x14ac:dyDescent="0.25">
      <c r="A56" s="45" t="str">
        <f t="shared" si="0"/>
        <v>01/05/2021-31/05/2021</v>
      </c>
      <c r="B56" s="341">
        <f>'monitoring results'!M58</f>
        <v>497.93985925964284</v>
      </c>
      <c r="C56" s="582"/>
      <c r="D56" s="558"/>
      <c r="E56" s="559"/>
      <c r="G56" s="136"/>
      <c r="H56" s="136"/>
      <c r="I56" s="136"/>
      <c r="J56" s="136"/>
    </row>
    <row r="57" spans="1:10" x14ac:dyDescent="0.25">
      <c r="A57" s="45" t="str">
        <f t="shared" si="0"/>
        <v>01/06/2021-30/06/2021</v>
      </c>
      <c r="B57" s="341">
        <f>'monitoring results'!M59</f>
        <v>489.62224560614408</v>
      </c>
      <c r="C57" s="582"/>
      <c r="D57" s="558"/>
      <c r="E57" s="559"/>
    </row>
    <row r="58" spans="1:10" x14ac:dyDescent="0.25">
      <c r="A58" s="45" t="str">
        <f t="shared" si="0"/>
        <v>01/07/2021-31/07/2021</v>
      </c>
      <c r="B58" s="341">
        <f>'monitoring results'!M60</f>
        <v>477.15543405522715</v>
      </c>
      <c r="C58" s="582"/>
      <c r="D58" s="558"/>
      <c r="E58" s="559"/>
    </row>
    <row r="59" spans="1:10" x14ac:dyDescent="0.25">
      <c r="A59" s="45" t="str">
        <f t="shared" si="0"/>
        <v>01/08/2021-31/08/2021</v>
      </c>
      <c r="B59" s="341">
        <f>'monitoring results'!M61</f>
        <v>484.99241228267761</v>
      </c>
      <c r="C59" s="582"/>
      <c r="D59" s="558"/>
      <c r="E59" s="559"/>
    </row>
    <row r="60" spans="1:10" x14ac:dyDescent="0.25">
      <c r="A60" s="45" t="str">
        <f t="shared" si="0"/>
        <v>01/09/2021-30/09/2021</v>
      </c>
      <c r="B60" s="341">
        <f>'monitoring results'!M62</f>
        <v>480.68736726856235</v>
      </c>
      <c r="C60" s="582"/>
      <c r="D60" s="558"/>
      <c r="E60" s="559"/>
    </row>
    <row r="61" spans="1:10" x14ac:dyDescent="0.25">
      <c r="A61" s="45" t="str">
        <f t="shared" si="0"/>
        <v>01/10/2021-31/10/2021</v>
      </c>
      <c r="B61" s="341">
        <f>'monitoring results'!M63</f>
        <v>495.32626199997372</v>
      </c>
      <c r="C61" s="582"/>
      <c r="D61" s="558"/>
      <c r="E61" s="559"/>
    </row>
    <row r="62" spans="1:10" x14ac:dyDescent="0.25">
      <c r="A62" s="45" t="str">
        <f t="shared" si="0"/>
        <v>01/11/2021-30/11/2021</v>
      </c>
      <c r="B62" s="341">
        <f>'monitoring results'!M64</f>
        <v>464.2585942883112</v>
      </c>
      <c r="C62" s="582"/>
      <c r="D62" s="558"/>
      <c r="E62" s="559"/>
    </row>
    <row r="63" spans="1:10" x14ac:dyDescent="0.25">
      <c r="A63" s="45" t="str">
        <f t="shared" si="0"/>
        <v>01/12/2021-31/12/2021</v>
      </c>
      <c r="B63" s="341">
        <f>'monitoring results'!M65</f>
        <v>472.88425342096269</v>
      </c>
      <c r="C63" s="582"/>
      <c r="D63" s="558"/>
      <c r="E63" s="559"/>
    </row>
    <row r="64" spans="1:10" x14ac:dyDescent="0.25">
      <c r="A64" s="45" t="str">
        <f t="shared" si="0"/>
        <v>01/01/2022-31/01/2022</v>
      </c>
      <c r="B64" s="341">
        <f>'monitoring results'!M66</f>
        <v>488.10286724077633</v>
      </c>
      <c r="C64" s="582"/>
      <c r="D64" s="558"/>
      <c r="E64" s="559"/>
    </row>
    <row r="65" spans="1:5" s="444" customFormat="1" x14ac:dyDescent="0.25">
      <c r="A65" s="404" t="str">
        <f t="shared" ref="A65:A69" si="1">A29</f>
        <v>01/02/2022-28/02/2022</v>
      </c>
      <c r="B65" s="341">
        <f>'monitoring results'!M67</f>
        <v>452.84211553346643</v>
      </c>
      <c r="C65" s="582"/>
      <c r="D65" s="558"/>
      <c r="E65" s="559"/>
    </row>
    <row r="66" spans="1:5" s="444" customFormat="1" x14ac:dyDescent="0.25">
      <c r="A66" s="404" t="str">
        <f t="shared" si="1"/>
        <v>01/03/2022-31/03/2022</v>
      </c>
      <c r="B66" s="341">
        <f>'monitoring results'!M68</f>
        <v>497.82404613003303</v>
      </c>
      <c r="C66" s="582"/>
      <c r="D66" s="558"/>
      <c r="E66" s="559"/>
    </row>
    <row r="67" spans="1:5" s="444" customFormat="1" x14ac:dyDescent="0.25">
      <c r="A67" s="404" t="str">
        <f t="shared" si="1"/>
        <v>01/04/2022-30/04/2022</v>
      </c>
      <c r="B67" s="341">
        <f>'monitoring results'!M69</f>
        <v>485.20235769885176</v>
      </c>
      <c r="C67" s="582"/>
      <c r="D67" s="558"/>
      <c r="E67" s="559"/>
    </row>
    <row r="68" spans="1:5" s="444" customFormat="1" x14ac:dyDescent="0.25">
      <c r="A68" s="404" t="str">
        <f t="shared" si="1"/>
        <v>01/05/2022-31/05/2022</v>
      </c>
      <c r="B68" s="341">
        <f>'monitoring results'!M70</f>
        <v>477.29605335846833</v>
      </c>
      <c r="C68" s="582"/>
      <c r="D68" s="558"/>
      <c r="E68" s="559"/>
    </row>
    <row r="69" spans="1:5" x14ac:dyDescent="0.25">
      <c r="A69" s="404" t="str">
        <f t="shared" si="1"/>
        <v>01/06/2022-30/06/2022</v>
      </c>
      <c r="B69" s="341">
        <f>'monitoring results'!M71</f>
        <v>488.0723255374931</v>
      </c>
      <c r="C69" s="582"/>
      <c r="D69" s="558"/>
      <c r="E69" s="559"/>
    </row>
    <row r="70" spans="1:5" ht="15" customHeight="1" x14ac:dyDescent="0.25">
      <c r="A70" s="268" t="s">
        <v>295</v>
      </c>
      <c r="B70" s="269">
        <f>B71+B72+B73</f>
        <v>12182</v>
      </c>
      <c r="C70" s="270" t="s">
        <v>260</v>
      </c>
      <c r="D70" s="550" t="s">
        <v>64</v>
      </c>
      <c r="E70" s="551"/>
    </row>
    <row r="71" spans="1:5" ht="15" customHeight="1" x14ac:dyDescent="0.3">
      <c r="A71" s="53" t="str">
        <f>A37</f>
        <v>26/12/2020-31/12/2020</v>
      </c>
      <c r="B71" s="269">
        <f>INT(SUM(B51)*B47*B49)</f>
        <v>117</v>
      </c>
      <c r="C71" s="270" t="s">
        <v>260</v>
      </c>
      <c r="D71" s="552"/>
      <c r="E71" s="553"/>
    </row>
    <row r="72" spans="1:5" ht="15" customHeight="1" x14ac:dyDescent="0.3">
      <c r="A72" s="53" t="str">
        <f>A38</f>
        <v>01/01/2021-31/12/2021</v>
      </c>
      <c r="B72" s="269">
        <f>INT(SUM(B52:B63)*B48*B49)</f>
        <v>8019</v>
      </c>
      <c r="C72" s="270" t="s">
        <v>260</v>
      </c>
      <c r="D72" s="552"/>
      <c r="E72" s="553"/>
    </row>
    <row r="73" spans="1:5" ht="15" customHeight="1" thickBot="1" x14ac:dyDescent="0.35">
      <c r="A73" s="101" t="str">
        <f>A39</f>
        <v>01/01/2022-30/06/2022</v>
      </c>
      <c r="B73" s="342">
        <f>ROUNDUP(SUM(B64:B69)*B48*B49,0)</f>
        <v>4046</v>
      </c>
      <c r="C73" s="271" t="s">
        <v>260</v>
      </c>
      <c r="D73" s="554"/>
      <c r="E73" s="555"/>
    </row>
    <row r="74" spans="1:5" ht="13" x14ac:dyDescent="0.3">
      <c r="A74" s="272"/>
      <c r="B74" s="86"/>
      <c r="C74" s="28"/>
      <c r="D74" s="28"/>
      <c r="E74" s="28"/>
    </row>
    <row r="75" spans="1:5" ht="13" x14ac:dyDescent="0.3">
      <c r="A75" s="272"/>
      <c r="B75" s="86"/>
      <c r="C75" s="28"/>
      <c r="D75" s="28"/>
      <c r="E75" s="28"/>
    </row>
    <row r="76" spans="1:5" ht="13" x14ac:dyDescent="0.3">
      <c r="A76" s="272"/>
      <c r="B76" s="86"/>
      <c r="C76" s="28"/>
      <c r="D76" s="273"/>
      <c r="E76" s="28"/>
    </row>
    <row r="77" spans="1:5" ht="13" x14ac:dyDescent="0.3">
      <c r="A77" s="272"/>
      <c r="B77" s="86"/>
      <c r="C77" s="28"/>
      <c r="D77" s="28"/>
      <c r="E77" s="28"/>
    </row>
    <row r="78" spans="1:5" ht="13" x14ac:dyDescent="0.3">
      <c r="A78" s="272"/>
      <c r="B78" s="86"/>
      <c r="C78" s="28"/>
      <c r="D78" s="28"/>
      <c r="E78" s="28"/>
    </row>
    <row r="79" spans="1:5" ht="13" x14ac:dyDescent="0.3">
      <c r="A79" s="272"/>
      <c r="B79" s="86"/>
      <c r="C79" s="28"/>
      <c r="D79" s="28"/>
      <c r="E79" s="28"/>
    </row>
    <row r="80" spans="1:5" ht="13.5" thickBot="1" x14ac:dyDescent="0.35">
      <c r="A80" s="272"/>
      <c r="B80" s="86"/>
      <c r="C80" s="28"/>
      <c r="D80" s="28"/>
      <c r="E80" s="28"/>
    </row>
    <row r="81" spans="1:5" ht="13" x14ac:dyDescent="0.3">
      <c r="A81" s="62" t="s">
        <v>63</v>
      </c>
      <c r="B81" s="63" t="s">
        <v>115</v>
      </c>
      <c r="C81" s="63" t="s">
        <v>60</v>
      </c>
      <c r="D81" s="546" t="s">
        <v>4</v>
      </c>
      <c r="E81" s="497"/>
    </row>
    <row r="82" spans="1:5" ht="13" x14ac:dyDescent="0.3">
      <c r="A82" s="64"/>
      <c r="B82" s="65"/>
      <c r="C82" s="65"/>
      <c r="D82" s="492"/>
      <c r="E82" s="498"/>
    </row>
    <row r="83" spans="1:5" ht="15.5" x14ac:dyDescent="0.4">
      <c r="A83" s="38" t="s">
        <v>291</v>
      </c>
      <c r="B83" s="40">
        <f>'Baseline emission'!B12</f>
        <v>25</v>
      </c>
      <c r="C83" s="67" t="s">
        <v>278</v>
      </c>
      <c r="D83" s="579" t="s">
        <v>136</v>
      </c>
      <c r="E83" s="580"/>
    </row>
    <row r="84" spans="1:5" ht="15.5" x14ac:dyDescent="0.4">
      <c r="A84" s="38" t="s">
        <v>291</v>
      </c>
      <c r="B84" s="40">
        <f>'Baseline emission'!B13</f>
        <v>28</v>
      </c>
      <c r="C84" s="67" t="s">
        <v>278</v>
      </c>
      <c r="D84" s="579" t="s">
        <v>130</v>
      </c>
      <c r="E84" s="580"/>
    </row>
    <row r="85" spans="1:5" ht="15.5" x14ac:dyDescent="0.25">
      <c r="A85" s="314" t="s">
        <v>315</v>
      </c>
      <c r="B85" s="40"/>
      <c r="C85" s="67"/>
      <c r="D85" s="579"/>
      <c r="E85" s="580"/>
    </row>
    <row r="86" spans="1:5" ht="12.5" customHeight="1" x14ac:dyDescent="0.25">
      <c r="A86" s="45" t="str">
        <f t="shared" ref="A86:A99" si="2">A51</f>
        <v>26/12/2020-31/12/2020</v>
      </c>
      <c r="B86" s="274">
        <f>'monitoring results'!P53</f>
        <v>0</v>
      </c>
      <c r="C86" s="583" t="s">
        <v>116</v>
      </c>
      <c r="D86" s="560" t="str">
        <f>D50</f>
        <v>calculated, biogas flow, temperature and pressure is sourced from DCS system. CH4 is calculated as equation 19 in MR.</v>
      </c>
      <c r="E86" s="537"/>
    </row>
    <row r="87" spans="1:5" x14ac:dyDescent="0.25">
      <c r="A87" s="45" t="str">
        <f t="shared" si="2"/>
        <v>01/01/2021-31/01/2021</v>
      </c>
      <c r="B87" s="274">
        <f>'monitoring results'!P54</f>
        <v>0</v>
      </c>
      <c r="C87" s="583"/>
      <c r="D87" s="560"/>
      <c r="E87" s="537"/>
    </row>
    <row r="88" spans="1:5" x14ac:dyDescent="0.25">
      <c r="A88" s="45" t="str">
        <f t="shared" si="2"/>
        <v>01/02/1021-28/02/2021</v>
      </c>
      <c r="B88" s="274">
        <f>'monitoring results'!P55</f>
        <v>0</v>
      </c>
      <c r="C88" s="583"/>
      <c r="D88" s="560"/>
      <c r="E88" s="537"/>
    </row>
    <row r="89" spans="1:5" x14ac:dyDescent="0.25">
      <c r="A89" s="45" t="str">
        <f t="shared" si="2"/>
        <v>01/03/2021-31/03/3021</v>
      </c>
      <c r="B89" s="274">
        <f>'monitoring results'!P56</f>
        <v>0</v>
      </c>
      <c r="C89" s="583"/>
      <c r="D89" s="560"/>
      <c r="E89" s="537"/>
    </row>
    <row r="90" spans="1:5" x14ac:dyDescent="0.25">
      <c r="A90" s="45" t="str">
        <f t="shared" si="2"/>
        <v>01/04/2021-30/04/2021</v>
      </c>
      <c r="B90" s="274">
        <f>'monitoring results'!P57</f>
        <v>0</v>
      </c>
      <c r="C90" s="583"/>
      <c r="D90" s="560"/>
      <c r="E90" s="537"/>
    </row>
    <row r="91" spans="1:5" x14ac:dyDescent="0.25">
      <c r="A91" s="45" t="str">
        <f t="shared" si="2"/>
        <v>01/05/2021-31/05/2021</v>
      </c>
      <c r="B91" s="274">
        <f>'monitoring results'!P58</f>
        <v>0</v>
      </c>
      <c r="C91" s="583"/>
      <c r="D91" s="560"/>
      <c r="E91" s="537"/>
    </row>
    <row r="92" spans="1:5" x14ac:dyDescent="0.25">
      <c r="A92" s="45" t="str">
        <f t="shared" si="2"/>
        <v>01/06/2021-30/06/2021</v>
      </c>
      <c r="B92" s="274">
        <f>'monitoring results'!P59</f>
        <v>0</v>
      </c>
      <c r="C92" s="583"/>
      <c r="D92" s="560"/>
      <c r="E92" s="537"/>
    </row>
    <row r="93" spans="1:5" x14ac:dyDescent="0.25">
      <c r="A93" s="45" t="str">
        <f t="shared" si="2"/>
        <v>01/07/2021-31/07/2021</v>
      </c>
      <c r="B93" s="274">
        <f>'monitoring results'!P60</f>
        <v>0</v>
      </c>
      <c r="C93" s="583"/>
      <c r="D93" s="560"/>
      <c r="E93" s="537"/>
    </row>
    <row r="94" spans="1:5" x14ac:dyDescent="0.25">
      <c r="A94" s="45" t="str">
        <f t="shared" si="2"/>
        <v>01/08/2021-31/08/2021</v>
      </c>
      <c r="B94" s="274">
        <f>'monitoring results'!P61</f>
        <v>0</v>
      </c>
      <c r="C94" s="583"/>
      <c r="D94" s="560"/>
      <c r="E94" s="537"/>
    </row>
    <row r="95" spans="1:5" x14ac:dyDescent="0.25">
      <c r="A95" s="45" t="str">
        <f t="shared" si="2"/>
        <v>01/09/2021-30/09/2021</v>
      </c>
      <c r="B95" s="274">
        <f>'monitoring results'!P62</f>
        <v>0</v>
      </c>
      <c r="C95" s="583"/>
      <c r="D95" s="560"/>
      <c r="E95" s="537"/>
    </row>
    <row r="96" spans="1:5" x14ac:dyDescent="0.25">
      <c r="A96" s="45" t="str">
        <f t="shared" si="2"/>
        <v>01/10/2021-31/10/2021</v>
      </c>
      <c r="B96" s="274">
        <f>'monitoring results'!P63</f>
        <v>0</v>
      </c>
      <c r="C96" s="583"/>
      <c r="D96" s="560"/>
      <c r="E96" s="537"/>
    </row>
    <row r="97" spans="1:5" x14ac:dyDescent="0.25">
      <c r="A97" s="45" t="str">
        <f t="shared" si="2"/>
        <v>01/11/2021-30/11/2021</v>
      </c>
      <c r="B97" s="274">
        <f>'monitoring results'!P64</f>
        <v>0</v>
      </c>
      <c r="C97" s="583"/>
      <c r="D97" s="560"/>
      <c r="E97" s="537"/>
    </row>
    <row r="98" spans="1:5" x14ac:dyDescent="0.25">
      <c r="A98" s="45" t="str">
        <f t="shared" si="2"/>
        <v>01/12/2021-31/12/2021</v>
      </c>
      <c r="B98" s="274">
        <f>'monitoring results'!P65</f>
        <v>0</v>
      </c>
      <c r="C98" s="583"/>
      <c r="D98" s="560"/>
      <c r="E98" s="537"/>
    </row>
    <row r="99" spans="1:5" x14ac:dyDescent="0.25">
      <c r="A99" s="45" t="str">
        <f t="shared" si="2"/>
        <v>01/01/2022-31/01/2022</v>
      </c>
      <c r="B99" s="274">
        <f>'monitoring results'!P66</f>
        <v>0</v>
      </c>
      <c r="C99" s="583"/>
      <c r="D99" s="560"/>
      <c r="E99" s="537"/>
    </row>
    <row r="100" spans="1:5" s="444" customFormat="1" x14ac:dyDescent="0.25">
      <c r="A100" s="404" t="str">
        <f t="shared" ref="A100:A104" si="3">A65</f>
        <v>01/02/2022-28/02/2022</v>
      </c>
      <c r="B100" s="274">
        <f>'monitoring results'!P67</f>
        <v>0</v>
      </c>
      <c r="C100" s="583"/>
      <c r="D100" s="560"/>
      <c r="E100" s="537"/>
    </row>
    <row r="101" spans="1:5" s="444" customFormat="1" x14ac:dyDescent="0.25">
      <c r="A101" s="404" t="str">
        <f t="shared" si="3"/>
        <v>01/03/2022-31/03/2022</v>
      </c>
      <c r="B101" s="274">
        <f>'monitoring results'!P68</f>
        <v>0</v>
      </c>
      <c r="C101" s="583"/>
      <c r="D101" s="560"/>
      <c r="E101" s="537"/>
    </row>
    <row r="102" spans="1:5" s="444" customFormat="1" x14ac:dyDescent="0.25">
      <c r="A102" s="404" t="str">
        <f t="shared" si="3"/>
        <v>01/04/2022-30/04/2022</v>
      </c>
      <c r="B102" s="274">
        <f>'monitoring results'!P69</f>
        <v>0</v>
      </c>
      <c r="C102" s="583"/>
      <c r="D102" s="560"/>
      <c r="E102" s="537"/>
    </row>
    <row r="103" spans="1:5" s="444" customFormat="1" x14ac:dyDescent="0.25">
      <c r="A103" s="404" t="str">
        <f t="shared" si="3"/>
        <v>01/05/2022-31/05/2022</v>
      </c>
      <c r="B103" s="274">
        <f>'monitoring results'!P70</f>
        <v>0</v>
      </c>
      <c r="C103" s="583"/>
      <c r="D103" s="560"/>
      <c r="E103" s="537"/>
    </row>
    <row r="104" spans="1:5" x14ac:dyDescent="0.25">
      <c r="A104" s="404" t="str">
        <f t="shared" si="3"/>
        <v>01/06/2022-30/06/2022</v>
      </c>
      <c r="B104" s="274">
        <f>'monitoring results'!P71</f>
        <v>0</v>
      </c>
      <c r="C104" s="583"/>
      <c r="D104" s="560"/>
      <c r="E104" s="537"/>
    </row>
    <row r="105" spans="1:5" ht="15.5" x14ac:dyDescent="0.4">
      <c r="A105" s="45" t="s">
        <v>296</v>
      </c>
      <c r="B105" s="275">
        <v>0</v>
      </c>
      <c r="C105" s="276" t="s">
        <v>94</v>
      </c>
      <c r="D105" s="585" t="s">
        <v>117</v>
      </c>
      <c r="E105" s="586"/>
    </row>
    <row r="106" spans="1:5" ht="15.5" x14ac:dyDescent="0.4">
      <c r="A106" s="45" t="s">
        <v>297</v>
      </c>
      <c r="B106" s="275"/>
      <c r="C106" s="276"/>
      <c r="D106" s="587"/>
      <c r="E106" s="588"/>
    </row>
    <row r="107" spans="1:5" ht="13" x14ac:dyDescent="0.3">
      <c r="A107" s="53" t="str">
        <f>A71</f>
        <v>26/12/2020-31/12/2020</v>
      </c>
      <c r="B107" s="275">
        <f>ROUNDUP(B83*B86*(1-B105)/1000,0)</f>
        <v>0</v>
      </c>
      <c r="C107" s="583" t="s">
        <v>323</v>
      </c>
      <c r="D107" s="585" t="s">
        <v>108</v>
      </c>
      <c r="E107" s="586"/>
    </row>
    <row r="108" spans="1:5" ht="13" x14ac:dyDescent="0.3">
      <c r="A108" s="53" t="str">
        <f>A72</f>
        <v>01/01/2021-31/12/2021</v>
      </c>
      <c r="B108" s="275">
        <f>ROUNDUP(B84*SUM(B87:B98)*(1-B105)/1000,0)</f>
        <v>0</v>
      </c>
      <c r="C108" s="583"/>
      <c r="D108" s="585"/>
      <c r="E108" s="586"/>
    </row>
    <row r="109" spans="1:5" ht="13" x14ac:dyDescent="0.3">
      <c r="A109" s="53" t="str">
        <f>A73</f>
        <v>01/01/2022-30/06/2022</v>
      </c>
      <c r="B109" s="275">
        <f>ROUNDUP(SUM(B99:B104)*B84*(1-B105)/1000,0)</f>
        <v>0</v>
      </c>
      <c r="C109" s="583"/>
      <c r="D109" s="585"/>
      <c r="E109" s="586"/>
    </row>
    <row r="110" spans="1:5" ht="15" x14ac:dyDescent="0.25">
      <c r="A110" s="277" t="s">
        <v>298</v>
      </c>
      <c r="B110" s="275">
        <f>B111+B112+B113</f>
        <v>13261</v>
      </c>
      <c r="C110" s="492" t="s">
        <v>324</v>
      </c>
      <c r="D110" s="585"/>
      <c r="E110" s="586"/>
    </row>
    <row r="111" spans="1:5" ht="13" x14ac:dyDescent="0.25">
      <c r="A111" s="278" t="str">
        <f>A107</f>
        <v>26/12/2020-31/12/2020</v>
      </c>
      <c r="B111" s="275">
        <f>B37+B71+B107</f>
        <v>129</v>
      </c>
      <c r="C111" s="492"/>
      <c r="D111" s="585"/>
      <c r="E111" s="586"/>
    </row>
    <row r="112" spans="1:5" ht="13" x14ac:dyDescent="0.25">
      <c r="A112" s="278" t="str">
        <f t="shared" ref="A112:A113" si="4">A108</f>
        <v>01/01/2021-31/12/2021</v>
      </c>
      <c r="B112" s="275">
        <f>B38+B72+B108</f>
        <v>8732</v>
      </c>
      <c r="C112" s="492"/>
      <c r="D112" s="585"/>
      <c r="E112" s="586"/>
    </row>
    <row r="113" spans="1:5" ht="13.5" thickBot="1" x14ac:dyDescent="0.35">
      <c r="A113" s="75" t="str">
        <f t="shared" si="4"/>
        <v>01/01/2022-30/06/2022</v>
      </c>
      <c r="B113" s="468">
        <f>B39+B73+B109</f>
        <v>4400</v>
      </c>
      <c r="C113" s="504"/>
      <c r="D113" s="589"/>
      <c r="E113" s="590"/>
    </row>
    <row r="114" spans="1:5" ht="13" x14ac:dyDescent="0.3">
      <c r="A114" s="236"/>
      <c r="B114" s="325"/>
      <c r="C114" s="326"/>
      <c r="D114" s="326"/>
      <c r="E114" s="326"/>
    </row>
    <row r="115" spans="1:5" x14ac:dyDescent="0.25">
      <c r="A115" s="236"/>
    </row>
    <row r="116" spans="1:5" ht="13" x14ac:dyDescent="0.3">
      <c r="A116" s="326"/>
    </row>
    <row r="117" spans="1:5" ht="15.5" x14ac:dyDescent="0.25">
      <c r="A117" s="327" t="s">
        <v>330</v>
      </c>
      <c r="B117" s="328"/>
      <c r="C117" s="104"/>
      <c r="D117" s="104"/>
      <c r="E117" s="104"/>
    </row>
    <row r="118" spans="1:5" x14ac:dyDescent="0.25">
      <c r="A118" s="329"/>
      <c r="B118" s="104"/>
      <c r="C118" s="104"/>
      <c r="D118" s="104"/>
      <c r="E118" s="104"/>
    </row>
    <row r="119" spans="1:5" x14ac:dyDescent="0.25">
      <c r="A119" s="329"/>
      <c r="B119" s="104"/>
      <c r="C119" s="104"/>
      <c r="D119" s="104"/>
      <c r="E119" s="330"/>
    </row>
    <row r="120" spans="1:5" x14ac:dyDescent="0.25">
      <c r="A120" s="329"/>
      <c r="B120" s="104"/>
      <c r="C120" s="104"/>
      <c r="D120" s="104"/>
      <c r="E120" s="104"/>
    </row>
    <row r="121" spans="1:5" x14ac:dyDescent="0.25">
      <c r="A121" s="329"/>
      <c r="B121" s="104"/>
      <c r="C121" s="104"/>
      <c r="D121" s="104"/>
      <c r="E121" s="104"/>
    </row>
    <row r="122" spans="1:5" x14ac:dyDescent="0.25">
      <c r="A122" s="329"/>
      <c r="B122" s="104"/>
      <c r="C122" s="104"/>
      <c r="D122" s="104"/>
      <c r="E122" s="104"/>
    </row>
    <row r="123" spans="1:5" ht="13.5" thickBot="1" x14ac:dyDescent="0.3">
      <c r="A123" s="331"/>
      <c r="B123" s="332"/>
      <c r="C123" s="332"/>
      <c r="D123" s="104"/>
      <c r="E123" s="104"/>
    </row>
    <row r="124" spans="1:5" ht="13" x14ac:dyDescent="0.25">
      <c r="A124" s="281" t="s">
        <v>3</v>
      </c>
      <c r="B124" s="282" t="s">
        <v>16</v>
      </c>
      <c r="C124" s="282"/>
      <c r="D124" s="110" t="s">
        <v>2</v>
      </c>
      <c r="E124" s="113" t="s">
        <v>4</v>
      </c>
    </row>
    <row r="125" spans="1:5" ht="13" x14ac:dyDescent="0.25">
      <c r="A125" s="268"/>
      <c r="B125" s="283" t="s">
        <v>30</v>
      </c>
      <c r="C125" s="283" t="s">
        <v>31</v>
      </c>
      <c r="D125" s="102"/>
      <c r="E125" s="284"/>
    </row>
    <row r="126" spans="1:5" ht="15.5" x14ac:dyDescent="0.4">
      <c r="A126" s="214" t="s">
        <v>299</v>
      </c>
      <c r="B126" s="285">
        <f>'Baseline emission'!B12</f>
        <v>25</v>
      </c>
      <c r="C126" s="285">
        <f>B126</f>
        <v>25</v>
      </c>
      <c r="D126" s="67" t="s">
        <v>278</v>
      </c>
      <c r="E126" s="211" t="s">
        <v>136</v>
      </c>
    </row>
    <row r="127" spans="1:5" ht="15.5" x14ac:dyDescent="0.4">
      <c r="A127" s="214" t="s">
        <v>299</v>
      </c>
      <c r="B127" s="285">
        <f>'Baseline emission'!B13</f>
        <v>28</v>
      </c>
      <c r="C127" s="285">
        <f>B127</f>
        <v>28</v>
      </c>
      <c r="D127" s="67" t="s">
        <v>278</v>
      </c>
      <c r="E127" s="211" t="s">
        <v>130</v>
      </c>
    </row>
    <row r="128" spans="1:5" ht="15.5" x14ac:dyDescent="0.25">
      <c r="A128" s="214" t="s">
        <v>300</v>
      </c>
      <c r="B128" s="286">
        <v>6.7000000000000002E-4</v>
      </c>
      <c r="C128" s="286">
        <v>6.7000000000000002E-4</v>
      </c>
      <c r="D128" s="67" t="s">
        <v>271</v>
      </c>
      <c r="E128" s="287" t="s">
        <v>98</v>
      </c>
    </row>
    <row r="129" spans="1:5" x14ac:dyDescent="0.25">
      <c r="A129" s="214"/>
      <c r="B129" s="288">
        <v>1E-3</v>
      </c>
      <c r="C129" s="288">
        <v>1E-3</v>
      </c>
      <c r="D129" s="67" t="s">
        <v>94</v>
      </c>
      <c r="E129" s="287"/>
    </row>
    <row r="130" spans="1:5" ht="15.5" x14ac:dyDescent="0.25">
      <c r="A130" s="214" t="s">
        <v>301</v>
      </c>
      <c r="B130" s="289">
        <v>1</v>
      </c>
      <c r="C130" s="289">
        <v>1</v>
      </c>
      <c r="D130" s="67" t="s">
        <v>94</v>
      </c>
      <c r="E130" s="287"/>
    </row>
    <row r="131" spans="1:5" ht="15.5" x14ac:dyDescent="0.25">
      <c r="A131" s="214" t="s">
        <v>302</v>
      </c>
      <c r="B131" s="289">
        <f>(1-80%)</f>
        <v>0.19999999999999996</v>
      </c>
      <c r="C131" s="289">
        <f>(1-80%)</f>
        <v>0.19999999999999996</v>
      </c>
      <c r="D131" s="67" t="s">
        <v>94</v>
      </c>
      <c r="E131" s="211" t="s">
        <v>134</v>
      </c>
    </row>
    <row r="132" spans="1:5" ht="16" x14ac:dyDescent="0.4">
      <c r="A132" s="214" t="s">
        <v>303</v>
      </c>
      <c r="B132" s="285">
        <v>0.28999999999999998</v>
      </c>
      <c r="C132" s="285">
        <v>0.28999999999999998</v>
      </c>
      <c r="D132" s="67" t="s">
        <v>304</v>
      </c>
      <c r="E132" s="290" t="s">
        <v>99</v>
      </c>
    </row>
    <row r="133" spans="1:5" ht="15.5" x14ac:dyDescent="0.25">
      <c r="A133" s="214" t="s">
        <v>305</v>
      </c>
      <c r="B133" s="291"/>
      <c r="C133" s="291"/>
      <c r="D133" s="536" t="s">
        <v>399</v>
      </c>
      <c r="E133" s="561" t="s">
        <v>327</v>
      </c>
    </row>
    <row r="134" spans="1:5" x14ac:dyDescent="0.25">
      <c r="A134" s="45" t="str">
        <f t="shared" ref="A134:A147" si="5">A86</f>
        <v>26/12/2020-31/12/2020</v>
      </c>
      <c r="B134" s="291">
        <f>'monitoring results'!B4</f>
        <v>89677</v>
      </c>
      <c r="C134" s="291">
        <f>'monitoring results'!C4</f>
        <v>83549</v>
      </c>
      <c r="D134" s="536"/>
      <c r="E134" s="562"/>
    </row>
    <row r="135" spans="1:5" x14ac:dyDescent="0.25">
      <c r="A135" s="45" t="str">
        <f t="shared" si="5"/>
        <v>01/01/2021-31/01/2021</v>
      </c>
      <c r="B135" s="291">
        <f>'monitoring results'!B5</f>
        <v>89677</v>
      </c>
      <c r="C135" s="291">
        <f>'monitoring results'!C5</f>
        <v>83651</v>
      </c>
      <c r="D135" s="536"/>
      <c r="E135" s="562"/>
    </row>
    <row r="136" spans="1:5" x14ac:dyDescent="0.25">
      <c r="A136" s="45" t="str">
        <f t="shared" si="5"/>
        <v>01/02/1021-28/02/2021</v>
      </c>
      <c r="B136" s="291">
        <f>'monitoring results'!B6</f>
        <v>89677</v>
      </c>
      <c r="C136" s="291">
        <f>'monitoring results'!C6</f>
        <v>83599</v>
      </c>
      <c r="D136" s="536"/>
      <c r="E136" s="562"/>
    </row>
    <row r="137" spans="1:5" x14ac:dyDescent="0.25">
      <c r="A137" s="45" t="str">
        <f t="shared" si="5"/>
        <v>01/03/2021-31/03/3021</v>
      </c>
      <c r="B137" s="291">
        <f>'monitoring results'!B7</f>
        <v>89677</v>
      </c>
      <c r="C137" s="291">
        <f>'monitoring results'!C7</f>
        <v>83559</v>
      </c>
      <c r="D137" s="536"/>
      <c r="E137" s="562"/>
    </row>
    <row r="138" spans="1:5" x14ac:dyDescent="0.25">
      <c r="A138" s="45" t="str">
        <f t="shared" si="5"/>
        <v>01/04/2021-30/04/2021</v>
      </c>
      <c r="B138" s="291">
        <f>'monitoring results'!B8</f>
        <v>89677</v>
      </c>
      <c r="C138" s="291">
        <f>'monitoring results'!C8</f>
        <v>83443</v>
      </c>
      <c r="D138" s="536"/>
      <c r="E138" s="562"/>
    </row>
    <row r="139" spans="1:5" x14ac:dyDescent="0.25">
      <c r="A139" s="45" t="str">
        <f t="shared" si="5"/>
        <v>01/05/2021-31/05/2021</v>
      </c>
      <c r="B139" s="291">
        <f>'monitoring results'!B9</f>
        <v>89677</v>
      </c>
      <c r="C139" s="291">
        <f>'monitoring results'!C9</f>
        <v>83653</v>
      </c>
      <c r="D139" s="536"/>
      <c r="E139" s="562"/>
    </row>
    <row r="140" spans="1:5" x14ac:dyDescent="0.25">
      <c r="A140" s="45" t="str">
        <f t="shared" si="5"/>
        <v>01/06/2021-30/06/2021</v>
      </c>
      <c r="B140" s="291">
        <f>'monitoring results'!B10</f>
        <v>89677</v>
      </c>
      <c r="C140" s="291">
        <f>'monitoring results'!C10</f>
        <v>83645</v>
      </c>
      <c r="D140" s="536"/>
      <c r="E140" s="562"/>
    </row>
    <row r="141" spans="1:5" x14ac:dyDescent="0.25">
      <c r="A141" s="45" t="str">
        <f t="shared" si="5"/>
        <v>01/07/2021-31/07/2021</v>
      </c>
      <c r="B141" s="291">
        <f>'monitoring results'!B11</f>
        <v>89677</v>
      </c>
      <c r="C141" s="291">
        <f>'monitoring results'!C11</f>
        <v>83554</v>
      </c>
      <c r="D141" s="536"/>
      <c r="E141" s="562"/>
    </row>
    <row r="142" spans="1:5" x14ac:dyDescent="0.25">
      <c r="A142" s="45" t="str">
        <f t="shared" si="5"/>
        <v>01/08/2021-31/08/2021</v>
      </c>
      <c r="B142" s="291">
        <f>'monitoring results'!B12</f>
        <v>89677</v>
      </c>
      <c r="C142" s="291">
        <f>'monitoring results'!C12</f>
        <v>83420</v>
      </c>
      <c r="D142" s="536"/>
      <c r="E142" s="562"/>
    </row>
    <row r="143" spans="1:5" x14ac:dyDescent="0.25">
      <c r="A143" s="45" t="str">
        <f t="shared" si="5"/>
        <v>01/09/2021-30/09/2021</v>
      </c>
      <c r="B143" s="291">
        <f>'monitoring results'!B13</f>
        <v>89677</v>
      </c>
      <c r="C143" s="291">
        <f>'monitoring results'!C13</f>
        <v>83550</v>
      </c>
      <c r="D143" s="536"/>
      <c r="E143" s="562"/>
    </row>
    <row r="144" spans="1:5" x14ac:dyDescent="0.25">
      <c r="A144" s="45" t="str">
        <f t="shared" si="5"/>
        <v>01/10/2021-31/10/2021</v>
      </c>
      <c r="B144" s="291">
        <f>'monitoring results'!B14</f>
        <v>89677</v>
      </c>
      <c r="C144" s="291">
        <f>'monitoring results'!C14</f>
        <v>83457</v>
      </c>
      <c r="D144" s="536"/>
      <c r="E144" s="562"/>
    </row>
    <row r="145" spans="1:5" x14ac:dyDescent="0.25">
      <c r="A145" s="45" t="str">
        <f t="shared" si="5"/>
        <v>01/11/2021-30/11/2021</v>
      </c>
      <c r="B145" s="291">
        <f>'monitoring results'!B15</f>
        <v>89677</v>
      </c>
      <c r="C145" s="291">
        <f>'monitoring results'!C15</f>
        <v>83548</v>
      </c>
      <c r="D145" s="536"/>
      <c r="E145" s="562"/>
    </row>
    <row r="146" spans="1:5" x14ac:dyDescent="0.25">
      <c r="A146" s="45" t="str">
        <f t="shared" si="5"/>
        <v>01/12/2021-31/12/2021</v>
      </c>
      <c r="B146" s="291">
        <f>'monitoring results'!B16</f>
        <v>89677</v>
      </c>
      <c r="C146" s="291">
        <f>'monitoring results'!C16</f>
        <v>83502</v>
      </c>
      <c r="D146" s="536"/>
      <c r="E146" s="562"/>
    </row>
    <row r="147" spans="1:5" x14ac:dyDescent="0.25">
      <c r="A147" s="45" t="str">
        <f t="shared" si="5"/>
        <v>01/01/2022-31/01/2022</v>
      </c>
      <c r="B147" s="291">
        <f>'monitoring results'!B17</f>
        <v>89677</v>
      </c>
      <c r="C147" s="291">
        <f>'monitoring results'!C17</f>
        <v>83479</v>
      </c>
      <c r="D147" s="536"/>
      <c r="E147" s="562"/>
    </row>
    <row r="148" spans="1:5" s="444" customFormat="1" x14ac:dyDescent="0.25">
      <c r="A148" s="404" t="str">
        <f t="shared" ref="A148:A152" si="6">A100</f>
        <v>01/02/2022-28/02/2022</v>
      </c>
      <c r="B148" s="291">
        <f>'monitoring results'!B18</f>
        <v>89677</v>
      </c>
      <c r="C148" s="291">
        <f>'monitoring results'!C18</f>
        <v>83471</v>
      </c>
      <c r="D148" s="536"/>
      <c r="E148" s="562"/>
    </row>
    <row r="149" spans="1:5" s="444" customFormat="1" x14ac:dyDescent="0.25">
      <c r="A149" s="404" t="str">
        <f t="shared" si="6"/>
        <v>01/03/2022-31/03/2022</v>
      </c>
      <c r="B149" s="291">
        <f>'monitoring results'!B19</f>
        <v>89677</v>
      </c>
      <c r="C149" s="291">
        <f>'monitoring results'!C19</f>
        <v>83597</v>
      </c>
      <c r="D149" s="536"/>
      <c r="E149" s="562"/>
    </row>
    <row r="150" spans="1:5" s="444" customFormat="1" x14ac:dyDescent="0.25">
      <c r="A150" s="404" t="str">
        <f t="shared" si="6"/>
        <v>01/04/2022-30/04/2022</v>
      </c>
      <c r="B150" s="291">
        <f>'monitoring results'!B20</f>
        <v>89677</v>
      </c>
      <c r="C150" s="291">
        <f>'monitoring results'!C20</f>
        <v>83663</v>
      </c>
      <c r="D150" s="536"/>
      <c r="E150" s="562"/>
    </row>
    <row r="151" spans="1:5" s="444" customFormat="1" x14ac:dyDescent="0.25">
      <c r="A151" s="404" t="str">
        <f t="shared" si="6"/>
        <v>01/05/2022-31/05/2022</v>
      </c>
      <c r="B151" s="291">
        <f>'monitoring results'!B21</f>
        <v>89677</v>
      </c>
      <c r="C151" s="291">
        <f>'monitoring results'!C21</f>
        <v>83546</v>
      </c>
      <c r="D151" s="536"/>
      <c r="E151" s="562"/>
    </row>
    <row r="152" spans="1:5" x14ac:dyDescent="0.25">
      <c r="A152" s="404" t="str">
        <f t="shared" si="6"/>
        <v>01/06/2022-30/06/2022</v>
      </c>
      <c r="B152" s="291">
        <f>'monitoring results'!B22</f>
        <v>89677</v>
      </c>
      <c r="C152" s="291">
        <f>'monitoring results'!C22</f>
        <v>83583</v>
      </c>
      <c r="D152" s="536"/>
      <c r="E152" s="562"/>
    </row>
    <row r="153" spans="1:5" ht="15.5" x14ac:dyDescent="0.25">
      <c r="A153" s="214" t="s">
        <v>306</v>
      </c>
      <c r="B153" s="285"/>
      <c r="C153" s="285"/>
      <c r="D153" s="536" t="s">
        <v>96</v>
      </c>
      <c r="E153" s="549" t="s">
        <v>108</v>
      </c>
    </row>
    <row r="154" spans="1:5" x14ac:dyDescent="0.25">
      <c r="A154" s="45" t="str">
        <f t="shared" ref="A154:A167" si="7">A134</f>
        <v>26/12/2020-31/12/2020</v>
      </c>
      <c r="B154" s="285">
        <f>'Baseline emission'!B62</f>
        <v>3.657857142857142</v>
      </c>
      <c r="C154" s="285">
        <f>'Baseline emission'!C62</f>
        <v>4.7828571428571438</v>
      </c>
      <c r="D154" s="536"/>
      <c r="E154" s="549"/>
    </row>
    <row r="155" spans="1:5" x14ac:dyDescent="0.25">
      <c r="A155" s="45" t="str">
        <f t="shared" si="7"/>
        <v>01/01/2021-31/01/2021</v>
      </c>
      <c r="B155" s="285">
        <f>'Baseline emission'!B63</f>
        <v>18.998571428571431</v>
      </c>
      <c r="C155" s="285">
        <f>'Baseline emission'!C63</f>
        <v>25.043571428571433</v>
      </c>
      <c r="D155" s="536"/>
      <c r="E155" s="549"/>
    </row>
    <row r="156" spans="1:5" x14ac:dyDescent="0.25">
      <c r="A156" s="45" t="str">
        <f t="shared" si="7"/>
        <v>01/02/1021-28/02/2021</v>
      </c>
      <c r="B156" s="285">
        <f>'Baseline emission'!B64</f>
        <v>17.009999999999998</v>
      </c>
      <c r="C156" s="285">
        <f>'Baseline emission'!C64</f>
        <v>22.589999999999996</v>
      </c>
      <c r="D156" s="536"/>
      <c r="E156" s="549"/>
    </row>
    <row r="157" spans="1:5" x14ac:dyDescent="0.25">
      <c r="A157" s="45" t="str">
        <f t="shared" si="7"/>
        <v>01/03/2021-31/03/3021</v>
      </c>
      <c r="B157" s="285">
        <f>'Baseline emission'!B65</f>
        <v>18.599999999999998</v>
      </c>
      <c r="C157" s="285">
        <f>'Baseline emission'!C65</f>
        <v>24.877500000000005</v>
      </c>
      <c r="D157" s="536"/>
      <c r="E157" s="549"/>
    </row>
    <row r="158" spans="1:5" x14ac:dyDescent="0.25">
      <c r="A158" s="45" t="str">
        <f t="shared" si="7"/>
        <v>01/04/2021-30/04/2021</v>
      </c>
      <c r="B158" s="285">
        <f>'Baseline emission'!B66</f>
        <v>18.064285714285713</v>
      </c>
      <c r="C158" s="285">
        <f>'Baseline emission'!C66</f>
        <v>24.396428571428572</v>
      </c>
      <c r="D158" s="536"/>
      <c r="E158" s="549"/>
    </row>
    <row r="159" spans="1:5" x14ac:dyDescent="0.25">
      <c r="A159" s="45" t="str">
        <f t="shared" si="7"/>
        <v>01/05/2021-31/05/2021</v>
      </c>
      <c r="B159" s="285">
        <f>'Baseline emission'!B67</f>
        <v>19.197857142857142</v>
      </c>
      <c r="C159" s="285">
        <f>'Baseline emission'!C67</f>
        <v>24.877500000000005</v>
      </c>
      <c r="D159" s="536"/>
      <c r="E159" s="549"/>
    </row>
    <row r="160" spans="1:5" x14ac:dyDescent="0.25">
      <c r="A160" s="45" t="str">
        <f t="shared" si="7"/>
        <v>01/06/2021-30/06/2021</v>
      </c>
      <c r="B160" s="285">
        <f>'Baseline emission'!B68</f>
        <v>17.903571428571428</v>
      </c>
      <c r="C160" s="285">
        <f>'Baseline emission'!C68</f>
        <v>24.460714285714282</v>
      </c>
      <c r="D160" s="536"/>
      <c r="E160" s="549"/>
    </row>
    <row r="161" spans="1:5" x14ac:dyDescent="0.25">
      <c r="A161" s="45" t="str">
        <f t="shared" si="7"/>
        <v>01/07/2021-31/07/2021</v>
      </c>
      <c r="B161" s="285">
        <f>'Baseline emission'!B69</f>
        <v>18.699642857142855</v>
      </c>
      <c r="C161" s="285">
        <f>'Baseline emission'!C69</f>
        <v>24.877500000000005</v>
      </c>
      <c r="D161" s="536"/>
      <c r="E161" s="549"/>
    </row>
    <row r="162" spans="1:5" x14ac:dyDescent="0.25">
      <c r="A162" s="45" t="str">
        <f t="shared" si="7"/>
        <v>01/08/2021-31/08/2021</v>
      </c>
      <c r="B162" s="285">
        <f>'Baseline emission'!B70</f>
        <v>18.599999999999998</v>
      </c>
      <c r="C162" s="285">
        <f>'Baseline emission'!C70</f>
        <v>25.20964285714286</v>
      </c>
      <c r="D162" s="536"/>
      <c r="E162" s="549"/>
    </row>
    <row r="163" spans="1:5" x14ac:dyDescent="0.25">
      <c r="A163" s="45" t="str">
        <f t="shared" si="7"/>
        <v>01/09/2021-30/09/2021</v>
      </c>
      <c r="B163" s="285">
        <f>'Baseline emission'!B71</f>
        <v>17.935714285714283</v>
      </c>
      <c r="C163" s="285">
        <f>'Baseline emission'!C71</f>
        <v>24.171428571428571</v>
      </c>
      <c r="D163" s="536"/>
      <c r="E163" s="549"/>
    </row>
    <row r="164" spans="1:5" x14ac:dyDescent="0.25">
      <c r="A164" s="45" t="str">
        <f t="shared" si="7"/>
        <v>01/10/2021-31/10/2021</v>
      </c>
      <c r="B164" s="285">
        <f>'Baseline emission'!B72</f>
        <v>18.43392857142857</v>
      </c>
      <c r="C164" s="285">
        <f>'Baseline emission'!C72</f>
        <v>25.010357142857142</v>
      </c>
      <c r="D164" s="536"/>
      <c r="E164" s="549"/>
    </row>
    <row r="165" spans="1:5" x14ac:dyDescent="0.25">
      <c r="A165" s="45" t="str">
        <f t="shared" si="7"/>
        <v>01/11/2021-30/11/2021</v>
      </c>
      <c r="B165" s="285">
        <f>'Baseline emission'!B73</f>
        <v>18.128571428571426</v>
      </c>
      <c r="C165" s="285">
        <f>'Baseline emission'!C73</f>
        <v>24.107142857142854</v>
      </c>
      <c r="D165" s="536"/>
      <c r="E165" s="549"/>
    </row>
    <row r="166" spans="1:5" x14ac:dyDescent="0.25">
      <c r="A166" s="45" t="str">
        <f t="shared" si="7"/>
        <v>01/12/2021-31/12/2021</v>
      </c>
      <c r="B166" s="285">
        <f>'Baseline emission'!B74</f>
        <v>18.566785714285711</v>
      </c>
      <c r="C166" s="285">
        <f>'Baseline emission'!C74</f>
        <v>25.043571428571433</v>
      </c>
      <c r="D166" s="536"/>
      <c r="E166" s="549"/>
    </row>
    <row r="167" spans="1:5" x14ac:dyDescent="0.25">
      <c r="A167" s="45" t="str">
        <f t="shared" si="7"/>
        <v>01/01/2022-31/01/2022</v>
      </c>
      <c r="B167" s="285">
        <f>'Baseline emission'!B75</f>
        <v>18.89892857142857</v>
      </c>
      <c r="C167" s="285">
        <f>'Baseline emission'!C75</f>
        <v>25.010357142857142</v>
      </c>
      <c r="D167" s="536"/>
      <c r="E167" s="549"/>
    </row>
    <row r="168" spans="1:5" s="444" customFormat="1" x14ac:dyDescent="0.25">
      <c r="A168" s="404" t="str">
        <f t="shared" ref="A168:A172" si="8">A148</f>
        <v>01/02/2022-28/02/2022</v>
      </c>
      <c r="B168" s="285">
        <f>'Baseline emission'!B76</f>
        <v>16.739999999999998</v>
      </c>
      <c r="C168" s="285">
        <f>'Baseline emission'!C76</f>
        <v>22.68</v>
      </c>
      <c r="D168" s="536"/>
      <c r="E168" s="549"/>
    </row>
    <row r="169" spans="1:5" s="444" customFormat="1" x14ac:dyDescent="0.25">
      <c r="A169" s="404" t="str">
        <f t="shared" si="8"/>
        <v>01/03/2022-31/03/2022</v>
      </c>
      <c r="B169" s="285">
        <f>'Baseline emission'!B77</f>
        <v>18.367499999999996</v>
      </c>
      <c r="C169" s="285">
        <f>'Baseline emission'!C77</f>
        <v>25.11</v>
      </c>
      <c r="D169" s="536"/>
      <c r="E169" s="549"/>
    </row>
    <row r="170" spans="1:5" s="444" customFormat="1" x14ac:dyDescent="0.25">
      <c r="A170" s="404" t="str">
        <f t="shared" si="8"/>
        <v>01/04/2022-30/04/2022</v>
      </c>
      <c r="B170" s="285">
        <f>'Baseline emission'!B78</f>
        <v>18.128571428571426</v>
      </c>
      <c r="C170" s="285">
        <f>'Baseline emission'!C78</f>
        <v>24.171428571428571</v>
      </c>
      <c r="D170" s="536"/>
      <c r="E170" s="549"/>
    </row>
    <row r="171" spans="1:5" s="444" customFormat="1" x14ac:dyDescent="0.25">
      <c r="A171" s="404" t="str">
        <f t="shared" si="8"/>
        <v>01/05/2022-31/05/2022</v>
      </c>
      <c r="B171" s="285">
        <f>'Baseline emission'!B79</f>
        <v>18.666428571428568</v>
      </c>
      <c r="C171" s="285">
        <f>'Baseline emission'!C79</f>
        <v>24.977142857142859</v>
      </c>
      <c r="D171" s="536"/>
      <c r="E171" s="549"/>
    </row>
    <row r="172" spans="1:5" x14ac:dyDescent="0.25">
      <c r="A172" s="404" t="str">
        <f t="shared" si="8"/>
        <v>01/06/2022-30/06/2022</v>
      </c>
      <c r="B172" s="285">
        <f>'Baseline emission'!B80</f>
        <v>18.289285714285711</v>
      </c>
      <c r="C172" s="285">
        <f>'Baseline emission'!C80</f>
        <v>24.139285714285712</v>
      </c>
      <c r="D172" s="536"/>
      <c r="E172" s="549"/>
    </row>
    <row r="173" spans="1:5" ht="15.5" x14ac:dyDescent="0.25">
      <c r="A173" s="214" t="s">
        <v>307</v>
      </c>
      <c r="B173" s="289">
        <v>1</v>
      </c>
      <c r="C173" s="289">
        <v>1</v>
      </c>
      <c r="D173" s="67" t="s">
        <v>94</v>
      </c>
      <c r="E173" s="287" t="s">
        <v>131</v>
      </c>
    </row>
    <row r="174" spans="1:5" ht="15.5" x14ac:dyDescent="0.25">
      <c r="A174" s="214" t="s">
        <v>308</v>
      </c>
      <c r="B174" s="289"/>
      <c r="C174" s="289"/>
      <c r="D174" s="67"/>
      <c r="E174" s="287"/>
    </row>
    <row r="175" spans="1:5" x14ac:dyDescent="0.25">
      <c r="A175" s="45" t="str">
        <f t="shared" ref="A175:A188" si="9">A154</f>
        <v>26/12/2020-31/12/2020</v>
      </c>
      <c r="B175" s="285">
        <f>ROUNDUP(B126*B128*B129*B130*B131*B132*B134*B154*B173,0)</f>
        <v>1</v>
      </c>
      <c r="C175" s="387">
        <f>ROUNDUP(C126*C128*C129*C130*C131*C132*C134*C154*C173,0)</f>
        <v>1</v>
      </c>
      <c r="D175" s="536" t="s">
        <v>260</v>
      </c>
      <c r="E175" s="549" t="s">
        <v>108</v>
      </c>
    </row>
    <row r="176" spans="1:5" x14ac:dyDescent="0.25">
      <c r="A176" s="45" t="str">
        <f t="shared" si="9"/>
        <v>01/01/2021-31/01/2021</v>
      </c>
      <c r="B176" s="285">
        <f t="shared" ref="B176:B188" si="10">ROUNDUP($B$127*$B$128*$B$129*$B$130*$B$131*$B$132*B135*B155*$B$173,0)</f>
        <v>2</v>
      </c>
      <c r="C176" s="387">
        <f t="shared" ref="C176:C188" si="11">ROUNDUP($C$127*$C$128*$C$129*$C$130*$C$131*$C$132*C135*C155*$C$173,0)</f>
        <v>3</v>
      </c>
      <c r="D176" s="536"/>
      <c r="E176" s="549"/>
    </row>
    <row r="177" spans="1:5" x14ac:dyDescent="0.25">
      <c r="A177" s="45" t="str">
        <f t="shared" si="9"/>
        <v>01/02/1021-28/02/2021</v>
      </c>
      <c r="B177" s="285">
        <f t="shared" si="10"/>
        <v>2</v>
      </c>
      <c r="C177" s="387">
        <f t="shared" si="11"/>
        <v>3</v>
      </c>
      <c r="D177" s="536"/>
      <c r="E177" s="549"/>
    </row>
    <row r="178" spans="1:5" x14ac:dyDescent="0.25">
      <c r="A178" s="45" t="str">
        <f t="shared" si="9"/>
        <v>01/03/2021-31/03/3021</v>
      </c>
      <c r="B178" s="285">
        <f t="shared" si="10"/>
        <v>2</v>
      </c>
      <c r="C178" s="387">
        <f>ROUNDUP($C$127*$C$128*$C$129*$C$130*$C$131*$C$132*C137*C157*$C$173,0)</f>
        <v>3</v>
      </c>
      <c r="D178" s="536"/>
      <c r="E178" s="549"/>
    </row>
    <row r="179" spans="1:5" x14ac:dyDescent="0.25">
      <c r="A179" s="45" t="str">
        <f t="shared" si="9"/>
        <v>01/04/2021-30/04/2021</v>
      </c>
      <c r="B179" s="285">
        <f t="shared" si="10"/>
        <v>2</v>
      </c>
      <c r="C179" s="387">
        <f t="shared" si="11"/>
        <v>3</v>
      </c>
      <c r="D179" s="536"/>
      <c r="E179" s="549"/>
    </row>
    <row r="180" spans="1:5" x14ac:dyDescent="0.25">
      <c r="A180" s="45" t="str">
        <f t="shared" si="9"/>
        <v>01/05/2021-31/05/2021</v>
      </c>
      <c r="B180" s="285">
        <f t="shared" si="10"/>
        <v>2</v>
      </c>
      <c r="C180" s="387">
        <f t="shared" si="11"/>
        <v>3</v>
      </c>
      <c r="D180" s="536"/>
      <c r="E180" s="549"/>
    </row>
    <row r="181" spans="1:5" x14ac:dyDescent="0.25">
      <c r="A181" s="45" t="str">
        <f t="shared" si="9"/>
        <v>01/06/2021-30/06/2021</v>
      </c>
      <c r="B181" s="285">
        <f t="shared" si="10"/>
        <v>2</v>
      </c>
      <c r="C181" s="387">
        <f t="shared" si="11"/>
        <v>3</v>
      </c>
      <c r="D181" s="536"/>
      <c r="E181" s="549"/>
    </row>
    <row r="182" spans="1:5" x14ac:dyDescent="0.25">
      <c r="A182" s="45" t="str">
        <f t="shared" si="9"/>
        <v>01/07/2021-31/07/2021</v>
      </c>
      <c r="B182" s="285">
        <f t="shared" si="10"/>
        <v>2</v>
      </c>
      <c r="C182" s="387">
        <f t="shared" si="11"/>
        <v>3</v>
      </c>
      <c r="D182" s="536"/>
      <c r="E182" s="549"/>
    </row>
    <row r="183" spans="1:5" x14ac:dyDescent="0.25">
      <c r="A183" s="45" t="str">
        <f t="shared" si="9"/>
        <v>01/08/2021-31/08/2021</v>
      </c>
      <c r="B183" s="285">
        <f t="shared" si="10"/>
        <v>2</v>
      </c>
      <c r="C183" s="387">
        <f t="shared" si="11"/>
        <v>3</v>
      </c>
      <c r="D183" s="536"/>
      <c r="E183" s="549"/>
    </row>
    <row r="184" spans="1:5" x14ac:dyDescent="0.25">
      <c r="A184" s="45" t="str">
        <f t="shared" si="9"/>
        <v>01/09/2021-30/09/2021</v>
      </c>
      <c r="B184" s="285">
        <f t="shared" si="10"/>
        <v>2</v>
      </c>
      <c r="C184" s="387">
        <f t="shared" si="11"/>
        <v>3</v>
      </c>
      <c r="D184" s="536"/>
      <c r="E184" s="549"/>
    </row>
    <row r="185" spans="1:5" x14ac:dyDescent="0.25">
      <c r="A185" s="45" t="str">
        <f t="shared" si="9"/>
        <v>01/10/2021-31/10/2021</v>
      </c>
      <c r="B185" s="285">
        <f t="shared" si="10"/>
        <v>2</v>
      </c>
      <c r="C185" s="387">
        <f t="shared" si="11"/>
        <v>3</v>
      </c>
      <c r="D185" s="536"/>
      <c r="E185" s="549"/>
    </row>
    <row r="186" spans="1:5" x14ac:dyDescent="0.25">
      <c r="A186" s="45" t="str">
        <f t="shared" si="9"/>
        <v>01/11/2021-30/11/2021</v>
      </c>
      <c r="B186" s="285">
        <f t="shared" si="10"/>
        <v>2</v>
      </c>
      <c r="C186" s="387">
        <f t="shared" si="11"/>
        <v>3</v>
      </c>
      <c r="D186" s="536"/>
      <c r="E186" s="549"/>
    </row>
    <row r="187" spans="1:5" x14ac:dyDescent="0.25">
      <c r="A187" s="45" t="str">
        <f t="shared" si="9"/>
        <v>01/12/2021-31/12/2021</v>
      </c>
      <c r="B187" s="285">
        <f t="shared" si="10"/>
        <v>2</v>
      </c>
      <c r="C187" s="387">
        <f t="shared" si="11"/>
        <v>3</v>
      </c>
      <c r="D187" s="536"/>
      <c r="E187" s="549"/>
    </row>
    <row r="188" spans="1:5" x14ac:dyDescent="0.25">
      <c r="A188" s="45" t="str">
        <f t="shared" si="9"/>
        <v>01/01/2022-31/01/2022</v>
      </c>
      <c r="B188" s="285">
        <f t="shared" si="10"/>
        <v>2</v>
      </c>
      <c r="C188" s="387">
        <f t="shared" si="11"/>
        <v>3</v>
      </c>
      <c r="D188" s="536"/>
      <c r="E188" s="549"/>
    </row>
    <row r="189" spans="1:5" s="444" customFormat="1" x14ac:dyDescent="0.25">
      <c r="A189" s="404" t="str">
        <f t="shared" ref="A189:A193" si="12">A168</f>
        <v>01/02/2022-28/02/2022</v>
      </c>
      <c r="B189" s="285">
        <f t="shared" ref="B189:B193" si="13">ROUNDUP($B$127*$B$128*$B$129*$B$130*$B$131*$B$132*B148*B168*$B$173,0)</f>
        <v>2</v>
      </c>
      <c r="C189" s="387">
        <f t="shared" ref="C189:C193" si="14">ROUNDUP($C$127*$C$128*$C$129*$C$130*$C$131*$C$132*C148*C168*$C$173,0)</f>
        <v>3</v>
      </c>
      <c r="D189" s="536"/>
      <c r="E189" s="549"/>
    </row>
    <row r="190" spans="1:5" s="444" customFormat="1" x14ac:dyDescent="0.25">
      <c r="A190" s="404" t="str">
        <f t="shared" si="12"/>
        <v>01/03/2022-31/03/2022</v>
      </c>
      <c r="B190" s="285">
        <f t="shared" si="13"/>
        <v>2</v>
      </c>
      <c r="C190" s="387">
        <f t="shared" si="14"/>
        <v>3</v>
      </c>
      <c r="D190" s="536"/>
      <c r="E190" s="549"/>
    </row>
    <row r="191" spans="1:5" s="444" customFormat="1" x14ac:dyDescent="0.25">
      <c r="A191" s="404" t="str">
        <f t="shared" si="12"/>
        <v>01/04/2022-30/04/2022</v>
      </c>
      <c r="B191" s="285">
        <f t="shared" si="13"/>
        <v>2</v>
      </c>
      <c r="C191" s="387">
        <f t="shared" si="14"/>
        <v>3</v>
      </c>
      <c r="D191" s="536"/>
      <c r="E191" s="549"/>
    </row>
    <row r="192" spans="1:5" s="444" customFormat="1" x14ac:dyDescent="0.25">
      <c r="A192" s="404" t="str">
        <f t="shared" si="12"/>
        <v>01/05/2022-31/05/2022</v>
      </c>
      <c r="B192" s="285">
        <f t="shared" si="13"/>
        <v>2</v>
      </c>
      <c r="C192" s="387">
        <f t="shared" si="14"/>
        <v>3</v>
      </c>
      <c r="D192" s="536"/>
      <c r="E192" s="549"/>
    </row>
    <row r="193" spans="1:5" x14ac:dyDescent="0.25">
      <c r="A193" s="404" t="str">
        <f t="shared" si="12"/>
        <v>01/06/2022-30/06/2022</v>
      </c>
      <c r="B193" s="285">
        <f t="shared" si="13"/>
        <v>2</v>
      </c>
      <c r="C193" s="387">
        <f t="shared" si="14"/>
        <v>3</v>
      </c>
      <c r="D193" s="536"/>
      <c r="E193" s="549"/>
    </row>
    <row r="194" spans="1:5" ht="15.5" x14ac:dyDescent="0.4">
      <c r="A194" s="53" t="str">
        <f>A111</f>
        <v>26/12/2020-31/12/2020</v>
      </c>
      <c r="B194" s="584">
        <f>B175+C175</f>
        <v>2</v>
      </c>
      <c r="C194" s="584"/>
      <c r="D194" s="67" t="s">
        <v>260</v>
      </c>
      <c r="E194" s="103" t="s">
        <v>108</v>
      </c>
    </row>
    <row r="195" spans="1:5" ht="15.5" x14ac:dyDescent="0.4">
      <c r="A195" s="53" t="str">
        <f>A112</f>
        <v>01/01/2021-31/12/2021</v>
      </c>
      <c r="B195" s="584">
        <f>SUM(B176:C187)</f>
        <v>60</v>
      </c>
      <c r="C195" s="584"/>
      <c r="D195" s="67" t="s">
        <v>260</v>
      </c>
      <c r="E195" s="103" t="s">
        <v>108</v>
      </c>
    </row>
    <row r="196" spans="1:5" ht="15.5" x14ac:dyDescent="0.4">
      <c r="A196" s="53" t="str">
        <f>A113</f>
        <v>01/01/2022-30/06/2022</v>
      </c>
      <c r="B196" s="584">
        <f>SUM(B188:C193)</f>
        <v>30</v>
      </c>
      <c r="C196" s="584"/>
      <c r="D196" s="67" t="s">
        <v>260</v>
      </c>
      <c r="E196" s="103" t="s">
        <v>108</v>
      </c>
    </row>
    <row r="197" spans="1:5" ht="16" thickBot="1" x14ac:dyDescent="0.45">
      <c r="A197" s="292" t="s">
        <v>309</v>
      </c>
      <c r="B197" s="592">
        <f>B194+B195+B196</f>
        <v>92</v>
      </c>
      <c r="C197" s="592"/>
      <c r="D197" s="76" t="s">
        <v>260</v>
      </c>
      <c r="E197" s="293" t="s">
        <v>108</v>
      </c>
    </row>
    <row r="198" spans="1:5" x14ac:dyDescent="0.25">
      <c r="A198" s="279"/>
    </row>
    <row r="199" spans="1:5" x14ac:dyDescent="0.25">
      <c r="A199" s="294" t="s">
        <v>39</v>
      </c>
    </row>
    <row r="200" spans="1:5" x14ac:dyDescent="0.25">
      <c r="A200" s="279"/>
    </row>
    <row r="201" spans="1:5" x14ac:dyDescent="0.25">
      <c r="A201" s="279"/>
      <c r="D201" s="30"/>
    </row>
    <row r="202" spans="1:5" ht="13" x14ac:dyDescent="0.3">
      <c r="A202" s="28"/>
      <c r="D202" s="30"/>
    </row>
    <row r="203" spans="1:5" ht="13" x14ac:dyDescent="0.3">
      <c r="A203" s="28"/>
      <c r="D203" s="30"/>
    </row>
    <row r="204" spans="1:5" ht="13" x14ac:dyDescent="0.3">
      <c r="A204" s="28"/>
      <c r="D204" s="30"/>
    </row>
    <row r="205" spans="1:5" ht="13" x14ac:dyDescent="0.3">
      <c r="A205" s="28"/>
      <c r="D205" s="30"/>
    </row>
    <row r="206" spans="1:5" ht="15" x14ac:dyDescent="0.4">
      <c r="A206" s="295" t="s">
        <v>310</v>
      </c>
      <c r="B206" s="242"/>
    </row>
    <row r="207" spans="1:5" ht="13.5" thickBot="1" x14ac:dyDescent="0.35">
      <c r="A207" s="253"/>
    </row>
    <row r="208" spans="1:5" ht="13" x14ac:dyDescent="0.3">
      <c r="A208" s="62" t="s">
        <v>3</v>
      </c>
      <c r="B208" s="351" t="s">
        <v>16</v>
      </c>
      <c r="C208" s="351"/>
      <c r="D208" s="351" t="s">
        <v>2</v>
      </c>
      <c r="E208" s="352" t="s">
        <v>4</v>
      </c>
    </row>
    <row r="209" spans="1:9" s="35" customFormat="1" ht="13" x14ac:dyDescent="0.3">
      <c r="A209" s="64"/>
      <c r="B209" s="345" t="s">
        <v>30</v>
      </c>
      <c r="C209" s="345" t="s">
        <v>31</v>
      </c>
      <c r="D209" s="345"/>
      <c r="E209" s="356"/>
      <c r="F209" s="29"/>
      <c r="G209" s="29"/>
      <c r="H209" s="29"/>
      <c r="I209" s="29"/>
    </row>
    <row r="210" spans="1:9" ht="36.5" customHeight="1" x14ac:dyDescent="0.25">
      <c r="A210" s="214" t="s">
        <v>316</v>
      </c>
      <c r="B210" s="296">
        <v>0</v>
      </c>
      <c r="C210" s="296">
        <v>0</v>
      </c>
      <c r="D210" s="354" t="s">
        <v>187</v>
      </c>
      <c r="E210" s="357" t="s">
        <v>65</v>
      </c>
    </row>
    <row r="211" spans="1:9" ht="15.5" x14ac:dyDescent="0.25">
      <c r="A211" s="214" t="s">
        <v>325</v>
      </c>
      <c r="B211" s="297"/>
      <c r="C211" s="297"/>
      <c r="D211" s="487" t="s">
        <v>70</v>
      </c>
      <c r="E211" s="489" t="s">
        <v>111</v>
      </c>
    </row>
    <row r="212" spans="1:9" x14ac:dyDescent="0.25">
      <c r="A212" s="45" t="str">
        <f t="shared" ref="A212:A225" si="15">A175</f>
        <v>26/12/2020-31/12/2020</v>
      </c>
      <c r="B212" s="297">
        <f>'Baseline emission'!B185</f>
        <v>0.14338799999999999</v>
      </c>
      <c r="C212" s="297">
        <f>'Baseline emission'!C185</f>
        <v>0.107136</v>
      </c>
      <c r="D212" s="488"/>
      <c r="E212" s="490"/>
    </row>
    <row r="213" spans="1:9" x14ac:dyDescent="0.25">
      <c r="A213" s="45" t="str">
        <f t="shared" si="15"/>
        <v>01/01/2021-31/01/2021</v>
      </c>
      <c r="B213" s="297">
        <f>'Baseline emission'!B186</f>
        <v>0.74474400000000007</v>
      </c>
      <c r="C213" s="297">
        <f>'Baseline emission'!C186</f>
        <v>0.56097600000000003</v>
      </c>
      <c r="D213" s="488"/>
      <c r="E213" s="490"/>
    </row>
    <row r="214" spans="1:9" x14ac:dyDescent="0.25">
      <c r="A214" s="45" t="str">
        <f t="shared" si="15"/>
        <v>01/02/1021-28/02/2021</v>
      </c>
      <c r="B214" s="297">
        <f>'Baseline emission'!B187</f>
        <v>0.66679200000000005</v>
      </c>
      <c r="C214" s="297">
        <f>'Baseline emission'!C187</f>
        <v>0.50601599999999991</v>
      </c>
      <c r="D214" s="488"/>
      <c r="E214" s="490"/>
    </row>
    <row r="215" spans="1:9" x14ac:dyDescent="0.25">
      <c r="A215" s="45" t="str">
        <f t="shared" si="15"/>
        <v>01/03/2021-31/03/3021</v>
      </c>
      <c r="B215" s="297">
        <f>'Baseline emission'!B188</f>
        <v>0.72911999999999999</v>
      </c>
      <c r="C215" s="297">
        <f>'Baseline emission'!C188</f>
        <v>0.55725599999999997</v>
      </c>
      <c r="D215" s="488"/>
      <c r="E215" s="490"/>
    </row>
    <row r="216" spans="1:9" x14ac:dyDescent="0.25">
      <c r="A216" s="45" t="str">
        <f t="shared" si="15"/>
        <v>01/04/2021-30/04/2021</v>
      </c>
      <c r="B216" s="297">
        <f>'Baseline emission'!B189</f>
        <v>0.70811999999999997</v>
      </c>
      <c r="C216" s="297">
        <f>'Baseline emission'!C189</f>
        <v>0.54647999999999997</v>
      </c>
      <c r="D216" s="488"/>
      <c r="E216" s="490"/>
    </row>
    <row r="217" spans="1:9" x14ac:dyDescent="0.25">
      <c r="A217" s="45" t="str">
        <f t="shared" si="15"/>
        <v>01/05/2021-31/05/2021</v>
      </c>
      <c r="B217" s="297">
        <f>'Baseline emission'!B190</f>
        <v>0.75255599999999989</v>
      </c>
      <c r="C217" s="297">
        <f>'Baseline emission'!C190</f>
        <v>0.55725599999999997</v>
      </c>
      <c r="D217" s="488"/>
      <c r="E217" s="490"/>
    </row>
    <row r="218" spans="1:9" x14ac:dyDescent="0.25">
      <c r="A218" s="45" t="str">
        <f t="shared" si="15"/>
        <v>01/06/2021-30/06/2021</v>
      </c>
      <c r="B218" s="297">
        <f>'Baseline emission'!B191</f>
        <v>0.70182</v>
      </c>
      <c r="C218" s="297">
        <f>'Baseline emission'!C191</f>
        <v>0.54791999999999985</v>
      </c>
      <c r="D218" s="488"/>
      <c r="E218" s="490"/>
    </row>
    <row r="219" spans="1:9" x14ac:dyDescent="0.25">
      <c r="A219" s="45" t="str">
        <f t="shared" si="15"/>
        <v>01/07/2021-31/07/2021</v>
      </c>
      <c r="B219" s="297">
        <f>'Baseline emission'!B192</f>
        <v>0.73302599999999996</v>
      </c>
      <c r="C219" s="297">
        <f>'Baseline emission'!C192</f>
        <v>0.55725599999999997</v>
      </c>
      <c r="D219" s="488"/>
      <c r="E219" s="490"/>
    </row>
    <row r="220" spans="1:9" x14ac:dyDescent="0.25">
      <c r="A220" s="45" t="str">
        <f t="shared" si="15"/>
        <v>01/08/2021-31/08/2021</v>
      </c>
      <c r="B220" s="297">
        <f>'Baseline emission'!B193</f>
        <v>0.72911999999999999</v>
      </c>
      <c r="C220" s="297">
        <f>'Baseline emission'!C193</f>
        <v>0.56469599999999998</v>
      </c>
      <c r="D220" s="488"/>
      <c r="E220" s="490"/>
    </row>
    <row r="221" spans="1:9" x14ac:dyDescent="0.25">
      <c r="A221" s="45" t="str">
        <f t="shared" si="15"/>
        <v>01/09/2021-30/09/2021</v>
      </c>
      <c r="B221" s="297">
        <f>'Baseline emission'!B194</f>
        <v>0.70307999999999993</v>
      </c>
      <c r="C221" s="297">
        <f>'Baseline emission'!C194</f>
        <v>0.54143999999999992</v>
      </c>
      <c r="D221" s="488"/>
      <c r="E221" s="490"/>
    </row>
    <row r="222" spans="1:9" x14ac:dyDescent="0.25">
      <c r="A222" s="45" t="str">
        <f t="shared" si="15"/>
        <v>01/10/2021-31/10/2021</v>
      </c>
      <c r="B222" s="297">
        <f>'Baseline emission'!B195</f>
        <v>0.72260999999999997</v>
      </c>
      <c r="C222" s="297">
        <f>'Baseline emission'!C195</f>
        <v>0.56023199999999984</v>
      </c>
      <c r="D222" s="488"/>
      <c r="E222" s="490"/>
    </row>
    <row r="223" spans="1:9" x14ac:dyDescent="0.25">
      <c r="A223" s="45" t="str">
        <f t="shared" si="15"/>
        <v>01/11/2021-30/11/2021</v>
      </c>
      <c r="B223" s="297">
        <f>'Baseline emission'!B196</f>
        <v>0.71063999999999994</v>
      </c>
      <c r="C223" s="297">
        <f>'Baseline emission'!C196</f>
        <v>0.53999999999999992</v>
      </c>
      <c r="D223" s="488"/>
      <c r="E223" s="490"/>
    </row>
    <row r="224" spans="1:9" x14ac:dyDescent="0.25">
      <c r="A224" s="45" t="str">
        <f t="shared" si="15"/>
        <v>01/12/2021-31/12/2021</v>
      </c>
      <c r="B224" s="297">
        <f>'Baseline emission'!B197</f>
        <v>0.72781799999999996</v>
      </c>
      <c r="C224" s="297">
        <f>'Baseline emission'!C197</f>
        <v>0.56097600000000003</v>
      </c>
      <c r="D224" s="488"/>
      <c r="E224" s="490"/>
    </row>
    <row r="225" spans="1:5" x14ac:dyDescent="0.25">
      <c r="A225" s="45" t="str">
        <f t="shared" si="15"/>
        <v>01/01/2022-31/01/2022</v>
      </c>
      <c r="B225" s="297">
        <f>'Baseline emission'!B198</f>
        <v>0.740838</v>
      </c>
      <c r="C225" s="297">
        <f>'Baseline emission'!C198</f>
        <v>0.56023199999999984</v>
      </c>
      <c r="D225" s="488"/>
      <c r="E225" s="490"/>
    </row>
    <row r="226" spans="1:5" s="444" customFormat="1" x14ac:dyDescent="0.25">
      <c r="A226" s="404" t="str">
        <f t="shared" ref="A226:A230" si="16">A189</f>
        <v>01/02/2022-28/02/2022</v>
      </c>
      <c r="B226" s="297">
        <f>'Baseline emission'!B199</f>
        <v>0.65620800000000001</v>
      </c>
      <c r="C226" s="297">
        <f>'Baseline emission'!C199</f>
        <v>0.50803199999999993</v>
      </c>
      <c r="D226" s="488"/>
      <c r="E226" s="490"/>
    </row>
    <row r="227" spans="1:5" s="444" customFormat="1" x14ac:dyDescent="0.25">
      <c r="A227" s="404" t="str">
        <f t="shared" si="16"/>
        <v>01/03/2022-31/03/2022</v>
      </c>
      <c r="B227" s="297">
        <f>'Baseline emission'!B200</f>
        <v>0.72000599999999992</v>
      </c>
      <c r="C227" s="297">
        <f>'Baseline emission'!C200</f>
        <v>0.56246399999999985</v>
      </c>
      <c r="D227" s="488"/>
      <c r="E227" s="490"/>
    </row>
    <row r="228" spans="1:5" s="444" customFormat="1" x14ac:dyDescent="0.25">
      <c r="A228" s="404" t="str">
        <f t="shared" si="16"/>
        <v>01/04/2022-30/04/2022</v>
      </c>
      <c r="B228" s="297">
        <f>'Baseline emission'!B201</f>
        <v>0.71063999999999994</v>
      </c>
      <c r="C228" s="297">
        <f>'Baseline emission'!C201</f>
        <v>0.54143999999999992</v>
      </c>
      <c r="D228" s="488"/>
      <c r="E228" s="490"/>
    </row>
    <row r="229" spans="1:5" s="444" customFormat="1" x14ac:dyDescent="0.25">
      <c r="A229" s="404" t="str">
        <f t="shared" si="16"/>
        <v>01/05/2022-31/05/2022</v>
      </c>
      <c r="B229" s="297">
        <f>'Baseline emission'!B202</f>
        <v>0.73172399999999993</v>
      </c>
      <c r="C229" s="297">
        <f>'Baseline emission'!C202</f>
        <v>0.55948799999999999</v>
      </c>
      <c r="D229" s="488"/>
      <c r="E229" s="490"/>
    </row>
    <row r="230" spans="1:5" x14ac:dyDescent="0.25">
      <c r="A230" s="404" t="str">
        <f t="shared" si="16"/>
        <v>01/06/2022-30/06/2022</v>
      </c>
      <c r="B230" s="297">
        <f>'Baseline emission'!B203</f>
        <v>0.71693999999999991</v>
      </c>
      <c r="C230" s="297">
        <f>'Baseline emission'!C203</f>
        <v>0.54071999999999987</v>
      </c>
      <c r="D230" s="488"/>
      <c r="E230" s="490"/>
    </row>
    <row r="231" spans="1:5" x14ac:dyDescent="0.25">
      <c r="A231" s="214" t="s">
        <v>40</v>
      </c>
      <c r="B231" s="298">
        <v>1</v>
      </c>
      <c r="C231" s="298">
        <f>B231</f>
        <v>1</v>
      </c>
      <c r="D231" s="346" t="s">
        <v>94</v>
      </c>
      <c r="E231" s="369" t="s">
        <v>333</v>
      </c>
    </row>
    <row r="232" spans="1:5" ht="15.5" x14ac:dyDescent="0.25">
      <c r="A232" s="214" t="s">
        <v>311</v>
      </c>
      <c r="B232" s="298"/>
      <c r="C232" s="298"/>
      <c r="D232" s="346"/>
      <c r="E232" s="369"/>
    </row>
    <row r="233" spans="1:5" x14ac:dyDescent="0.25">
      <c r="A233" s="45" t="str">
        <f t="shared" ref="A233:A246" si="17">A212</f>
        <v>26/12/2020-31/12/2020</v>
      </c>
      <c r="B233" s="299">
        <f t="shared" ref="B233:B246" si="18">$B$210*B212*B134*$B$231</f>
        <v>0</v>
      </c>
      <c r="C233" s="299">
        <f t="shared" ref="C233:C246" si="19">$C$210*C212*C134*$C$231</f>
        <v>0</v>
      </c>
      <c r="D233" s="487" t="s">
        <v>196</v>
      </c>
      <c r="E233" s="484" t="s">
        <v>111</v>
      </c>
    </row>
    <row r="234" spans="1:5" x14ac:dyDescent="0.25">
      <c r="A234" s="45" t="str">
        <f t="shared" si="17"/>
        <v>01/01/2021-31/01/2021</v>
      </c>
      <c r="B234" s="299">
        <f t="shared" si="18"/>
        <v>0</v>
      </c>
      <c r="C234" s="299">
        <f t="shared" si="19"/>
        <v>0</v>
      </c>
      <c r="D234" s="488"/>
      <c r="E234" s="485"/>
    </row>
    <row r="235" spans="1:5" x14ac:dyDescent="0.25">
      <c r="A235" s="45" t="str">
        <f t="shared" si="17"/>
        <v>01/02/1021-28/02/2021</v>
      </c>
      <c r="B235" s="299">
        <f t="shared" si="18"/>
        <v>0</v>
      </c>
      <c r="C235" s="299">
        <f t="shared" si="19"/>
        <v>0</v>
      </c>
      <c r="D235" s="488"/>
      <c r="E235" s="485"/>
    </row>
    <row r="236" spans="1:5" x14ac:dyDescent="0.25">
      <c r="A236" s="45" t="str">
        <f t="shared" si="17"/>
        <v>01/03/2021-31/03/3021</v>
      </c>
      <c r="B236" s="299">
        <f t="shared" si="18"/>
        <v>0</v>
      </c>
      <c r="C236" s="299">
        <f t="shared" si="19"/>
        <v>0</v>
      </c>
      <c r="D236" s="488"/>
      <c r="E236" s="485"/>
    </row>
    <row r="237" spans="1:5" x14ac:dyDescent="0.25">
      <c r="A237" s="45" t="str">
        <f t="shared" si="17"/>
        <v>01/04/2021-30/04/2021</v>
      </c>
      <c r="B237" s="299">
        <f t="shared" si="18"/>
        <v>0</v>
      </c>
      <c r="C237" s="299">
        <f t="shared" si="19"/>
        <v>0</v>
      </c>
      <c r="D237" s="488"/>
      <c r="E237" s="485"/>
    </row>
    <row r="238" spans="1:5" x14ac:dyDescent="0.25">
      <c r="A238" s="45" t="str">
        <f t="shared" si="17"/>
        <v>01/05/2021-31/05/2021</v>
      </c>
      <c r="B238" s="299">
        <f t="shared" si="18"/>
        <v>0</v>
      </c>
      <c r="C238" s="299">
        <f t="shared" si="19"/>
        <v>0</v>
      </c>
      <c r="D238" s="488"/>
      <c r="E238" s="485"/>
    </row>
    <row r="239" spans="1:5" x14ac:dyDescent="0.25">
      <c r="A239" s="45" t="str">
        <f t="shared" si="17"/>
        <v>01/06/2021-30/06/2021</v>
      </c>
      <c r="B239" s="299">
        <f t="shared" si="18"/>
        <v>0</v>
      </c>
      <c r="C239" s="299">
        <f t="shared" si="19"/>
        <v>0</v>
      </c>
      <c r="D239" s="488"/>
      <c r="E239" s="485"/>
    </row>
    <row r="240" spans="1:5" x14ac:dyDescent="0.25">
      <c r="A240" s="45" t="str">
        <f t="shared" si="17"/>
        <v>01/07/2021-31/07/2021</v>
      </c>
      <c r="B240" s="299">
        <f t="shared" si="18"/>
        <v>0</v>
      </c>
      <c r="C240" s="299">
        <f t="shared" si="19"/>
        <v>0</v>
      </c>
      <c r="D240" s="488"/>
      <c r="E240" s="485"/>
    </row>
    <row r="241" spans="1:5" x14ac:dyDescent="0.25">
      <c r="A241" s="45" t="str">
        <f t="shared" si="17"/>
        <v>01/08/2021-31/08/2021</v>
      </c>
      <c r="B241" s="299">
        <f t="shared" si="18"/>
        <v>0</v>
      </c>
      <c r="C241" s="299">
        <f t="shared" si="19"/>
        <v>0</v>
      </c>
      <c r="D241" s="488"/>
      <c r="E241" s="485"/>
    </row>
    <row r="242" spans="1:5" x14ac:dyDescent="0.25">
      <c r="A242" s="45" t="str">
        <f t="shared" si="17"/>
        <v>01/09/2021-30/09/2021</v>
      </c>
      <c r="B242" s="299">
        <f t="shared" si="18"/>
        <v>0</v>
      </c>
      <c r="C242" s="299">
        <f t="shared" si="19"/>
        <v>0</v>
      </c>
      <c r="D242" s="488"/>
      <c r="E242" s="485"/>
    </row>
    <row r="243" spans="1:5" x14ac:dyDescent="0.25">
      <c r="A243" s="45" t="str">
        <f t="shared" si="17"/>
        <v>01/10/2021-31/10/2021</v>
      </c>
      <c r="B243" s="299">
        <f t="shared" si="18"/>
        <v>0</v>
      </c>
      <c r="C243" s="299">
        <f t="shared" si="19"/>
        <v>0</v>
      </c>
      <c r="D243" s="488"/>
      <c r="E243" s="485"/>
    </row>
    <row r="244" spans="1:5" x14ac:dyDescent="0.25">
      <c r="A244" s="45" t="str">
        <f t="shared" si="17"/>
        <v>01/11/2021-30/11/2021</v>
      </c>
      <c r="B244" s="299">
        <f t="shared" si="18"/>
        <v>0</v>
      </c>
      <c r="C244" s="299">
        <f t="shared" si="19"/>
        <v>0</v>
      </c>
      <c r="D244" s="488"/>
      <c r="E244" s="485"/>
    </row>
    <row r="245" spans="1:5" x14ac:dyDescent="0.25">
      <c r="A245" s="45" t="str">
        <f t="shared" si="17"/>
        <v>01/12/2021-31/12/2021</v>
      </c>
      <c r="B245" s="299">
        <f t="shared" si="18"/>
        <v>0</v>
      </c>
      <c r="C245" s="299">
        <f t="shared" si="19"/>
        <v>0</v>
      </c>
      <c r="D245" s="488"/>
      <c r="E245" s="485"/>
    </row>
    <row r="246" spans="1:5" x14ac:dyDescent="0.25">
      <c r="A246" s="45" t="str">
        <f t="shared" si="17"/>
        <v>01/01/2022-31/01/2022</v>
      </c>
      <c r="B246" s="299">
        <f t="shared" si="18"/>
        <v>0</v>
      </c>
      <c r="C246" s="299">
        <f t="shared" si="19"/>
        <v>0</v>
      </c>
      <c r="D246" s="488"/>
      <c r="E246" s="485"/>
    </row>
    <row r="247" spans="1:5" s="444" customFormat="1" x14ac:dyDescent="0.25">
      <c r="A247" s="404" t="str">
        <f t="shared" ref="A247:A251" si="20">A226</f>
        <v>01/02/2022-28/02/2022</v>
      </c>
      <c r="B247" s="299">
        <f t="shared" ref="B247:B251" si="21">$B$210*B226*B148*$B$231</f>
        <v>0</v>
      </c>
      <c r="C247" s="299">
        <f t="shared" ref="C247:C251" si="22">$C$210*C226*C148*$C$231</f>
        <v>0</v>
      </c>
      <c r="D247" s="488"/>
      <c r="E247" s="485"/>
    </row>
    <row r="248" spans="1:5" s="444" customFormat="1" x14ac:dyDescent="0.25">
      <c r="A248" s="404" t="str">
        <f t="shared" si="20"/>
        <v>01/03/2022-31/03/2022</v>
      </c>
      <c r="B248" s="299">
        <f t="shared" si="21"/>
        <v>0</v>
      </c>
      <c r="C248" s="299">
        <f t="shared" si="22"/>
        <v>0</v>
      </c>
      <c r="D248" s="488"/>
      <c r="E248" s="485"/>
    </row>
    <row r="249" spans="1:5" s="444" customFormat="1" x14ac:dyDescent="0.25">
      <c r="A249" s="404" t="str">
        <f t="shared" si="20"/>
        <v>01/04/2022-30/04/2022</v>
      </c>
      <c r="B249" s="299">
        <f t="shared" si="21"/>
        <v>0</v>
      </c>
      <c r="C249" s="299">
        <f t="shared" si="22"/>
        <v>0</v>
      </c>
      <c r="D249" s="488"/>
      <c r="E249" s="485"/>
    </row>
    <row r="250" spans="1:5" s="444" customFormat="1" x14ac:dyDescent="0.25">
      <c r="A250" s="404" t="str">
        <f t="shared" si="20"/>
        <v>01/05/2022-31/05/2022</v>
      </c>
      <c r="B250" s="299">
        <f t="shared" si="21"/>
        <v>0</v>
      </c>
      <c r="C250" s="299">
        <f t="shared" si="22"/>
        <v>0</v>
      </c>
      <c r="D250" s="488"/>
      <c r="E250" s="485"/>
    </row>
    <row r="251" spans="1:5" x14ac:dyDescent="0.25">
      <c r="A251" s="404" t="str">
        <f t="shared" si="20"/>
        <v>01/06/2022-30/06/2022</v>
      </c>
      <c r="B251" s="299">
        <f t="shared" si="21"/>
        <v>0</v>
      </c>
      <c r="C251" s="299">
        <f t="shared" si="22"/>
        <v>0</v>
      </c>
      <c r="D251" s="488"/>
      <c r="E251" s="485"/>
    </row>
    <row r="252" spans="1:5" ht="13" x14ac:dyDescent="0.3">
      <c r="A252" s="53" t="str">
        <f>A194</f>
        <v>26/12/2020-31/12/2020</v>
      </c>
      <c r="B252" s="593">
        <f>B233+C233</f>
        <v>0</v>
      </c>
      <c r="C252" s="594"/>
      <c r="D252" s="488"/>
      <c r="E252" s="485"/>
    </row>
    <row r="253" spans="1:5" ht="13" x14ac:dyDescent="0.3">
      <c r="A253" s="53" t="str">
        <f>A195</f>
        <v>01/01/2021-31/12/2021</v>
      </c>
      <c r="B253" s="591">
        <f>SUM(B234:C245)</f>
        <v>0</v>
      </c>
      <c r="C253" s="591"/>
      <c r="D253" s="488"/>
      <c r="E253" s="485"/>
    </row>
    <row r="254" spans="1:5" ht="13" x14ac:dyDescent="0.3">
      <c r="A254" s="53" t="str">
        <f>A196</f>
        <v>01/01/2022-30/06/2022</v>
      </c>
      <c r="B254" s="591">
        <f>SUM(B246:C251)</f>
        <v>0</v>
      </c>
      <c r="C254" s="591"/>
      <c r="D254" s="488"/>
      <c r="E254" s="485"/>
    </row>
    <row r="255" spans="1:5" ht="15" x14ac:dyDescent="0.25">
      <c r="A255" s="268" t="s">
        <v>195</v>
      </c>
      <c r="B255" s="596">
        <f>B253+B254</f>
        <v>0</v>
      </c>
      <c r="C255" s="597"/>
      <c r="D255" s="509"/>
      <c r="E255" s="595"/>
    </row>
    <row r="256" spans="1:5" ht="27.5" customHeight="1" x14ac:dyDescent="0.25">
      <c r="A256" s="214" t="s">
        <v>316</v>
      </c>
      <c r="B256" s="300">
        <v>6.0000000000000001E-3</v>
      </c>
      <c r="C256" s="300">
        <v>6.0000000000000001E-3</v>
      </c>
      <c r="D256" s="354" t="s">
        <v>312</v>
      </c>
      <c r="E256" s="355" t="s">
        <v>335</v>
      </c>
    </row>
    <row r="257" spans="1:5" x14ac:dyDescent="0.25">
      <c r="A257" s="214" t="s">
        <v>40</v>
      </c>
      <c r="B257" s="289">
        <v>1</v>
      </c>
      <c r="C257" s="289">
        <v>1</v>
      </c>
      <c r="D257" s="346" t="s">
        <v>94</v>
      </c>
      <c r="E257" s="369" t="s">
        <v>333</v>
      </c>
    </row>
    <row r="258" spans="1:5" ht="15.5" x14ac:dyDescent="0.25">
      <c r="A258" s="214" t="s">
        <v>311</v>
      </c>
      <c r="B258" s="289"/>
      <c r="C258" s="289"/>
      <c r="D258" s="487" t="s">
        <v>196</v>
      </c>
      <c r="E258" s="484" t="s">
        <v>111</v>
      </c>
    </row>
    <row r="259" spans="1:5" x14ac:dyDescent="0.25">
      <c r="A259" s="45" t="str">
        <f t="shared" ref="A259:A272" si="23">A233</f>
        <v>26/12/2020-31/12/2020</v>
      </c>
      <c r="B259" s="301">
        <f>$B$256*$B$257*B212*B134</f>
        <v>77.151634055999992</v>
      </c>
      <c r="C259" s="388">
        <f t="shared" ref="C259:C272" si="24">$C$256*$C$257*C212*C134</f>
        <v>53.706633983999993</v>
      </c>
      <c r="D259" s="488"/>
      <c r="E259" s="485"/>
    </row>
    <row r="260" spans="1:5" x14ac:dyDescent="0.25">
      <c r="A260" s="45" t="str">
        <f t="shared" si="23"/>
        <v>01/01/2021-31/01/2021</v>
      </c>
      <c r="B260" s="301">
        <f>$B$256*$B$257*B213*B135</f>
        <v>400.71844612799998</v>
      </c>
      <c r="C260" s="388">
        <f t="shared" si="24"/>
        <v>281.55722025600005</v>
      </c>
      <c r="D260" s="488"/>
      <c r="E260" s="485"/>
    </row>
    <row r="261" spans="1:5" x14ac:dyDescent="0.25">
      <c r="A261" s="45" t="str">
        <f t="shared" si="23"/>
        <v>01/02/1021-28/02/2021</v>
      </c>
      <c r="B261" s="301">
        <f t="shared" ref="B261:B272" si="25">$B$256*$B$257*B214*B136</f>
        <v>358.77543710400005</v>
      </c>
      <c r="C261" s="388">
        <f t="shared" si="24"/>
        <v>253.81458950399994</v>
      </c>
      <c r="D261" s="488"/>
      <c r="E261" s="485"/>
    </row>
    <row r="262" spans="1:5" x14ac:dyDescent="0.25">
      <c r="A262" s="45" t="str">
        <f t="shared" si="23"/>
        <v>01/03/2021-31/03/3021</v>
      </c>
      <c r="B262" s="301">
        <f t="shared" si="25"/>
        <v>392.31176544000004</v>
      </c>
      <c r="C262" s="388">
        <f t="shared" si="24"/>
        <v>279.38252462399998</v>
      </c>
      <c r="D262" s="488"/>
      <c r="E262" s="485"/>
    </row>
    <row r="263" spans="1:5" x14ac:dyDescent="0.25">
      <c r="A263" s="45" t="str">
        <f t="shared" si="23"/>
        <v>01/04/2021-30/04/2021</v>
      </c>
      <c r="B263" s="301">
        <f t="shared" si="25"/>
        <v>381.01246344000003</v>
      </c>
      <c r="C263" s="388">
        <f t="shared" si="24"/>
        <v>273.59958383999998</v>
      </c>
      <c r="D263" s="488"/>
      <c r="E263" s="485"/>
    </row>
    <row r="264" spans="1:5" x14ac:dyDescent="0.25">
      <c r="A264" s="45" t="str">
        <f t="shared" si="23"/>
        <v>01/05/2021-31/05/2021</v>
      </c>
      <c r="B264" s="301">
        <f t="shared" si="25"/>
        <v>404.92178647199989</v>
      </c>
      <c r="C264" s="388">
        <f t="shared" si="24"/>
        <v>279.69681700799998</v>
      </c>
      <c r="D264" s="488"/>
      <c r="E264" s="485"/>
    </row>
    <row r="265" spans="1:5" x14ac:dyDescent="0.25">
      <c r="A265" s="45" t="str">
        <f t="shared" si="23"/>
        <v>01/06/2021-30/06/2021</v>
      </c>
      <c r="B265" s="301">
        <f t="shared" si="25"/>
        <v>377.62267284000001</v>
      </c>
      <c r="C265" s="388">
        <f t="shared" si="24"/>
        <v>274.98461039999989</v>
      </c>
      <c r="D265" s="488"/>
      <c r="E265" s="485"/>
    </row>
    <row r="266" spans="1:5" x14ac:dyDescent="0.25">
      <c r="A266" s="45" t="str">
        <f t="shared" si="23"/>
        <v>01/07/2021-31/07/2021</v>
      </c>
      <c r="B266" s="301">
        <f t="shared" si="25"/>
        <v>394.41343561199994</v>
      </c>
      <c r="C266" s="388">
        <f t="shared" si="24"/>
        <v>279.36580694399998</v>
      </c>
      <c r="D266" s="488"/>
      <c r="E266" s="485"/>
    </row>
    <row r="267" spans="1:5" x14ac:dyDescent="0.25">
      <c r="A267" s="45" t="str">
        <f t="shared" si="23"/>
        <v>01/08/2021-31/08/2021</v>
      </c>
      <c r="B267" s="301">
        <f t="shared" si="25"/>
        <v>392.31176544000004</v>
      </c>
      <c r="C267" s="388">
        <f t="shared" si="24"/>
        <v>282.64164191999998</v>
      </c>
      <c r="D267" s="488"/>
      <c r="E267" s="485"/>
    </row>
    <row r="268" spans="1:5" x14ac:dyDescent="0.25">
      <c r="A268" s="45" t="str">
        <f t="shared" si="23"/>
        <v>01/09/2021-30/09/2021</v>
      </c>
      <c r="B268" s="301">
        <f t="shared" si="25"/>
        <v>378.30063095999992</v>
      </c>
      <c r="C268" s="388">
        <f t="shared" si="24"/>
        <v>271.42387199999996</v>
      </c>
      <c r="D268" s="488"/>
      <c r="E268" s="485"/>
    </row>
    <row r="269" spans="1:5" x14ac:dyDescent="0.25">
      <c r="A269" s="45" t="str">
        <f t="shared" si="23"/>
        <v>01/10/2021-31/10/2021</v>
      </c>
      <c r="B269" s="301">
        <f t="shared" si="25"/>
        <v>388.80898181999999</v>
      </c>
      <c r="C269" s="388">
        <f t="shared" si="24"/>
        <v>280.53169214399992</v>
      </c>
      <c r="D269" s="488"/>
      <c r="E269" s="485"/>
    </row>
    <row r="270" spans="1:5" x14ac:dyDescent="0.25">
      <c r="A270" s="45" t="str">
        <f t="shared" si="23"/>
        <v>01/11/2021-30/11/2021</v>
      </c>
      <c r="B270" s="301">
        <f t="shared" si="25"/>
        <v>382.36837967999998</v>
      </c>
      <c r="C270" s="388">
        <f t="shared" si="24"/>
        <v>270.69551999999999</v>
      </c>
      <c r="D270" s="488"/>
      <c r="E270" s="485"/>
    </row>
    <row r="271" spans="1:5" x14ac:dyDescent="0.25">
      <c r="A271" s="45" t="str">
        <f t="shared" si="23"/>
        <v>01/12/2021-31/12/2021</v>
      </c>
      <c r="B271" s="301">
        <f t="shared" si="25"/>
        <v>391.61120871600002</v>
      </c>
      <c r="C271" s="388">
        <f t="shared" si="24"/>
        <v>281.05570771200001</v>
      </c>
      <c r="D271" s="488"/>
      <c r="E271" s="485"/>
    </row>
    <row r="272" spans="1:5" x14ac:dyDescent="0.25">
      <c r="A272" s="45" t="str">
        <f t="shared" si="23"/>
        <v>01/01/2022-31/01/2022</v>
      </c>
      <c r="B272" s="301">
        <f t="shared" si="25"/>
        <v>398.61677595600003</v>
      </c>
      <c r="C272" s="388">
        <f t="shared" si="24"/>
        <v>280.60564276799994</v>
      </c>
      <c r="D272" s="488"/>
      <c r="E272" s="485"/>
    </row>
    <row r="273" spans="1:9" s="444" customFormat="1" x14ac:dyDescent="0.25">
      <c r="A273" s="404" t="str">
        <f t="shared" ref="A273:A277" si="26">A247</f>
        <v>01/02/2022-28/02/2022</v>
      </c>
      <c r="B273" s="301">
        <f t="shared" ref="B273:B277" si="27">$B$256*$B$257*B226*B148</f>
        <v>353.08058889599999</v>
      </c>
      <c r="C273" s="388">
        <f t="shared" ref="C273:C277" si="28">$C$256*$C$257*C226*C148</f>
        <v>254.43563443199994</v>
      </c>
      <c r="D273" s="488"/>
      <c r="E273" s="485"/>
    </row>
    <row r="274" spans="1:9" s="444" customFormat="1" x14ac:dyDescent="0.25">
      <c r="A274" s="404" t="str">
        <f t="shared" si="26"/>
        <v>01/03/2022-31/03/2022</v>
      </c>
      <c r="B274" s="301">
        <f t="shared" si="27"/>
        <v>387.40786837199994</v>
      </c>
      <c r="C274" s="388">
        <f t="shared" si="28"/>
        <v>282.12181804799991</v>
      </c>
      <c r="D274" s="488"/>
      <c r="E274" s="485"/>
    </row>
    <row r="275" spans="1:9" s="444" customFormat="1" x14ac:dyDescent="0.25">
      <c r="A275" s="404" t="str">
        <f t="shared" si="26"/>
        <v>01/04/2022-30/04/2022</v>
      </c>
      <c r="B275" s="301">
        <f t="shared" si="27"/>
        <v>382.36837967999998</v>
      </c>
      <c r="C275" s="388">
        <f t="shared" si="28"/>
        <v>271.79096831999999</v>
      </c>
      <c r="D275" s="488"/>
      <c r="E275" s="485"/>
    </row>
    <row r="276" spans="1:9" s="444" customFormat="1" x14ac:dyDescent="0.25">
      <c r="A276" s="404" t="str">
        <f t="shared" si="26"/>
        <v>01/05/2022-31/05/2022</v>
      </c>
      <c r="B276" s="301">
        <f t="shared" si="27"/>
        <v>393.71287888799998</v>
      </c>
      <c r="C276" s="388">
        <f t="shared" si="28"/>
        <v>280.45790668799998</v>
      </c>
      <c r="D276" s="488"/>
      <c r="E276" s="485"/>
    </row>
    <row r="277" spans="1:9" x14ac:dyDescent="0.25">
      <c r="A277" s="404" t="str">
        <f t="shared" si="26"/>
        <v>01/06/2022-30/06/2022</v>
      </c>
      <c r="B277" s="301">
        <f t="shared" si="27"/>
        <v>385.75817028</v>
      </c>
      <c r="C277" s="388">
        <f t="shared" si="28"/>
        <v>271.16999855999995</v>
      </c>
      <c r="D277" s="488"/>
      <c r="E277" s="485"/>
    </row>
    <row r="278" spans="1:9" ht="13" x14ac:dyDescent="0.3">
      <c r="A278" s="53" t="str">
        <f>A252</f>
        <v>26/12/2020-31/12/2020</v>
      </c>
      <c r="B278" s="541">
        <f>ROUNDUP(B259+C259,0)</f>
        <v>131</v>
      </c>
      <c r="C278" s="541"/>
      <c r="D278" s="542" t="s">
        <v>196</v>
      </c>
      <c r="E278" s="538" t="s">
        <v>112</v>
      </c>
    </row>
    <row r="279" spans="1:9" ht="13" x14ac:dyDescent="0.3">
      <c r="A279" s="53" t="str">
        <f>A253</f>
        <v>01/01/2021-31/12/2021</v>
      </c>
      <c r="B279" s="534">
        <f>ROUNDUP(SUM(B260:C271),0)</f>
        <v>7952</v>
      </c>
      <c r="C279" s="535"/>
      <c r="D279" s="543"/>
      <c r="E279" s="539"/>
    </row>
    <row r="280" spans="1:9" ht="13" x14ac:dyDescent="0.3">
      <c r="A280" s="53" t="str">
        <f>A254</f>
        <v>01/01/2022-30/06/2022</v>
      </c>
      <c r="B280" s="541">
        <f>ROUNDUP(SUM(B272:C277),0)</f>
        <v>3942</v>
      </c>
      <c r="C280" s="541"/>
      <c r="D280" s="543"/>
      <c r="E280" s="539"/>
    </row>
    <row r="281" spans="1:9" ht="15.5" thickBot="1" x14ac:dyDescent="0.3">
      <c r="A281" s="292" t="s">
        <v>195</v>
      </c>
      <c r="B281" s="545">
        <f>B278+B280+B279</f>
        <v>12025</v>
      </c>
      <c r="C281" s="545"/>
      <c r="D281" s="544"/>
      <c r="E281" s="540"/>
    </row>
    <row r="283" spans="1:9" ht="13" x14ac:dyDescent="0.3">
      <c r="A283" s="240" t="s">
        <v>19</v>
      </c>
      <c r="B283" s="242"/>
      <c r="C283" s="242"/>
      <c r="D283" s="30"/>
      <c r="E283" s="242"/>
    </row>
    <row r="284" spans="1:9" ht="13" x14ac:dyDescent="0.3">
      <c r="A284" s="240"/>
      <c r="B284" s="242"/>
      <c r="C284" s="242"/>
      <c r="D284" s="30"/>
      <c r="E284" s="242"/>
    </row>
    <row r="285" spans="1:9" ht="13.5" thickBot="1" x14ac:dyDescent="0.35">
      <c r="A285" s="240" t="s">
        <v>317</v>
      </c>
      <c r="B285" s="242"/>
      <c r="C285" s="242"/>
      <c r="D285" s="242"/>
      <c r="E285" s="242"/>
    </row>
    <row r="286" spans="1:9" ht="13" x14ac:dyDescent="0.3">
      <c r="A286" s="302" t="s">
        <v>3</v>
      </c>
      <c r="B286" s="63" t="s">
        <v>16</v>
      </c>
      <c r="C286" s="63"/>
      <c r="D286" s="63" t="s">
        <v>2</v>
      </c>
      <c r="E286" s="205" t="s">
        <v>4</v>
      </c>
    </row>
    <row r="287" spans="1:9" ht="13" x14ac:dyDescent="0.3">
      <c r="A287" s="64"/>
      <c r="B287" s="65" t="str">
        <f>B209</f>
        <v>Market Swine</v>
      </c>
      <c r="C287" s="65" t="str">
        <f>C209</f>
        <v>Breeding Swine</v>
      </c>
      <c r="D287" s="65"/>
      <c r="E287" s="206"/>
    </row>
    <row r="288" spans="1:9" s="35" customFormat="1" ht="15.5" x14ac:dyDescent="0.4">
      <c r="A288" s="214" t="s">
        <v>318</v>
      </c>
      <c r="B288" s="303">
        <v>0.01</v>
      </c>
      <c r="C288" s="303">
        <f>B288</f>
        <v>0.01</v>
      </c>
      <c r="D288" s="67" t="s">
        <v>312</v>
      </c>
      <c r="E288" s="211" t="s">
        <v>56</v>
      </c>
      <c r="F288" s="29"/>
      <c r="G288" s="29"/>
      <c r="H288" s="29"/>
      <c r="I288" s="29"/>
    </row>
    <row r="289" spans="1:5" ht="37.5" x14ac:dyDescent="0.25">
      <c r="A289" s="214" t="s">
        <v>313</v>
      </c>
      <c r="B289" s="304">
        <v>0.4</v>
      </c>
      <c r="C289" s="304">
        <v>0.4</v>
      </c>
      <c r="D289" s="81" t="s">
        <v>94</v>
      </c>
      <c r="E289" s="213" t="s">
        <v>58</v>
      </c>
    </row>
    <row r="290" spans="1:5" x14ac:dyDescent="0.25">
      <c r="A290" s="214" t="s">
        <v>40</v>
      </c>
      <c r="B290" s="305">
        <v>1</v>
      </c>
      <c r="C290" s="305">
        <f>B290</f>
        <v>1</v>
      </c>
      <c r="D290" s="67" t="s">
        <v>113</v>
      </c>
      <c r="E290" s="232"/>
    </row>
    <row r="291" spans="1:5" ht="15.5" x14ac:dyDescent="0.25">
      <c r="A291" s="214" t="s">
        <v>209</v>
      </c>
      <c r="B291" s="40"/>
      <c r="C291" s="40"/>
      <c r="D291" s="487" t="s">
        <v>196</v>
      </c>
      <c r="E291" s="479" t="s">
        <v>111</v>
      </c>
    </row>
    <row r="292" spans="1:5" x14ac:dyDescent="0.25">
      <c r="A292" s="45" t="str">
        <f t="shared" ref="A292:A305" si="29">A259</f>
        <v>26/12/2020-31/12/2020</v>
      </c>
      <c r="B292" s="306">
        <f t="shared" ref="B292:B305" si="30">ROUNDUP($B$288*$B$289*$B$290*B212*B134,0)</f>
        <v>52</v>
      </c>
      <c r="C292" s="306">
        <f t="shared" ref="C292:C305" si="31">ROUNDUP($C$288*$C$289*$C$290*C212*C134,0)</f>
        <v>36</v>
      </c>
      <c r="D292" s="488"/>
      <c r="E292" s="480"/>
    </row>
    <row r="293" spans="1:5" x14ac:dyDescent="0.25">
      <c r="A293" s="45" t="str">
        <f t="shared" si="29"/>
        <v>01/01/2021-31/01/2021</v>
      </c>
      <c r="B293" s="306">
        <f t="shared" si="30"/>
        <v>268</v>
      </c>
      <c r="C293" s="306">
        <f t="shared" si="31"/>
        <v>188</v>
      </c>
      <c r="D293" s="488"/>
      <c r="E293" s="480"/>
    </row>
    <row r="294" spans="1:5" x14ac:dyDescent="0.25">
      <c r="A294" s="45" t="str">
        <f t="shared" si="29"/>
        <v>01/02/1021-28/02/2021</v>
      </c>
      <c r="B294" s="306">
        <f t="shared" si="30"/>
        <v>240</v>
      </c>
      <c r="C294" s="306">
        <f t="shared" si="31"/>
        <v>170</v>
      </c>
      <c r="D294" s="488"/>
      <c r="E294" s="480"/>
    </row>
    <row r="295" spans="1:5" x14ac:dyDescent="0.25">
      <c r="A295" s="45" t="str">
        <f t="shared" si="29"/>
        <v>01/03/2021-31/03/3021</v>
      </c>
      <c r="B295" s="306">
        <f t="shared" si="30"/>
        <v>262</v>
      </c>
      <c r="C295" s="306">
        <f t="shared" si="31"/>
        <v>187</v>
      </c>
      <c r="D295" s="488"/>
      <c r="E295" s="480"/>
    </row>
    <row r="296" spans="1:5" x14ac:dyDescent="0.25">
      <c r="A296" s="45" t="str">
        <f t="shared" si="29"/>
        <v>01/04/2021-30/04/2021</v>
      </c>
      <c r="B296" s="306">
        <f t="shared" si="30"/>
        <v>255</v>
      </c>
      <c r="C296" s="306">
        <f t="shared" si="31"/>
        <v>183</v>
      </c>
      <c r="D296" s="488"/>
      <c r="E296" s="480"/>
    </row>
    <row r="297" spans="1:5" x14ac:dyDescent="0.25">
      <c r="A297" s="45" t="str">
        <f t="shared" si="29"/>
        <v>01/05/2021-31/05/2021</v>
      </c>
      <c r="B297" s="306">
        <f t="shared" si="30"/>
        <v>270</v>
      </c>
      <c r="C297" s="306">
        <f t="shared" si="31"/>
        <v>187</v>
      </c>
      <c r="D297" s="488"/>
      <c r="E297" s="480"/>
    </row>
    <row r="298" spans="1:5" x14ac:dyDescent="0.25">
      <c r="A298" s="45" t="str">
        <f t="shared" si="29"/>
        <v>01/06/2021-30/06/2021</v>
      </c>
      <c r="B298" s="306">
        <f t="shared" si="30"/>
        <v>252</v>
      </c>
      <c r="C298" s="306">
        <f t="shared" si="31"/>
        <v>184</v>
      </c>
      <c r="D298" s="488"/>
      <c r="E298" s="480"/>
    </row>
    <row r="299" spans="1:5" x14ac:dyDescent="0.25">
      <c r="A299" s="45" t="str">
        <f t="shared" si="29"/>
        <v>01/07/2021-31/07/2021</v>
      </c>
      <c r="B299" s="306">
        <f t="shared" si="30"/>
        <v>263</v>
      </c>
      <c r="C299" s="306">
        <f t="shared" si="31"/>
        <v>187</v>
      </c>
      <c r="D299" s="488"/>
      <c r="E299" s="480"/>
    </row>
    <row r="300" spans="1:5" x14ac:dyDescent="0.25">
      <c r="A300" s="45" t="str">
        <f t="shared" si="29"/>
        <v>01/08/2021-31/08/2021</v>
      </c>
      <c r="B300" s="306">
        <f t="shared" si="30"/>
        <v>262</v>
      </c>
      <c r="C300" s="306">
        <f t="shared" si="31"/>
        <v>189</v>
      </c>
      <c r="D300" s="488"/>
      <c r="E300" s="480"/>
    </row>
    <row r="301" spans="1:5" x14ac:dyDescent="0.25">
      <c r="A301" s="45" t="str">
        <f t="shared" si="29"/>
        <v>01/09/2021-30/09/2021</v>
      </c>
      <c r="B301" s="306">
        <f t="shared" si="30"/>
        <v>253</v>
      </c>
      <c r="C301" s="306">
        <f t="shared" si="31"/>
        <v>181</v>
      </c>
      <c r="D301" s="488"/>
      <c r="E301" s="480"/>
    </row>
    <row r="302" spans="1:5" x14ac:dyDescent="0.25">
      <c r="A302" s="45" t="str">
        <f t="shared" si="29"/>
        <v>01/10/2021-31/10/2021</v>
      </c>
      <c r="B302" s="306">
        <f t="shared" si="30"/>
        <v>260</v>
      </c>
      <c r="C302" s="306">
        <f t="shared" si="31"/>
        <v>188</v>
      </c>
      <c r="D302" s="488"/>
      <c r="E302" s="480"/>
    </row>
    <row r="303" spans="1:5" x14ac:dyDescent="0.25">
      <c r="A303" s="45" t="str">
        <f t="shared" si="29"/>
        <v>01/11/2021-30/11/2021</v>
      </c>
      <c r="B303" s="306">
        <f t="shared" si="30"/>
        <v>255</v>
      </c>
      <c r="C303" s="306">
        <f t="shared" si="31"/>
        <v>181</v>
      </c>
      <c r="D303" s="488"/>
      <c r="E303" s="480"/>
    </row>
    <row r="304" spans="1:5" x14ac:dyDescent="0.25">
      <c r="A304" s="45" t="str">
        <f t="shared" si="29"/>
        <v>01/12/2021-31/12/2021</v>
      </c>
      <c r="B304" s="306">
        <f t="shared" si="30"/>
        <v>262</v>
      </c>
      <c r="C304" s="306">
        <f t="shared" si="31"/>
        <v>188</v>
      </c>
      <c r="D304" s="488"/>
      <c r="E304" s="480"/>
    </row>
    <row r="305" spans="1:5" x14ac:dyDescent="0.25">
      <c r="A305" s="45" t="str">
        <f t="shared" si="29"/>
        <v>01/01/2022-31/01/2022</v>
      </c>
      <c r="B305" s="306">
        <f t="shared" si="30"/>
        <v>266</v>
      </c>
      <c r="C305" s="306">
        <f t="shared" si="31"/>
        <v>188</v>
      </c>
      <c r="D305" s="488"/>
      <c r="E305" s="480"/>
    </row>
    <row r="306" spans="1:5" s="444" customFormat="1" x14ac:dyDescent="0.25">
      <c r="A306" s="404" t="str">
        <f t="shared" ref="A306:A310" si="32">A273</f>
        <v>01/02/2022-28/02/2022</v>
      </c>
      <c r="B306" s="306">
        <f t="shared" ref="B306:B310" si="33">ROUNDUP($B$288*$B$289*$B$290*B226*B148,0)</f>
        <v>236</v>
      </c>
      <c r="C306" s="306">
        <f t="shared" ref="C306:C310" si="34">ROUNDUP($C$288*$C$289*$C$290*C226*C148,0)</f>
        <v>170</v>
      </c>
      <c r="D306" s="488"/>
      <c r="E306" s="480"/>
    </row>
    <row r="307" spans="1:5" s="444" customFormat="1" x14ac:dyDescent="0.25">
      <c r="A307" s="404" t="str">
        <f t="shared" si="32"/>
        <v>01/03/2022-31/03/2022</v>
      </c>
      <c r="B307" s="306">
        <f t="shared" si="33"/>
        <v>259</v>
      </c>
      <c r="C307" s="306">
        <f t="shared" si="34"/>
        <v>189</v>
      </c>
      <c r="D307" s="488"/>
      <c r="E307" s="480"/>
    </row>
    <row r="308" spans="1:5" s="444" customFormat="1" x14ac:dyDescent="0.25">
      <c r="A308" s="404" t="str">
        <f t="shared" si="32"/>
        <v>01/04/2022-30/04/2022</v>
      </c>
      <c r="B308" s="306">
        <f t="shared" si="33"/>
        <v>255</v>
      </c>
      <c r="C308" s="306">
        <f t="shared" si="34"/>
        <v>182</v>
      </c>
      <c r="D308" s="488"/>
      <c r="E308" s="480"/>
    </row>
    <row r="309" spans="1:5" s="444" customFormat="1" x14ac:dyDescent="0.25">
      <c r="A309" s="404" t="str">
        <f t="shared" si="32"/>
        <v>01/05/2022-31/05/2022</v>
      </c>
      <c r="B309" s="306">
        <f t="shared" si="33"/>
        <v>263</v>
      </c>
      <c r="C309" s="306">
        <f t="shared" si="34"/>
        <v>187</v>
      </c>
      <c r="D309" s="488"/>
      <c r="E309" s="480"/>
    </row>
    <row r="310" spans="1:5" x14ac:dyDescent="0.25">
      <c r="A310" s="404" t="str">
        <f t="shared" si="32"/>
        <v>01/06/2022-30/06/2022</v>
      </c>
      <c r="B310" s="306">
        <f t="shared" si="33"/>
        <v>258</v>
      </c>
      <c r="C310" s="306">
        <f t="shared" si="34"/>
        <v>181</v>
      </c>
      <c r="D310" s="488"/>
      <c r="E310" s="480"/>
    </row>
    <row r="311" spans="1:5" ht="15.5" customHeight="1" x14ac:dyDescent="0.3">
      <c r="A311" s="53" t="str">
        <f>A278</f>
        <v>26/12/2020-31/12/2020</v>
      </c>
      <c r="B311" s="529">
        <f>B292+C292</f>
        <v>88</v>
      </c>
      <c r="C311" s="530"/>
      <c r="D311" s="487" t="s">
        <v>196</v>
      </c>
      <c r="E311" s="479" t="s">
        <v>111</v>
      </c>
    </row>
    <row r="312" spans="1:5" ht="13" customHeight="1" x14ac:dyDescent="0.3">
      <c r="A312" s="53" t="str">
        <f>A279</f>
        <v>01/01/2021-31/12/2021</v>
      </c>
      <c r="B312" s="527">
        <f>SUM(B293:C304)</f>
        <v>5315</v>
      </c>
      <c r="C312" s="528"/>
      <c r="D312" s="488"/>
      <c r="E312" s="480"/>
    </row>
    <row r="313" spans="1:5" ht="13" x14ac:dyDescent="0.3">
      <c r="A313" s="53" t="str">
        <f>A280</f>
        <v>01/01/2022-30/06/2022</v>
      </c>
      <c r="B313" s="527">
        <f>SUM(B305:C310)</f>
        <v>2634</v>
      </c>
      <c r="C313" s="528"/>
      <c r="D313" s="488"/>
      <c r="E313" s="480"/>
    </row>
    <row r="314" spans="1:5" s="78" customFormat="1" ht="15.5" thickBot="1" x14ac:dyDescent="0.35">
      <c r="A314" s="323" t="s">
        <v>205</v>
      </c>
      <c r="B314" s="533">
        <f>B312+B313+B311</f>
        <v>8037</v>
      </c>
      <c r="C314" s="533"/>
      <c r="D314" s="525"/>
      <c r="E314" s="526"/>
    </row>
    <row r="315" spans="1:5" ht="13" thickBot="1" x14ac:dyDescent="0.3">
      <c r="A315" s="242"/>
      <c r="B315" s="242"/>
      <c r="C315" s="242"/>
      <c r="D315" s="242"/>
      <c r="E315" s="242"/>
    </row>
    <row r="316" spans="1:5" ht="13" x14ac:dyDescent="0.3">
      <c r="A316" s="302" t="s">
        <v>3</v>
      </c>
      <c r="B316" s="351" t="s">
        <v>16</v>
      </c>
      <c r="C316" s="351"/>
      <c r="D316" s="351" t="s">
        <v>2</v>
      </c>
      <c r="E316" s="352" t="s">
        <v>4</v>
      </c>
    </row>
    <row r="317" spans="1:5" ht="13" x14ac:dyDescent="0.3">
      <c r="A317" s="64"/>
      <c r="B317" s="345" t="s">
        <v>30</v>
      </c>
      <c r="C317" s="345" t="s">
        <v>31</v>
      </c>
      <c r="D317" s="345"/>
      <c r="E317" s="356"/>
    </row>
    <row r="318" spans="1:5" ht="15.5" x14ac:dyDescent="0.4">
      <c r="A318" s="214" t="s">
        <v>318</v>
      </c>
      <c r="B318" s="303">
        <v>0.01</v>
      </c>
      <c r="C318" s="303">
        <f>B318</f>
        <v>0.01</v>
      </c>
      <c r="D318" s="346" t="s">
        <v>312</v>
      </c>
      <c r="E318" s="357" t="s">
        <v>56</v>
      </c>
    </row>
    <row r="319" spans="1:5" ht="37.5" x14ac:dyDescent="0.25">
      <c r="A319" s="214" t="s">
        <v>313</v>
      </c>
      <c r="B319" s="304">
        <v>0.45</v>
      </c>
      <c r="C319" s="304">
        <v>0.45</v>
      </c>
      <c r="D319" s="346" t="s">
        <v>94</v>
      </c>
      <c r="E319" s="348" t="s">
        <v>58</v>
      </c>
    </row>
    <row r="320" spans="1:5" x14ac:dyDescent="0.25">
      <c r="A320" s="214" t="s">
        <v>40</v>
      </c>
      <c r="B320" s="42">
        <v>1</v>
      </c>
      <c r="C320" s="42">
        <f>B320</f>
        <v>1</v>
      </c>
      <c r="D320" s="346" t="s">
        <v>1</v>
      </c>
      <c r="E320" s="353"/>
    </row>
    <row r="321" spans="1:5" ht="15.5" x14ac:dyDescent="0.4">
      <c r="A321" s="214" t="s">
        <v>201</v>
      </c>
      <c r="B321" s="80">
        <f>'Baseline emission'!B300</f>
        <v>298</v>
      </c>
      <c r="C321" s="80">
        <f>B321</f>
        <v>298</v>
      </c>
      <c r="D321" s="346" t="s">
        <v>314</v>
      </c>
      <c r="E321" s="348" t="s">
        <v>130</v>
      </c>
    </row>
    <row r="322" spans="1:5" ht="15.5" x14ac:dyDescent="0.4">
      <c r="A322" s="214" t="s">
        <v>201</v>
      </c>
      <c r="B322" s="80">
        <f>'Baseline emission'!B301</f>
        <v>265</v>
      </c>
      <c r="C322" s="80">
        <f>B322</f>
        <v>265</v>
      </c>
      <c r="D322" s="346" t="s">
        <v>314</v>
      </c>
      <c r="E322" s="348" t="s">
        <v>130</v>
      </c>
    </row>
    <row r="323" spans="1:5" ht="15.5" x14ac:dyDescent="0.25">
      <c r="A323" s="214" t="s">
        <v>209</v>
      </c>
      <c r="B323" s="80"/>
      <c r="C323" s="80"/>
      <c r="D323" s="346"/>
      <c r="E323" s="348"/>
    </row>
    <row r="324" spans="1:5" x14ac:dyDescent="0.25">
      <c r="A324" s="45" t="str">
        <f t="shared" ref="A324:A337" si="35">A292</f>
        <v>26/12/2020-31/12/2020</v>
      </c>
      <c r="B324" s="52">
        <f t="shared" ref="B324:B337" si="36">ROUNDUP($B$318*$B$319*$B$320*B212*B134,0)</f>
        <v>58</v>
      </c>
      <c r="C324" s="52">
        <f t="shared" ref="C324:C337" si="37">ROUNDUP($C$318*$C$319*$C$320*C212*C134,0)</f>
        <v>41</v>
      </c>
      <c r="D324" s="536" t="s">
        <v>196</v>
      </c>
      <c r="E324" s="537" t="s">
        <v>111</v>
      </c>
    </row>
    <row r="325" spans="1:5" x14ac:dyDescent="0.25">
      <c r="A325" s="45" t="str">
        <f t="shared" si="35"/>
        <v>01/01/2021-31/01/2021</v>
      </c>
      <c r="B325" s="52">
        <f t="shared" si="36"/>
        <v>301</v>
      </c>
      <c r="C325" s="52">
        <f t="shared" si="37"/>
        <v>212</v>
      </c>
      <c r="D325" s="536"/>
      <c r="E325" s="537"/>
    </row>
    <row r="326" spans="1:5" x14ac:dyDescent="0.25">
      <c r="A326" s="45" t="str">
        <f t="shared" si="35"/>
        <v>01/02/1021-28/02/2021</v>
      </c>
      <c r="B326" s="52">
        <f t="shared" si="36"/>
        <v>270</v>
      </c>
      <c r="C326" s="52">
        <f t="shared" si="37"/>
        <v>191</v>
      </c>
      <c r="D326" s="536"/>
      <c r="E326" s="537"/>
    </row>
    <row r="327" spans="1:5" x14ac:dyDescent="0.25">
      <c r="A327" s="45" t="str">
        <f t="shared" si="35"/>
        <v>01/03/2021-31/03/3021</v>
      </c>
      <c r="B327" s="52">
        <f t="shared" si="36"/>
        <v>295</v>
      </c>
      <c r="C327" s="52">
        <f t="shared" si="37"/>
        <v>210</v>
      </c>
      <c r="D327" s="536"/>
      <c r="E327" s="537"/>
    </row>
    <row r="328" spans="1:5" x14ac:dyDescent="0.25">
      <c r="A328" s="45" t="str">
        <f t="shared" si="35"/>
        <v>01/04/2021-30/04/2021</v>
      </c>
      <c r="B328" s="52">
        <f t="shared" si="36"/>
        <v>286</v>
      </c>
      <c r="C328" s="52">
        <f t="shared" si="37"/>
        <v>206</v>
      </c>
      <c r="D328" s="536"/>
      <c r="E328" s="537"/>
    </row>
    <row r="329" spans="1:5" x14ac:dyDescent="0.25">
      <c r="A329" s="45" t="str">
        <f t="shared" si="35"/>
        <v>01/05/2021-31/05/2021</v>
      </c>
      <c r="B329" s="52">
        <f t="shared" si="36"/>
        <v>304</v>
      </c>
      <c r="C329" s="52">
        <f t="shared" si="37"/>
        <v>210</v>
      </c>
      <c r="D329" s="536"/>
      <c r="E329" s="537"/>
    </row>
    <row r="330" spans="1:5" x14ac:dyDescent="0.25">
      <c r="A330" s="45" t="str">
        <f t="shared" si="35"/>
        <v>01/06/2021-30/06/2021</v>
      </c>
      <c r="B330" s="52">
        <f t="shared" si="36"/>
        <v>284</v>
      </c>
      <c r="C330" s="52">
        <f t="shared" si="37"/>
        <v>207</v>
      </c>
      <c r="D330" s="536"/>
      <c r="E330" s="537"/>
    </row>
    <row r="331" spans="1:5" x14ac:dyDescent="0.25">
      <c r="A331" s="45" t="str">
        <f t="shared" si="35"/>
        <v>01/07/2021-31/07/2021</v>
      </c>
      <c r="B331" s="52">
        <f t="shared" si="36"/>
        <v>296</v>
      </c>
      <c r="C331" s="52">
        <f t="shared" si="37"/>
        <v>210</v>
      </c>
      <c r="D331" s="536"/>
      <c r="E331" s="537"/>
    </row>
    <row r="332" spans="1:5" x14ac:dyDescent="0.25">
      <c r="A332" s="45" t="str">
        <f t="shared" si="35"/>
        <v>01/08/2021-31/08/2021</v>
      </c>
      <c r="B332" s="52">
        <f t="shared" si="36"/>
        <v>295</v>
      </c>
      <c r="C332" s="52">
        <f t="shared" si="37"/>
        <v>212</v>
      </c>
      <c r="D332" s="536"/>
      <c r="E332" s="537"/>
    </row>
    <row r="333" spans="1:5" x14ac:dyDescent="0.25">
      <c r="A333" s="45" t="str">
        <f t="shared" si="35"/>
        <v>01/09/2021-30/09/2021</v>
      </c>
      <c r="B333" s="52">
        <f t="shared" si="36"/>
        <v>284</v>
      </c>
      <c r="C333" s="52">
        <f t="shared" si="37"/>
        <v>204</v>
      </c>
      <c r="D333" s="536"/>
      <c r="E333" s="537"/>
    </row>
    <row r="334" spans="1:5" x14ac:dyDescent="0.25">
      <c r="A334" s="45" t="str">
        <f t="shared" si="35"/>
        <v>01/10/2021-31/10/2021</v>
      </c>
      <c r="B334" s="52">
        <f t="shared" si="36"/>
        <v>292</v>
      </c>
      <c r="C334" s="52">
        <f t="shared" si="37"/>
        <v>211</v>
      </c>
      <c r="D334" s="536"/>
      <c r="E334" s="537"/>
    </row>
    <row r="335" spans="1:5" x14ac:dyDescent="0.25">
      <c r="A335" s="45" t="str">
        <f t="shared" si="35"/>
        <v>01/11/2021-30/11/2021</v>
      </c>
      <c r="B335" s="52">
        <f t="shared" si="36"/>
        <v>287</v>
      </c>
      <c r="C335" s="52">
        <f t="shared" si="37"/>
        <v>204</v>
      </c>
      <c r="D335" s="536"/>
      <c r="E335" s="537"/>
    </row>
    <row r="336" spans="1:5" x14ac:dyDescent="0.25">
      <c r="A336" s="45" t="str">
        <f t="shared" si="35"/>
        <v>01/12/2021-31/12/2021</v>
      </c>
      <c r="B336" s="52">
        <f t="shared" si="36"/>
        <v>294</v>
      </c>
      <c r="C336" s="52">
        <f t="shared" si="37"/>
        <v>211</v>
      </c>
      <c r="D336" s="536"/>
      <c r="E336" s="537"/>
    </row>
    <row r="337" spans="1:5" x14ac:dyDescent="0.25">
      <c r="A337" s="45" t="str">
        <f t="shared" si="35"/>
        <v>01/01/2022-31/01/2022</v>
      </c>
      <c r="B337" s="52">
        <f t="shared" si="36"/>
        <v>299</v>
      </c>
      <c r="C337" s="52">
        <f t="shared" si="37"/>
        <v>211</v>
      </c>
      <c r="D337" s="536"/>
      <c r="E337" s="537"/>
    </row>
    <row r="338" spans="1:5" s="444" customFormat="1" x14ac:dyDescent="0.25">
      <c r="A338" s="404" t="str">
        <f t="shared" ref="A338:A342" si="38">A306</f>
        <v>01/02/2022-28/02/2022</v>
      </c>
      <c r="B338" s="407">
        <f t="shared" ref="B338:B342" si="39">ROUNDUP($B$318*$B$319*$B$320*B226*B148,0)</f>
        <v>265</v>
      </c>
      <c r="C338" s="407">
        <f t="shared" ref="C338:C342" si="40">ROUNDUP($C$318*$C$319*$C$320*C226*C148,0)</f>
        <v>191</v>
      </c>
      <c r="D338" s="536"/>
      <c r="E338" s="537"/>
    </row>
    <row r="339" spans="1:5" s="444" customFormat="1" x14ac:dyDescent="0.25">
      <c r="A339" s="404" t="str">
        <f t="shared" si="38"/>
        <v>01/03/2022-31/03/2022</v>
      </c>
      <c r="B339" s="407">
        <f t="shared" si="39"/>
        <v>291</v>
      </c>
      <c r="C339" s="407">
        <f t="shared" si="40"/>
        <v>212</v>
      </c>
      <c r="D339" s="536"/>
      <c r="E339" s="537"/>
    </row>
    <row r="340" spans="1:5" s="444" customFormat="1" x14ac:dyDescent="0.25">
      <c r="A340" s="404" t="str">
        <f t="shared" si="38"/>
        <v>01/04/2022-30/04/2022</v>
      </c>
      <c r="B340" s="407">
        <f t="shared" si="39"/>
        <v>287</v>
      </c>
      <c r="C340" s="407">
        <f t="shared" si="40"/>
        <v>204</v>
      </c>
      <c r="D340" s="536"/>
      <c r="E340" s="537"/>
    </row>
    <row r="341" spans="1:5" s="444" customFormat="1" x14ac:dyDescent="0.25">
      <c r="A341" s="404" t="str">
        <f t="shared" si="38"/>
        <v>01/05/2022-31/05/2022</v>
      </c>
      <c r="B341" s="407">
        <f t="shared" si="39"/>
        <v>296</v>
      </c>
      <c r="C341" s="407">
        <f t="shared" si="40"/>
        <v>211</v>
      </c>
      <c r="D341" s="536"/>
      <c r="E341" s="537"/>
    </row>
    <row r="342" spans="1:5" x14ac:dyDescent="0.25">
      <c r="A342" s="404" t="str">
        <f t="shared" si="38"/>
        <v>01/06/2022-30/06/2022</v>
      </c>
      <c r="B342" s="407">
        <f t="shared" si="39"/>
        <v>290</v>
      </c>
      <c r="C342" s="407">
        <f t="shared" si="40"/>
        <v>204</v>
      </c>
      <c r="D342" s="536"/>
      <c r="E342" s="537"/>
    </row>
    <row r="343" spans="1:5" ht="15.5" customHeight="1" x14ac:dyDescent="0.3">
      <c r="A343" s="53" t="str">
        <f>A311</f>
        <v>26/12/2020-31/12/2020</v>
      </c>
      <c r="B343" s="531">
        <f>B324+C324</f>
        <v>99</v>
      </c>
      <c r="C343" s="532"/>
      <c r="D343" s="487" t="s">
        <v>196</v>
      </c>
      <c r="E343" s="479" t="s">
        <v>111</v>
      </c>
    </row>
    <row r="344" spans="1:5" ht="13" customHeight="1" x14ac:dyDescent="0.3">
      <c r="A344" s="53" t="str">
        <f>A312</f>
        <v>01/01/2021-31/12/2021</v>
      </c>
      <c r="B344" s="522">
        <f>SUM(B325:C336)</f>
        <v>5976</v>
      </c>
      <c r="C344" s="522"/>
      <c r="D344" s="488"/>
      <c r="E344" s="480"/>
    </row>
    <row r="345" spans="1:5" ht="13" x14ac:dyDescent="0.3">
      <c r="A345" s="53" t="str">
        <f>A313</f>
        <v>01/01/2022-30/06/2022</v>
      </c>
      <c r="B345" s="522">
        <f>SUM(B337:C342)</f>
        <v>2961</v>
      </c>
      <c r="C345" s="522"/>
      <c r="D345" s="488"/>
      <c r="E345" s="480"/>
    </row>
    <row r="346" spans="1:5" ht="15.5" thickBot="1" x14ac:dyDescent="0.45">
      <c r="A346" s="99" t="s">
        <v>205</v>
      </c>
      <c r="B346" s="523">
        <f>B344+B345+B343</f>
        <v>9036</v>
      </c>
      <c r="C346" s="523"/>
      <c r="D346" s="525"/>
      <c r="E346" s="526"/>
    </row>
    <row r="347" spans="1:5" ht="13" x14ac:dyDescent="0.3">
      <c r="A347" s="280"/>
      <c r="B347" s="307"/>
      <c r="C347" s="307"/>
      <c r="D347" s="242"/>
      <c r="E347" s="242"/>
    </row>
    <row r="348" spans="1:5" ht="15.4" customHeight="1" thickBot="1" x14ac:dyDescent="0.45">
      <c r="A348" s="253" t="s">
        <v>319</v>
      </c>
      <c r="C348" s="308">
        <f>B349+B351+B350</f>
        <v>12132</v>
      </c>
      <c r="D348" s="519" t="s">
        <v>323</v>
      </c>
      <c r="E348" s="243"/>
    </row>
    <row r="349" spans="1:5" ht="13.15" customHeight="1" x14ac:dyDescent="0.3">
      <c r="A349" s="309" t="str">
        <f>A343</f>
        <v>26/12/2020-31/12/2020</v>
      </c>
      <c r="B349" s="524">
        <f>INT(B321*44/28*1/1000*(B252+B278+B311+B343))</f>
        <v>148</v>
      </c>
      <c r="C349" s="524"/>
      <c r="D349" s="519"/>
      <c r="E349" s="243"/>
    </row>
    <row r="350" spans="1:5" ht="13" x14ac:dyDescent="0.3">
      <c r="A350" s="45" t="str">
        <f t="shared" ref="A350:A351" si="41">A344</f>
        <v>01/01/2021-31/12/2021</v>
      </c>
      <c r="B350" s="491">
        <f>INT(B322*44/28*1/1000*(B253+B279+B312+B344))</f>
        <v>8013</v>
      </c>
      <c r="C350" s="491"/>
      <c r="D350" s="519"/>
      <c r="E350" s="243"/>
    </row>
    <row r="351" spans="1:5" ht="13.5" thickBot="1" x14ac:dyDescent="0.35">
      <c r="A351" s="324" t="str">
        <f t="shared" si="41"/>
        <v>01/01/2022-30/06/2022</v>
      </c>
      <c r="B351" s="521">
        <f>INT(B322*44/28*1/1000*(B254+B280+B313+B345))</f>
        <v>3971</v>
      </c>
      <c r="C351" s="521"/>
      <c r="D351" s="520"/>
      <c r="E351" s="243"/>
    </row>
    <row r="352" spans="1:5" ht="27" customHeight="1" x14ac:dyDescent="0.3">
      <c r="A352" s="243"/>
      <c r="B352" s="243"/>
      <c r="C352" s="243"/>
      <c r="D352" s="243"/>
      <c r="E352" s="243"/>
    </row>
    <row r="353" spans="1:4" x14ac:dyDescent="0.25">
      <c r="D353" s="46"/>
    </row>
    <row r="355" spans="1:4" ht="15.4" customHeight="1" thickBot="1" x14ac:dyDescent="0.45">
      <c r="A355" s="28" t="s">
        <v>320</v>
      </c>
      <c r="B355" s="310">
        <f>B356+B358+B357</f>
        <v>25485</v>
      </c>
      <c r="C355" s="519" t="s">
        <v>323</v>
      </c>
    </row>
    <row r="356" spans="1:4" ht="12.75" customHeight="1" x14ac:dyDescent="0.25">
      <c r="A356" s="309" t="str">
        <f>A349</f>
        <v>26/12/2020-31/12/2020</v>
      </c>
      <c r="B356" s="374">
        <f>B349+B194+B111</f>
        <v>279</v>
      </c>
      <c r="C356" s="519"/>
    </row>
    <row r="357" spans="1:4" x14ac:dyDescent="0.25">
      <c r="A357" s="45" t="str">
        <f>A350</f>
        <v>01/01/2021-31/12/2021</v>
      </c>
      <c r="B357" s="311">
        <f>B350+B195+B112</f>
        <v>16805</v>
      </c>
      <c r="C357" s="519"/>
    </row>
    <row r="358" spans="1:4" ht="13" thickBot="1" x14ac:dyDescent="0.3">
      <c r="A358" s="324" t="str">
        <f>A351</f>
        <v>01/01/2022-30/06/2022</v>
      </c>
      <c r="B358" s="375">
        <f>B351+B196+B113</f>
        <v>8401</v>
      </c>
      <c r="C358" s="520"/>
    </row>
    <row r="359" spans="1:4" x14ac:dyDescent="0.25">
      <c r="A359" s="312"/>
      <c r="B359" s="312"/>
      <c r="C359" s="312"/>
      <c r="D359" s="312"/>
    </row>
    <row r="362" spans="1:4" x14ac:dyDescent="0.25">
      <c r="C362" s="100"/>
    </row>
    <row r="363" spans="1:4" x14ac:dyDescent="0.25">
      <c r="C363" s="100"/>
    </row>
    <row r="364" spans="1:4" x14ac:dyDescent="0.25">
      <c r="D364" s="100"/>
    </row>
  </sheetData>
  <mergeCells count="74">
    <mergeCell ref="B253:C253"/>
    <mergeCell ref="B195:C195"/>
    <mergeCell ref="B197:C197"/>
    <mergeCell ref="D211:D230"/>
    <mergeCell ref="E211:E230"/>
    <mergeCell ref="B196:C196"/>
    <mergeCell ref="B252:C252"/>
    <mergeCell ref="D233:D255"/>
    <mergeCell ref="E233:E255"/>
    <mergeCell ref="B254:C254"/>
    <mergeCell ref="B255:C255"/>
    <mergeCell ref="D48:E48"/>
    <mergeCell ref="D49:E49"/>
    <mergeCell ref="C50:C69"/>
    <mergeCell ref="C86:C104"/>
    <mergeCell ref="B194:C194"/>
    <mergeCell ref="D83:E83"/>
    <mergeCell ref="D84:E84"/>
    <mergeCell ref="D105:E105"/>
    <mergeCell ref="C107:C109"/>
    <mergeCell ref="C110:C113"/>
    <mergeCell ref="D85:E85"/>
    <mergeCell ref="D106:E106"/>
    <mergeCell ref="D107:E113"/>
    <mergeCell ref="C14:C33"/>
    <mergeCell ref="D14:E33"/>
    <mergeCell ref="D37:E39"/>
    <mergeCell ref="D36:E36"/>
    <mergeCell ref="D47:E47"/>
    <mergeCell ref="D40:E40"/>
    <mergeCell ref="D46:E46"/>
    <mergeCell ref="D258:D277"/>
    <mergeCell ref="E258:E277"/>
    <mergeCell ref="D13:E13"/>
    <mergeCell ref="D34:E34"/>
    <mergeCell ref="D35:E35"/>
    <mergeCell ref="D175:D193"/>
    <mergeCell ref="E175:E193"/>
    <mergeCell ref="D82:E82"/>
    <mergeCell ref="D70:E73"/>
    <mergeCell ref="D50:E69"/>
    <mergeCell ref="D86:E104"/>
    <mergeCell ref="D133:D152"/>
    <mergeCell ref="E133:E152"/>
    <mergeCell ref="D153:D172"/>
    <mergeCell ref="E153:E172"/>
    <mergeCell ref="D81:E81"/>
    <mergeCell ref="B279:C279"/>
    <mergeCell ref="D324:D342"/>
    <mergeCell ref="E324:E342"/>
    <mergeCell ref="D291:D310"/>
    <mergeCell ref="E291:E310"/>
    <mergeCell ref="E278:E281"/>
    <mergeCell ref="B278:C278"/>
    <mergeCell ref="D278:D281"/>
    <mergeCell ref="B280:C280"/>
    <mergeCell ref="B281:C281"/>
    <mergeCell ref="B344:C344"/>
    <mergeCell ref="D311:D314"/>
    <mergeCell ref="E311:E314"/>
    <mergeCell ref="D343:D346"/>
    <mergeCell ref="E343:E346"/>
    <mergeCell ref="B312:C312"/>
    <mergeCell ref="B311:C311"/>
    <mergeCell ref="B343:C343"/>
    <mergeCell ref="B313:C313"/>
    <mergeCell ref="B314:C314"/>
    <mergeCell ref="D348:D351"/>
    <mergeCell ref="C355:C358"/>
    <mergeCell ref="B351:C351"/>
    <mergeCell ref="B345:C345"/>
    <mergeCell ref="B346:C346"/>
    <mergeCell ref="B350:C350"/>
    <mergeCell ref="B349:C349"/>
  </mergeCells>
  <phoneticPr fontId="11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91"/>
  <sheetViews>
    <sheetView zoomScale="70" zoomScaleNormal="70" workbookViewId="0">
      <selection activeCell="E356" sqref="E356"/>
    </sheetView>
  </sheetViews>
  <sheetFormatPr defaultColWidth="8.7265625" defaultRowHeight="12.5" x14ac:dyDescent="0.25"/>
  <cols>
    <col min="1" max="1" width="34.6328125" style="29" customWidth="1"/>
    <col min="2" max="2" width="19.1796875" style="78" customWidth="1"/>
    <col min="3" max="3" width="17.54296875" style="78" customWidth="1"/>
    <col min="4" max="4" width="20.453125" style="29" customWidth="1"/>
    <col min="5" max="5" width="44" style="29" customWidth="1"/>
    <col min="6" max="6" width="38.81640625" style="29" bestFit="1" customWidth="1"/>
    <col min="7" max="16384" width="8.7265625" style="29"/>
  </cols>
  <sheetData>
    <row r="1" spans="1:4" ht="15.5" x14ac:dyDescent="0.35">
      <c r="A1" s="27" t="s">
        <v>20</v>
      </c>
    </row>
    <row r="2" spans="1:4" ht="13" x14ac:dyDescent="0.3">
      <c r="A2" s="28"/>
      <c r="B2" s="32"/>
    </row>
    <row r="3" spans="1:4" ht="13" x14ac:dyDescent="0.3">
      <c r="A3" s="28"/>
    </row>
    <row r="4" spans="1:4" x14ac:dyDescent="0.25">
      <c r="A4" s="29" t="s">
        <v>42</v>
      </c>
    </row>
    <row r="5" spans="1:4" ht="13" x14ac:dyDescent="0.3">
      <c r="A5" s="28"/>
      <c r="D5" s="58"/>
    </row>
    <row r="6" spans="1:4" ht="13" x14ac:dyDescent="0.3">
      <c r="A6" s="28"/>
      <c r="D6" s="58"/>
    </row>
    <row r="7" spans="1:4" ht="13" x14ac:dyDescent="0.3">
      <c r="A7" s="28"/>
      <c r="D7" s="58"/>
    </row>
    <row r="8" spans="1:4" ht="13" x14ac:dyDescent="0.3">
      <c r="A8" s="28"/>
      <c r="D8" s="58"/>
    </row>
    <row r="9" spans="1:4" ht="13" x14ac:dyDescent="0.3">
      <c r="A9" s="28"/>
      <c r="D9" s="58"/>
    </row>
    <row r="10" spans="1:4" ht="13" x14ac:dyDescent="0.3">
      <c r="A10" s="28"/>
      <c r="D10" s="58"/>
    </row>
    <row r="11" spans="1:4" ht="13" x14ac:dyDescent="0.3">
      <c r="A11" s="28"/>
      <c r="D11" s="58"/>
    </row>
    <row r="12" spans="1:4" ht="13" x14ac:dyDescent="0.3">
      <c r="A12" s="28"/>
      <c r="D12" s="58"/>
    </row>
    <row r="13" spans="1:4" ht="13" x14ac:dyDescent="0.3">
      <c r="A13" s="28"/>
      <c r="D13" s="58"/>
    </row>
    <row r="14" spans="1:4" ht="13" x14ac:dyDescent="0.3">
      <c r="A14" s="28"/>
      <c r="D14" s="58"/>
    </row>
    <row r="15" spans="1:4" ht="13" x14ac:dyDescent="0.3">
      <c r="A15" s="28"/>
      <c r="D15" s="58"/>
    </row>
    <row r="16" spans="1:4" ht="13" x14ac:dyDescent="0.3">
      <c r="A16" s="28"/>
      <c r="D16" s="58"/>
    </row>
    <row r="17" spans="1:5" ht="13" x14ac:dyDescent="0.3">
      <c r="A17" s="28"/>
      <c r="D17" s="58"/>
    </row>
    <row r="18" spans="1:5" ht="13" x14ac:dyDescent="0.3">
      <c r="A18" s="28"/>
    </row>
    <row r="19" spans="1:5" ht="13" x14ac:dyDescent="0.3">
      <c r="A19" s="28"/>
    </row>
    <row r="20" spans="1:5" ht="13.5" thickBot="1" x14ac:dyDescent="0.35">
      <c r="A20" s="28"/>
    </row>
    <row r="21" spans="1:5" ht="13" x14ac:dyDescent="0.3">
      <c r="A21" s="62" t="s">
        <v>3</v>
      </c>
      <c r="B21" s="63" t="s">
        <v>16</v>
      </c>
      <c r="C21" s="63"/>
      <c r="D21" s="63" t="s">
        <v>2</v>
      </c>
      <c r="E21" s="205" t="s">
        <v>4</v>
      </c>
    </row>
    <row r="22" spans="1:5" ht="13" x14ac:dyDescent="0.3">
      <c r="A22" s="64"/>
      <c r="B22" s="37" t="s">
        <v>78</v>
      </c>
      <c r="C22" s="37" t="s">
        <v>79</v>
      </c>
      <c r="D22" s="65"/>
      <c r="E22" s="206"/>
    </row>
    <row r="23" spans="1:5" s="35" customFormat="1" ht="13" x14ac:dyDescent="0.25">
      <c r="A23" s="207" t="s">
        <v>248</v>
      </c>
      <c r="B23" s="208"/>
      <c r="C23" s="208"/>
      <c r="D23" s="487" t="s">
        <v>71</v>
      </c>
      <c r="E23" s="623" t="s">
        <v>326</v>
      </c>
    </row>
    <row r="24" spans="1:5" s="35" customFormat="1" x14ac:dyDescent="0.25">
      <c r="A24" s="45" t="str">
        <f>'Project emission'!A15</f>
        <v>26/12/2020-31/12/2020</v>
      </c>
      <c r="B24" s="208">
        <f>'monitoring results'!B4</f>
        <v>89677</v>
      </c>
      <c r="C24" s="208">
        <f>'monitoring results'!C4</f>
        <v>83549</v>
      </c>
      <c r="D24" s="488"/>
      <c r="E24" s="624"/>
    </row>
    <row r="25" spans="1:5" s="35" customFormat="1" x14ac:dyDescent="0.25">
      <c r="A25" s="45" t="str">
        <f>'Project emission'!A16</f>
        <v>01/01/2021-31/01/2021</v>
      </c>
      <c r="B25" s="208">
        <f>'monitoring results'!B5</f>
        <v>89677</v>
      </c>
      <c r="C25" s="208">
        <f>'monitoring results'!C5</f>
        <v>83651</v>
      </c>
      <c r="D25" s="488"/>
      <c r="E25" s="624"/>
    </row>
    <row r="26" spans="1:5" s="35" customFormat="1" x14ac:dyDescent="0.25">
      <c r="A26" s="45" t="str">
        <f>'Project emission'!A17</f>
        <v>01/02/1021-28/02/2021</v>
      </c>
      <c r="B26" s="208">
        <f>'monitoring results'!B6</f>
        <v>89677</v>
      </c>
      <c r="C26" s="208">
        <f>'monitoring results'!C6</f>
        <v>83599</v>
      </c>
      <c r="D26" s="488"/>
      <c r="E26" s="624"/>
    </row>
    <row r="27" spans="1:5" s="35" customFormat="1" x14ac:dyDescent="0.25">
      <c r="A27" s="45" t="str">
        <f>'Project emission'!A18</f>
        <v>01/03/2021-31/03/3021</v>
      </c>
      <c r="B27" s="208">
        <f>'monitoring results'!B7</f>
        <v>89677</v>
      </c>
      <c r="C27" s="208">
        <f>'monitoring results'!C7</f>
        <v>83559</v>
      </c>
      <c r="D27" s="488"/>
      <c r="E27" s="624"/>
    </row>
    <row r="28" spans="1:5" s="35" customFormat="1" x14ac:dyDescent="0.25">
      <c r="A28" s="45" t="str">
        <f>'Project emission'!A19</f>
        <v>01/04/2021-30/04/2021</v>
      </c>
      <c r="B28" s="208">
        <f>'monitoring results'!B8</f>
        <v>89677</v>
      </c>
      <c r="C28" s="208">
        <f>'monitoring results'!C8</f>
        <v>83443</v>
      </c>
      <c r="D28" s="488"/>
      <c r="E28" s="624"/>
    </row>
    <row r="29" spans="1:5" s="35" customFormat="1" x14ac:dyDescent="0.25">
      <c r="A29" s="45" t="str">
        <f>'Project emission'!A20</f>
        <v>01/05/2021-31/05/2021</v>
      </c>
      <c r="B29" s="208">
        <f>'monitoring results'!B9</f>
        <v>89677</v>
      </c>
      <c r="C29" s="208">
        <f>'monitoring results'!C9</f>
        <v>83653</v>
      </c>
      <c r="D29" s="488"/>
      <c r="E29" s="624"/>
    </row>
    <row r="30" spans="1:5" s="35" customFormat="1" x14ac:dyDescent="0.25">
      <c r="A30" s="45" t="str">
        <f>'Project emission'!A21</f>
        <v>01/06/2021-30/06/2021</v>
      </c>
      <c r="B30" s="208">
        <f>'monitoring results'!B10</f>
        <v>89677</v>
      </c>
      <c r="C30" s="208">
        <f>'monitoring results'!C10</f>
        <v>83645</v>
      </c>
      <c r="D30" s="488"/>
      <c r="E30" s="624"/>
    </row>
    <row r="31" spans="1:5" s="35" customFormat="1" x14ac:dyDescent="0.25">
      <c r="A31" s="45" t="str">
        <f>'Project emission'!A22</f>
        <v>01/07/2021-31/07/2021</v>
      </c>
      <c r="B31" s="208">
        <f>'monitoring results'!B11</f>
        <v>89677</v>
      </c>
      <c r="C31" s="208">
        <f>'monitoring results'!C11</f>
        <v>83554</v>
      </c>
      <c r="D31" s="488"/>
      <c r="E31" s="624"/>
    </row>
    <row r="32" spans="1:5" s="35" customFormat="1" x14ac:dyDescent="0.25">
      <c r="A32" s="45" t="str">
        <f>'Project emission'!A23</f>
        <v>01/08/2021-31/08/2021</v>
      </c>
      <c r="B32" s="208">
        <f>'monitoring results'!B12</f>
        <v>89677</v>
      </c>
      <c r="C32" s="208">
        <f>'monitoring results'!C12</f>
        <v>83420</v>
      </c>
      <c r="D32" s="488"/>
      <c r="E32" s="624"/>
    </row>
    <row r="33" spans="1:5" s="35" customFormat="1" x14ac:dyDescent="0.25">
      <c r="A33" s="45" t="str">
        <f>'Project emission'!A24</f>
        <v>01/09/2021-30/09/2021</v>
      </c>
      <c r="B33" s="208">
        <f>'monitoring results'!B13</f>
        <v>89677</v>
      </c>
      <c r="C33" s="208">
        <f>'monitoring results'!C13</f>
        <v>83550</v>
      </c>
      <c r="D33" s="488"/>
      <c r="E33" s="624"/>
    </row>
    <row r="34" spans="1:5" s="35" customFormat="1" x14ac:dyDescent="0.25">
      <c r="A34" s="45" t="str">
        <f>'Project emission'!A25</f>
        <v>01/10/2021-31/10/2021</v>
      </c>
      <c r="B34" s="208">
        <f>'monitoring results'!B14</f>
        <v>89677</v>
      </c>
      <c r="C34" s="208">
        <f>'monitoring results'!C14</f>
        <v>83457</v>
      </c>
      <c r="D34" s="488"/>
      <c r="E34" s="624"/>
    </row>
    <row r="35" spans="1:5" s="35" customFormat="1" x14ac:dyDescent="0.25">
      <c r="A35" s="45" t="str">
        <f>'Project emission'!A26</f>
        <v>01/11/2021-30/11/2021</v>
      </c>
      <c r="B35" s="208">
        <f>'monitoring results'!B15</f>
        <v>89677</v>
      </c>
      <c r="C35" s="208">
        <f>'monitoring results'!C15</f>
        <v>83548</v>
      </c>
      <c r="D35" s="488"/>
      <c r="E35" s="624"/>
    </row>
    <row r="36" spans="1:5" s="35" customFormat="1" x14ac:dyDescent="0.25">
      <c r="A36" s="45" t="str">
        <f>'Project emission'!A27</f>
        <v>01/12/2021-31/12/2021</v>
      </c>
      <c r="B36" s="208">
        <f>'monitoring results'!B16</f>
        <v>89677</v>
      </c>
      <c r="C36" s="208">
        <f>'monitoring results'!C16</f>
        <v>83502</v>
      </c>
      <c r="D36" s="488"/>
      <c r="E36" s="624"/>
    </row>
    <row r="37" spans="1:5" s="35" customFormat="1" x14ac:dyDescent="0.25">
      <c r="A37" s="45" t="str">
        <f>'Project emission'!A28</f>
        <v>01/01/2022-31/01/2022</v>
      </c>
      <c r="B37" s="208">
        <f>'monitoring results'!B17</f>
        <v>89677</v>
      </c>
      <c r="C37" s="208">
        <f>'monitoring results'!C17</f>
        <v>83479</v>
      </c>
      <c r="D37" s="488"/>
      <c r="E37" s="624"/>
    </row>
    <row r="38" spans="1:5" s="401" customFormat="1" x14ac:dyDescent="0.25">
      <c r="A38" s="404" t="str">
        <f>'Project emission'!A29</f>
        <v>01/02/2022-28/02/2022</v>
      </c>
      <c r="B38" s="446">
        <f>'monitoring results'!B18</f>
        <v>89677</v>
      </c>
      <c r="C38" s="446">
        <f>'monitoring results'!C18</f>
        <v>83471</v>
      </c>
      <c r="D38" s="488"/>
      <c r="E38" s="624"/>
    </row>
    <row r="39" spans="1:5" s="401" customFormat="1" x14ac:dyDescent="0.25">
      <c r="A39" s="404" t="str">
        <f>'Project emission'!A30</f>
        <v>01/03/2022-31/03/2022</v>
      </c>
      <c r="B39" s="446">
        <f>'monitoring results'!B19</f>
        <v>89677</v>
      </c>
      <c r="C39" s="446">
        <f>'monitoring results'!C19</f>
        <v>83597</v>
      </c>
      <c r="D39" s="488"/>
      <c r="E39" s="624"/>
    </row>
    <row r="40" spans="1:5" s="401" customFormat="1" x14ac:dyDescent="0.25">
      <c r="A40" s="404" t="str">
        <f>'Project emission'!A31</f>
        <v>01/04/2022-30/04/2022</v>
      </c>
      <c r="B40" s="446">
        <f>'monitoring results'!B20</f>
        <v>89677</v>
      </c>
      <c r="C40" s="446">
        <f>'monitoring results'!C20</f>
        <v>83663</v>
      </c>
      <c r="D40" s="488"/>
      <c r="E40" s="624"/>
    </row>
    <row r="41" spans="1:5" s="401" customFormat="1" x14ac:dyDescent="0.25">
      <c r="A41" s="404" t="str">
        <f>'Project emission'!A32</f>
        <v>01/05/2022-31/05/2022</v>
      </c>
      <c r="B41" s="446">
        <f>'monitoring results'!B21</f>
        <v>89677</v>
      </c>
      <c r="C41" s="446">
        <f>'monitoring results'!C21</f>
        <v>83546</v>
      </c>
      <c r="D41" s="488"/>
      <c r="E41" s="624"/>
    </row>
    <row r="42" spans="1:5" s="35" customFormat="1" x14ac:dyDescent="0.25">
      <c r="A42" s="404" t="str">
        <f>'Project emission'!A33</f>
        <v>01/06/2022-30/06/2022</v>
      </c>
      <c r="B42" s="446">
        <f>'monitoring results'!B22</f>
        <v>89677</v>
      </c>
      <c r="C42" s="446">
        <f>'monitoring results'!C22</f>
        <v>83583</v>
      </c>
      <c r="D42" s="488"/>
      <c r="E42" s="624"/>
    </row>
    <row r="43" spans="1:5" ht="13" x14ac:dyDescent="0.25">
      <c r="A43" s="207" t="s">
        <v>249</v>
      </c>
      <c r="B43" s="209"/>
      <c r="C43" s="209"/>
      <c r="D43" s="487" t="s">
        <v>46</v>
      </c>
      <c r="E43" s="479" t="s">
        <v>26</v>
      </c>
    </row>
    <row r="44" spans="1:5" x14ac:dyDescent="0.25">
      <c r="A44" s="45" t="str">
        <f t="shared" ref="A44:A57" si="0">A24</f>
        <v>26/12/2020-31/12/2020</v>
      </c>
      <c r="B44" s="209">
        <f>'Baseline emission'!B185</f>
        <v>0.14338799999999999</v>
      </c>
      <c r="C44" s="209">
        <f>'Baseline emission'!C185</f>
        <v>0.107136</v>
      </c>
      <c r="D44" s="488"/>
      <c r="E44" s="480"/>
    </row>
    <row r="45" spans="1:5" x14ac:dyDescent="0.25">
      <c r="A45" s="45" t="str">
        <f t="shared" si="0"/>
        <v>01/01/2021-31/01/2021</v>
      </c>
      <c r="B45" s="209">
        <f>'Baseline emission'!B186</f>
        <v>0.74474400000000007</v>
      </c>
      <c r="C45" s="209">
        <f>'Baseline emission'!C186</f>
        <v>0.56097600000000003</v>
      </c>
      <c r="D45" s="488"/>
      <c r="E45" s="480"/>
    </row>
    <row r="46" spans="1:5" x14ac:dyDescent="0.25">
      <c r="A46" s="45" t="str">
        <f t="shared" si="0"/>
        <v>01/02/1021-28/02/2021</v>
      </c>
      <c r="B46" s="209">
        <f>'Baseline emission'!B187</f>
        <v>0.66679200000000005</v>
      </c>
      <c r="C46" s="209">
        <f>'Baseline emission'!C187</f>
        <v>0.50601599999999991</v>
      </c>
      <c r="D46" s="488"/>
      <c r="E46" s="480"/>
    </row>
    <row r="47" spans="1:5" x14ac:dyDescent="0.25">
      <c r="A47" s="45" t="str">
        <f t="shared" si="0"/>
        <v>01/03/2021-31/03/3021</v>
      </c>
      <c r="B47" s="209">
        <f>'Baseline emission'!B188</f>
        <v>0.72911999999999999</v>
      </c>
      <c r="C47" s="209">
        <f>'Baseline emission'!C188</f>
        <v>0.55725599999999997</v>
      </c>
      <c r="D47" s="488"/>
      <c r="E47" s="480"/>
    </row>
    <row r="48" spans="1:5" x14ac:dyDescent="0.25">
      <c r="A48" s="45" t="str">
        <f t="shared" si="0"/>
        <v>01/04/2021-30/04/2021</v>
      </c>
      <c r="B48" s="209">
        <f>'Baseline emission'!B189</f>
        <v>0.70811999999999997</v>
      </c>
      <c r="C48" s="209">
        <f>'Baseline emission'!C189</f>
        <v>0.54647999999999997</v>
      </c>
      <c r="D48" s="488"/>
      <c r="E48" s="480"/>
    </row>
    <row r="49" spans="1:8" x14ac:dyDescent="0.25">
      <c r="A49" s="45" t="str">
        <f t="shared" si="0"/>
        <v>01/05/2021-31/05/2021</v>
      </c>
      <c r="B49" s="209">
        <f>'Baseline emission'!B190</f>
        <v>0.75255599999999989</v>
      </c>
      <c r="C49" s="209">
        <f>'Baseline emission'!C190</f>
        <v>0.55725599999999997</v>
      </c>
      <c r="D49" s="488"/>
      <c r="E49" s="480"/>
    </row>
    <row r="50" spans="1:8" x14ac:dyDescent="0.25">
      <c r="A50" s="45" t="str">
        <f t="shared" si="0"/>
        <v>01/06/2021-30/06/2021</v>
      </c>
      <c r="B50" s="209">
        <f>'Baseline emission'!B191</f>
        <v>0.70182</v>
      </c>
      <c r="C50" s="209">
        <f>'Baseline emission'!C191</f>
        <v>0.54791999999999985</v>
      </c>
      <c r="D50" s="488"/>
      <c r="E50" s="480"/>
    </row>
    <row r="51" spans="1:8" x14ac:dyDescent="0.25">
      <c r="A51" s="45" t="str">
        <f t="shared" si="0"/>
        <v>01/07/2021-31/07/2021</v>
      </c>
      <c r="B51" s="209">
        <f>'Baseline emission'!B192</f>
        <v>0.73302599999999996</v>
      </c>
      <c r="C51" s="209">
        <f>'Baseline emission'!C192</f>
        <v>0.55725599999999997</v>
      </c>
      <c r="D51" s="488"/>
      <c r="E51" s="480"/>
    </row>
    <row r="52" spans="1:8" x14ac:dyDescent="0.25">
      <c r="A52" s="45" t="str">
        <f t="shared" si="0"/>
        <v>01/08/2021-31/08/2021</v>
      </c>
      <c r="B52" s="209">
        <f>'Baseline emission'!B193</f>
        <v>0.72911999999999999</v>
      </c>
      <c r="C52" s="209">
        <f>'Baseline emission'!C193</f>
        <v>0.56469599999999998</v>
      </c>
      <c r="D52" s="488"/>
      <c r="E52" s="480"/>
    </row>
    <row r="53" spans="1:8" x14ac:dyDescent="0.25">
      <c r="A53" s="45" t="str">
        <f t="shared" si="0"/>
        <v>01/09/2021-30/09/2021</v>
      </c>
      <c r="B53" s="209">
        <f>'Baseline emission'!B194</f>
        <v>0.70307999999999993</v>
      </c>
      <c r="C53" s="209">
        <f>'Baseline emission'!C194</f>
        <v>0.54143999999999992</v>
      </c>
      <c r="D53" s="488"/>
      <c r="E53" s="480"/>
    </row>
    <row r="54" spans="1:8" x14ac:dyDescent="0.25">
      <c r="A54" s="45" t="str">
        <f t="shared" si="0"/>
        <v>01/10/2021-31/10/2021</v>
      </c>
      <c r="B54" s="209">
        <f>'Baseline emission'!B195</f>
        <v>0.72260999999999997</v>
      </c>
      <c r="C54" s="209">
        <f>'Baseline emission'!C195</f>
        <v>0.56023199999999984</v>
      </c>
      <c r="D54" s="488"/>
      <c r="E54" s="480"/>
    </row>
    <row r="55" spans="1:8" x14ac:dyDescent="0.25">
      <c r="A55" s="45" t="str">
        <f t="shared" si="0"/>
        <v>01/11/2021-30/11/2021</v>
      </c>
      <c r="B55" s="209">
        <f>'Baseline emission'!B196</f>
        <v>0.71063999999999994</v>
      </c>
      <c r="C55" s="209">
        <f>'Baseline emission'!C196</f>
        <v>0.53999999999999992</v>
      </c>
      <c r="D55" s="488"/>
      <c r="E55" s="480"/>
    </row>
    <row r="56" spans="1:8" x14ac:dyDescent="0.25">
      <c r="A56" s="45" t="str">
        <f t="shared" si="0"/>
        <v>01/12/2021-31/12/2021</v>
      </c>
      <c r="B56" s="209">
        <f>'Baseline emission'!B197</f>
        <v>0.72781799999999996</v>
      </c>
      <c r="C56" s="209">
        <f>'Baseline emission'!C197</f>
        <v>0.56097600000000003</v>
      </c>
      <c r="D56" s="488"/>
      <c r="E56" s="480"/>
    </row>
    <row r="57" spans="1:8" x14ac:dyDescent="0.25">
      <c r="A57" s="45" t="str">
        <f t="shared" si="0"/>
        <v>01/01/2022-31/01/2022</v>
      </c>
      <c r="B57" s="209">
        <f>'Baseline emission'!B198</f>
        <v>0.740838</v>
      </c>
      <c r="C57" s="209">
        <f>'Baseline emission'!C198</f>
        <v>0.56023199999999984</v>
      </c>
      <c r="D57" s="488"/>
      <c r="E57" s="480"/>
    </row>
    <row r="58" spans="1:8" s="444" customFormat="1" x14ac:dyDescent="0.25">
      <c r="A58" s="404" t="str">
        <f t="shared" ref="A58:A62" si="1">A38</f>
        <v>01/02/2022-28/02/2022</v>
      </c>
      <c r="B58" s="209">
        <f>'Baseline emission'!B199</f>
        <v>0.65620800000000001</v>
      </c>
      <c r="C58" s="209">
        <f>'Baseline emission'!C199</f>
        <v>0.50803199999999993</v>
      </c>
      <c r="D58" s="488"/>
      <c r="E58" s="480"/>
    </row>
    <row r="59" spans="1:8" s="444" customFormat="1" x14ac:dyDescent="0.25">
      <c r="A59" s="404" t="str">
        <f t="shared" si="1"/>
        <v>01/03/2022-31/03/2022</v>
      </c>
      <c r="B59" s="209">
        <f>'Baseline emission'!B200</f>
        <v>0.72000599999999992</v>
      </c>
      <c r="C59" s="209">
        <f>'Baseline emission'!C200</f>
        <v>0.56246399999999985</v>
      </c>
      <c r="D59" s="488"/>
      <c r="E59" s="480"/>
    </row>
    <row r="60" spans="1:8" s="444" customFormat="1" x14ac:dyDescent="0.25">
      <c r="A60" s="404" t="str">
        <f t="shared" si="1"/>
        <v>01/04/2022-30/04/2022</v>
      </c>
      <c r="B60" s="209">
        <f>'Baseline emission'!B201</f>
        <v>0.71063999999999994</v>
      </c>
      <c r="C60" s="209">
        <f>'Baseline emission'!C201</f>
        <v>0.54143999999999992</v>
      </c>
      <c r="D60" s="488"/>
      <c r="E60" s="480"/>
    </row>
    <row r="61" spans="1:8" s="444" customFormat="1" x14ac:dyDescent="0.25">
      <c r="A61" s="404" t="str">
        <f t="shared" si="1"/>
        <v>01/05/2022-31/05/2022</v>
      </c>
      <c r="B61" s="209">
        <f>'Baseline emission'!B202</f>
        <v>0.73172399999999993</v>
      </c>
      <c r="C61" s="209">
        <f>'Baseline emission'!C202</f>
        <v>0.55948799999999999</v>
      </c>
      <c r="D61" s="488"/>
      <c r="E61" s="480"/>
    </row>
    <row r="62" spans="1:8" x14ac:dyDescent="0.25">
      <c r="A62" s="404" t="str">
        <f t="shared" si="1"/>
        <v>01/06/2022-30/06/2022</v>
      </c>
      <c r="B62" s="209">
        <f>'Baseline emission'!B203</f>
        <v>0.71693999999999991</v>
      </c>
      <c r="C62" s="209">
        <f>'Baseline emission'!C203</f>
        <v>0.54071999999999987</v>
      </c>
      <c r="D62" s="488"/>
      <c r="E62" s="480"/>
    </row>
    <row r="63" spans="1:8" s="35" customFormat="1" ht="13" x14ac:dyDescent="0.25">
      <c r="A63" s="207" t="s">
        <v>250</v>
      </c>
      <c r="B63" s="210">
        <v>0.8</v>
      </c>
      <c r="C63" s="210">
        <v>0.8</v>
      </c>
      <c r="D63" s="81" t="s">
        <v>0</v>
      </c>
      <c r="E63" s="211" t="s">
        <v>133</v>
      </c>
      <c r="F63" s="381"/>
      <c r="G63" s="382"/>
      <c r="H63" s="382"/>
    </row>
    <row r="64" spans="1:8" ht="15.5" x14ac:dyDescent="0.4">
      <c r="A64" s="207" t="s">
        <v>13</v>
      </c>
      <c r="B64" s="212">
        <v>0.01</v>
      </c>
      <c r="C64" s="212">
        <v>0.01</v>
      </c>
      <c r="D64" s="67" t="s">
        <v>187</v>
      </c>
      <c r="E64" s="213" t="s">
        <v>44</v>
      </c>
      <c r="G64" s="104"/>
      <c r="H64" s="104"/>
    </row>
    <row r="65" spans="1:8" ht="15.5" x14ac:dyDescent="0.4">
      <c r="A65" s="207" t="s">
        <v>14</v>
      </c>
      <c r="B65" s="212">
        <v>7.4999999999999997E-3</v>
      </c>
      <c r="C65" s="212">
        <v>7.4999999999999997E-3</v>
      </c>
      <c r="D65" s="67" t="s">
        <v>187</v>
      </c>
      <c r="E65" s="213" t="s">
        <v>29</v>
      </c>
      <c r="G65" s="104"/>
      <c r="H65" s="104"/>
    </row>
    <row r="66" spans="1:8" ht="15.5" x14ac:dyDescent="0.4">
      <c r="A66" s="207" t="s">
        <v>12</v>
      </c>
      <c r="B66" s="212">
        <v>0.01</v>
      </c>
      <c r="C66" s="212">
        <v>0.01</v>
      </c>
      <c r="D66" s="67" t="s">
        <v>251</v>
      </c>
      <c r="E66" s="213" t="s">
        <v>29</v>
      </c>
      <c r="F66" s="381"/>
      <c r="G66" s="104"/>
      <c r="H66" s="104"/>
    </row>
    <row r="67" spans="1:8" ht="15.5" x14ac:dyDescent="0.25">
      <c r="A67" s="207" t="s">
        <v>252</v>
      </c>
      <c r="B67" s="212">
        <v>0.3</v>
      </c>
      <c r="C67" s="212">
        <v>0.3</v>
      </c>
      <c r="D67" s="67" t="s">
        <v>94</v>
      </c>
      <c r="E67" s="213" t="s">
        <v>29</v>
      </c>
    </row>
    <row r="68" spans="1:8" ht="15.5" x14ac:dyDescent="0.25">
      <c r="A68" s="207" t="s">
        <v>253</v>
      </c>
      <c r="B68" s="212">
        <v>0.2</v>
      </c>
      <c r="C68" s="212">
        <v>0.2</v>
      </c>
      <c r="D68" s="67" t="s">
        <v>94</v>
      </c>
      <c r="E68" s="213" t="s">
        <v>66</v>
      </c>
    </row>
    <row r="69" spans="1:8" ht="15.5" x14ac:dyDescent="0.4">
      <c r="A69" s="214" t="s">
        <v>201</v>
      </c>
      <c r="B69" s="116">
        <f>'Baseline emission'!B300</f>
        <v>298</v>
      </c>
      <c r="C69" s="116">
        <f>B69</f>
        <v>298</v>
      </c>
      <c r="D69" s="67" t="s">
        <v>254</v>
      </c>
      <c r="E69" s="211" t="s">
        <v>136</v>
      </c>
    </row>
    <row r="70" spans="1:8" ht="15.5" x14ac:dyDescent="0.4">
      <c r="A70" s="214" t="s">
        <v>201</v>
      </c>
      <c r="B70" s="116">
        <f>'Baseline emission'!B301</f>
        <v>265</v>
      </c>
      <c r="C70" s="116">
        <f>'Baseline emission'!C301</f>
        <v>265</v>
      </c>
      <c r="D70" s="67" t="s">
        <v>254</v>
      </c>
      <c r="E70" s="211" t="s">
        <v>130</v>
      </c>
    </row>
    <row r="71" spans="1:8" ht="15.5" x14ac:dyDescent="0.25">
      <c r="A71" s="215" t="s">
        <v>255</v>
      </c>
      <c r="B71" s="216"/>
      <c r="C71" s="216"/>
      <c r="D71" s="487" t="s">
        <v>256</v>
      </c>
      <c r="E71" s="479" t="s">
        <v>27</v>
      </c>
    </row>
    <row r="72" spans="1:8" x14ac:dyDescent="0.25">
      <c r="A72" s="45" t="str">
        <f t="shared" ref="A72:A85" si="2">A44</f>
        <v>26/12/2020-31/12/2020</v>
      </c>
      <c r="B72" s="209">
        <f t="shared" ref="B72:B85" si="3">ROUNDDOWN($B$64*(1-$B$63)*B44*B24,0)</f>
        <v>25</v>
      </c>
      <c r="C72" s="209">
        <f t="shared" ref="C72:C85" si="4">ROUNDUP($C$64*(1-$C$63)*C44*C24,0)</f>
        <v>18</v>
      </c>
      <c r="D72" s="488"/>
      <c r="E72" s="480"/>
    </row>
    <row r="73" spans="1:8" x14ac:dyDescent="0.25">
      <c r="A73" s="45" t="str">
        <f t="shared" si="2"/>
        <v>01/01/2021-31/01/2021</v>
      </c>
      <c r="B73" s="209">
        <f t="shared" si="3"/>
        <v>133</v>
      </c>
      <c r="C73" s="209">
        <f t="shared" si="4"/>
        <v>94</v>
      </c>
      <c r="D73" s="488"/>
      <c r="E73" s="480"/>
    </row>
    <row r="74" spans="1:8" x14ac:dyDescent="0.25">
      <c r="A74" s="45" t="str">
        <f t="shared" si="2"/>
        <v>01/02/1021-28/02/2021</v>
      </c>
      <c r="B74" s="209">
        <f t="shared" si="3"/>
        <v>119</v>
      </c>
      <c r="C74" s="209">
        <f t="shared" si="4"/>
        <v>85</v>
      </c>
      <c r="D74" s="488"/>
      <c r="E74" s="480"/>
    </row>
    <row r="75" spans="1:8" x14ac:dyDescent="0.25">
      <c r="A75" s="45" t="str">
        <f t="shared" si="2"/>
        <v>01/03/2021-31/03/3021</v>
      </c>
      <c r="B75" s="209">
        <f t="shared" si="3"/>
        <v>130</v>
      </c>
      <c r="C75" s="209">
        <f t="shared" si="4"/>
        <v>94</v>
      </c>
      <c r="D75" s="488"/>
      <c r="E75" s="480"/>
    </row>
    <row r="76" spans="1:8" x14ac:dyDescent="0.25">
      <c r="A76" s="45" t="str">
        <f t="shared" si="2"/>
        <v>01/04/2021-30/04/2021</v>
      </c>
      <c r="B76" s="209">
        <f t="shared" si="3"/>
        <v>127</v>
      </c>
      <c r="C76" s="209">
        <f t="shared" si="4"/>
        <v>92</v>
      </c>
      <c r="D76" s="488"/>
      <c r="E76" s="480"/>
    </row>
    <row r="77" spans="1:8" x14ac:dyDescent="0.25">
      <c r="A77" s="45" t="str">
        <f t="shared" si="2"/>
        <v>01/05/2021-31/05/2021</v>
      </c>
      <c r="B77" s="209">
        <f t="shared" si="3"/>
        <v>134</v>
      </c>
      <c r="C77" s="209">
        <f t="shared" si="4"/>
        <v>94</v>
      </c>
      <c r="D77" s="488"/>
      <c r="E77" s="480"/>
    </row>
    <row r="78" spans="1:8" x14ac:dyDescent="0.25">
      <c r="A78" s="45" t="str">
        <f t="shared" si="2"/>
        <v>01/06/2021-30/06/2021</v>
      </c>
      <c r="B78" s="209">
        <f t="shared" si="3"/>
        <v>125</v>
      </c>
      <c r="C78" s="209">
        <f t="shared" si="4"/>
        <v>92</v>
      </c>
      <c r="D78" s="488"/>
      <c r="E78" s="480"/>
    </row>
    <row r="79" spans="1:8" x14ac:dyDescent="0.25">
      <c r="A79" s="45" t="str">
        <f t="shared" si="2"/>
        <v>01/07/2021-31/07/2021</v>
      </c>
      <c r="B79" s="209">
        <f t="shared" si="3"/>
        <v>131</v>
      </c>
      <c r="C79" s="209">
        <f t="shared" si="4"/>
        <v>94</v>
      </c>
      <c r="D79" s="488"/>
      <c r="E79" s="480"/>
    </row>
    <row r="80" spans="1:8" x14ac:dyDescent="0.25">
      <c r="A80" s="45" t="str">
        <f t="shared" si="2"/>
        <v>01/08/2021-31/08/2021</v>
      </c>
      <c r="B80" s="209">
        <f t="shared" si="3"/>
        <v>130</v>
      </c>
      <c r="C80" s="209">
        <f t="shared" si="4"/>
        <v>95</v>
      </c>
      <c r="D80" s="488"/>
      <c r="E80" s="480"/>
    </row>
    <row r="81" spans="1:5" x14ac:dyDescent="0.25">
      <c r="A81" s="45" t="str">
        <f t="shared" si="2"/>
        <v>01/09/2021-30/09/2021</v>
      </c>
      <c r="B81" s="209">
        <f t="shared" si="3"/>
        <v>126</v>
      </c>
      <c r="C81" s="209">
        <f t="shared" si="4"/>
        <v>91</v>
      </c>
      <c r="D81" s="488"/>
      <c r="E81" s="480"/>
    </row>
    <row r="82" spans="1:5" x14ac:dyDescent="0.25">
      <c r="A82" s="45" t="str">
        <f t="shared" si="2"/>
        <v>01/10/2021-31/10/2021</v>
      </c>
      <c r="B82" s="209">
        <f t="shared" si="3"/>
        <v>129</v>
      </c>
      <c r="C82" s="209">
        <f t="shared" si="4"/>
        <v>94</v>
      </c>
      <c r="D82" s="488"/>
      <c r="E82" s="480"/>
    </row>
    <row r="83" spans="1:5" x14ac:dyDescent="0.25">
      <c r="A83" s="45" t="str">
        <f t="shared" si="2"/>
        <v>01/11/2021-30/11/2021</v>
      </c>
      <c r="B83" s="209">
        <f t="shared" si="3"/>
        <v>127</v>
      </c>
      <c r="C83" s="209">
        <f t="shared" si="4"/>
        <v>91</v>
      </c>
      <c r="D83" s="488"/>
      <c r="E83" s="480"/>
    </row>
    <row r="84" spans="1:5" x14ac:dyDescent="0.25">
      <c r="A84" s="45" t="str">
        <f t="shared" si="2"/>
        <v>01/12/2021-31/12/2021</v>
      </c>
      <c r="B84" s="209">
        <f t="shared" si="3"/>
        <v>130</v>
      </c>
      <c r="C84" s="209">
        <f t="shared" si="4"/>
        <v>94</v>
      </c>
      <c r="D84" s="488"/>
      <c r="E84" s="480"/>
    </row>
    <row r="85" spans="1:5" x14ac:dyDescent="0.25">
      <c r="A85" s="45" t="str">
        <f t="shared" si="2"/>
        <v>01/01/2022-31/01/2022</v>
      </c>
      <c r="B85" s="209">
        <f t="shared" si="3"/>
        <v>132</v>
      </c>
      <c r="C85" s="209">
        <f t="shared" si="4"/>
        <v>94</v>
      </c>
      <c r="D85" s="488"/>
      <c r="E85" s="480"/>
    </row>
    <row r="86" spans="1:5" s="444" customFormat="1" x14ac:dyDescent="0.25">
      <c r="A86" s="404" t="str">
        <f t="shared" ref="A86:A90" si="5">A58</f>
        <v>01/02/2022-28/02/2022</v>
      </c>
      <c r="B86" s="209">
        <f t="shared" ref="B86:B90" si="6">ROUNDDOWN($B$64*(1-$B$63)*B58*B38,0)</f>
        <v>117</v>
      </c>
      <c r="C86" s="209">
        <f t="shared" ref="C86:C90" si="7">ROUNDUP($C$64*(1-$C$63)*C58*C38,0)</f>
        <v>85</v>
      </c>
      <c r="D86" s="488"/>
      <c r="E86" s="480"/>
    </row>
    <row r="87" spans="1:5" s="444" customFormat="1" x14ac:dyDescent="0.25">
      <c r="A87" s="404" t="str">
        <f t="shared" si="5"/>
        <v>01/03/2022-31/03/2022</v>
      </c>
      <c r="B87" s="209">
        <f t="shared" si="6"/>
        <v>129</v>
      </c>
      <c r="C87" s="209">
        <f t="shared" si="7"/>
        <v>95</v>
      </c>
      <c r="D87" s="488"/>
      <c r="E87" s="480"/>
    </row>
    <row r="88" spans="1:5" s="444" customFormat="1" x14ac:dyDescent="0.25">
      <c r="A88" s="404" t="str">
        <f t="shared" si="5"/>
        <v>01/04/2022-30/04/2022</v>
      </c>
      <c r="B88" s="209">
        <f t="shared" si="6"/>
        <v>127</v>
      </c>
      <c r="C88" s="209">
        <f t="shared" si="7"/>
        <v>91</v>
      </c>
      <c r="D88" s="488"/>
      <c r="E88" s="480"/>
    </row>
    <row r="89" spans="1:5" s="444" customFormat="1" x14ac:dyDescent="0.25">
      <c r="A89" s="404" t="str">
        <f t="shared" si="5"/>
        <v>01/05/2022-31/05/2022</v>
      </c>
      <c r="B89" s="209">
        <f t="shared" si="6"/>
        <v>131</v>
      </c>
      <c r="C89" s="209">
        <f t="shared" si="7"/>
        <v>94</v>
      </c>
      <c r="D89" s="488"/>
      <c r="E89" s="480"/>
    </row>
    <row r="90" spans="1:5" x14ac:dyDescent="0.25">
      <c r="A90" s="404" t="str">
        <f t="shared" si="5"/>
        <v>01/06/2022-30/06/2022</v>
      </c>
      <c r="B90" s="209">
        <f t="shared" si="6"/>
        <v>128</v>
      </c>
      <c r="C90" s="209">
        <f t="shared" si="7"/>
        <v>91</v>
      </c>
      <c r="D90" s="488"/>
      <c r="E90" s="480"/>
    </row>
    <row r="91" spans="1:5" ht="13" x14ac:dyDescent="0.3">
      <c r="A91" s="53" t="str">
        <f>'Project emission'!A37</f>
        <v>26/12/2020-31/12/2020</v>
      </c>
      <c r="B91" s="627">
        <f>B72+C72</f>
        <v>43</v>
      </c>
      <c r="C91" s="628"/>
      <c r="D91" s="488"/>
      <c r="E91" s="480"/>
    </row>
    <row r="92" spans="1:5" ht="13" x14ac:dyDescent="0.3">
      <c r="A92" s="53" t="str">
        <f>'Project emission'!A38</f>
        <v>01/01/2021-31/12/2021</v>
      </c>
      <c r="B92" s="627">
        <f>SUM(B73:C84)</f>
        <v>2651</v>
      </c>
      <c r="C92" s="628"/>
      <c r="D92" s="488"/>
      <c r="E92" s="480"/>
    </row>
    <row r="93" spans="1:5" ht="13" x14ac:dyDescent="0.3">
      <c r="A93" s="53" t="str">
        <f>'Project emission'!A39</f>
        <v>01/01/2022-30/06/2022</v>
      </c>
      <c r="B93" s="627">
        <f>SUM(B85:C90)</f>
        <v>1314</v>
      </c>
      <c r="C93" s="628"/>
      <c r="D93" s="488"/>
      <c r="E93" s="480"/>
    </row>
    <row r="94" spans="1:5" ht="13" x14ac:dyDescent="0.25">
      <c r="A94" s="215" t="s">
        <v>331</v>
      </c>
      <c r="B94" s="617">
        <f>B91+B92+B93</f>
        <v>4008</v>
      </c>
      <c r="C94" s="618"/>
      <c r="D94" s="509"/>
      <c r="E94" s="481"/>
    </row>
    <row r="95" spans="1:5" ht="15.5" x14ac:dyDescent="0.25">
      <c r="A95" s="215" t="s">
        <v>257</v>
      </c>
      <c r="B95" s="619"/>
      <c r="C95" s="620"/>
      <c r="D95" s="487" t="s">
        <v>258</v>
      </c>
      <c r="E95" s="479" t="s">
        <v>27</v>
      </c>
    </row>
    <row r="96" spans="1:5" x14ac:dyDescent="0.25">
      <c r="A96" s="45" t="str">
        <f t="shared" ref="A96:A109" si="8">A72</f>
        <v>26/12/2020-31/12/2020</v>
      </c>
      <c r="B96" s="217">
        <f t="shared" ref="B96:B109" si="9">ROUNDDOWN($B$65*$B$67*(1-$B$63)*B24*B44,0)</f>
        <v>5</v>
      </c>
      <c r="C96" s="217">
        <f t="shared" ref="C96:C109" si="10">ROUNDDOWN($C$65*$C$67*(1-$C$63)*C24*C44,0)</f>
        <v>4</v>
      </c>
      <c r="D96" s="488"/>
      <c r="E96" s="480"/>
    </row>
    <row r="97" spans="1:5" x14ac:dyDescent="0.25">
      <c r="A97" s="45" t="str">
        <f t="shared" si="8"/>
        <v>01/01/2021-31/01/2021</v>
      </c>
      <c r="B97" s="217">
        <f t="shared" si="9"/>
        <v>30</v>
      </c>
      <c r="C97" s="217">
        <f t="shared" si="10"/>
        <v>21</v>
      </c>
      <c r="D97" s="488"/>
      <c r="E97" s="480"/>
    </row>
    <row r="98" spans="1:5" x14ac:dyDescent="0.25">
      <c r="A98" s="45" t="str">
        <f t="shared" si="8"/>
        <v>01/02/1021-28/02/2021</v>
      </c>
      <c r="B98" s="217">
        <f t="shared" si="9"/>
        <v>26</v>
      </c>
      <c r="C98" s="217">
        <f t="shared" si="10"/>
        <v>19</v>
      </c>
      <c r="D98" s="488"/>
      <c r="E98" s="480"/>
    </row>
    <row r="99" spans="1:5" x14ac:dyDescent="0.25">
      <c r="A99" s="45" t="str">
        <f t="shared" si="8"/>
        <v>01/03/2021-31/03/3021</v>
      </c>
      <c r="B99" s="217">
        <f t="shared" si="9"/>
        <v>29</v>
      </c>
      <c r="C99" s="217">
        <f t="shared" si="10"/>
        <v>20</v>
      </c>
      <c r="D99" s="488"/>
      <c r="E99" s="480"/>
    </row>
    <row r="100" spans="1:5" x14ac:dyDescent="0.25">
      <c r="A100" s="45" t="str">
        <f t="shared" si="8"/>
        <v>01/04/2021-30/04/2021</v>
      </c>
      <c r="B100" s="217">
        <f t="shared" si="9"/>
        <v>28</v>
      </c>
      <c r="C100" s="217">
        <f t="shared" si="10"/>
        <v>20</v>
      </c>
      <c r="D100" s="488"/>
      <c r="E100" s="480"/>
    </row>
    <row r="101" spans="1:5" x14ac:dyDescent="0.25">
      <c r="A101" s="45" t="str">
        <f t="shared" si="8"/>
        <v>01/05/2021-31/05/2021</v>
      </c>
      <c r="B101" s="217">
        <f t="shared" si="9"/>
        <v>30</v>
      </c>
      <c r="C101" s="217">
        <f t="shared" si="10"/>
        <v>20</v>
      </c>
      <c r="D101" s="488"/>
      <c r="E101" s="480"/>
    </row>
    <row r="102" spans="1:5" x14ac:dyDescent="0.25">
      <c r="A102" s="45" t="str">
        <f t="shared" si="8"/>
        <v>01/06/2021-30/06/2021</v>
      </c>
      <c r="B102" s="217">
        <f t="shared" si="9"/>
        <v>28</v>
      </c>
      <c r="C102" s="217">
        <f t="shared" si="10"/>
        <v>20</v>
      </c>
      <c r="D102" s="488"/>
      <c r="E102" s="480"/>
    </row>
    <row r="103" spans="1:5" x14ac:dyDescent="0.25">
      <c r="A103" s="45" t="str">
        <f t="shared" si="8"/>
        <v>01/07/2021-31/07/2021</v>
      </c>
      <c r="B103" s="217">
        <f t="shared" si="9"/>
        <v>29</v>
      </c>
      <c r="C103" s="217">
        <f t="shared" si="10"/>
        <v>20</v>
      </c>
      <c r="D103" s="488"/>
      <c r="E103" s="480"/>
    </row>
    <row r="104" spans="1:5" x14ac:dyDescent="0.25">
      <c r="A104" s="45" t="str">
        <f t="shared" si="8"/>
        <v>01/08/2021-31/08/2021</v>
      </c>
      <c r="B104" s="217">
        <f t="shared" si="9"/>
        <v>29</v>
      </c>
      <c r="C104" s="217">
        <f t="shared" si="10"/>
        <v>21</v>
      </c>
      <c r="D104" s="488"/>
      <c r="E104" s="480"/>
    </row>
    <row r="105" spans="1:5" x14ac:dyDescent="0.25">
      <c r="A105" s="45" t="str">
        <f t="shared" si="8"/>
        <v>01/09/2021-30/09/2021</v>
      </c>
      <c r="B105" s="217">
        <f t="shared" si="9"/>
        <v>28</v>
      </c>
      <c r="C105" s="217">
        <f t="shared" si="10"/>
        <v>20</v>
      </c>
      <c r="D105" s="488"/>
      <c r="E105" s="480"/>
    </row>
    <row r="106" spans="1:5" x14ac:dyDescent="0.25">
      <c r="A106" s="45" t="str">
        <f t="shared" si="8"/>
        <v>01/10/2021-31/10/2021</v>
      </c>
      <c r="B106" s="217">
        <f t="shared" si="9"/>
        <v>29</v>
      </c>
      <c r="C106" s="217">
        <f t="shared" si="10"/>
        <v>21</v>
      </c>
      <c r="D106" s="488"/>
      <c r="E106" s="480"/>
    </row>
    <row r="107" spans="1:5" x14ac:dyDescent="0.25">
      <c r="A107" s="45" t="str">
        <f t="shared" si="8"/>
        <v>01/11/2021-30/11/2021</v>
      </c>
      <c r="B107" s="217">
        <f t="shared" si="9"/>
        <v>28</v>
      </c>
      <c r="C107" s="217">
        <f t="shared" si="10"/>
        <v>20</v>
      </c>
      <c r="D107" s="488"/>
      <c r="E107" s="480"/>
    </row>
    <row r="108" spans="1:5" x14ac:dyDescent="0.25">
      <c r="A108" s="45" t="str">
        <f t="shared" si="8"/>
        <v>01/12/2021-31/12/2021</v>
      </c>
      <c r="B108" s="217">
        <f t="shared" si="9"/>
        <v>29</v>
      </c>
      <c r="C108" s="217">
        <f t="shared" si="10"/>
        <v>21</v>
      </c>
      <c r="D108" s="488"/>
      <c r="E108" s="480"/>
    </row>
    <row r="109" spans="1:5" x14ac:dyDescent="0.25">
      <c r="A109" s="45" t="str">
        <f t="shared" si="8"/>
        <v>01/01/2022-31/01/2022</v>
      </c>
      <c r="B109" s="217">
        <f t="shared" si="9"/>
        <v>29</v>
      </c>
      <c r="C109" s="217">
        <f t="shared" si="10"/>
        <v>21</v>
      </c>
      <c r="D109" s="488"/>
      <c r="E109" s="480"/>
    </row>
    <row r="110" spans="1:5" s="444" customFormat="1" x14ac:dyDescent="0.25">
      <c r="A110" s="404" t="str">
        <f t="shared" ref="A110:A114" si="11">A86</f>
        <v>01/02/2022-28/02/2022</v>
      </c>
      <c r="B110" s="217">
        <f t="shared" ref="B110:B114" si="12">ROUNDDOWN($B$65*$B$67*(1-$B$63)*B38*B58,0)</f>
        <v>26</v>
      </c>
      <c r="C110" s="217">
        <f t="shared" ref="C110:C114" si="13">ROUNDDOWN($C$65*$C$67*(1-$C$63)*C38*C58,0)</f>
        <v>19</v>
      </c>
      <c r="D110" s="488"/>
      <c r="E110" s="480"/>
    </row>
    <row r="111" spans="1:5" s="444" customFormat="1" x14ac:dyDescent="0.25">
      <c r="A111" s="404" t="str">
        <f t="shared" si="11"/>
        <v>01/03/2022-31/03/2022</v>
      </c>
      <c r="B111" s="217">
        <f t="shared" si="12"/>
        <v>29</v>
      </c>
      <c r="C111" s="217">
        <f t="shared" si="13"/>
        <v>21</v>
      </c>
      <c r="D111" s="488"/>
      <c r="E111" s="480"/>
    </row>
    <row r="112" spans="1:5" s="444" customFormat="1" x14ac:dyDescent="0.25">
      <c r="A112" s="404" t="str">
        <f t="shared" si="11"/>
        <v>01/04/2022-30/04/2022</v>
      </c>
      <c r="B112" s="217">
        <f t="shared" si="12"/>
        <v>28</v>
      </c>
      <c r="C112" s="217">
        <f t="shared" si="13"/>
        <v>20</v>
      </c>
      <c r="D112" s="488"/>
      <c r="E112" s="480"/>
    </row>
    <row r="113" spans="1:5" s="444" customFormat="1" x14ac:dyDescent="0.25">
      <c r="A113" s="404" t="str">
        <f t="shared" si="11"/>
        <v>01/05/2022-31/05/2022</v>
      </c>
      <c r="B113" s="217">
        <f t="shared" si="12"/>
        <v>29</v>
      </c>
      <c r="C113" s="217">
        <f t="shared" si="13"/>
        <v>21</v>
      </c>
      <c r="D113" s="488"/>
      <c r="E113" s="480"/>
    </row>
    <row r="114" spans="1:5" x14ac:dyDescent="0.25">
      <c r="A114" s="404" t="str">
        <f t="shared" si="11"/>
        <v>01/06/2022-30/06/2022</v>
      </c>
      <c r="B114" s="217">
        <f t="shared" si="12"/>
        <v>28</v>
      </c>
      <c r="C114" s="217">
        <f t="shared" si="13"/>
        <v>20</v>
      </c>
      <c r="D114" s="488"/>
      <c r="E114" s="480"/>
    </row>
    <row r="115" spans="1:5" ht="13" x14ac:dyDescent="0.3">
      <c r="A115" s="53" t="str">
        <f>A91</f>
        <v>26/12/2020-31/12/2020</v>
      </c>
      <c r="B115" s="615">
        <f>B96+C96</f>
        <v>9</v>
      </c>
      <c r="C115" s="616"/>
      <c r="D115" s="488"/>
      <c r="E115" s="480"/>
    </row>
    <row r="116" spans="1:5" ht="13" x14ac:dyDescent="0.3">
      <c r="A116" s="53" t="str">
        <f>A92</f>
        <v>01/01/2021-31/12/2021</v>
      </c>
      <c r="B116" s="615">
        <f>SUM(B97:C108)</f>
        <v>586</v>
      </c>
      <c r="C116" s="616"/>
      <c r="D116" s="488"/>
      <c r="E116" s="480"/>
    </row>
    <row r="117" spans="1:5" ht="13" x14ac:dyDescent="0.3">
      <c r="A117" s="53" t="str">
        <f>A93</f>
        <v>01/01/2022-30/06/2022</v>
      </c>
      <c r="B117" s="615">
        <f>SUM(B109:C114)</f>
        <v>291</v>
      </c>
      <c r="C117" s="616"/>
      <c r="D117" s="488"/>
      <c r="E117" s="480"/>
    </row>
    <row r="118" spans="1:5" ht="13" x14ac:dyDescent="0.25">
      <c r="A118" s="215" t="s">
        <v>331</v>
      </c>
      <c r="B118" s="617">
        <f>B116+B117+B115</f>
        <v>886</v>
      </c>
      <c r="C118" s="618"/>
      <c r="D118" s="509"/>
      <c r="E118" s="481"/>
    </row>
    <row r="119" spans="1:5" ht="15.5" x14ac:dyDescent="0.25">
      <c r="A119" s="215" t="s">
        <v>259</v>
      </c>
      <c r="B119" s="621"/>
      <c r="C119" s="622"/>
      <c r="D119" s="487" t="s">
        <v>258</v>
      </c>
      <c r="E119" s="479" t="s">
        <v>27</v>
      </c>
    </row>
    <row r="120" spans="1:5" x14ac:dyDescent="0.25">
      <c r="A120" s="45" t="str">
        <f t="shared" ref="A120:A133" si="14">A96</f>
        <v>26/12/2020-31/12/2020</v>
      </c>
      <c r="B120" s="216">
        <f t="shared" ref="B120:B133" si="15">ROUNDDOWN($B$66*(1-$B$63)*$B$68*B24*B44,0)</f>
        <v>5</v>
      </c>
      <c r="C120" s="216">
        <f t="shared" ref="C120:C133" si="16">ROUNDDOWN($C$66*(1-$C$63)*$C$68*C24*C44,0)</f>
        <v>3</v>
      </c>
      <c r="D120" s="488"/>
      <c r="E120" s="480"/>
    </row>
    <row r="121" spans="1:5" x14ac:dyDescent="0.25">
      <c r="A121" s="45" t="str">
        <f t="shared" si="14"/>
        <v>01/01/2021-31/01/2021</v>
      </c>
      <c r="B121" s="216">
        <f t="shared" si="15"/>
        <v>26</v>
      </c>
      <c r="C121" s="216">
        <f t="shared" si="16"/>
        <v>18</v>
      </c>
      <c r="D121" s="488"/>
      <c r="E121" s="480"/>
    </row>
    <row r="122" spans="1:5" x14ac:dyDescent="0.25">
      <c r="A122" s="45" t="str">
        <f t="shared" si="14"/>
        <v>01/02/1021-28/02/2021</v>
      </c>
      <c r="B122" s="216">
        <f t="shared" si="15"/>
        <v>23</v>
      </c>
      <c r="C122" s="216">
        <f t="shared" si="16"/>
        <v>16</v>
      </c>
      <c r="D122" s="488"/>
      <c r="E122" s="480"/>
    </row>
    <row r="123" spans="1:5" x14ac:dyDescent="0.25">
      <c r="A123" s="45" t="str">
        <f t="shared" si="14"/>
        <v>01/03/2021-31/03/3021</v>
      </c>
      <c r="B123" s="216">
        <f t="shared" si="15"/>
        <v>26</v>
      </c>
      <c r="C123" s="216">
        <f t="shared" si="16"/>
        <v>18</v>
      </c>
      <c r="D123" s="488"/>
      <c r="E123" s="480"/>
    </row>
    <row r="124" spans="1:5" x14ac:dyDescent="0.25">
      <c r="A124" s="45" t="str">
        <f t="shared" si="14"/>
        <v>01/04/2021-30/04/2021</v>
      </c>
      <c r="B124" s="216">
        <f t="shared" si="15"/>
        <v>25</v>
      </c>
      <c r="C124" s="216">
        <f t="shared" si="16"/>
        <v>18</v>
      </c>
      <c r="D124" s="488"/>
      <c r="E124" s="480"/>
    </row>
    <row r="125" spans="1:5" x14ac:dyDescent="0.25">
      <c r="A125" s="45" t="str">
        <f t="shared" si="14"/>
        <v>01/05/2021-31/05/2021</v>
      </c>
      <c r="B125" s="216">
        <f t="shared" si="15"/>
        <v>26</v>
      </c>
      <c r="C125" s="216">
        <f t="shared" si="16"/>
        <v>18</v>
      </c>
      <c r="D125" s="488"/>
      <c r="E125" s="480"/>
    </row>
    <row r="126" spans="1:5" x14ac:dyDescent="0.25">
      <c r="A126" s="45" t="str">
        <f t="shared" si="14"/>
        <v>01/06/2021-30/06/2021</v>
      </c>
      <c r="B126" s="216">
        <f t="shared" si="15"/>
        <v>25</v>
      </c>
      <c r="C126" s="216">
        <f t="shared" si="16"/>
        <v>18</v>
      </c>
      <c r="D126" s="488"/>
      <c r="E126" s="480"/>
    </row>
    <row r="127" spans="1:5" x14ac:dyDescent="0.25">
      <c r="A127" s="45" t="str">
        <f t="shared" si="14"/>
        <v>01/07/2021-31/07/2021</v>
      </c>
      <c r="B127" s="216">
        <f t="shared" si="15"/>
        <v>26</v>
      </c>
      <c r="C127" s="216">
        <f t="shared" si="16"/>
        <v>18</v>
      </c>
      <c r="D127" s="488"/>
      <c r="E127" s="480"/>
    </row>
    <row r="128" spans="1:5" x14ac:dyDescent="0.25">
      <c r="A128" s="45" t="str">
        <f t="shared" si="14"/>
        <v>01/08/2021-31/08/2021</v>
      </c>
      <c r="B128" s="216">
        <f t="shared" si="15"/>
        <v>26</v>
      </c>
      <c r="C128" s="216">
        <f t="shared" si="16"/>
        <v>18</v>
      </c>
      <c r="D128" s="488"/>
      <c r="E128" s="480"/>
    </row>
    <row r="129" spans="1:5" x14ac:dyDescent="0.25">
      <c r="A129" s="45" t="str">
        <f t="shared" si="14"/>
        <v>01/09/2021-30/09/2021</v>
      </c>
      <c r="B129" s="216">
        <f t="shared" si="15"/>
        <v>25</v>
      </c>
      <c r="C129" s="216">
        <f t="shared" si="16"/>
        <v>18</v>
      </c>
      <c r="D129" s="488"/>
      <c r="E129" s="480"/>
    </row>
    <row r="130" spans="1:5" x14ac:dyDescent="0.25">
      <c r="A130" s="45" t="str">
        <f t="shared" si="14"/>
        <v>01/10/2021-31/10/2021</v>
      </c>
      <c r="B130" s="216">
        <f t="shared" si="15"/>
        <v>25</v>
      </c>
      <c r="C130" s="216">
        <f t="shared" si="16"/>
        <v>18</v>
      </c>
      <c r="D130" s="488"/>
      <c r="E130" s="480"/>
    </row>
    <row r="131" spans="1:5" x14ac:dyDescent="0.25">
      <c r="A131" s="45" t="str">
        <f t="shared" si="14"/>
        <v>01/11/2021-30/11/2021</v>
      </c>
      <c r="B131" s="216">
        <f t="shared" si="15"/>
        <v>25</v>
      </c>
      <c r="C131" s="216">
        <f t="shared" si="16"/>
        <v>18</v>
      </c>
      <c r="D131" s="488"/>
      <c r="E131" s="480"/>
    </row>
    <row r="132" spans="1:5" x14ac:dyDescent="0.25">
      <c r="A132" s="45" t="str">
        <f t="shared" si="14"/>
        <v>01/12/2021-31/12/2021</v>
      </c>
      <c r="B132" s="216">
        <f t="shared" si="15"/>
        <v>26</v>
      </c>
      <c r="C132" s="216">
        <f t="shared" si="16"/>
        <v>18</v>
      </c>
      <c r="D132" s="488"/>
      <c r="E132" s="480"/>
    </row>
    <row r="133" spans="1:5" x14ac:dyDescent="0.25">
      <c r="A133" s="45" t="str">
        <f t="shared" si="14"/>
        <v>01/01/2022-31/01/2022</v>
      </c>
      <c r="B133" s="216">
        <f t="shared" si="15"/>
        <v>26</v>
      </c>
      <c r="C133" s="216">
        <f t="shared" si="16"/>
        <v>18</v>
      </c>
      <c r="D133" s="488"/>
      <c r="E133" s="480"/>
    </row>
    <row r="134" spans="1:5" s="444" customFormat="1" x14ac:dyDescent="0.25">
      <c r="A134" s="404" t="str">
        <f t="shared" ref="A134:A138" si="17">A110</f>
        <v>01/02/2022-28/02/2022</v>
      </c>
      <c r="B134" s="216">
        <f t="shared" ref="B134:B138" si="18">ROUNDDOWN($B$66*(1-$B$63)*$B$68*B38*B58,0)</f>
        <v>23</v>
      </c>
      <c r="C134" s="216">
        <f t="shared" ref="C134:C138" si="19">ROUNDDOWN($C$66*(1-$C$63)*$C$68*C38*C58,0)</f>
        <v>16</v>
      </c>
      <c r="D134" s="488"/>
      <c r="E134" s="480"/>
    </row>
    <row r="135" spans="1:5" s="444" customFormat="1" x14ac:dyDescent="0.25">
      <c r="A135" s="404" t="str">
        <f t="shared" si="17"/>
        <v>01/03/2022-31/03/2022</v>
      </c>
      <c r="B135" s="216">
        <f t="shared" si="18"/>
        <v>25</v>
      </c>
      <c r="C135" s="216">
        <f t="shared" si="19"/>
        <v>18</v>
      </c>
      <c r="D135" s="488"/>
      <c r="E135" s="480"/>
    </row>
    <row r="136" spans="1:5" s="444" customFormat="1" x14ac:dyDescent="0.25">
      <c r="A136" s="404" t="str">
        <f t="shared" si="17"/>
        <v>01/04/2022-30/04/2022</v>
      </c>
      <c r="B136" s="216">
        <f t="shared" si="18"/>
        <v>25</v>
      </c>
      <c r="C136" s="216">
        <f t="shared" si="19"/>
        <v>18</v>
      </c>
      <c r="D136" s="488"/>
      <c r="E136" s="480"/>
    </row>
    <row r="137" spans="1:5" s="444" customFormat="1" x14ac:dyDescent="0.25">
      <c r="A137" s="404" t="str">
        <f t="shared" si="17"/>
        <v>01/05/2022-31/05/2022</v>
      </c>
      <c r="B137" s="216">
        <f t="shared" si="18"/>
        <v>26</v>
      </c>
      <c r="C137" s="216">
        <f t="shared" si="19"/>
        <v>18</v>
      </c>
      <c r="D137" s="488"/>
      <c r="E137" s="480"/>
    </row>
    <row r="138" spans="1:5" x14ac:dyDescent="0.25">
      <c r="A138" s="404" t="str">
        <f t="shared" si="17"/>
        <v>01/06/2022-30/06/2022</v>
      </c>
      <c r="B138" s="216">
        <f t="shared" si="18"/>
        <v>25</v>
      </c>
      <c r="C138" s="216">
        <f t="shared" si="19"/>
        <v>18</v>
      </c>
      <c r="D138" s="488"/>
      <c r="E138" s="480"/>
    </row>
    <row r="139" spans="1:5" ht="13" x14ac:dyDescent="0.3">
      <c r="A139" s="53" t="str">
        <f>A115</f>
        <v>26/12/2020-31/12/2020</v>
      </c>
      <c r="B139" s="615">
        <f>B120+C120</f>
        <v>8</v>
      </c>
      <c r="C139" s="616"/>
      <c r="D139" s="488"/>
      <c r="E139" s="480"/>
    </row>
    <row r="140" spans="1:5" ht="13" x14ac:dyDescent="0.3">
      <c r="A140" s="53" t="str">
        <f>A116</f>
        <v>01/01/2021-31/12/2021</v>
      </c>
      <c r="B140" s="615">
        <f>SUM(B121:C132)</f>
        <v>518</v>
      </c>
      <c r="C140" s="616"/>
      <c r="D140" s="488"/>
      <c r="E140" s="480"/>
    </row>
    <row r="141" spans="1:5" ht="13" x14ac:dyDescent="0.3">
      <c r="A141" s="53" t="str">
        <f>A117</f>
        <v>01/01/2022-30/06/2022</v>
      </c>
      <c r="B141" s="615">
        <f>SUM(B133:C138)</f>
        <v>256</v>
      </c>
      <c r="C141" s="616"/>
      <c r="D141" s="488"/>
      <c r="E141" s="480"/>
    </row>
    <row r="142" spans="1:5" ht="13" x14ac:dyDescent="0.25">
      <c r="A142" s="45" t="s">
        <v>331</v>
      </c>
      <c r="B142" s="617">
        <f>B140+B141+B139</f>
        <v>782</v>
      </c>
      <c r="C142" s="618"/>
      <c r="D142" s="509"/>
      <c r="E142" s="481"/>
    </row>
    <row r="143" spans="1:5" ht="15.5" customHeight="1" x14ac:dyDescent="0.3">
      <c r="A143" s="53" t="str">
        <f>A139</f>
        <v>26/12/2020-31/12/2020</v>
      </c>
      <c r="B143" s="617">
        <f>ROUNDDOWN(B69*44/28*1/1000*(B91+B115+B139),0)</f>
        <v>28</v>
      </c>
      <c r="C143" s="618"/>
      <c r="D143" s="487" t="s">
        <v>260</v>
      </c>
      <c r="E143" s="479" t="s">
        <v>27</v>
      </c>
    </row>
    <row r="144" spans="1:5" ht="15.5" customHeight="1" x14ac:dyDescent="0.3">
      <c r="A144" s="53" t="str">
        <f t="shared" ref="A144:A145" si="20">A140</f>
        <v>01/01/2021-31/12/2021</v>
      </c>
      <c r="B144" s="617">
        <f>ROUNDDOWN(B70*44/28*1/1000*(B92+B116+B140),0)</f>
        <v>1563</v>
      </c>
      <c r="C144" s="618"/>
      <c r="D144" s="488"/>
      <c r="E144" s="480"/>
    </row>
    <row r="145" spans="1:5" ht="13" x14ac:dyDescent="0.3">
      <c r="A145" s="53" t="str">
        <f t="shared" si="20"/>
        <v>01/01/2022-30/06/2022</v>
      </c>
      <c r="B145" s="617">
        <f>ROUNDDOWN(B70*44/28*1/1000*(B93+B117+B141),0)</f>
        <v>774</v>
      </c>
      <c r="C145" s="618"/>
      <c r="D145" s="488"/>
      <c r="E145" s="480"/>
    </row>
    <row r="146" spans="1:5" ht="15.5" thickBot="1" x14ac:dyDescent="0.3">
      <c r="A146" s="218" t="s">
        <v>261</v>
      </c>
      <c r="B146" s="629">
        <f>B144+B145+B143</f>
        <v>2365</v>
      </c>
      <c r="C146" s="630"/>
      <c r="D146" s="525"/>
      <c r="E146" s="526"/>
    </row>
    <row r="147" spans="1:5" ht="13" x14ac:dyDescent="0.25">
      <c r="A147" s="219"/>
      <c r="B147" s="220"/>
      <c r="C147" s="220"/>
    </row>
    <row r="148" spans="1:5" ht="13" x14ac:dyDescent="0.25">
      <c r="A148" s="219"/>
      <c r="B148" s="220"/>
      <c r="C148" s="220"/>
    </row>
    <row r="149" spans="1:5" ht="13" x14ac:dyDescent="0.25">
      <c r="A149" s="219"/>
      <c r="B149" s="220"/>
      <c r="C149" s="220"/>
      <c r="D149" s="58"/>
    </row>
    <row r="150" spans="1:5" ht="13" x14ac:dyDescent="0.25">
      <c r="A150" s="219"/>
      <c r="B150" s="220"/>
      <c r="C150" s="220"/>
      <c r="D150" s="58"/>
    </row>
    <row r="151" spans="1:5" ht="13" x14ac:dyDescent="0.25">
      <c r="A151" s="219"/>
      <c r="B151" s="220"/>
      <c r="C151" s="220"/>
      <c r="D151" s="58"/>
    </row>
    <row r="152" spans="1:5" ht="13" x14ac:dyDescent="0.25">
      <c r="A152" s="219"/>
      <c r="B152" s="220"/>
      <c r="C152" s="220"/>
      <c r="D152" s="58"/>
    </row>
    <row r="153" spans="1:5" ht="13" x14ac:dyDescent="0.25">
      <c r="A153" s="219"/>
      <c r="B153" s="220"/>
      <c r="C153" s="220"/>
      <c r="D153" s="58"/>
    </row>
    <row r="154" spans="1:5" ht="13" x14ac:dyDescent="0.25">
      <c r="A154" s="219"/>
      <c r="B154" s="220"/>
      <c r="C154" s="220"/>
      <c r="D154" s="58"/>
    </row>
    <row r="155" spans="1:5" ht="13" x14ac:dyDescent="0.25">
      <c r="A155" s="219"/>
      <c r="B155" s="220"/>
      <c r="C155" s="220"/>
      <c r="D155" s="58"/>
    </row>
    <row r="156" spans="1:5" ht="13" x14ac:dyDescent="0.25">
      <c r="A156" s="219"/>
      <c r="B156" s="220"/>
      <c r="C156" s="220"/>
      <c r="D156" s="58"/>
    </row>
    <row r="157" spans="1:5" ht="13" x14ac:dyDescent="0.25">
      <c r="A157" s="219"/>
      <c r="B157" s="220"/>
      <c r="C157" s="220"/>
      <c r="D157" s="58"/>
    </row>
    <row r="158" spans="1:5" ht="13" x14ac:dyDescent="0.25">
      <c r="A158" s="219"/>
      <c r="B158" s="220"/>
      <c r="C158" s="220"/>
      <c r="D158" s="58"/>
    </row>
    <row r="159" spans="1:5" ht="13" x14ac:dyDescent="0.25">
      <c r="A159" s="219"/>
      <c r="B159" s="220"/>
      <c r="C159" s="220"/>
      <c r="D159" s="58"/>
    </row>
    <row r="160" spans="1:5" ht="13" x14ac:dyDescent="0.25">
      <c r="A160" s="219"/>
      <c r="B160" s="220"/>
      <c r="C160" s="220"/>
      <c r="D160" s="58"/>
    </row>
    <row r="161" spans="1:6" ht="13" x14ac:dyDescent="0.25">
      <c r="A161" s="219"/>
      <c r="B161" s="220"/>
      <c r="C161" s="220"/>
      <c r="D161" s="58"/>
    </row>
    <row r="162" spans="1:6" ht="13.5" thickBot="1" x14ac:dyDescent="0.3">
      <c r="A162" s="219"/>
      <c r="B162" s="220"/>
      <c r="C162" s="220"/>
    </row>
    <row r="163" spans="1:6" ht="13" x14ac:dyDescent="0.3">
      <c r="A163" s="62" t="s">
        <v>3</v>
      </c>
      <c r="B163" s="63" t="s">
        <v>16</v>
      </c>
      <c r="C163" s="63"/>
      <c r="D163" s="63" t="s">
        <v>2</v>
      </c>
      <c r="E163" s="205" t="s">
        <v>4</v>
      </c>
    </row>
    <row r="164" spans="1:6" x14ac:dyDescent="0.25">
      <c r="A164" s="207" t="s">
        <v>262</v>
      </c>
      <c r="B164" s="210">
        <v>0.25</v>
      </c>
      <c r="C164" s="210">
        <f>B164</f>
        <v>0.25</v>
      </c>
      <c r="D164" s="81" t="s">
        <v>0</v>
      </c>
      <c r="E164" s="213" t="s">
        <v>133</v>
      </c>
      <c r="F164" s="221"/>
    </row>
    <row r="165" spans="1:6" x14ac:dyDescent="0.25">
      <c r="A165" s="207" t="s">
        <v>262</v>
      </c>
      <c r="B165" s="210">
        <v>0.05</v>
      </c>
      <c r="C165" s="210">
        <v>0.05</v>
      </c>
      <c r="D165" s="81"/>
      <c r="E165" s="213" t="s">
        <v>134</v>
      </c>
      <c r="F165" s="221"/>
    </row>
    <row r="166" spans="1:6" ht="15.5" x14ac:dyDescent="0.4">
      <c r="A166" s="207" t="s">
        <v>13</v>
      </c>
      <c r="B166" s="212">
        <v>0.01</v>
      </c>
      <c r="C166" s="212">
        <v>0.01</v>
      </c>
      <c r="D166" s="67" t="s">
        <v>263</v>
      </c>
      <c r="E166" s="213" t="s">
        <v>44</v>
      </c>
      <c r="F166" s="221"/>
    </row>
    <row r="167" spans="1:6" ht="15.5" x14ac:dyDescent="0.4">
      <c r="A167" s="207" t="s">
        <v>14</v>
      </c>
      <c r="B167" s="212">
        <v>7.4999999999999997E-3</v>
      </c>
      <c r="C167" s="212">
        <v>7.4999999999999997E-3</v>
      </c>
      <c r="D167" s="67" t="s">
        <v>263</v>
      </c>
      <c r="E167" s="213" t="s">
        <v>29</v>
      </c>
      <c r="F167" s="221"/>
    </row>
    <row r="168" spans="1:6" ht="15.5" x14ac:dyDescent="0.4">
      <c r="A168" s="207" t="s">
        <v>12</v>
      </c>
      <c r="B168" s="212">
        <v>0.01</v>
      </c>
      <c r="C168" s="212">
        <v>0.01</v>
      </c>
      <c r="D168" s="67" t="s">
        <v>251</v>
      </c>
      <c r="E168" s="213" t="s">
        <v>29</v>
      </c>
      <c r="F168" s="221"/>
    </row>
    <row r="169" spans="1:6" ht="15.5" x14ac:dyDescent="0.25">
      <c r="A169" s="207" t="s">
        <v>252</v>
      </c>
      <c r="B169" s="212">
        <v>0.3</v>
      </c>
      <c r="C169" s="212">
        <v>0.3</v>
      </c>
      <c r="D169" s="67" t="s">
        <v>94</v>
      </c>
      <c r="E169" s="213" t="s">
        <v>29</v>
      </c>
      <c r="F169" s="221"/>
    </row>
    <row r="170" spans="1:6" ht="50" x14ac:dyDescent="0.25">
      <c r="A170" s="207" t="s">
        <v>253</v>
      </c>
      <c r="B170" s="212">
        <v>0.2</v>
      </c>
      <c r="C170" s="212">
        <v>0.2</v>
      </c>
      <c r="D170" s="81" t="s">
        <v>94</v>
      </c>
      <c r="E170" s="213" t="s">
        <v>59</v>
      </c>
      <c r="F170" s="221"/>
    </row>
    <row r="171" spans="1:6" ht="15" x14ac:dyDescent="0.25">
      <c r="A171" s="215" t="s">
        <v>264</v>
      </c>
      <c r="B171" s="81"/>
      <c r="C171" s="81"/>
      <c r="D171" s="487" t="s">
        <v>159</v>
      </c>
      <c r="E171" s="480" t="s">
        <v>111</v>
      </c>
      <c r="F171" s="221"/>
    </row>
    <row r="172" spans="1:6" x14ac:dyDescent="0.25">
      <c r="A172" s="45" t="str">
        <f t="shared" ref="A172:A185" si="21">A120</f>
        <v>26/12/2020-31/12/2020</v>
      </c>
      <c r="B172" s="217">
        <f t="shared" ref="B172:B185" si="22">ROUNDUP($B$166*(1-$B$164)*(1-$B$165)*B24*B44,0)</f>
        <v>92</v>
      </c>
      <c r="C172" s="217">
        <f t="shared" ref="C172:C185" si="23">ROUNDUP($C$166*(1-$C$164)*(1-$C$165)*C44*C24,0)</f>
        <v>64</v>
      </c>
      <c r="D172" s="488"/>
      <c r="E172" s="480"/>
      <c r="F172" s="221"/>
    </row>
    <row r="173" spans="1:6" x14ac:dyDescent="0.25">
      <c r="A173" s="45" t="str">
        <f t="shared" si="21"/>
        <v>01/01/2021-31/01/2021</v>
      </c>
      <c r="B173" s="217">
        <f t="shared" si="22"/>
        <v>476</v>
      </c>
      <c r="C173" s="217">
        <f t="shared" si="23"/>
        <v>335</v>
      </c>
      <c r="D173" s="488"/>
      <c r="E173" s="480"/>
      <c r="F173" s="221"/>
    </row>
    <row r="174" spans="1:6" x14ac:dyDescent="0.25">
      <c r="A174" s="45" t="str">
        <f t="shared" si="21"/>
        <v>01/02/1021-28/02/2021</v>
      </c>
      <c r="B174" s="217">
        <f t="shared" si="22"/>
        <v>427</v>
      </c>
      <c r="C174" s="217">
        <f t="shared" si="23"/>
        <v>302</v>
      </c>
      <c r="D174" s="488"/>
      <c r="E174" s="480"/>
      <c r="F174" s="221"/>
    </row>
    <row r="175" spans="1:6" x14ac:dyDescent="0.25">
      <c r="A175" s="45" t="str">
        <f t="shared" si="21"/>
        <v>01/03/2021-31/03/3021</v>
      </c>
      <c r="B175" s="217">
        <f t="shared" si="22"/>
        <v>466</v>
      </c>
      <c r="C175" s="217">
        <f t="shared" si="23"/>
        <v>332</v>
      </c>
      <c r="D175" s="488"/>
      <c r="E175" s="480"/>
      <c r="F175" s="221"/>
    </row>
    <row r="176" spans="1:6" x14ac:dyDescent="0.25">
      <c r="A176" s="45" t="str">
        <f t="shared" si="21"/>
        <v>01/04/2021-30/04/2021</v>
      </c>
      <c r="B176" s="217">
        <f t="shared" si="22"/>
        <v>453</v>
      </c>
      <c r="C176" s="217">
        <f t="shared" si="23"/>
        <v>325</v>
      </c>
      <c r="D176" s="488"/>
      <c r="E176" s="480"/>
      <c r="F176" s="221"/>
    </row>
    <row r="177" spans="1:6" x14ac:dyDescent="0.25">
      <c r="A177" s="45" t="str">
        <f t="shared" si="21"/>
        <v>01/05/2021-31/05/2021</v>
      </c>
      <c r="B177" s="217">
        <f t="shared" si="22"/>
        <v>481</v>
      </c>
      <c r="C177" s="217">
        <f t="shared" si="23"/>
        <v>333</v>
      </c>
      <c r="D177" s="488"/>
      <c r="E177" s="480"/>
      <c r="F177" s="221"/>
    </row>
    <row r="178" spans="1:6" x14ac:dyDescent="0.25">
      <c r="A178" s="45" t="str">
        <f t="shared" si="21"/>
        <v>01/06/2021-30/06/2021</v>
      </c>
      <c r="B178" s="217">
        <f t="shared" si="22"/>
        <v>449</v>
      </c>
      <c r="C178" s="217">
        <f t="shared" si="23"/>
        <v>327</v>
      </c>
      <c r="D178" s="488"/>
      <c r="E178" s="480"/>
      <c r="F178" s="221"/>
    </row>
    <row r="179" spans="1:6" x14ac:dyDescent="0.25">
      <c r="A179" s="45" t="str">
        <f t="shared" si="21"/>
        <v>01/07/2021-31/07/2021</v>
      </c>
      <c r="B179" s="217">
        <f t="shared" si="22"/>
        <v>469</v>
      </c>
      <c r="C179" s="217">
        <f t="shared" si="23"/>
        <v>332</v>
      </c>
      <c r="D179" s="488"/>
      <c r="E179" s="480"/>
      <c r="F179" s="221"/>
    </row>
    <row r="180" spans="1:6" x14ac:dyDescent="0.25">
      <c r="A180" s="45" t="str">
        <f t="shared" si="21"/>
        <v>01/08/2021-31/08/2021</v>
      </c>
      <c r="B180" s="217">
        <f t="shared" si="22"/>
        <v>466</v>
      </c>
      <c r="C180" s="217">
        <f t="shared" si="23"/>
        <v>336</v>
      </c>
      <c r="D180" s="488"/>
      <c r="E180" s="480"/>
      <c r="F180" s="221"/>
    </row>
    <row r="181" spans="1:6" x14ac:dyDescent="0.25">
      <c r="A181" s="45" t="str">
        <f t="shared" si="21"/>
        <v>01/09/2021-30/09/2021</v>
      </c>
      <c r="B181" s="217">
        <f t="shared" si="22"/>
        <v>450</v>
      </c>
      <c r="C181" s="217">
        <f t="shared" si="23"/>
        <v>323</v>
      </c>
      <c r="D181" s="488"/>
      <c r="E181" s="480"/>
      <c r="F181" s="221"/>
    </row>
    <row r="182" spans="1:6" x14ac:dyDescent="0.25">
      <c r="A182" s="45" t="str">
        <f t="shared" si="21"/>
        <v>01/10/2021-31/10/2021</v>
      </c>
      <c r="B182" s="217">
        <f t="shared" si="22"/>
        <v>462</v>
      </c>
      <c r="C182" s="217">
        <f t="shared" si="23"/>
        <v>334</v>
      </c>
      <c r="D182" s="488"/>
      <c r="E182" s="480"/>
      <c r="F182" s="221"/>
    </row>
    <row r="183" spans="1:6" x14ac:dyDescent="0.25">
      <c r="A183" s="45" t="str">
        <f t="shared" si="21"/>
        <v>01/11/2021-30/11/2021</v>
      </c>
      <c r="B183" s="217">
        <f t="shared" si="22"/>
        <v>455</v>
      </c>
      <c r="C183" s="217">
        <f t="shared" si="23"/>
        <v>322</v>
      </c>
      <c r="D183" s="488"/>
      <c r="E183" s="480"/>
      <c r="F183" s="221"/>
    </row>
    <row r="184" spans="1:6" x14ac:dyDescent="0.25">
      <c r="A184" s="45" t="str">
        <f t="shared" si="21"/>
        <v>01/12/2021-31/12/2021</v>
      </c>
      <c r="B184" s="217">
        <f t="shared" si="22"/>
        <v>466</v>
      </c>
      <c r="C184" s="217">
        <f t="shared" si="23"/>
        <v>334</v>
      </c>
      <c r="D184" s="488"/>
      <c r="E184" s="480"/>
      <c r="F184" s="221"/>
    </row>
    <row r="185" spans="1:6" x14ac:dyDescent="0.25">
      <c r="A185" s="45" t="str">
        <f t="shared" si="21"/>
        <v>01/01/2022-31/01/2022</v>
      </c>
      <c r="B185" s="217">
        <f t="shared" si="22"/>
        <v>474</v>
      </c>
      <c r="C185" s="217">
        <f t="shared" si="23"/>
        <v>334</v>
      </c>
      <c r="D185" s="488"/>
      <c r="E185" s="480"/>
      <c r="F185" s="221"/>
    </row>
    <row r="186" spans="1:6" s="444" customFormat="1" x14ac:dyDescent="0.25">
      <c r="A186" s="404" t="str">
        <f t="shared" ref="A186:A190" si="24">A134</f>
        <v>01/02/2022-28/02/2022</v>
      </c>
      <c r="B186" s="217">
        <f t="shared" ref="B186:B190" si="25">ROUNDUP($B$166*(1-$B$164)*(1-$B$165)*B38*B58,0)</f>
        <v>420</v>
      </c>
      <c r="C186" s="217">
        <f t="shared" ref="C186:C190" si="26">ROUNDUP($C$166*(1-$C$164)*(1-$C$165)*C58*C38,0)</f>
        <v>303</v>
      </c>
      <c r="D186" s="488"/>
      <c r="E186" s="480"/>
      <c r="F186" s="221"/>
    </row>
    <row r="187" spans="1:6" s="444" customFormat="1" x14ac:dyDescent="0.25">
      <c r="A187" s="404" t="str">
        <f t="shared" si="24"/>
        <v>01/03/2022-31/03/2022</v>
      </c>
      <c r="B187" s="217">
        <f t="shared" si="25"/>
        <v>461</v>
      </c>
      <c r="C187" s="217">
        <f t="shared" si="26"/>
        <v>336</v>
      </c>
      <c r="D187" s="488"/>
      <c r="E187" s="480"/>
      <c r="F187" s="221"/>
    </row>
    <row r="188" spans="1:6" s="444" customFormat="1" x14ac:dyDescent="0.25">
      <c r="A188" s="404" t="str">
        <f t="shared" si="24"/>
        <v>01/04/2022-30/04/2022</v>
      </c>
      <c r="B188" s="217">
        <f t="shared" si="25"/>
        <v>455</v>
      </c>
      <c r="C188" s="217">
        <f t="shared" si="26"/>
        <v>323</v>
      </c>
      <c r="D188" s="488"/>
      <c r="E188" s="480"/>
      <c r="F188" s="221"/>
    </row>
    <row r="189" spans="1:6" s="444" customFormat="1" x14ac:dyDescent="0.25">
      <c r="A189" s="404" t="str">
        <f t="shared" si="24"/>
        <v>01/05/2022-31/05/2022</v>
      </c>
      <c r="B189" s="217">
        <f t="shared" si="25"/>
        <v>468</v>
      </c>
      <c r="C189" s="217">
        <f t="shared" si="26"/>
        <v>334</v>
      </c>
      <c r="D189" s="488"/>
      <c r="E189" s="480"/>
      <c r="F189" s="221"/>
    </row>
    <row r="190" spans="1:6" x14ac:dyDescent="0.25">
      <c r="A190" s="404" t="str">
        <f t="shared" si="24"/>
        <v>01/06/2022-30/06/2022</v>
      </c>
      <c r="B190" s="217">
        <f t="shared" si="25"/>
        <v>459</v>
      </c>
      <c r="C190" s="217">
        <f t="shared" si="26"/>
        <v>323</v>
      </c>
      <c r="D190" s="488"/>
      <c r="E190" s="480"/>
      <c r="F190" s="221"/>
    </row>
    <row r="191" spans="1:6" ht="13" x14ac:dyDescent="0.3">
      <c r="A191" s="53" t="str">
        <f>A139</f>
        <v>26/12/2020-31/12/2020</v>
      </c>
      <c r="B191" s="610">
        <f>B172+C172</f>
        <v>156</v>
      </c>
      <c r="C191" s="611"/>
      <c r="D191" s="488"/>
      <c r="E191" s="480"/>
      <c r="F191" s="221"/>
    </row>
    <row r="192" spans="1:6" ht="13" x14ac:dyDescent="0.3">
      <c r="A192" s="53" t="str">
        <f>A140</f>
        <v>01/01/2021-31/12/2021</v>
      </c>
      <c r="B192" s="602">
        <f>SUM(B173:C184)</f>
        <v>9455</v>
      </c>
      <c r="C192" s="602"/>
      <c r="D192" s="488"/>
      <c r="E192" s="480"/>
      <c r="F192" s="221"/>
    </row>
    <row r="193" spans="1:6" ht="13" x14ac:dyDescent="0.3">
      <c r="A193" s="53" t="str">
        <f>A141</f>
        <v>01/01/2022-30/06/2022</v>
      </c>
      <c r="B193" s="602">
        <f>SUM(B185:C190)</f>
        <v>4690</v>
      </c>
      <c r="C193" s="602"/>
      <c r="D193" s="488"/>
      <c r="E193" s="480"/>
      <c r="F193" s="221"/>
    </row>
    <row r="194" spans="1:6" ht="13" x14ac:dyDescent="0.25">
      <c r="A194" s="29" t="s">
        <v>332</v>
      </c>
      <c r="B194" s="612">
        <f>B192+B193+B191</f>
        <v>14301</v>
      </c>
      <c r="C194" s="612"/>
      <c r="D194" s="488"/>
      <c r="E194" s="480"/>
      <c r="F194" s="221"/>
    </row>
    <row r="195" spans="1:6" ht="15" x14ac:dyDescent="0.4">
      <c r="A195" s="222" t="s">
        <v>265</v>
      </c>
      <c r="B195" s="216"/>
      <c r="C195" s="216"/>
      <c r="D195" s="488"/>
      <c r="E195" s="480"/>
      <c r="F195" s="221"/>
    </row>
    <row r="196" spans="1:6" x14ac:dyDescent="0.25">
      <c r="A196" s="45" t="str">
        <f t="shared" ref="A196:A209" si="27">A172</f>
        <v>26/12/2020-31/12/2020</v>
      </c>
      <c r="B196" s="216">
        <f t="shared" ref="B196:B209" si="28">ROUNDUP($B$167*$B$169*(1-$B$164)*(1-$B$165)*B44*B24,0)</f>
        <v>21</v>
      </c>
      <c r="C196" s="216">
        <f t="shared" ref="C196:C209" si="29">ROUNDUP($C$167*$C$169*(1-$C$164)*(1-$C$165)*C44*C24,0)</f>
        <v>15</v>
      </c>
      <c r="D196" s="488"/>
      <c r="E196" s="480"/>
      <c r="F196" s="221"/>
    </row>
    <row r="197" spans="1:6" x14ac:dyDescent="0.25">
      <c r="A197" s="45" t="str">
        <f t="shared" si="27"/>
        <v>01/01/2021-31/01/2021</v>
      </c>
      <c r="B197" s="216">
        <f t="shared" si="28"/>
        <v>108</v>
      </c>
      <c r="C197" s="216">
        <f t="shared" si="29"/>
        <v>76</v>
      </c>
      <c r="D197" s="488"/>
      <c r="E197" s="480"/>
      <c r="F197" s="221"/>
    </row>
    <row r="198" spans="1:6" x14ac:dyDescent="0.25">
      <c r="A198" s="45" t="str">
        <f t="shared" si="27"/>
        <v>01/02/1021-28/02/2021</v>
      </c>
      <c r="B198" s="216">
        <f t="shared" si="28"/>
        <v>96</v>
      </c>
      <c r="C198" s="216">
        <f t="shared" si="29"/>
        <v>68</v>
      </c>
      <c r="D198" s="488"/>
      <c r="E198" s="480"/>
      <c r="F198" s="221"/>
    </row>
    <row r="199" spans="1:6" x14ac:dyDescent="0.25">
      <c r="A199" s="45" t="str">
        <f t="shared" si="27"/>
        <v>01/03/2021-31/03/3021</v>
      </c>
      <c r="B199" s="216">
        <f t="shared" si="28"/>
        <v>105</v>
      </c>
      <c r="C199" s="216">
        <f t="shared" si="29"/>
        <v>75</v>
      </c>
      <c r="D199" s="488"/>
      <c r="E199" s="480"/>
      <c r="F199" s="221"/>
    </row>
    <row r="200" spans="1:6" x14ac:dyDescent="0.25">
      <c r="A200" s="45" t="str">
        <f t="shared" si="27"/>
        <v>01/04/2021-30/04/2021</v>
      </c>
      <c r="B200" s="216">
        <f t="shared" si="28"/>
        <v>102</v>
      </c>
      <c r="C200" s="216">
        <f t="shared" si="29"/>
        <v>74</v>
      </c>
      <c r="D200" s="488"/>
      <c r="E200" s="480"/>
      <c r="F200" s="221"/>
    </row>
    <row r="201" spans="1:6" x14ac:dyDescent="0.25">
      <c r="A201" s="45" t="str">
        <f t="shared" si="27"/>
        <v>01/05/2021-31/05/2021</v>
      </c>
      <c r="B201" s="216">
        <f t="shared" si="28"/>
        <v>109</v>
      </c>
      <c r="C201" s="216">
        <f t="shared" si="29"/>
        <v>75</v>
      </c>
      <c r="D201" s="488"/>
      <c r="E201" s="480"/>
      <c r="F201" s="221"/>
    </row>
    <row r="202" spans="1:6" x14ac:dyDescent="0.25">
      <c r="A202" s="45" t="str">
        <f t="shared" si="27"/>
        <v>01/06/2021-30/06/2021</v>
      </c>
      <c r="B202" s="216">
        <f t="shared" si="28"/>
        <v>101</v>
      </c>
      <c r="C202" s="216">
        <f t="shared" si="29"/>
        <v>74</v>
      </c>
      <c r="D202" s="488"/>
      <c r="E202" s="480"/>
      <c r="F202" s="221"/>
    </row>
    <row r="203" spans="1:6" x14ac:dyDescent="0.25">
      <c r="A203" s="45" t="str">
        <f t="shared" si="27"/>
        <v>01/07/2021-31/07/2021</v>
      </c>
      <c r="B203" s="216">
        <f t="shared" si="28"/>
        <v>106</v>
      </c>
      <c r="C203" s="216">
        <f t="shared" si="29"/>
        <v>75</v>
      </c>
      <c r="D203" s="488"/>
      <c r="E203" s="480"/>
      <c r="F203" s="221"/>
    </row>
    <row r="204" spans="1:6" x14ac:dyDescent="0.25">
      <c r="A204" s="45" t="str">
        <f t="shared" si="27"/>
        <v>01/08/2021-31/08/2021</v>
      </c>
      <c r="B204" s="216">
        <f t="shared" si="28"/>
        <v>105</v>
      </c>
      <c r="C204" s="216">
        <f t="shared" si="29"/>
        <v>76</v>
      </c>
      <c r="D204" s="488"/>
      <c r="E204" s="480"/>
      <c r="F204" s="221"/>
    </row>
    <row r="205" spans="1:6" x14ac:dyDescent="0.25">
      <c r="A205" s="45" t="str">
        <f t="shared" si="27"/>
        <v>01/09/2021-30/09/2021</v>
      </c>
      <c r="B205" s="216">
        <f t="shared" si="28"/>
        <v>102</v>
      </c>
      <c r="C205" s="216">
        <f t="shared" si="29"/>
        <v>73</v>
      </c>
      <c r="D205" s="488"/>
      <c r="E205" s="480"/>
      <c r="F205" s="221"/>
    </row>
    <row r="206" spans="1:6" x14ac:dyDescent="0.25">
      <c r="A206" s="45" t="str">
        <f t="shared" si="27"/>
        <v>01/10/2021-31/10/2021</v>
      </c>
      <c r="B206" s="216">
        <f t="shared" si="28"/>
        <v>104</v>
      </c>
      <c r="C206" s="216">
        <f t="shared" si="29"/>
        <v>75</v>
      </c>
      <c r="D206" s="488"/>
      <c r="E206" s="480"/>
      <c r="F206" s="221"/>
    </row>
    <row r="207" spans="1:6" x14ac:dyDescent="0.25">
      <c r="A207" s="45" t="str">
        <f t="shared" si="27"/>
        <v>01/11/2021-30/11/2021</v>
      </c>
      <c r="B207" s="216">
        <f t="shared" si="28"/>
        <v>103</v>
      </c>
      <c r="C207" s="216">
        <f t="shared" si="29"/>
        <v>73</v>
      </c>
      <c r="D207" s="488"/>
      <c r="E207" s="480"/>
      <c r="F207" s="221"/>
    </row>
    <row r="208" spans="1:6" x14ac:dyDescent="0.25">
      <c r="A208" s="45" t="str">
        <f t="shared" si="27"/>
        <v>01/12/2021-31/12/2021</v>
      </c>
      <c r="B208" s="216">
        <f t="shared" si="28"/>
        <v>105</v>
      </c>
      <c r="C208" s="216">
        <f t="shared" si="29"/>
        <v>76</v>
      </c>
      <c r="D208" s="488"/>
      <c r="E208" s="480"/>
      <c r="F208" s="221"/>
    </row>
    <row r="209" spans="1:6" x14ac:dyDescent="0.25">
      <c r="A209" s="45" t="str">
        <f t="shared" si="27"/>
        <v>01/01/2022-31/01/2022</v>
      </c>
      <c r="B209" s="216">
        <f t="shared" si="28"/>
        <v>107</v>
      </c>
      <c r="C209" s="216">
        <f t="shared" si="29"/>
        <v>75</v>
      </c>
      <c r="D209" s="488"/>
      <c r="E209" s="480"/>
      <c r="F209" s="221"/>
    </row>
    <row r="210" spans="1:6" s="444" customFormat="1" x14ac:dyDescent="0.25">
      <c r="A210" s="404" t="str">
        <f t="shared" ref="A210:A214" si="30">A186</f>
        <v>01/02/2022-28/02/2022</v>
      </c>
      <c r="B210" s="216">
        <f t="shared" ref="B210:B214" si="31">ROUNDUP($B$167*$B$169*(1-$B$164)*(1-$B$165)*B58*B38,0)</f>
        <v>95</v>
      </c>
      <c r="C210" s="216">
        <f t="shared" ref="C210:C214" si="32">ROUNDUP($C$167*$C$169*(1-$C$164)*(1-$C$165)*C58*C38,0)</f>
        <v>68</v>
      </c>
      <c r="D210" s="488"/>
      <c r="E210" s="480"/>
      <c r="F210" s="221"/>
    </row>
    <row r="211" spans="1:6" s="444" customFormat="1" x14ac:dyDescent="0.25">
      <c r="A211" s="404" t="str">
        <f t="shared" si="30"/>
        <v>01/03/2022-31/03/2022</v>
      </c>
      <c r="B211" s="216">
        <f t="shared" si="31"/>
        <v>104</v>
      </c>
      <c r="C211" s="216">
        <f t="shared" si="32"/>
        <v>76</v>
      </c>
      <c r="D211" s="488"/>
      <c r="E211" s="480"/>
      <c r="F211" s="221"/>
    </row>
    <row r="212" spans="1:6" s="444" customFormat="1" x14ac:dyDescent="0.25">
      <c r="A212" s="404" t="str">
        <f t="shared" si="30"/>
        <v>01/04/2022-30/04/2022</v>
      </c>
      <c r="B212" s="216">
        <f t="shared" si="31"/>
        <v>103</v>
      </c>
      <c r="C212" s="216">
        <f t="shared" si="32"/>
        <v>73</v>
      </c>
      <c r="D212" s="488"/>
      <c r="E212" s="480"/>
      <c r="F212" s="221"/>
    </row>
    <row r="213" spans="1:6" s="444" customFormat="1" x14ac:dyDescent="0.25">
      <c r="A213" s="404" t="str">
        <f t="shared" si="30"/>
        <v>01/05/2022-31/05/2022</v>
      </c>
      <c r="B213" s="216">
        <f t="shared" si="31"/>
        <v>106</v>
      </c>
      <c r="C213" s="216">
        <f t="shared" si="32"/>
        <v>75</v>
      </c>
      <c r="D213" s="488"/>
      <c r="E213" s="480"/>
      <c r="F213" s="221"/>
    </row>
    <row r="214" spans="1:6" x14ac:dyDescent="0.25">
      <c r="A214" s="404" t="str">
        <f t="shared" si="30"/>
        <v>01/06/2022-30/06/2022</v>
      </c>
      <c r="B214" s="216">
        <f t="shared" si="31"/>
        <v>104</v>
      </c>
      <c r="C214" s="216">
        <f t="shared" si="32"/>
        <v>73</v>
      </c>
      <c r="D214" s="488"/>
      <c r="E214" s="480"/>
      <c r="F214" s="221"/>
    </row>
    <row r="215" spans="1:6" ht="13" x14ac:dyDescent="0.3">
      <c r="A215" s="53" t="str">
        <f>A191</f>
        <v>26/12/2020-31/12/2020</v>
      </c>
      <c r="B215" s="610">
        <f>B196+C196</f>
        <v>36</v>
      </c>
      <c r="C215" s="611"/>
      <c r="D215" s="488"/>
      <c r="E215" s="480"/>
      <c r="F215" s="221"/>
    </row>
    <row r="216" spans="1:6" ht="13" x14ac:dyDescent="0.3">
      <c r="A216" s="53" t="str">
        <f>A192</f>
        <v>01/01/2021-31/12/2021</v>
      </c>
      <c r="B216" s="610">
        <f>SUM(B197:C208)</f>
        <v>2136</v>
      </c>
      <c r="C216" s="611"/>
      <c r="D216" s="488"/>
      <c r="E216" s="480"/>
      <c r="F216" s="221"/>
    </row>
    <row r="217" spans="1:6" ht="13" x14ac:dyDescent="0.3">
      <c r="A217" s="53" t="str">
        <f>A193</f>
        <v>01/01/2022-30/06/2022</v>
      </c>
      <c r="B217" s="610">
        <f>SUM(B209:C214)</f>
        <v>1059</v>
      </c>
      <c r="C217" s="611"/>
      <c r="D217" s="488"/>
      <c r="E217" s="480"/>
      <c r="F217" s="221"/>
    </row>
    <row r="218" spans="1:6" ht="13" x14ac:dyDescent="0.3">
      <c r="A218" s="53" t="s">
        <v>331</v>
      </c>
      <c r="B218" s="610">
        <f>B215+B216+B217</f>
        <v>3231</v>
      </c>
      <c r="C218" s="611"/>
      <c r="D218" s="488"/>
      <c r="E218" s="480"/>
      <c r="F218" s="221"/>
    </row>
    <row r="219" spans="1:6" ht="15" x14ac:dyDescent="0.25">
      <c r="A219" s="215" t="s">
        <v>266</v>
      </c>
      <c r="B219" s="223"/>
      <c r="C219" s="224"/>
      <c r="D219" s="488"/>
      <c r="E219" s="480"/>
      <c r="F219" s="221"/>
    </row>
    <row r="220" spans="1:6" x14ac:dyDescent="0.25">
      <c r="A220" s="45" t="str">
        <f t="shared" ref="A220:A233" si="33">A196</f>
        <v>26/12/2020-31/12/2020</v>
      </c>
      <c r="B220" s="380">
        <f t="shared" ref="B220:B233" si="34">ROUNDUP($B$168*(1-$B$164)*(1-$B$165)*$B$170*B44*B24,0)</f>
        <v>19</v>
      </c>
      <c r="C220" s="380">
        <f t="shared" ref="C220:C233" si="35">ROUNDUP($C$168*$C$170*(1-$C$164)*(1-$C$165)*C44*C24,0)</f>
        <v>13</v>
      </c>
      <c r="D220" s="488"/>
      <c r="E220" s="480"/>
      <c r="F220" s="221"/>
    </row>
    <row r="221" spans="1:6" x14ac:dyDescent="0.25">
      <c r="A221" s="45" t="str">
        <f t="shared" si="33"/>
        <v>01/01/2021-31/01/2021</v>
      </c>
      <c r="B221" s="380">
        <f t="shared" si="34"/>
        <v>96</v>
      </c>
      <c r="C221" s="380">
        <f t="shared" si="35"/>
        <v>67</v>
      </c>
      <c r="D221" s="488"/>
      <c r="E221" s="480"/>
      <c r="F221" s="221"/>
    </row>
    <row r="222" spans="1:6" x14ac:dyDescent="0.25">
      <c r="A222" s="45" t="str">
        <f t="shared" si="33"/>
        <v>01/02/1021-28/02/2021</v>
      </c>
      <c r="B222" s="380">
        <f t="shared" si="34"/>
        <v>86</v>
      </c>
      <c r="C222" s="380">
        <f t="shared" si="35"/>
        <v>61</v>
      </c>
      <c r="D222" s="488"/>
      <c r="E222" s="480"/>
      <c r="F222" s="221"/>
    </row>
    <row r="223" spans="1:6" x14ac:dyDescent="0.25">
      <c r="A223" s="45" t="str">
        <f t="shared" si="33"/>
        <v>01/03/2021-31/03/3021</v>
      </c>
      <c r="B223" s="380">
        <f t="shared" si="34"/>
        <v>94</v>
      </c>
      <c r="C223" s="380">
        <f t="shared" si="35"/>
        <v>67</v>
      </c>
      <c r="D223" s="488"/>
      <c r="E223" s="480"/>
      <c r="F223" s="221"/>
    </row>
    <row r="224" spans="1:6" x14ac:dyDescent="0.25">
      <c r="A224" s="45" t="str">
        <f t="shared" si="33"/>
        <v>01/04/2021-30/04/2021</v>
      </c>
      <c r="B224" s="380">
        <f t="shared" si="34"/>
        <v>91</v>
      </c>
      <c r="C224" s="380">
        <f t="shared" si="35"/>
        <v>65</v>
      </c>
      <c r="D224" s="488"/>
      <c r="E224" s="480"/>
      <c r="F224" s="221"/>
    </row>
    <row r="225" spans="1:6" x14ac:dyDescent="0.25">
      <c r="A225" s="45" t="str">
        <f t="shared" si="33"/>
        <v>01/05/2021-31/05/2021</v>
      </c>
      <c r="B225" s="380">
        <f t="shared" si="34"/>
        <v>97</v>
      </c>
      <c r="C225" s="380">
        <f t="shared" si="35"/>
        <v>67</v>
      </c>
      <c r="D225" s="488"/>
      <c r="E225" s="480"/>
      <c r="F225" s="221"/>
    </row>
    <row r="226" spans="1:6" x14ac:dyDescent="0.25">
      <c r="A226" s="45" t="str">
        <f t="shared" si="33"/>
        <v>01/06/2021-30/06/2021</v>
      </c>
      <c r="B226" s="380">
        <f t="shared" si="34"/>
        <v>90</v>
      </c>
      <c r="C226" s="380">
        <f t="shared" si="35"/>
        <v>66</v>
      </c>
      <c r="D226" s="488"/>
      <c r="E226" s="480"/>
      <c r="F226" s="221"/>
    </row>
    <row r="227" spans="1:6" x14ac:dyDescent="0.25">
      <c r="A227" s="45" t="str">
        <f t="shared" si="33"/>
        <v>01/07/2021-31/07/2021</v>
      </c>
      <c r="B227" s="380">
        <f t="shared" si="34"/>
        <v>94</v>
      </c>
      <c r="C227" s="380">
        <f t="shared" si="35"/>
        <v>67</v>
      </c>
      <c r="D227" s="488"/>
      <c r="E227" s="480"/>
      <c r="F227" s="221"/>
    </row>
    <row r="228" spans="1:6" x14ac:dyDescent="0.25">
      <c r="A228" s="45" t="str">
        <f t="shared" si="33"/>
        <v>01/08/2021-31/08/2021</v>
      </c>
      <c r="B228" s="380">
        <f t="shared" si="34"/>
        <v>94</v>
      </c>
      <c r="C228" s="380">
        <f t="shared" si="35"/>
        <v>68</v>
      </c>
      <c r="D228" s="488"/>
      <c r="E228" s="480"/>
      <c r="F228" s="221"/>
    </row>
    <row r="229" spans="1:6" x14ac:dyDescent="0.25">
      <c r="A229" s="45" t="str">
        <f t="shared" si="33"/>
        <v>01/09/2021-30/09/2021</v>
      </c>
      <c r="B229" s="380">
        <f t="shared" si="34"/>
        <v>90</v>
      </c>
      <c r="C229" s="380">
        <f t="shared" si="35"/>
        <v>65</v>
      </c>
      <c r="D229" s="488"/>
      <c r="E229" s="480"/>
      <c r="F229" s="221"/>
    </row>
    <row r="230" spans="1:6" x14ac:dyDescent="0.25">
      <c r="A230" s="45" t="str">
        <f t="shared" si="33"/>
        <v>01/10/2021-31/10/2021</v>
      </c>
      <c r="B230" s="380">
        <f t="shared" si="34"/>
        <v>93</v>
      </c>
      <c r="C230" s="380">
        <f t="shared" si="35"/>
        <v>67</v>
      </c>
      <c r="D230" s="488"/>
      <c r="E230" s="480"/>
      <c r="F230" s="221"/>
    </row>
    <row r="231" spans="1:6" x14ac:dyDescent="0.25">
      <c r="A231" s="45" t="str">
        <f t="shared" si="33"/>
        <v>01/11/2021-30/11/2021</v>
      </c>
      <c r="B231" s="380">
        <f t="shared" si="34"/>
        <v>91</v>
      </c>
      <c r="C231" s="380">
        <f t="shared" si="35"/>
        <v>65</v>
      </c>
      <c r="D231" s="488"/>
      <c r="E231" s="480"/>
      <c r="F231" s="221"/>
    </row>
    <row r="232" spans="1:6" x14ac:dyDescent="0.25">
      <c r="A232" s="45" t="str">
        <f t="shared" si="33"/>
        <v>01/12/2021-31/12/2021</v>
      </c>
      <c r="B232" s="380">
        <f t="shared" si="34"/>
        <v>94</v>
      </c>
      <c r="C232" s="380">
        <f t="shared" si="35"/>
        <v>67</v>
      </c>
      <c r="D232" s="488"/>
      <c r="E232" s="480"/>
      <c r="F232" s="221"/>
    </row>
    <row r="233" spans="1:6" x14ac:dyDescent="0.25">
      <c r="A233" s="45" t="str">
        <f t="shared" si="33"/>
        <v>01/01/2022-31/01/2022</v>
      </c>
      <c r="B233" s="380">
        <f t="shared" si="34"/>
        <v>95</v>
      </c>
      <c r="C233" s="380">
        <f t="shared" si="35"/>
        <v>67</v>
      </c>
      <c r="D233" s="488"/>
      <c r="E233" s="480"/>
      <c r="F233" s="221"/>
    </row>
    <row r="234" spans="1:6" s="444" customFormat="1" x14ac:dyDescent="0.25">
      <c r="A234" s="404" t="str">
        <f t="shared" ref="A234:A238" si="36">A210</f>
        <v>01/02/2022-28/02/2022</v>
      </c>
      <c r="B234" s="380">
        <f t="shared" ref="B234:B238" si="37">ROUNDUP($B$168*(1-$B$164)*(1-$B$165)*$B$170*B58*B38,0)</f>
        <v>84</v>
      </c>
      <c r="C234" s="380">
        <f t="shared" ref="C234:C238" si="38">ROUNDUP($C$168*$C$170*(1-$C$164)*(1-$C$165)*C58*C38,0)</f>
        <v>61</v>
      </c>
      <c r="D234" s="488"/>
      <c r="E234" s="480"/>
      <c r="F234" s="221"/>
    </row>
    <row r="235" spans="1:6" s="444" customFormat="1" x14ac:dyDescent="0.25">
      <c r="A235" s="404" t="str">
        <f t="shared" si="36"/>
        <v>01/03/2022-31/03/2022</v>
      </c>
      <c r="B235" s="380">
        <f t="shared" si="37"/>
        <v>93</v>
      </c>
      <c r="C235" s="380">
        <f t="shared" si="38"/>
        <v>68</v>
      </c>
      <c r="D235" s="488"/>
      <c r="E235" s="480"/>
      <c r="F235" s="221"/>
    </row>
    <row r="236" spans="1:6" s="444" customFormat="1" x14ac:dyDescent="0.25">
      <c r="A236" s="404" t="str">
        <f t="shared" si="36"/>
        <v>01/04/2022-30/04/2022</v>
      </c>
      <c r="B236" s="380">
        <f t="shared" si="37"/>
        <v>91</v>
      </c>
      <c r="C236" s="380">
        <f t="shared" si="38"/>
        <v>65</v>
      </c>
      <c r="D236" s="488"/>
      <c r="E236" s="480"/>
      <c r="F236" s="221"/>
    </row>
    <row r="237" spans="1:6" s="444" customFormat="1" x14ac:dyDescent="0.25">
      <c r="A237" s="404" t="str">
        <f t="shared" si="36"/>
        <v>01/05/2022-31/05/2022</v>
      </c>
      <c r="B237" s="380">
        <f t="shared" si="37"/>
        <v>94</v>
      </c>
      <c r="C237" s="380">
        <f t="shared" si="38"/>
        <v>67</v>
      </c>
      <c r="D237" s="488"/>
      <c r="E237" s="480"/>
      <c r="F237" s="221"/>
    </row>
    <row r="238" spans="1:6" x14ac:dyDescent="0.25">
      <c r="A238" s="404" t="str">
        <f t="shared" si="36"/>
        <v>01/06/2022-30/06/2022</v>
      </c>
      <c r="B238" s="380">
        <f t="shared" si="37"/>
        <v>92</v>
      </c>
      <c r="C238" s="380">
        <f t="shared" si="38"/>
        <v>65</v>
      </c>
      <c r="D238" s="488"/>
      <c r="E238" s="480"/>
      <c r="F238" s="221"/>
    </row>
    <row r="239" spans="1:6" ht="13" x14ac:dyDescent="0.3">
      <c r="A239" s="53" t="str">
        <f>A215</f>
        <v>26/12/2020-31/12/2020</v>
      </c>
      <c r="B239" s="602">
        <f>B220+C220</f>
        <v>32</v>
      </c>
      <c r="C239" s="602"/>
      <c r="D239" s="488"/>
      <c r="E239" s="480"/>
      <c r="F239" s="221"/>
    </row>
    <row r="240" spans="1:6" ht="13" x14ac:dyDescent="0.3">
      <c r="A240" s="53" t="str">
        <f>A216</f>
        <v>01/01/2021-31/12/2021</v>
      </c>
      <c r="B240" s="610">
        <f>SUM(B221:C232)</f>
        <v>1902</v>
      </c>
      <c r="C240" s="611"/>
      <c r="D240" s="488"/>
      <c r="E240" s="480"/>
      <c r="F240" s="221"/>
    </row>
    <row r="241" spans="1:6" ht="13" x14ac:dyDescent="0.3">
      <c r="A241" s="53" t="str">
        <f>A217</f>
        <v>01/01/2022-30/06/2022</v>
      </c>
      <c r="B241" s="610">
        <f>SUM(B233:C238)</f>
        <v>942</v>
      </c>
      <c r="C241" s="611"/>
      <c r="D241" s="488"/>
      <c r="E241" s="480"/>
      <c r="F241" s="221"/>
    </row>
    <row r="242" spans="1:6" ht="13" x14ac:dyDescent="0.3">
      <c r="A242" s="53" t="s">
        <v>331</v>
      </c>
      <c r="B242" s="610">
        <f>B239+B240+B241</f>
        <v>2876</v>
      </c>
      <c r="C242" s="611"/>
      <c r="D242" s="509"/>
      <c r="E242" s="480"/>
      <c r="F242" s="221"/>
    </row>
    <row r="243" spans="1:6" ht="15.5" customHeight="1" x14ac:dyDescent="0.25">
      <c r="A243" s="225" t="str">
        <f>A239</f>
        <v>26/12/2020-31/12/2020</v>
      </c>
      <c r="B243" s="612">
        <f>ROUNDUP(B69*44/28*1/1000*(B191+B215+B239),0)</f>
        <v>105</v>
      </c>
      <c r="C243" s="612"/>
      <c r="D243" s="487" t="s">
        <v>260</v>
      </c>
      <c r="E243" s="480"/>
      <c r="F243" s="221"/>
    </row>
    <row r="244" spans="1:6" ht="13" x14ac:dyDescent="0.25">
      <c r="A244" s="225" t="str">
        <f t="shared" ref="A244:A245" si="39">A240</f>
        <v>01/01/2021-31/12/2021</v>
      </c>
      <c r="B244" s="612">
        <f>ROUNDUP(B70*44/28*1/1000*(B192+B216+B240),0)</f>
        <v>5619</v>
      </c>
      <c r="C244" s="612"/>
      <c r="D244" s="488"/>
      <c r="E244" s="480"/>
      <c r="F244" s="221"/>
    </row>
    <row r="245" spans="1:6" ht="13" customHeight="1" x14ac:dyDescent="0.25">
      <c r="A245" s="225" t="str">
        <f t="shared" si="39"/>
        <v>01/01/2022-30/06/2022</v>
      </c>
      <c r="B245" s="612">
        <f>ROUNDUP(B70*44/28*1/1000*(B193+B217+B241),0)</f>
        <v>2787</v>
      </c>
      <c r="C245" s="612"/>
      <c r="D245" s="488"/>
      <c r="E245" s="480"/>
      <c r="F245" s="221"/>
    </row>
    <row r="246" spans="1:6" ht="15.5" thickBot="1" x14ac:dyDescent="0.3">
      <c r="A246" s="218" t="s">
        <v>267</v>
      </c>
      <c r="B246" s="606">
        <f>B243+B244+B245</f>
        <v>8511</v>
      </c>
      <c r="C246" s="606"/>
      <c r="D246" s="525"/>
      <c r="E246" s="526"/>
      <c r="F246" s="221"/>
    </row>
    <row r="247" spans="1:6" ht="13" x14ac:dyDescent="0.25">
      <c r="A247" s="219"/>
      <c r="B247" s="220"/>
      <c r="C247" s="220"/>
    </row>
    <row r="248" spans="1:6" ht="13" x14ac:dyDescent="0.25">
      <c r="A248" s="219"/>
      <c r="B248" s="220"/>
      <c r="C248" s="220"/>
    </row>
    <row r="250" spans="1:6" x14ac:dyDescent="0.25">
      <c r="A250" s="29" t="s">
        <v>43</v>
      </c>
    </row>
    <row r="252" spans="1:6" x14ac:dyDescent="0.25">
      <c r="E252" s="58"/>
    </row>
    <row r="253" spans="1:6" x14ac:dyDescent="0.25">
      <c r="E253" s="58"/>
    </row>
    <row r="254" spans="1:6" x14ac:dyDescent="0.25">
      <c r="E254" s="58"/>
    </row>
    <row r="255" spans="1:6" x14ac:dyDescent="0.25">
      <c r="E255" s="58"/>
    </row>
    <row r="256" spans="1:6" x14ac:dyDescent="0.25">
      <c r="E256" s="58"/>
    </row>
    <row r="257" spans="1:5" x14ac:dyDescent="0.25">
      <c r="E257" s="58"/>
    </row>
    <row r="258" spans="1:5" ht="13" x14ac:dyDescent="0.3">
      <c r="A258" s="28"/>
    </row>
    <row r="259" spans="1:5" ht="13.5" thickBot="1" x14ac:dyDescent="0.35">
      <c r="A259" s="28"/>
    </row>
    <row r="260" spans="1:5" ht="13" x14ac:dyDescent="0.3">
      <c r="A260" s="62" t="s">
        <v>3</v>
      </c>
      <c r="B260" s="63" t="s">
        <v>16</v>
      </c>
      <c r="C260" s="63"/>
      <c r="D260" s="63" t="s">
        <v>2</v>
      </c>
      <c r="E260" s="205" t="s">
        <v>4</v>
      </c>
    </row>
    <row r="261" spans="1:5" ht="15.5" x14ac:dyDescent="0.4">
      <c r="A261" s="226" t="s">
        <v>268</v>
      </c>
      <c r="B261" s="67">
        <f>'Baseline emission'!B12</f>
        <v>25</v>
      </c>
      <c r="C261" s="67">
        <f>B261</f>
        <v>25</v>
      </c>
      <c r="D261" s="67" t="s">
        <v>269</v>
      </c>
      <c r="E261" s="213" t="s">
        <v>136</v>
      </c>
    </row>
    <row r="262" spans="1:5" ht="15.5" x14ac:dyDescent="0.4">
      <c r="A262" s="226" t="s">
        <v>268</v>
      </c>
      <c r="B262" s="67">
        <f>'Baseline emission'!B13</f>
        <v>28</v>
      </c>
      <c r="C262" s="67">
        <f>B262</f>
        <v>28</v>
      </c>
      <c r="D262" s="67" t="s">
        <v>269</v>
      </c>
      <c r="E262" s="213" t="s">
        <v>130</v>
      </c>
    </row>
    <row r="263" spans="1:5" ht="14.5" x14ac:dyDescent="0.25">
      <c r="A263" s="226" t="s">
        <v>270</v>
      </c>
      <c r="B263" s="67">
        <v>6.7000000000000002E-4</v>
      </c>
      <c r="C263" s="67">
        <v>6.7000000000000002E-4</v>
      </c>
      <c r="D263" s="67" t="s">
        <v>271</v>
      </c>
      <c r="E263" s="213" t="s">
        <v>52</v>
      </c>
    </row>
    <row r="264" spans="1:5" x14ac:dyDescent="0.25">
      <c r="A264" s="227" t="s">
        <v>21</v>
      </c>
      <c r="B264" s="212">
        <v>1</v>
      </c>
      <c r="C264" s="212">
        <v>1</v>
      </c>
      <c r="D264" s="67" t="s">
        <v>94</v>
      </c>
      <c r="E264" s="213" t="s">
        <v>52</v>
      </c>
    </row>
    <row r="265" spans="1:5" x14ac:dyDescent="0.25">
      <c r="A265" s="207" t="s">
        <v>272</v>
      </c>
      <c r="B265" s="228"/>
      <c r="C265" s="228"/>
      <c r="D265" s="598" t="s">
        <v>132</v>
      </c>
      <c r="E265" s="607" t="s">
        <v>111</v>
      </c>
    </row>
    <row r="266" spans="1:5" x14ac:dyDescent="0.25">
      <c r="A266" s="45" t="str">
        <f t="shared" ref="A266:A279" si="40">A220</f>
        <v>26/12/2020-31/12/2020</v>
      </c>
      <c r="B266" s="228">
        <f>'Baseline emission'!B62</f>
        <v>3.657857142857142</v>
      </c>
      <c r="C266" s="228">
        <f>'Baseline emission'!C62</f>
        <v>4.7828571428571438</v>
      </c>
      <c r="D266" s="598"/>
      <c r="E266" s="607"/>
    </row>
    <row r="267" spans="1:5" x14ac:dyDescent="0.25">
      <c r="A267" s="45" t="str">
        <f t="shared" si="40"/>
        <v>01/01/2021-31/01/2021</v>
      </c>
      <c r="B267" s="228">
        <f>'Baseline emission'!B63</f>
        <v>18.998571428571431</v>
      </c>
      <c r="C267" s="228">
        <f>'Baseline emission'!C63</f>
        <v>25.043571428571433</v>
      </c>
      <c r="D267" s="598"/>
      <c r="E267" s="607"/>
    </row>
    <row r="268" spans="1:5" x14ac:dyDescent="0.25">
      <c r="A268" s="45" t="str">
        <f t="shared" si="40"/>
        <v>01/02/1021-28/02/2021</v>
      </c>
      <c r="B268" s="228">
        <f>'Baseline emission'!B64</f>
        <v>17.009999999999998</v>
      </c>
      <c r="C268" s="228">
        <f>'Baseline emission'!C64</f>
        <v>22.589999999999996</v>
      </c>
      <c r="D268" s="598"/>
      <c r="E268" s="607"/>
    </row>
    <row r="269" spans="1:5" x14ac:dyDescent="0.25">
      <c r="A269" s="45" t="str">
        <f t="shared" si="40"/>
        <v>01/03/2021-31/03/3021</v>
      </c>
      <c r="B269" s="228">
        <f>'Baseline emission'!B65</f>
        <v>18.599999999999998</v>
      </c>
      <c r="C269" s="228">
        <f>'Baseline emission'!C65</f>
        <v>24.877500000000005</v>
      </c>
      <c r="D269" s="598"/>
      <c r="E269" s="607"/>
    </row>
    <row r="270" spans="1:5" x14ac:dyDescent="0.25">
      <c r="A270" s="45" t="str">
        <f t="shared" si="40"/>
        <v>01/04/2021-30/04/2021</v>
      </c>
      <c r="B270" s="228">
        <f>'Baseline emission'!B66</f>
        <v>18.064285714285713</v>
      </c>
      <c r="C270" s="228">
        <f>'Baseline emission'!C66</f>
        <v>24.396428571428572</v>
      </c>
      <c r="D270" s="598"/>
      <c r="E270" s="607"/>
    </row>
    <row r="271" spans="1:5" x14ac:dyDescent="0.25">
      <c r="A271" s="45" t="str">
        <f t="shared" si="40"/>
        <v>01/05/2021-31/05/2021</v>
      </c>
      <c r="B271" s="228">
        <f>'Baseline emission'!B67</f>
        <v>19.197857142857142</v>
      </c>
      <c r="C271" s="228">
        <f>'Baseline emission'!C67</f>
        <v>24.877500000000005</v>
      </c>
      <c r="D271" s="598"/>
      <c r="E271" s="607"/>
    </row>
    <row r="272" spans="1:5" x14ac:dyDescent="0.25">
      <c r="A272" s="45" t="str">
        <f t="shared" si="40"/>
        <v>01/06/2021-30/06/2021</v>
      </c>
      <c r="B272" s="228">
        <f>'Baseline emission'!B68</f>
        <v>17.903571428571428</v>
      </c>
      <c r="C272" s="228">
        <f>'Baseline emission'!C68</f>
        <v>24.460714285714282</v>
      </c>
      <c r="D272" s="598"/>
      <c r="E272" s="607"/>
    </row>
    <row r="273" spans="1:5" x14ac:dyDescent="0.25">
      <c r="A273" s="45" t="str">
        <f t="shared" si="40"/>
        <v>01/07/2021-31/07/2021</v>
      </c>
      <c r="B273" s="228">
        <f>'Baseline emission'!B69</f>
        <v>18.699642857142855</v>
      </c>
      <c r="C273" s="228">
        <f>'Baseline emission'!C69</f>
        <v>24.877500000000005</v>
      </c>
      <c r="D273" s="598"/>
      <c r="E273" s="607"/>
    </row>
    <row r="274" spans="1:5" x14ac:dyDescent="0.25">
      <c r="A274" s="45" t="str">
        <f t="shared" si="40"/>
        <v>01/08/2021-31/08/2021</v>
      </c>
      <c r="B274" s="228">
        <f>'Baseline emission'!B70</f>
        <v>18.599999999999998</v>
      </c>
      <c r="C274" s="228">
        <f>'Baseline emission'!C70</f>
        <v>25.20964285714286</v>
      </c>
      <c r="D274" s="598"/>
      <c r="E274" s="607"/>
    </row>
    <row r="275" spans="1:5" x14ac:dyDescent="0.25">
      <c r="A275" s="45" t="str">
        <f t="shared" si="40"/>
        <v>01/09/2021-30/09/2021</v>
      </c>
      <c r="B275" s="228">
        <f>'Baseline emission'!B71</f>
        <v>17.935714285714283</v>
      </c>
      <c r="C275" s="228">
        <f>'Baseline emission'!C71</f>
        <v>24.171428571428571</v>
      </c>
      <c r="D275" s="598"/>
      <c r="E275" s="607"/>
    </row>
    <row r="276" spans="1:5" x14ac:dyDescent="0.25">
      <c r="A276" s="45" t="str">
        <f t="shared" si="40"/>
        <v>01/10/2021-31/10/2021</v>
      </c>
      <c r="B276" s="228">
        <f>'Baseline emission'!B72</f>
        <v>18.43392857142857</v>
      </c>
      <c r="C276" s="228">
        <f>'Baseline emission'!C72</f>
        <v>25.010357142857142</v>
      </c>
      <c r="D276" s="598"/>
      <c r="E276" s="607"/>
    </row>
    <row r="277" spans="1:5" x14ac:dyDescent="0.25">
      <c r="A277" s="45" t="str">
        <f t="shared" si="40"/>
        <v>01/11/2021-30/11/2021</v>
      </c>
      <c r="B277" s="228">
        <f>'Baseline emission'!B73</f>
        <v>18.128571428571426</v>
      </c>
      <c r="C277" s="228">
        <f>'Baseline emission'!C73</f>
        <v>24.107142857142854</v>
      </c>
      <c r="D277" s="598"/>
      <c r="E277" s="607"/>
    </row>
    <row r="278" spans="1:5" x14ac:dyDescent="0.25">
      <c r="A278" s="45" t="str">
        <f t="shared" si="40"/>
        <v>01/12/2021-31/12/2021</v>
      </c>
      <c r="B278" s="228">
        <f>'Baseline emission'!B74</f>
        <v>18.566785714285711</v>
      </c>
      <c r="C278" s="228">
        <f>'Baseline emission'!C74</f>
        <v>25.043571428571433</v>
      </c>
      <c r="D278" s="598"/>
      <c r="E278" s="607"/>
    </row>
    <row r="279" spans="1:5" x14ac:dyDescent="0.25">
      <c r="A279" s="45" t="str">
        <f t="shared" si="40"/>
        <v>01/01/2022-31/01/2022</v>
      </c>
      <c r="B279" s="228">
        <f>'Baseline emission'!B75</f>
        <v>18.89892857142857</v>
      </c>
      <c r="C279" s="228">
        <f>'Baseline emission'!C75</f>
        <v>25.010357142857142</v>
      </c>
      <c r="D279" s="598"/>
      <c r="E279" s="607"/>
    </row>
    <row r="280" spans="1:5" s="444" customFormat="1" x14ac:dyDescent="0.25">
      <c r="A280" s="404" t="str">
        <f t="shared" ref="A280:A284" si="41">A234</f>
        <v>01/02/2022-28/02/2022</v>
      </c>
      <c r="B280" s="228">
        <f>'Baseline emission'!B76</f>
        <v>16.739999999999998</v>
      </c>
      <c r="C280" s="228">
        <f>'Baseline emission'!C76</f>
        <v>22.68</v>
      </c>
      <c r="D280" s="598"/>
      <c r="E280" s="607"/>
    </row>
    <row r="281" spans="1:5" s="444" customFormat="1" x14ac:dyDescent="0.25">
      <c r="A281" s="404" t="str">
        <f t="shared" si="41"/>
        <v>01/03/2022-31/03/2022</v>
      </c>
      <c r="B281" s="228">
        <f>'Baseline emission'!B77</f>
        <v>18.367499999999996</v>
      </c>
      <c r="C281" s="228">
        <f>'Baseline emission'!C77</f>
        <v>25.11</v>
      </c>
      <c r="D281" s="598"/>
      <c r="E281" s="607"/>
    </row>
    <row r="282" spans="1:5" s="444" customFormat="1" x14ac:dyDescent="0.25">
      <c r="A282" s="404" t="str">
        <f t="shared" si="41"/>
        <v>01/04/2022-30/04/2022</v>
      </c>
      <c r="B282" s="228">
        <f>'Baseline emission'!B78</f>
        <v>18.128571428571426</v>
      </c>
      <c r="C282" s="228">
        <f>'Baseline emission'!C78</f>
        <v>24.171428571428571</v>
      </c>
      <c r="D282" s="598"/>
      <c r="E282" s="607"/>
    </row>
    <row r="283" spans="1:5" s="444" customFormat="1" x14ac:dyDescent="0.25">
      <c r="A283" s="404" t="str">
        <f t="shared" si="41"/>
        <v>01/05/2022-31/05/2022</v>
      </c>
      <c r="B283" s="228">
        <f>'Baseline emission'!B79</f>
        <v>18.666428571428568</v>
      </c>
      <c r="C283" s="228">
        <f>'Baseline emission'!C79</f>
        <v>24.977142857142859</v>
      </c>
      <c r="D283" s="598"/>
      <c r="E283" s="607"/>
    </row>
    <row r="284" spans="1:5" x14ac:dyDescent="0.25">
      <c r="A284" s="404" t="str">
        <f t="shared" si="41"/>
        <v>01/06/2022-30/06/2022</v>
      </c>
      <c r="B284" s="228">
        <f>'Baseline emission'!B80</f>
        <v>18.289285714285711</v>
      </c>
      <c r="C284" s="228">
        <f>'Baseline emission'!C80</f>
        <v>24.139285714285712</v>
      </c>
      <c r="D284" s="598"/>
      <c r="E284" s="607"/>
    </row>
    <row r="285" spans="1:5" ht="15.5" x14ac:dyDescent="0.25">
      <c r="A285" s="207" t="s">
        <v>273</v>
      </c>
      <c r="B285" s="229">
        <v>0.28999999999999998</v>
      </c>
      <c r="C285" s="212">
        <v>0.28999999999999998</v>
      </c>
      <c r="D285" s="67" t="s">
        <v>274</v>
      </c>
      <c r="E285" s="213" t="s">
        <v>7</v>
      </c>
    </row>
    <row r="286" spans="1:5" s="35" customFormat="1" ht="15.5" x14ac:dyDescent="0.25">
      <c r="A286" s="227" t="s">
        <v>275</v>
      </c>
      <c r="B286" s="210">
        <v>0.85</v>
      </c>
      <c r="C286" s="210">
        <v>0.85</v>
      </c>
      <c r="D286" s="230" t="s">
        <v>94</v>
      </c>
      <c r="E286" s="213" t="s">
        <v>133</v>
      </c>
    </row>
    <row r="287" spans="1:5" ht="15.5" customHeight="1" x14ac:dyDescent="0.25">
      <c r="A287" s="227" t="s">
        <v>40</v>
      </c>
      <c r="B287" s="231">
        <v>1</v>
      </c>
      <c r="C287" s="231">
        <f>B287</f>
        <v>1</v>
      </c>
      <c r="D287" s="212" t="s">
        <v>94</v>
      </c>
      <c r="E287" s="232" t="s">
        <v>131</v>
      </c>
    </row>
    <row r="288" spans="1:5" ht="15.5" customHeight="1" x14ac:dyDescent="0.25">
      <c r="A288" s="227" t="s">
        <v>276</v>
      </c>
      <c r="B288" s="231"/>
      <c r="C288" s="231"/>
      <c r="D288" s="212"/>
      <c r="E288" s="232"/>
    </row>
    <row r="289" spans="1:5" ht="15.5" customHeight="1" x14ac:dyDescent="0.25">
      <c r="A289" s="45" t="str">
        <f t="shared" ref="A289:A302" si="42">A266</f>
        <v>26/12/2020-31/12/2020</v>
      </c>
      <c r="B289" s="208">
        <f>ROUNDDOWN(B261*$B$263*$B$264*(1-$B$286)*$B$285*$B$287*B266*B24,0)</f>
        <v>239</v>
      </c>
      <c r="C289" s="208">
        <f>ROUNDDOWN(C261*$C$263*$C$264*(1-$C$286)*$C$285*$C$287*C266*C24,0)</f>
        <v>291</v>
      </c>
      <c r="D289" s="536" t="s">
        <v>260</v>
      </c>
      <c r="E289" s="549" t="s">
        <v>26</v>
      </c>
    </row>
    <row r="290" spans="1:5" x14ac:dyDescent="0.25">
      <c r="A290" s="45" t="str">
        <f t="shared" si="42"/>
        <v>01/01/2021-31/01/2021</v>
      </c>
      <c r="B290" s="208">
        <f t="shared" ref="B290:B302" si="43">ROUNDDOWN($B$262*$B$263*$B$264*(1-$B$286)*$B$285*$B$287*B267*B25,0)</f>
        <v>1390</v>
      </c>
      <c r="C290" s="208">
        <f t="shared" ref="C290:C302" si="44">ROUNDDOWN($C$262*$C$263*$C$264*(1-$C$286)*$C$285*$C$287*C267*C25,0)</f>
        <v>1709</v>
      </c>
      <c r="D290" s="536"/>
      <c r="E290" s="549"/>
    </row>
    <row r="291" spans="1:5" x14ac:dyDescent="0.25">
      <c r="A291" s="45" t="str">
        <f t="shared" si="42"/>
        <v>01/02/1021-28/02/2021</v>
      </c>
      <c r="B291" s="208">
        <f t="shared" si="43"/>
        <v>1244</v>
      </c>
      <c r="C291" s="208">
        <f t="shared" si="44"/>
        <v>1541</v>
      </c>
      <c r="D291" s="536"/>
      <c r="E291" s="549"/>
    </row>
    <row r="292" spans="1:5" x14ac:dyDescent="0.25">
      <c r="A292" s="45" t="str">
        <f t="shared" si="42"/>
        <v>01/03/2021-31/03/3021</v>
      </c>
      <c r="B292" s="208">
        <f t="shared" si="43"/>
        <v>1361</v>
      </c>
      <c r="C292" s="208">
        <f t="shared" si="44"/>
        <v>1696</v>
      </c>
      <c r="D292" s="536"/>
      <c r="E292" s="549"/>
    </row>
    <row r="293" spans="1:5" x14ac:dyDescent="0.25">
      <c r="A293" s="45" t="str">
        <f t="shared" si="42"/>
        <v>01/04/2021-30/04/2021</v>
      </c>
      <c r="B293" s="208">
        <f t="shared" si="43"/>
        <v>1321</v>
      </c>
      <c r="C293" s="208">
        <f t="shared" si="44"/>
        <v>1661</v>
      </c>
      <c r="D293" s="536"/>
      <c r="E293" s="549"/>
    </row>
    <row r="294" spans="1:5" x14ac:dyDescent="0.25">
      <c r="A294" s="45" t="str">
        <f t="shared" si="42"/>
        <v>01/05/2021-31/05/2021</v>
      </c>
      <c r="B294" s="208">
        <f t="shared" si="43"/>
        <v>1404</v>
      </c>
      <c r="C294" s="208">
        <f t="shared" si="44"/>
        <v>1698</v>
      </c>
      <c r="D294" s="536"/>
      <c r="E294" s="549"/>
    </row>
    <row r="295" spans="1:5" x14ac:dyDescent="0.25">
      <c r="A295" s="45" t="str">
        <f t="shared" si="42"/>
        <v>01/06/2021-30/06/2021</v>
      </c>
      <c r="B295" s="208">
        <f t="shared" si="43"/>
        <v>1310</v>
      </c>
      <c r="C295" s="208">
        <f t="shared" si="44"/>
        <v>1669</v>
      </c>
      <c r="D295" s="536"/>
      <c r="E295" s="549"/>
    </row>
    <row r="296" spans="1:5" x14ac:dyDescent="0.25">
      <c r="A296" s="45" t="str">
        <f t="shared" si="42"/>
        <v>01/07/2021-31/07/2021</v>
      </c>
      <c r="B296" s="208">
        <f t="shared" si="43"/>
        <v>1368</v>
      </c>
      <c r="C296" s="208">
        <f t="shared" si="44"/>
        <v>1696</v>
      </c>
      <c r="D296" s="536"/>
      <c r="E296" s="549"/>
    </row>
    <row r="297" spans="1:5" x14ac:dyDescent="0.25">
      <c r="A297" s="45" t="str">
        <f t="shared" si="42"/>
        <v>01/08/2021-31/08/2021</v>
      </c>
      <c r="B297" s="208">
        <f t="shared" si="43"/>
        <v>1361</v>
      </c>
      <c r="C297" s="208">
        <f t="shared" si="44"/>
        <v>1716</v>
      </c>
      <c r="D297" s="536"/>
      <c r="E297" s="549"/>
    </row>
    <row r="298" spans="1:5" x14ac:dyDescent="0.25">
      <c r="A298" s="45" t="str">
        <f t="shared" si="42"/>
        <v>01/09/2021-30/09/2021</v>
      </c>
      <c r="B298" s="208">
        <f t="shared" si="43"/>
        <v>1312</v>
      </c>
      <c r="C298" s="208">
        <f t="shared" si="44"/>
        <v>1648</v>
      </c>
      <c r="D298" s="536"/>
      <c r="E298" s="549"/>
    </row>
    <row r="299" spans="1:5" x14ac:dyDescent="0.25">
      <c r="A299" s="45" t="str">
        <f t="shared" si="42"/>
        <v>01/10/2021-31/10/2021</v>
      </c>
      <c r="B299" s="208">
        <f t="shared" si="43"/>
        <v>1349</v>
      </c>
      <c r="C299" s="208">
        <f t="shared" si="44"/>
        <v>1703</v>
      </c>
      <c r="D299" s="536"/>
      <c r="E299" s="549"/>
    </row>
    <row r="300" spans="1:5" x14ac:dyDescent="0.25">
      <c r="A300" s="45" t="str">
        <f t="shared" si="42"/>
        <v>01/11/2021-30/11/2021</v>
      </c>
      <c r="B300" s="208">
        <f t="shared" si="43"/>
        <v>1326</v>
      </c>
      <c r="C300" s="208">
        <f t="shared" si="44"/>
        <v>1643</v>
      </c>
      <c r="D300" s="536"/>
      <c r="E300" s="549"/>
    </row>
    <row r="301" spans="1:5" x14ac:dyDescent="0.25">
      <c r="A301" s="45" t="str">
        <f t="shared" si="42"/>
        <v>01/12/2021-31/12/2021</v>
      </c>
      <c r="B301" s="208">
        <f t="shared" si="43"/>
        <v>1358</v>
      </c>
      <c r="C301" s="208">
        <f t="shared" si="44"/>
        <v>1706</v>
      </c>
      <c r="D301" s="536"/>
      <c r="E301" s="549"/>
    </row>
    <row r="302" spans="1:5" x14ac:dyDescent="0.25">
      <c r="A302" s="45" t="str">
        <f t="shared" si="42"/>
        <v>01/01/2022-31/01/2022</v>
      </c>
      <c r="B302" s="208">
        <f t="shared" si="43"/>
        <v>1383</v>
      </c>
      <c r="C302" s="208">
        <f t="shared" si="44"/>
        <v>1703</v>
      </c>
      <c r="D302" s="536"/>
      <c r="E302" s="549"/>
    </row>
    <row r="303" spans="1:5" s="444" customFormat="1" x14ac:dyDescent="0.25">
      <c r="A303" s="404" t="str">
        <f t="shared" ref="A303:A307" si="45">A280</f>
        <v>01/02/2022-28/02/2022</v>
      </c>
      <c r="B303" s="446">
        <f t="shared" ref="B303:B307" si="46">ROUNDDOWN($B$262*$B$263*$B$264*(1-$B$286)*$B$285*$B$287*B280*B38,0)</f>
        <v>1225</v>
      </c>
      <c r="C303" s="446">
        <f t="shared" ref="C303:C307" si="47">ROUNDDOWN($C$262*$C$263*$C$264*(1-$C$286)*$C$285*$C$287*C280*C38,0)</f>
        <v>1544</v>
      </c>
      <c r="D303" s="536"/>
      <c r="E303" s="549"/>
    </row>
    <row r="304" spans="1:5" s="444" customFormat="1" x14ac:dyDescent="0.25">
      <c r="A304" s="404" t="str">
        <f t="shared" si="45"/>
        <v>01/03/2022-31/03/2022</v>
      </c>
      <c r="B304" s="446">
        <f t="shared" si="46"/>
        <v>1344</v>
      </c>
      <c r="C304" s="446">
        <f t="shared" si="47"/>
        <v>1713</v>
      </c>
      <c r="D304" s="536"/>
      <c r="E304" s="549"/>
    </row>
    <row r="305" spans="1:5" s="444" customFormat="1" x14ac:dyDescent="0.25">
      <c r="A305" s="404" t="str">
        <f t="shared" si="45"/>
        <v>01/04/2022-30/04/2022</v>
      </c>
      <c r="B305" s="446">
        <f t="shared" si="46"/>
        <v>1326</v>
      </c>
      <c r="C305" s="446">
        <f t="shared" si="47"/>
        <v>1650</v>
      </c>
      <c r="D305" s="536"/>
      <c r="E305" s="549"/>
    </row>
    <row r="306" spans="1:5" s="444" customFormat="1" x14ac:dyDescent="0.25">
      <c r="A306" s="404" t="str">
        <f t="shared" si="45"/>
        <v>01/05/2022-31/05/2022</v>
      </c>
      <c r="B306" s="446">
        <f t="shared" si="46"/>
        <v>1366</v>
      </c>
      <c r="C306" s="446">
        <f t="shared" si="47"/>
        <v>1702</v>
      </c>
      <c r="D306" s="536"/>
      <c r="E306" s="549"/>
    </row>
    <row r="307" spans="1:5" x14ac:dyDescent="0.25">
      <c r="A307" s="404" t="str">
        <f t="shared" si="45"/>
        <v>01/06/2022-30/06/2022</v>
      </c>
      <c r="B307" s="446">
        <f t="shared" si="46"/>
        <v>1338</v>
      </c>
      <c r="C307" s="446">
        <f t="shared" si="47"/>
        <v>1646</v>
      </c>
      <c r="D307" s="536"/>
      <c r="E307" s="549"/>
    </row>
    <row r="308" spans="1:5" ht="13" x14ac:dyDescent="0.3">
      <c r="A308" s="53" t="str">
        <f>A243</f>
        <v>26/12/2020-31/12/2020</v>
      </c>
      <c r="B308" s="613">
        <f>B289+C289</f>
        <v>530</v>
      </c>
      <c r="C308" s="614"/>
      <c r="D308" s="536"/>
      <c r="E308" s="549"/>
    </row>
    <row r="309" spans="1:5" ht="13" x14ac:dyDescent="0.3">
      <c r="A309" s="53" t="str">
        <f>A244</f>
        <v>01/01/2021-31/12/2021</v>
      </c>
      <c r="B309" s="605">
        <f>SUM(B290:C301)</f>
        <v>36190</v>
      </c>
      <c r="C309" s="605"/>
      <c r="D309" s="536"/>
      <c r="E309" s="549"/>
    </row>
    <row r="310" spans="1:5" ht="13" x14ac:dyDescent="0.3">
      <c r="A310" s="53" t="str">
        <f>A245</f>
        <v>01/01/2022-30/06/2022</v>
      </c>
      <c r="B310" s="605">
        <f>SUM(B302:C307)</f>
        <v>17940</v>
      </c>
      <c r="C310" s="605"/>
      <c r="D310" s="536"/>
      <c r="E310" s="549"/>
    </row>
    <row r="311" spans="1:5" ht="15.5" thickBot="1" x14ac:dyDescent="0.45">
      <c r="A311" s="75" t="s">
        <v>277</v>
      </c>
      <c r="B311" s="606">
        <f>B309+B310+B308</f>
        <v>54660</v>
      </c>
      <c r="C311" s="606"/>
      <c r="D311" s="608"/>
      <c r="E311" s="609"/>
    </row>
    <row r="312" spans="1:5" ht="13" x14ac:dyDescent="0.3">
      <c r="A312" s="28"/>
    </row>
    <row r="313" spans="1:5" ht="13.5" thickBot="1" x14ac:dyDescent="0.35">
      <c r="A313" s="28"/>
    </row>
    <row r="314" spans="1:5" ht="13" x14ac:dyDescent="0.3">
      <c r="A314" s="62" t="s">
        <v>3</v>
      </c>
      <c r="B314" s="63" t="s">
        <v>16</v>
      </c>
      <c r="C314" s="63"/>
      <c r="D314" s="63" t="s">
        <v>2</v>
      </c>
      <c r="E314" s="205" t="s">
        <v>4</v>
      </c>
    </row>
    <row r="315" spans="1:5" ht="15.5" x14ac:dyDescent="0.4">
      <c r="A315" s="226" t="s">
        <v>268</v>
      </c>
      <c r="B315" s="67">
        <f>B261</f>
        <v>25</v>
      </c>
      <c r="C315" s="67">
        <f>C261</f>
        <v>25</v>
      </c>
      <c r="D315" s="67" t="s">
        <v>278</v>
      </c>
      <c r="E315" s="103" t="s">
        <v>136</v>
      </c>
    </row>
    <row r="316" spans="1:5" ht="15.5" x14ac:dyDescent="0.4">
      <c r="A316" s="226" t="s">
        <v>268</v>
      </c>
      <c r="B316" s="67">
        <f>B262</f>
        <v>28</v>
      </c>
      <c r="C316" s="67">
        <f>C262</f>
        <v>28</v>
      </c>
      <c r="D316" s="67" t="s">
        <v>278</v>
      </c>
      <c r="E316" s="103" t="s">
        <v>130</v>
      </c>
    </row>
    <row r="317" spans="1:5" ht="14.5" x14ac:dyDescent="0.25">
      <c r="A317" s="226" t="s">
        <v>270</v>
      </c>
      <c r="B317" s="67">
        <v>6.7000000000000002E-4</v>
      </c>
      <c r="C317" s="67">
        <v>6.7000000000000002E-4</v>
      </c>
      <c r="D317" s="67" t="s">
        <v>271</v>
      </c>
      <c r="E317" s="103" t="s">
        <v>52</v>
      </c>
    </row>
    <row r="318" spans="1:5" x14ac:dyDescent="0.25">
      <c r="A318" s="227" t="s">
        <v>21</v>
      </c>
      <c r="B318" s="212">
        <v>1</v>
      </c>
      <c r="C318" s="212">
        <v>1</v>
      </c>
      <c r="D318" s="67" t="s">
        <v>94</v>
      </c>
      <c r="E318" s="103" t="s">
        <v>52</v>
      </c>
    </row>
    <row r="319" spans="1:5" ht="15.5" x14ac:dyDescent="0.25">
      <c r="A319" s="207" t="s">
        <v>279</v>
      </c>
      <c r="B319" s="229">
        <v>0.28999999999999998</v>
      </c>
      <c r="C319" s="212">
        <v>0.28999999999999998</v>
      </c>
      <c r="D319" s="67" t="s">
        <v>274</v>
      </c>
      <c r="E319" s="103" t="s">
        <v>7</v>
      </c>
    </row>
    <row r="320" spans="1:5" x14ac:dyDescent="0.25">
      <c r="A320" s="227" t="s">
        <v>280</v>
      </c>
      <c r="B320" s="210">
        <v>0.8</v>
      </c>
      <c r="C320" s="231">
        <v>0.8</v>
      </c>
      <c r="D320" s="67" t="s">
        <v>94</v>
      </c>
      <c r="E320" s="103" t="s">
        <v>133</v>
      </c>
    </row>
    <row r="321" spans="1:5" x14ac:dyDescent="0.25">
      <c r="A321" s="227" t="s">
        <v>280</v>
      </c>
      <c r="B321" s="210">
        <v>0.2</v>
      </c>
      <c r="C321" s="210">
        <v>0.2</v>
      </c>
      <c r="D321" s="212" t="s">
        <v>94</v>
      </c>
      <c r="E321" s="103" t="s">
        <v>133</v>
      </c>
    </row>
    <row r="322" spans="1:5" x14ac:dyDescent="0.25">
      <c r="A322" s="227" t="s">
        <v>40</v>
      </c>
      <c r="B322" s="210">
        <v>1</v>
      </c>
      <c r="C322" s="210">
        <v>1</v>
      </c>
      <c r="D322" s="212" t="s">
        <v>94</v>
      </c>
      <c r="E322" s="103" t="s">
        <v>131</v>
      </c>
    </row>
    <row r="323" spans="1:5" ht="15.5" x14ac:dyDescent="0.25">
      <c r="A323" s="227" t="s">
        <v>281</v>
      </c>
      <c r="B323" s="210"/>
      <c r="C323" s="210"/>
      <c r="D323" s="212"/>
      <c r="E323" s="103"/>
    </row>
    <row r="324" spans="1:5" ht="15.5" customHeight="1" x14ac:dyDescent="0.25">
      <c r="A324" s="45" t="str">
        <f t="shared" ref="A324:A337" si="48">A289</f>
        <v>26/12/2020-31/12/2020</v>
      </c>
      <c r="B324" s="208">
        <f>ROUNDUP(B315*$B$317*$B$318*(1-$B$320)*(1-$B$321)*$B$319*$B$322*B266*B24,0)</f>
        <v>255</v>
      </c>
      <c r="C324" s="208">
        <f>ROUNDUP(C315*$C$317*$C$318*(1-$C$320)*(1-$C$321)*$C$319*$C$322*C266*C24,0)</f>
        <v>311</v>
      </c>
      <c r="D324" s="625" t="s">
        <v>260</v>
      </c>
      <c r="E324" s="603" t="s">
        <v>111</v>
      </c>
    </row>
    <row r="325" spans="1:5" ht="12.5" customHeight="1" x14ac:dyDescent="0.25">
      <c r="A325" s="45" t="str">
        <f t="shared" si="48"/>
        <v>01/01/2021-31/01/2021</v>
      </c>
      <c r="B325" s="208">
        <f t="shared" ref="B325:B337" si="49">ROUNDUP($B$316*$B$317*$B$318*(1-$B$320)*(1-$B$321)*$B$319*$B$322*B267*B25,0)</f>
        <v>1484</v>
      </c>
      <c r="C325" s="208">
        <f t="shared" ref="C325:C337" si="50">ROUNDUP($C$316*$C$317*$C$318*(1-$C$320)*(1-$C$321)*$C$319*$C$322*C267*C25,0)</f>
        <v>1824</v>
      </c>
      <c r="D325" s="625"/>
      <c r="E325" s="603"/>
    </row>
    <row r="326" spans="1:5" ht="12.5" customHeight="1" x14ac:dyDescent="0.25">
      <c r="A326" s="45" t="str">
        <f t="shared" si="48"/>
        <v>01/02/1021-28/02/2021</v>
      </c>
      <c r="B326" s="208">
        <f t="shared" si="49"/>
        <v>1328</v>
      </c>
      <c r="C326" s="208">
        <f t="shared" si="50"/>
        <v>1644</v>
      </c>
      <c r="D326" s="625"/>
      <c r="E326" s="603"/>
    </row>
    <row r="327" spans="1:5" ht="12.5" customHeight="1" x14ac:dyDescent="0.25">
      <c r="A327" s="45" t="str">
        <f t="shared" si="48"/>
        <v>01/03/2021-31/03/3021</v>
      </c>
      <c r="B327" s="208">
        <f t="shared" si="49"/>
        <v>1452</v>
      </c>
      <c r="C327" s="208">
        <f t="shared" si="50"/>
        <v>1810</v>
      </c>
      <c r="D327" s="625"/>
      <c r="E327" s="603"/>
    </row>
    <row r="328" spans="1:5" ht="12.5" customHeight="1" x14ac:dyDescent="0.25">
      <c r="A328" s="45" t="str">
        <f t="shared" si="48"/>
        <v>01/04/2021-30/04/2021</v>
      </c>
      <c r="B328" s="208">
        <f t="shared" si="49"/>
        <v>1411</v>
      </c>
      <c r="C328" s="208">
        <f t="shared" si="50"/>
        <v>1773</v>
      </c>
      <c r="D328" s="625"/>
      <c r="E328" s="603"/>
    </row>
    <row r="329" spans="1:5" ht="12.5" customHeight="1" x14ac:dyDescent="0.25">
      <c r="A329" s="45" t="str">
        <f t="shared" si="48"/>
        <v>01/05/2021-31/05/2021</v>
      </c>
      <c r="B329" s="208">
        <f t="shared" si="49"/>
        <v>1499</v>
      </c>
      <c r="C329" s="208">
        <f t="shared" si="50"/>
        <v>1812</v>
      </c>
      <c r="D329" s="625"/>
      <c r="E329" s="603"/>
    </row>
    <row r="330" spans="1:5" ht="12.5" customHeight="1" x14ac:dyDescent="0.25">
      <c r="A330" s="45" t="str">
        <f t="shared" si="48"/>
        <v>01/06/2021-30/06/2021</v>
      </c>
      <c r="B330" s="208">
        <f t="shared" si="49"/>
        <v>1398</v>
      </c>
      <c r="C330" s="208">
        <f t="shared" si="50"/>
        <v>1781</v>
      </c>
      <c r="D330" s="625"/>
      <c r="E330" s="603"/>
    </row>
    <row r="331" spans="1:5" ht="12.5" customHeight="1" x14ac:dyDescent="0.25">
      <c r="A331" s="45" t="str">
        <f t="shared" si="48"/>
        <v>01/07/2021-31/07/2021</v>
      </c>
      <c r="B331" s="208">
        <f t="shared" si="49"/>
        <v>1460</v>
      </c>
      <c r="C331" s="208">
        <f t="shared" si="50"/>
        <v>1810</v>
      </c>
      <c r="D331" s="625"/>
      <c r="E331" s="603"/>
    </row>
    <row r="332" spans="1:5" ht="12.5" customHeight="1" x14ac:dyDescent="0.25">
      <c r="A332" s="45" t="str">
        <f t="shared" si="48"/>
        <v>01/08/2021-31/08/2021</v>
      </c>
      <c r="B332" s="208">
        <f t="shared" si="49"/>
        <v>1452</v>
      </c>
      <c r="C332" s="208">
        <f t="shared" si="50"/>
        <v>1831</v>
      </c>
      <c r="D332" s="625"/>
      <c r="E332" s="603"/>
    </row>
    <row r="333" spans="1:5" ht="12.5" customHeight="1" x14ac:dyDescent="0.25">
      <c r="A333" s="45" t="str">
        <f t="shared" si="48"/>
        <v>01/09/2021-30/09/2021</v>
      </c>
      <c r="B333" s="208">
        <f t="shared" si="49"/>
        <v>1401</v>
      </c>
      <c r="C333" s="208">
        <f t="shared" si="50"/>
        <v>1758</v>
      </c>
      <c r="D333" s="625"/>
      <c r="E333" s="603"/>
    </row>
    <row r="334" spans="1:5" ht="12.5" customHeight="1" x14ac:dyDescent="0.25">
      <c r="A334" s="45" t="str">
        <f t="shared" si="48"/>
        <v>01/10/2021-31/10/2021</v>
      </c>
      <c r="B334" s="208">
        <f t="shared" si="49"/>
        <v>1439</v>
      </c>
      <c r="C334" s="208">
        <f t="shared" si="50"/>
        <v>1817</v>
      </c>
      <c r="D334" s="625"/>
      <c r="E334" s="603"/>
    </row>
    <row r="335" spans="1:5" ht="12.5" customHeight="1" x14ac:dyDescent="0.25">
      <c r="A335" s="45" t="str">
        <f t="shared" si="48"/>
        <v>01/11/2021-30/11/2021</v>
      </c>
      <c r="B335" s="208">
        <f t="shared" si="49"/>
        <v>1416</v>
      </c>
      <c r="C335" s="208">
        <f t="shared" si="50"/>
        <v>1754</v>
      </c>
      <c r="D335" s="625"/>
      <c r="E335" s="603"/>
    </row>
    <row r="336" spans="1:5" ht="12.5" customHeight="1" x14ac:dyDescent="0.25">
      <c r="A336" s="45" t="str">
        <f t="shared" si="48"/>
        <v>01/12/2021-31/12/2021</v>
      </c>
      <c r="B336" s="208">
        <f t="shared" si="49"/>
        <v>1450</v>
      </c>
      <c r="C336" s="208">
        <f t="shared" si="50"/>
        <v>1821</v>
      </c>
      <c r="D336" s="625"/>
      <c r="E336" s="603"/>
    </row>
    <row r="337" spans="1:5" ht="12.5" customHeight="1" x14ac:dyDescent="0.25">
      <c r="A337" s="45" t="str">
        <f t="shared" si="48"/>
        <v>01/01/2022-31/01/2022</v>
      </c>
      <c r="B337" s="208">
        <f t="shared" si="49"/>
        <v>1476</v>
      </c>
      <c r="C337" s="208">
        <f t="shared" si="50"/>
        <v>1818</v>
      </c>
      <c r="D337" s="625"/>
      <c r="E337" s="603"/>
    </row>
    <row r="338" spans="1:5" s="444" customFormat="1" ht="12.5" customHeight="1" x14ac:dyDescent="0.25">
      <c r="A338" s="404" t="str">
        <f t="shared" ref="A338:A342" si="51">A303</f>
        <v>01/02/2022-28/02/2022</v>
      </c>
      <c r="B338" s="446">
        <f t="shared" ref="B338:B342" si="52">ROUNDUP($B$316*$B$317*$B$318*(1-$B$320)*(1-$B$321)*$B$319*$B$322*B280*B38,0)</f>
        <v>1307</v>
      </c>
      <c r="C338" s="446">
        <f t="shared" ref="C338:C342" si="53">ROUNDUP($C$316*$C$317*$C$318*(1-$C$320)*(1-$C$321)*$C$319*$C$322*C280*C38,0)</f>
        <v>1648</v>
      </c>
      <c r="D338" s="625"/>
      <c r="E338" s="603"/>
    </row>
    <row r="339" spans="1:5" s="444" customFormat="1" ht="12.5" customHeight="1" x14ac:dyDescent="0.25">
      <c r="A339" s="404" t="str">
        <f t="shared" si="51"/>
        <v>01/03/2022-31/03/2022</v>
      </c>
      <c r="B339" s="446">
        <f t="shared" si="52"/>
        <v>1434</v>
      </c>
      <c r="C339" s="446">
        <f t="shared" si="53"/>
        <v>1828</v>
      </c>
      <c r="D339" s="625"/>
      <c r="E339" s="603"/>
    </row>
    <row r="340" spans="1:5" s="444" customFormat="1" ht="12.5" customHeight="1" x14ac:dyDescent="0.25">
      <c r="A340" s="404" t="str">
        <f t="shared" si="51"/>
        <v>01/04/2022-30/04/2022</v>
      </c>
      <c r="B340" s="446">
        <f t="shared" si="52"/>
        <v>1416</v>
      </c>
      <c r="C340" s="446">
        <f t="shared" si="53"/>
        <v>1761</v>
      </c>
      <c r="D340" s="625"/>
      <c r="E340" s="603"/>
    </row>
    <row r="341" spans="1:5" s="444" customFormat="1" ht="12.5" customHeight="1" x14ac:dyDescent="0.25">
      <c r="A341" s="404" t="str">
        <f t="shared" si="51"/>
        <v>01/05/2022-31/05/2022</v>
      </c>
      <c r="B341" s="446">
        <f t="shared" si="52"/>
        <v>1458</v>
      </c>
      <c r="C341" s="446">
        <f t="shared" si="53"/>
        <v>1817</v>
      </c>
      <c r="D341" s="625"/>
      <c r="E341" s="603"/>
    </row>
    <row r="342" spans="1:5" ht="12.5" customHeight="1" x14ac:dyDescent="0.25">
      <c r="A342" s="404" t="str">
        <f t="shared" si="51"/>
        <v>01/06/2022-30/06/2022</v>
      </c>
      <c r="B342" s="446">
        <f t="shared" si="52"/>
        <v>1428</v>
      </c>
      <c r="C342" s="446">
        <f t="shared" si="53"/>
        <v>1757</v>
      </c>
      <c r="D342" s="625"/>
      <c r="E342" s="603"/>
    </row>
    <row r="343" spans="1:5" ht="12.5" customHeight="1" x14ac:dyDescent="0.3">
      <c r="A343" s="53" t="str">
        <f>A308</f>
        <v>26/12/2020-31/12/2020</v>
      </c>
      <c r="B343" s="613">
        <f>B324+C324</f>
        <v>566</v>
      </c>
      <c r="C343" s="614"/>
      <c r="D343" s="625"/>
      <c r="E343" s="603"/>
    </row>
    <row r="344" spans="1:5" ht="12.5" customHeight="1" x14ac:dyDescent="0.3">
      <c r="A344" s="53" t="str">
        <f>A309</f>
        <v>01/01/2021-31/12/2021</v>
      </c>
      <c r="B344" s="605">
        <f>SUM(B325:C336)</f>
        <v>38625</v>
      </c>
      <c r="C344" s="605"/>
      <c r="D344" s="625"/>
      <c r="E344" s="603"/>
    </row>
    <row r="345" spans="1:5" ht="12.5" customHeight="1" x14ac:dyDescent="0.3">
      <c r="A345" s="53" t="str">
        <f>A310</f>
        <v>01/01/2022-30/06/2022</v>
      </c>
      <c r="B345" s="605">
        <f>SUM(B337:C342)</f>
        <v>19148</v>
      </c>
      <c r="C345" s="605"/>
      <c r="D345" s="625"/>
      <c r="E345" s="603"/>
    </row>
    <row r="346" spans="1:5" ht="15.5" thickBot="1" x14ac:dyDescent="0.45">
      <c r="A346" s="75" t="s">
        <v>282</v>
      </c>
      <c r="B346" s="606">
        <f>B344+B345+B343</f>
        <v>58339</v>
      </c>
      <c r="C346" s="606"/>
      <c r="D346" s="626"/>
      <c r="E346" s="604"/>
    </row>
    <row r="347" spans="1:5" ht="13" x14ac:dyDescent="0.3">
      <c r="A347" s="28"/>
    </row>
    <row r="348" spans="1:5" ht="13" thickBot="1" x14ac:dyDescent="0.3"/>
    <row r="349" spans="1:5" ht="15" customHeight="1" x14ac:dyDescent="0.4">
      <c r="A349" s="233" t="s">
        <v>277</v>
      </c>
      <c r="B349" s="349">
        <f>B351+B352+B350</f>
        <v>54660</v>
      </c>
      <c r="C349" s="599" t="s">
        <v>260</v>
      </c>
      <c r="D349" s="139"/>
    </row>
    <row r="350" spans="1:5" ht="13" x14ac:dyDescent="0.3">
      <c r="A350" s="74" t="str">
        <f>A343</f>
        <v>26/12/2020-31/12/2020</v>
      </c>
      <c r="B350" s="344">
        <f>B308</f>
        <v>530</v>
      </c>
      <c r="C350" s="600"/>
      <c r="D350" s="139"/>
    </row>
    <row r="351" spans="1:5" ht="13" x14ac:dyDescent="0.3">
      <c r="A351" s="74" t="str">
        <f t="shared" ref="A351:A352" si="54">A344</f>
        <v>01/01/2021-31/12/2021</v>
      </c>
      <c r="B351" s="344">
        <f>B309</f>
        <v>36190</v>
      </c>
      <c r="C351" s="600"/>
      <c r="D351" s="139"/>
    </row>
    <row r="352" spans="1:5" ht="13" x14ac:dyDescent="0.3">
      <c r="A352" s="74" t="str">
        <f t="shared" si="54"/>
        <v>01/01/2022-30/06/2022</v>
      </c>
      <c r="B352" s="344">
        <f>B310</f>
        <v>17940</v>
      </c>
      <c r="C352" s="600"/>
      <c r="D352" s="139"/>
    </row>
    <row r="353" spans="1:6" ht="15" x14ac:dyDescent="0.4">
      <c r="A353" s="234" t="s">
        <v>283</v>
      </c>
      <c r="B353" s="344">
        <f>B355+B356+B354</f>
        <v>58339</v>
      </c>
      <c r="C353" s="600"/>
      <c r="D353" s="139"/>
      <c r="F353" s="130"/>
    </row>
    <row r="354" spans="1:6" ht="13" x14ac:dyDescent="0.3">
      <c r="A354" s="74" t="str">
        <f>A350</f>
        <v>26/12/2020-31/12/2020</v>
      </c>
      <c r="B354" s="344">
        <f>B343</f>
        <v>566</v>
      </c>
      <c r="C354" s="600"/>
      <c r="D354" s="139"/>
      <c r="F354" s="130"/>
    </row>
    <row r="355" spans="1:6" ht="13" x14ac:dyDescent="0.3">
      <c r="A355" s="74" t="str">
        <f t="shared" ref="A355:A356" si="55">A351</f>
        <v>01/01/2021-31/12/2021</v>
      </c>
      <c r="B355" s="344">
        <f t="shared" ref="B355:B356" si="56">B344</f>
        <v>38625</v>
      </c>
      <c r="C355" s="600"/>
      <c r="D355" s="139"/>
      <c r="F355" s="130"/>
    </row>
    <row r="356" spans="1:6" ht="13" x14ac:dyDescent="0.3">
      <c r="A356" s="74" t="str">
        <f t="shared" si="55"/>
        <v>01/01/2022-30/06/2022</v>
      </c>
      <c r="B356" s="344">
        <f t="shared" si="56"/>
        <v>19148</v>
      </c>
      <c r="C356" s="600"/>
      <c r="D356" s="139"/>
      <c r="F356" s="130"/>
    </row>
    <row r="357" spans="1:6" ht="15" x14ac:dyDescent="0.4">
      <c r="A357" s="234" t="s">
        <v>261</v>
      </c>
      <c r="B357" s="344">
        <f>B359+B360+B358</f>
        <v>2365</v>
      </c>
      <c r="C357" s="600"/>
      <c r="D357" s="139"/>
      <c r="E357" s="235"/>
    </row>
    <row r="358" spans="1:6" ht="13" x14ac:dyDescent="0.3">
      <c r="A358" s="74" t="str">
        <f>A350</f>
        <v>26/12/2020-31/12/2020</v>
      </c>
      <c r="B358" s="344">
        <f>B143</f>
        <v>28</v>
      </c>
      <c r="C358" s="600"/>
      <c r="D358" s="139"/>
      <c r="E358" s="235"/>
    </row>
    <row r="359" spans="1:6" ht="13" x14ac:dyDescent="0.3">
      <c r="A359" s="74" t="str">
        <f t="shared" ref="A359:A360" si="57">A351</f>
        <v>01/01/2021-31/12/2021</v>
      </c>
      <c r="B359" s="344">
        <f>B144</f>
        <v>1563</v>
      </c>
      <c r="C359" s="600"/>
      <c r="D359" s="139"/>
      <c r="E359" s="235"/>
    </row>
    <row r="360" spans="1:6" ht="13" x14ac:dyDescent="0.3">
      <c r="A360" s="74" t="str">
        <f t="shared" si="57"/>
        <v>01/01/2022-30/06/2022</v>
      </c>
      <c r="B360" s="344">
        <f>B145</f>
        <v>774</v>
      </c>
      <c r="C360" s="600"/>
      <c r="D360" s="139"/>
      <c r="E360" s="235"/>
    </row>
    <row r="361" spans="1:6" ht="15" x14ac:dyDescent="0.4">
      <c r="A361" s="234" t="s">
        <v>267</v>
      </c>
      <c r="B361" s="344">
        <f>B363+B364+B362</f>
        <v>8511</v>
      </c>
      <c r="C361" s="600"/>
    </row>
    <row r="362" spans="1:6" ht="13" x14ac:dyDescent="0.3">
      <c r="A362" s="74" t="str">
        <f>A358</f>
        <v>26/12/2020-31/12/2020</v>
      </c>
      <c r="B362" s="344">
        <f>B243</f>
        <v>105</v>
      </c>
      <c r="C362" s="600"/>
    </row>
    <row r="363" spans="1:6" ht="13" x14ac:dyDescent="0.3">
      <c r="A363" s="74" t="str">
        <f t="shared" ref="A363:A364" si="58">A359</f>
        <v>01/01/2021-31/12/2021</v>
      </c>
      <c r="B363" s="344">
        <f>B244</f>
        <v>5619</v>
      </c>
      <c r="C363" s="600"/>
    </row>
    <row r="364" spans="1:6" ht="13.5" thickBot="1" x14ac:dyDescent="0.35">
      <c r="A364" s="376" t="str">
        <f t="shared" si="58"/>
        <v>01/01/2022-30/06/2022</v>
      </c>
      <c r="B364" s="350">
        <f>B245</f>
        <v>2787</v>
      </c>
      <c r="C364" s="601"/>
    </row>
    <row r="365" spans="1:6" ht="13" x14ac:dyDescent="0.3">
      <c r="A365" s="236"/>
      <c r="B365" s="237"/>
      <c r="C365" s="238"/>
    </row>
    <row r="366" spans="1:6" ht="13" x14ac:dyDescent="0.3">
      <c r="A366" s="236"/>
      <c r="B366" s="237"/>
      <c r="C366" s="238"/>
    </row>
    <row r="367" spans="1:6" s="104" customFormat="1" ht="13" x14ac:dyDescent="0.3">
      <c r="A367" s="236"/>
      <c r="B367" s="237"/>
      <c r="C367" s="238"/>
    </row>
    <row r="368" spans="1:6" s="104" customFormat="1" ht="13" x14ac:dyDescent="0.3">
      <c r="A368" s="236"/>
      <c r="B368" s="237"/>
      <c r="C368" s="238"/>
    </row>
    <row r="369" spans="1:3" s="104" customFormat="1" ht="13" thickBot="1" x14ac:dyDescent="0.3">
      <c r="B369" s="238"/>
      <c r="C369" s="238"/>
    </row>
    <row r="370" spans="1:3" ht="13" x14ac:dyDescent="0.3">
      <c r="A370" s="233" t="s">
        <v>114</v>
      </c>
      <c r="B370" s="378">
        <f>B372+B373+B371</f>
        <v>9825</v>
      </c>
      <c r="C370" s="599" t="s">
        <v>334</v>
      </c>
    </row>
    <row r="371" spans="1:3" ht="13" x14ac:dyDescent="0.3">
      <c r="A371" s="74" t="str">
        <f>A362</f>
        <v>26/12/2020-31/12/2020</v>
      </c>
      <c r="B371" s="377">
        <f>B362-B358+B354-B350</f>
        <v>113</v>
      </c>
      <c r="C371" s="600"/>
    </row>
    <row r="372" spans="1:3" ht="13" x14ac:dyDescent="0.3">
      <c r="A372" s="74" t="str">
        <f t="shared" ref="A372:A373" si="59">A363</f>
        <v>01/01/2021-31/12/2021</v>
      </c>
      <c r="B372" s="377">
        <f>B363-B359+B355-B351</f>
        <v>6491</v>
      </c>
      <c r="C372" s="600"/>
    </row>
    <row r="373" spans="1:3" ht="13.5" thickBot="1" x14ac:dyDescent="0.35">
      <c r="A373" s="376" t="str">
        <f t="shared" si="59"/>
        <v>01/01/2022-30/06/2022</v>
      </c>
      <c r="B373" s="379">
        <f t="shared" ref="B373" si="60">B364-B360+B356-B352</f>
        <v>3221</v>
      </c>
      <c r="C373" s="601"/>
    </row>
    <row r="374" spans="1:3" ht="13" x14ac:dyDescent="0.3">
      <c r="A374" s="28"/>
      <c r="B374" s="239"/>
    </row>
    <row r="375" spans="1:3" ht="13" x14ac:dyDescent="0.3">
      <c r="A375" s="28"/>
      <c r="B375" s="239"/>
    </row>
    <row r="376" spans="1:3" ht="13" x14ac:dyDescent="0.3">
      <c r="A376" s="28"/>
      <c r="B376" s="239"/>
    </row>
    <row r="377" spans="1:3" x14ac:dyDescent="0.25">
      <c r="C377" s="98"/>
    </row>
    <row r="381" spans="1:3" x14ac:dyDescent="0.25">
      <c r="B381" s="29"/>
      <c r="C381" s="29"/>
    </row>
    <row r="382" spans="1:3" x14ac:dyDescent="0.25">
      <c r="A382" s="242"/>
      <c r="B382" s="29"/>
      <c r="C382" s="29"/>
    </row>
    <row r="383" spans="1:3" ht="13" x14ac:dyDescent="0.3">
      <c r="A383" s="243" t="s">
        <v>4</v>
      </c>
      <c r="B383" s="29"/>
      <c r="C383" s="29"/>
    </row>
    <row r="384" spans="1:3" ht="13" x14ac:dyDescent="0.3">
      <c r="A384" s="243"/>
      <c r="B384" s="29"/>
      <c r="C384" s="29"/>
    </row>
    <row r="385" spans="1:5" x14ac:dyDescent="0.25">
      <c r="A385" s="245" t="s">
        <v>7</v>
      </c>
      <c r="B385" s="29"/>
      <c r="C385" s="29"/>
    </row>
    <row r="386" spans="1:5" x14ac:dyDescent="0.25">
      <c r="A386" s="242" t="s">
        <v>24</v>
      </c>
      <c r="B386" s="29"/>
      <c r="C386" s="29"/>
    </row>
    <row r="387" spans="1:5" x14ac:dyDescent="0.25">
      <c r="A387" s="242" t="s">
        <v>7</v>
      </c>
      <c r="B387" s="29"/>
      <c r="C387" s="29"/>
    </row>
    <row r="388" spans="1:5" x14ac:dyDescent="0.25">
      <c r="A388" s="246" t="s">
        <v>284</v>
      </c>
      <c r="B388" s="247"/>
      <c r="C388" s="244"/>
      <c r="D388" s="241" t="s">
        <v>15</v>
      </c>
      <c r="E388" s="242" t="s">
        <v>7</v>
      </c>
    </row>
    <row r="389" spans="1:5" x14ac:dyDescent="0.25">
      <c r="A389" s="246" t="s">
        <v>22</v>
      </c>
      <c r="B389" s="248"/>
      <c r="C389" s="248"/>
      <c r="D389" s="241"/>
      <c r="E389" s="242" t="s">
        <v>28</v>
      </c>
    </row>
    <row r="390" spans="1:5" ht="13" x14ac:dyDescent="0.3">
      <c r="A390" s="249" t="s">
        <v>18</v>
      </c>
      <c r="B390" s="250"/>
      <c r="C390" s="250"/>
      <c r="D390" s="240"/>
      <c r="E390" s="240" t="s">
        <v>26</v>
      </c>
    </row>
    <row r="391" spans="1:5" ht="13" x14ac:dyDescent="0.3">
      <c r="A391" s="240" t="s">
        <v>23</v>
      </c>
      <c r="B391" s="251"/>
      <c r="C391" s="243"/>
      <c r="D391" s="240"/>
      <c r="E391" s="240"/>
    </row>
  </sheetData>
  <mergeCells count="65">
    <mergeCell ref="D324:D346"/>
    <mergeCell ref="B91:C91"/>
    <mergeCell ref="B115:C115"/>
    <mergeCell ref="B139:C139"/>
    <mergeCell ref="B143:C143"/>
    <mergeCell ref="B191:C191"/>
    <mergeCell ref="B92:C92"/>
    <mergeCell ref="B93:C93"/>
    <mergeCell ref="B94:C94"/>
    <mergeCell ref="B144:C144"/>
    <mergeCell ref="D95:D118"/>
    <mergeCell ref="B146:C146"/>
    <mergeCell ref="D119:D142"/>
    <mergeCell ref="D143:D146"/>
    <mergeCell ref="D171:D242"/>
    <mergeCell ref="B343:C343"/>
    <mergeCell ref="D23:D42"/>
    <mergeCell ref="E23:E42"/>
    <mergeCell ref="D43:D62"/>
    <mergeCell ref="E43:E62"/>
    <mergeCell ref="D71:D94"/>
    <mergeCell ref="E71:E94"/>
    <mergeCell ref="B308:C308"/>
    <mergeCell ref="E95:E118"/>
    <mergeCell ref="B116:C116"/>
    <mergeCell ref="B117:C117"/>
    <mergeCell ref="B118:C118"/>
    <mergeCell ref="B145:C145"/>
    <mergeCell ref="B95:C95"/>
    <mergeCell ref="E143:E146"/>
    <mergeCell ref="E119:E142"/>
    <mergeCell ref="B140:C140"/>
    <mergeCell ref="B141:C141"/>
    <mergeCell ref="B142:C142"/>
    <mergeCell ref="B119:C119"/>
    <mergeCell ref="B194:C194"/>
    <mergeCell ref="D243:D246"/>
    <mergeCell ref="B215:C215"/>
    <mergeCell ref="B246:C246"/>
    <mergeCell ref="B216:C216"/>
    <mergeCell ref="B217:C217"/>
    <mergeCell ref="B243:C243"/>
    <mergeCell ref="B245:C245"/>
    <mergeCell ref="B244:C244"/>
    <mergeCell ref="B242:C242"/>
    <mergeCell ref="B239:C239"/>
    <mergeCell ref="B240:C240"/>
    <mergeCell ref="B241:C241"/>
    <mergeCell ref="B218:C218"/>
    <mergeCell ref="D265:D284"/>
    <mergeCell ref="C349:C364"/>
    <mergeCell ref="C370:C373"/>
    <mergeCell ref="E171:E246"/>
    <mergeCell ref="B192:C192"/>
    <mergeCell ref="B193:C193"/>
    <mergeCell ref="E324:E346"/>
    <mergeCell ref="B344:C344"/>
    <mergeCell ref="B345:C345"/>
    <mergeCell ref="B346:C346"/>
    <mergeCell ref="E265:E284"/>
    <mergeCell ref="D289:D311"/>
    <mergeCell ref="E289:E311"/>
    <mergeCell ref="B309:C309"/>
    <mergeCell ref="B310:C310"/>
    <mergeCell ref="B311:C311"/>
  </mergeCells>
  <phoneticPr fontId="0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F45C9-9E4A-4316-8D78-9C8B5BFAAC9D}">
  <dimension ref="D3:M17"/>
  <sheetViews>
    <sheetView topLeftCell="B1" workbookViewId="0">
      <selection activeCell="F25" sqref="F25"/>
    </sheetView>
  </sheetViews>
  <sheetFormatPr defaultColWidth="8.7265625" defaultRowHeight="12.5" x14ac:dyDescent="0.25"/>
  <cols>
    <col min="1" max="3" width="8.7265625" style="29"/>
    <col min="4" max="4" width="27.6328125" style="29" bestFit="1" customWidth="1"/>
    <col min="5" max="5" width="29.36328125" style="29" bestFit="1" customWidth="1"/>
    <col min="6" max="6" width="26.54296875" style="29" bestFit="1" customWidth="1"/>
    <col min="7" max="7" width="28.36328125" style="29" bestFit="1" customWidth="1"/>
    <col min="8" max="8" width="31.1796875" style="29" bestFit="1" customWidth="1"/>
    <col min="9" max="9" width="17.90625" style="29" customWidth="1"/>
    <col min="10" max="10" width="12.1796875" style="29" customWidth="1"/>
    <col min="11" max="11" width="10.7265625" style="29" customWidth="1"/>
    <col min="12" max="12" width="9.26953125" style="29" bestFit="1" customWidth="1"/>
    <col min="13" max="16384" width="8.7265625" style="29"/>
  </cols>
  <sheetData>
    <row r="3" spans="4:13" ht="13" thickBot="1" x14ac:dyDescent="0.3"/>
    <row r="4" spans="4:13" ht="15" x14ac:dyDescent="0.25">
      <c r="D4" s="142" t="s">
        <v>119</v>
      </c>
      <c r="E4" s="143" t="s">
        <v>222</v>
      </c>
      <c r="F4" s="143" t="s">
        <v>223</v>
      </c>
      <c r="G4" s="143" t="s">
        <v>224</v>
      </c>
      <c r="H4" s="144" t="s">
        <v>225</v>
      </c>
    </row>
    <row r="5" spans="4:13" x14ac:dyDescent="0.25">
      <c r="D5" s="145" t="str">
        <f>'monitoring results'!A4</f>
        <v>26/12/2020-31/12/2020</v>
      </c>
      <c r="E5" s="146">
        <f>'Baseline emission'!B335</f>
        <v>2531</v>
      </c>
      <c r="F5" s="147">
        <f>'Project emission'!B356</f>
        <v>279</v>
      </c>
      <c r="G5" s="148">
        <f>Leakage!B371</f>
        <v>113</v>
      </c>
      <c r="H5" s="149">
        <f>E5-F5-G5</f>
        <v>2139</v>
      </c>
    </row>
    <row r="6" spans="4:13" x14ac:dyDescent="0.25">
      <c r="D6" s="145" t="s">
        <v>157</v>
      </c>
      <c r="E6" s="146">
        <f>'Baseline emission'!B336</f>
        <v>172333</v>
      </c>
      <c r="F6" s="147">
        <f>'Project emission'!B357</f>
        <v>16805</v>
      </c>
      <c r="G6" s="148">
        <f>Leakage!B372</f>
        <v>6491</v>
      </c>
      <c r="H6" s="149">
        <f t="shared" ref="H6:H7" si="0">E6-F6-G6</f>
        <v>149037</v>
      </c>
    </row>
    <row r="7" spans="4:13" x14ac:dyDescent="0.25">
      <c r="D7" s="150" t="s">
        <v>341</v>
      </c>
      <c r="E7" s="146">
        <f>'Baseline emission'!B337</f>
        <v>85426</v>
      </c>
      <c r="F7" s="147">
        <f>'Project emission'!B358</f>
        <v>8401</v>
      </c>
      <c r="G7" s="148">
        <f>Leakage!B373</f>
        <v>3221</v>
      </c>
      <c r="H7" s="149">
        <f t="shared" si="0"/>
        <v>73804</v>
      </c>
    </row>
    <row r="8" spans="4:13" ht="13.5" thickBot="1" x14ac:dyDescent="0.3">
      <c r="D8" s="151" t="s">
        <v>158</v>
      </c>
      <c r="E8" s="152">
        <f>SUM(E5:E7)</f>
        <v>260290</v>
      </c>
      <c r="F8" s="152">
        <f t="shared" ref="F8:H8" si="1">SUM(F5:F7)</f>
        <v>25485</v>
      </c>
      <c r="G8" s="152">
        <f t="shared" si="1"/>
        <v>9825</v>
      </c>
      <c r="H8" s="153">
        <f t="shared" si="1"/>
        <v>224980</v>
      </c>
    </row>
    <row r="11" spans="4:13" ht="13" x14ac:dyDescent="0.25">
      <c r="E11" s="336"/>
      <c r="F11" s="336"/>
      <c r="G11" s="336"/>
      <c r="H11" s="389"/>
      <c r="I11" s="336"/>
      <c r="J11" s="336"/>
      <c r="K11" s="336"/>
      <c r="L11" s="336"/>
      <c r="M11" s="336"/>
    </row>
    <row r="12" spans="4:13" x14ac:dyDescent="0.25">
      <c r="G12" s="343"/>
      <c r="K12" s="334"/>
    </row>
    <row r="13" spans="4:13" x14ac:dyDescent="0.25">
      <c r="K13" s="334"/>
    </row>
    <row r="14" spans="4:13" x14ac:dyDescent="0.25">
      <c r="H14" s="337"/>
      <c r="K14" s="334"/>
      <c r="L14" s="140"/>
    </row>
    <row r="15" spans="4:13" x14ac:dyDescent="0.25">
      <c r="H15" s="126"/>
      <c r="I15" s="333"/>
    </row>
    <row r="17" spans="8:8" x14ac:dyDescent="0.25">
      <c r="H17" s="334"/>
    </row>
  </sheetData>
  <phoneticPr fontId="1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01"/>
  <sheetViews>
    <sheetView topLeftCell="A109" zoomScale="70" zoomScaleNormal="70" workbookViewId="0">
      <selection activeCell="F73" sqref="F73"/>
    </sheetView>
  </sheetViews>
  <sheetFormatPr defaultColWidth="8.7265625" defaultRowHeight="12.5" x14ac:dyDescent="0.25"/>
  <cols>
    <col min="1" max="1" width="25.6328125" style="29" bestFit="1" customWidth="1"/>
    <col min="2" max="2" width="18.90625" style="29" customWidth="1"/>
    <col min="3" max="3" width="17.08984375" style="29" customWidth="1"/>
    <col min="4" max="4" width="15.7265625" style="29" customWidth="1"/>
    <col min="5" max="5" width="19.1796875" style="29" customWidth="1"/>
    <col min="6" max="6" width="17.453125" style="29" customWidth="1"/>
    <col min="7" max="7" width="8.7265625" style="29"/>
    <col min="8" max="8" width="14.54296875" style="29" customWidth="1"/>
    <col min="9" max="9" width="8.7265625" style="29"/>
    <col min="10" max="10" width="16.08984375" style="29" customWidth="1"/>
    <col min="11" max="11" width="17.6328125" style="29" customWidth="1"/>
    <col min="12" max="12" width="18.08984375" style="29" bestFit="1" customWidth="1"/>
    <col min="13" max="13" width="15" style="29" bestFit="1" customWidth="1"/>
    <col min="14" max="14" width="16.08984375" style="29" customWidth="1"/>
    <col min="15" max="15" width="13.26953125" style="29" customWidth="1"/>
    <col min="16" max="16" width="10.90625" style="29" bestFit="1" customWidth="1"/>
    <col min="17" max="17" width="9.26953125" style="29" bestFit="1" customWidth="1"/>
    <col min="18" max="18" width="11.7265625" style="29" bestFit="1" customWidth="1"/>
    <col min="19" max="19" width="12.453125" style="29" bestFit="1" customWidth="1"/>
    <col min="20" max="16384" width="8.7265625" style="29"/>
  </cols>
  <sheetData>
    <row r="1" spans="1:11" ht="33.5" customHeight="1" x14ac:dyDescent="0.4">
      <c r="A1" s="631" t="s">
        <v>210</v>
      </c>
      <c r="B1" s="632"/>
      <c r="C1" s="632"/>
      <c r="D1" s="632"/>
      <c r="E1" s="633"/>
    </row>
    <row r="2" spans="1:11" ht="15.5" x14ac:dyDescent="0.4">
      <c r="A2" s="634" t="s">
        <v>140</v>
      </c>
      <c r="B2" s="587" t="s">
        <v>211</v>
      </c>
      <c r="C2" s="587"/>
      <c r="D2" s="587" t="s">
        <v>212</v>
      </c>
      <c r="E2" s="588"/>
    </row>
    <row r="3" spans="1:11" x14ac:dyDescent="0.25">
      <c r="A3" s="635"/>
      <c r="B3" s="451" t="s">
        <v>30</v>
      </c>
      <c r="C3" s="451" t="s">
        <v>105</v>
      </c>
      <c r="D3" s="451" t="s">
        <v>30</v>
      </c>
      <c r="E3" s="452" t="s">
        <v>105</v>
      </c>
      <c r="G3" s="104"/>
      <c r="H3" s="104"/>
      <c r="I3" s="104"/>
      <c r="J3" s="104"/>
      <c r="K3" s="104"/>
    </row>
    <row r="4" spans="1:11" x14ac:dyDescent="0.25">
      <c r="A4" s="73" t="s">
        <v>339</v>
      </c>
      <c r="B4" s="451">
        <v>89677</v>
      </c>
      <c r="C4" s="338">
        <v>83549</v>
      </c>
      <c r="D4" s="409">
        <f>'2020.12'!$C$158</f>
        <v>56.9</v>
      </c>
      <c r="E4" s="453">
        <f>'2020.12'!$D$158</f>
        <v>74.400000000000006</v>
      </c>
      <c r="F4" s="105"/>
      <c r="G4" s="104"/>
      <c r="H4" s="104"/>
      <c r="I4" s="104"/>
    </row>
    <row r="5" spans="1:11" x14ac:dyDescent="0.25">
      <c r="A5" s="73" t="s">
        <v>141</v>
      </c>
      <c r="B5" s="451">
        <v>89677</v>
      </c>
      <c r="C5" s="338">
        <v>83651</v>
      </c>
      <c r="D5" s="409">
        <f>'2021.01'!$C$158</f>
        <v>57.2</v>
      </c>
      <c r="E5" s="453">
        <f>'2021.01'!$D$158</f>
        <v>75.400000000000006</v>
      </c>
      <c r="F5" s="105"/>
      <c r="G5" s="104"/>
      <c r="H5" s="104"/>
      <c r="I5" s="104"/>
    </row>
    <row r="6" spans="1:11" x14ac:dyDescent="0.25">
      <c r="A6" s="73" t="s">
        <v>142</v>
      </c>
      <c r="B6" s="451">
        <v>89677</v>
      </c>
      <c r="C6" s="338">
        <v>83599</v>
      </c>
      <c r="D6" s="409">
        <f>'2021.02'!$C$158</f>
        <v>56.7</v>
      </c>
      <c r="E6" s="453">
        <f>'2021.02'!$D$158</f>
        <v>75.3</v>
      </c>
      <c r="F6" s="105"/>
      <c r="G6" s="104"/>
      <c r="H6" s="104"/>
      <c r="I6" s="104"/>
    </row>
    <row r="7" spans="1:11" x14ac:dyDescent="0.25">
      <c r="A7" s="73" t="s">
        <v>143</v>
      </c>
      <c r="B7" s="451">
        <v>89677</v>
      </c>
      <c r="C7" s="338">
        <v>83559</v>
      </c>
      <c r="D7" s="409">
        <f>'2021.03'!$C$158</f>
        <v>56</v>
      </c>
      <c r="E7" s="453">
        <f>'2021.03'!$D$158</f>
        <v>74.900000000000006</v>
      </c>
      <c r="F7" s="105"/>
      <c r="G7" s="104"/>
      <c r="H7" s="104"/>
      <c r="I7" s="104"/>
    </row>
    <row r="8" spans="1:11" x14ac:dyDescent="0.25">
      <c r="A8" s="73" t="s">
        <v>144</v>
      </c>
      <c r="B8" s="451">
        <v>89677</v>
      </c>
      <c r="C8" s="338">
        <v>83443</v>
      </c>
      <c r="D8" s="409">
        <f>'2021.04'!$C$158</f>
        <v>56.2</v>
      </c>
      <c r="E8" s="453">
        <f>'2021.04'!$D$158</f>
        <v>75.900000000000006</v>
      </c>
      <c r="F8" s="105"/>
      <c r="G8" s="104"/>
      <c r="H8" s="104"/>
      <c r="I8" s="104"/>
    </row>
    <row r="9" spans="1:11" x14ac:dyDescent="0.25">
      <c r="A9" s="73" t="s">
        <v>145</v>
      </c>
      <c r="B9" s="451">
        <v>89677</v>
      </c>
      <c r="C9" s="338">
        <v>83653</v>
      </c>
      <c r="D9" s="409">
        <f>'2021.05'!$C$158</f>
        <v>57.8</v>
      </c>
      <c r="E9" s="453">
        <f>'2021.05'!$D$158</f>
        <v>74.900000000000006</v>
      </c>
      <c r="F9" s="105"/>
      <c r="G9" s="104"/>
      <c r="H9" s="104"/>
      <c r="I9" s="104"/>
    </row>
    <row r="10" spans="1:11" x14ac:dyDescent="0.25">
      <c r="A10" s="73" t="s">
        <v>146</v>
      </c>
      <c r="B10" s="451">
        <v>89677</v>
      </c>
      <c r="C10" s="338">
        <v>83645</v>
      </c>
      <c r="D10" s="409">
        <f>'2021.06'!$C$158</f>
        <v>55.7</v>
      </c>
      <c r="E10" s="453">
        <f>'2021.06'!$D$158</f>
        <v>76.099999999999994</v>
      </c>
      <c r="F10" s="105"/>
      <c r="G10" s="104"/>
      <c r="H10" s="104"/>
      <c r="I10" s="104"/>
    </row>
    <row r="11" spans="1:11" x14ac:dyDescent="0.25">
      <c r="A11" s="73" t="s">
        <v>148</v>
      </c>
      <c r="B11" s="451">
        <v>89677</v>
      </c>
      <c r="C11" s="338">
        <v>83554</v>
      </c>
      <c r="D11" s="409">
        <f>'2021.07'!$C$158</f>
        <v>56.3</v>
      </c>
      <c r="E11" s="453">
        <f>'2021.07'!$D$158</f>
        <v>74.900000000000006</v>
      </c>
      <c r="F11" s="105"/>
      <c r="G11" s="104"/>
      <c r="H11" s="104"/>
      <c r="I11" s="104"/>
    </row>
    <row r="12" spans="1:11" x14ac:dyDescent="0.25">
      <c r="A12" s="73" t="s">
        <v>147</v>
      </c>
      <c r="B12" s="451">
        <v>89677</v>
      </c>
      <c r="C12" s="338">
        <v>83420</v>
      </c>
      <c r="D12" s="409">
        <f>'2021.08'!$C$158</f>
        <v>56</v>
      </c>
      <c r="E12" s="453">
        <f>'2021.08'!$D$158</f>
        <v>75.900000000000006</v>
      </c>
      <c r="F12" s="105"/>
      <c r="G12" s="104"/>
      <c r="H12" s="104"/>
      <c r="I12" s="104"/>
    </row>
    <row r="13" spans="1:11" x14ac:dyDescent="0.25">
      <c r="A13" s="73" t="s">
        <v>149</v>
      </c>
      <c r="B13" s="451">
        <v>89677</v>
      </c>
      <c r="C13" s="338">
        <v>83550</v>
      </c>
      <c r="D13" s="409">
        <f>'2021.09'!$C$158</f>
        <v>55.8</v>
      </c>
      <c r="E13" s="453">
        <f>'2021.09'!$D$158</f>
        <v>75.2</v>
      </c>
      <c r="F13" s="105"/>
      <c r="G13" s="104"/>
      <c r="H13" s="104"/>
      <c r="I13" s="104"/>
    </row>
    <row r="14" spans="1:11" x14ac:dyDescent="0.25">
      <c r="A14" s="73" t="s">
        <v>150</v>
      </c>
      <c r="B14" s="451">
        <v>89677</v>
      </c>
      <c r="C14" s="338">
        <v>83457</v>
      </c>
      <c r="D14" s="409">
        <f>'2021.10'!$C$158</f>
        <v>55.5</v>
      </c>
      <c r="E14" s="453">
        <f>'2021.10'!$D$158</f>
        <v>75.3</v>
      </c>
      <c r="F14" s="105"/>
      <c r="G14" s="104"/>
      <c r="H14" s="104"/>
      <c r="I14" s="104"/>
    </row>
    <row r="15" spans="1:11" x14ac:dyDescent="0.25">
      <c r="A15" s="73" t="s">
        <v>151</v>
      </c>
      <c r="B15" s="451">
        <v>89677</v>
      </c>
      <c r="C15" s="338">
        <v>83548</v>
      </c>
      <c r="D15" s="409">
        <f>'2021.11'!$C$158</f>
        <v>56.4</v>
      </c>
      <c r="E15" s="453">
        <f>'2021.11'!$D$158</f>
        <v>75</v>
      </c>
      <c r="F15" s="105"/>
      <c r="G15" s="104"/>
      <c r="H15" s="104"/>
      <c r="I15" s="104"/>
    </row>
    <row r="16" spans="1:11" x14ac:dyDescent="0.25">
      <c r="A16" s="73" t="s">
        <v>152</v>
      </c>
      <c r="B16" s="451">
        <v>89677</v>
      </c>
      <c r="C16" s="338">
        <v>83502</v>
      </c>
      <c r="D16" s="409">
        <f>'2021.12'!$C$158</f>
        <v>55.9</v>
      </c>
      <c r="E16" s="453">
        <f>'2021.12'!$D$158</f>
        <v>75.400000000000006</v>
      </c>
      <c r="F16" s="105"/>
      <c r="G16" s="104"/>
      <c r="H16" s="104"/>
      <c r="I16" s="104"/>
    </row>
    <row r="17" spans="1:9" x14ac:dyDescent="0.25">
      <c r="A17" s="73" t="s">
        <v>156</v>
      </c>
      <c r="B17" s="451">
        <v>89677</v>
      </c>
      <c r="C17" s="338">
        <v>83479</v>
      </c>
      <c r="D17" s="409">
        <f>'2022.01'!$C$158</f>
        <v>56.9</v>
      </c>
      <c r="E17" s="453">
        <f>'2022.01'!$D$158</f>
        <v>75.3</v>
      </c>
      <c r="F17" s="105"/>
      <c r="G17" s="104"/>
      <c r="H17" s="104"/>
      <c r="I17" s="104"/>
    </row>
    <row r="18" spans="1:9" x14ac:dyDescent="0.25">
      <c r="A18" s="73" t="s">
        <v>153</v>
      </c>
      <c r="B18" s="451">
        <v>89677</v>
      </c>
      <c r="C18" s="338">
        <v>83471</v>
      </c>
      <c r="D18" s="409">
        <f>'2022.02'!$C$158</f>
        <v>55.8</v>
      </c>
      <c r="E18" s="453">
        <f>'2022.02'!$D$158</f>
        <v>75.599999999999994</v>
      </c>
      <c r="F18" s="105"/>
      <c r="G18" s="104"/>
      <c r="H18" s="104"/>
      <c r="I18" s="104"/>
    </row>
    <row r="19" spans="1:9" x14ac:dyDescent="0.25">
      <c r="A19" s="73" t="s">
        <v>154</v>
      </c>
      <c r="B19" s="451">
        <v>89677</v>
      </c>
      <c r="C19" s="338">
        <v>83597</v>
      </c>
      <c r="D19" s="409">
        <f>'2022.03'!$C$158</f>
        <v>55.3</v>
      </c>
      <c r="E19" s="453">
        <f>'2022.03'!$D$158</f>
        <v>75.599999999999994</v>
      </c>
      <c r="F19" s="105"/>
      <c r="G19" s="104"/>
      <c r="H19" s="104"/>
      <c r="I19" s="104"/>
    </row>
    <row r="20" spans="1:9" s="391" customFormat="1" x14ac:dyDescent="0.25">
      <c r="A20" s="431" t="s">
        <v>347</v>
      </c>
      <c r="B20" s="450">
        <v>89677</v>
      </c>
      <c r="C20" s="392">
        <v>83663</v>
      </c>
      <c r="D20" s="409">
        <f>'2022.04'!$C$158</f>
        <v>56.4</v>
      </c>
      <c r="E20" s="453">
        <f>'2022.04'!$D$158</f>
        <v>75.2</v>
      </c>
      <c r="F20" s="105"/>
      <c r="G20" s="104"/>
      <c r="H20" s="104"/>
      <c r="I20" s="104"/>
    </row>
    <row r="21" spans="1:9" s="391" customFormat="1" x14ac:dyDescent="0.25">
      <c r="A21" s="431" t="s">
        <v>349</v>
      </c>
      <c r="B21" s="450">
        <v>89677</v>
      </c>
      <c r="C21" s="392">
        <v>83546</v>
      </c>
      <c r="D21" s="409">
        <f>'2022.05'!$C$158</f>
        <v>56.2</v>
      </c>
      <c r="E21" s="453">
        <f>'2022.05'!$D$158</f>
        <v>75.2</v>
      </c>
      <c r="F21" s="105"/>
      <c r="G21" s="104"/>
      <c r="H21" s="104"/>
      <c r="I21" s="104"/>
    </row>
    <row r="22" spans="1:9" s="391" customFormat="1" x14ac:dyDescent="0.25">
      <c r="A22" s="431" t="s">
        <v>351</v>
      </c>
      <c r="B22" s="450">
        <v>89677</v>
      </c>
      <c r="C22" s="392">
        <v>83583</v>
      </c>
      <c r="D22" s="409">
        <f>'2022.06'!$C$158</f>
        <v>56.9</v>
      </c>
      <c r="E22" s="453">
        <f>'2022.06'!$D$158</f>
        <v>75.099999999999994</v>
      </c>
      <c r="F22" s="105"/>
      <c r="G22" s="104"/>
      <c r="H22" s="104"/>
      <c r="I22" s="104"/>
    </row>
    <row r="23" spans="1:9" ht="13" thickBot="1" x14ac:dyDescent="0.3">
      <c r="A23" s="106" t="s">
        <v>106</v>
      </c>
      <c r="B23" s="76">
        <v>89677</v>
      </c>
      <c r="C23" s="339">
        <v>83542.3125</v>
      </c>
      <c r="D23" s="107">
        <f>AVERAGE(D4:D22)</f>
        <v>56.310526315789467</v>
      </c>
      <c r="E23" s="390">
        <f>AVERAGE(E4:E22)</f>
        <v>75.294736842105252</v>
      </c>
      <c r="F23" s="104"/>
      <c r="G23" s="104"/>
      <c r="H23" s="104"/>
      <c r="I23" s="104"/>
    </row>
    <row r="24" spans="1:9" x14ac:dyDescent="0.25">
      <c r="E24" s="108"/>
    </row>
    <row r="25" spans="1:9" ht="13" thickBot="1" x14ac:dyDescent="0.3"/>
    <row r="26" spans="1:9" ht="26.5" customHeight="1" x14ac:dyDescent="0.25">
      <c r="A26" s="636" t="s">
        <v>118</v>
      </c>
      <c r="B26" s="637"/>
    </row>
    <row r="27" spans="1:9" ht="15.5" x14ac:dyDescent="0.4">
      <c r="A27" s="462" t="s">
        <v>140</v>
      </c>
      <c r="B27" s="284" t="s">
        <v>213</v>
      </c>
    </row>
    <row r="28" spans="1:9" x14ac:dyDescent="0.25">
      <c r="A28" s="73" t="str">
        <f t="shared" ref="A28:A43" si="0">A4</f>
        <v>26/12/2020-31/12/2020</v>
      </c>
      <c r="B28" s="466">
        <v>16.596999999999998</v>
      </c>
    </row>
    <row r="29" spans="1:9" x14ac:dyDescent="0.25">
      <c r="A29" s="73" t="str">
        <f t="shared" si="0"/>
        <v>01/01/2021-31/01/2021</v>
      </c>
      <c r="B29" s="466">
        <v>85.622</v>
      </c>
    </row>
    <row r="30" spans="1:9" x14ac:dyDescent="0.25">
      <c r="A30" s="73" t="str">
        <f t="shared" si="0"/>
        <v>01/02/1021-28/02/2021</v>
      </c>
      <c r="B30" s="466">
        <v>77.182000000000002</v>
      </c>
      <c r="D30" s="461"/>
    </row>
    <row r="31" spans="1:9" x14ac:dyDescent="0.25">
      <c r="A31" s="73" t="str">
        <f t="shared" si="0"/>
        <v>01/03/2021-31/03/3021</v>
      </c>
      <c r="B31" s="466">
        <v>85.143000000000001</v>
      </c>
      <c r="D31" s="461"/>
    </row>
    <row r="32" spans="1:9" x14ac:dyDescent="0.25">
      <c r="A32" s="73" t="str">
        <f t="shared" si="0"/>
        <v>01/04/2021-30/04/2021</v>
      </c>
      <c r="B32" s="466">
        <v>82.919999999999973</v>
      </c>
      <c r="D32" s="461"/>
      <c r="E32" s="461"/>
    </row>
    <row r="33" spans="1:5" ht="13.5" customHeight="1" x14ac:dyDescent="0.25">
      <c r="A33" s="73" t="str">
        <f t="shared" si="0"/>
        <v>01/05/2021-31/05/2021</v>
      </c>
      <c r="B33" s="466">
        <v>85.634999999999991</v>
      </c>
      <c r="D33" s="461"/>
      <c r="E33" s="461"/>
    </row>
    <row r="34" spans="1:5" ht="13.5" customHeight="1" x14ac:dyDescent="0.25">
      <c r="A34" s="73" t="str">
        <f t="shared" si="0"/>
        <v>01/06/2021-30/06/2021</v>
      </c>
      <c r="B34" s="466">
        <v>82.816000000000003</v>
      </c>
      <c r="D34" s="461"/>
      <c r="E34" s="461"/>
    </row>
    <row r="35" spans="1:5" ht="13.5" customHeight="1" x14ac:dyDescent="0.25">
      <c r="A35" s="73" t="str">
        <f t="shared" si="0"/>
        <v>01/07/2021-31/07/2021</v>
      </c>
      <c r="B35" s="466">
        <v>85.586000000000013</v>
      </c>
    </row>
    <row r="36" spans="1:5" ht="13.5" customHeight="1" x14ac:dyDescent="0.25">
      <c r="A36" s="73" t="str">
        <f t="shared" si="0"/>
        <v>01/08/2021-31/08/2021</v>
      </c>
      <c r="B36" s="466">
        <v>85.440000000000012</v>
      </c>
    </row>
    <row r="37" spans="1:5" ht="13.5" customHeight="1" x14ac:dyDescent="0.25">
      <c r="A37" s="73" t="str">
        <f t="shared" si="0"/>
        <v>01/09/2021-30/09/2021</v>
      </c>
      <c r="B37" s="466">
        <v>82.707999999999998</v>
      </c>
    </row>
    <row r="38" spans="1:5" ht="13.5" customHeight="1" x14ac:dyDescent="0.25">
      <c r="A38" s="73" t="str">
        <f t="shared" si="0"/>
        <v>01/10/2021-31/10/2021</v>
      </c>
      <c r="B38" s="466">
        <v>85.660999999999987</v>
      </c>
    </row>
    <row r="39" spans="1:5" ht="13.5" customHeight="1" x14ac:dyDescent="0.25">
      <c r="A39" s="73" t="str">
        <f t="shared" si="0"/>
        <v>01/11/2021-30/11/2021</v>
      </c>
      <c r="B39" s="466">
        <v>82.673000000000002</v>
      </c>
    </row>
    <row r="40" spans="1:5" x14ac:dyDescent="0.25">
      <c r="A40" s="73" t="str">
        <f t="shared" si="0"/>
        <v>01/12/2021-31/12/2021</v>
      </c>
      <c r="B40" s="466">
        <v>85.55</v>
      </c>
    </row>
    <row r="41" spans="1:5" x14ac:dyDescent="0.25">
      <c r="A41" s="73" t="str">
        <f t="shared" si="0"/>
        <v>01/01/2022-31/01/2022</v>
      </c>
      <c r="B41" s="466">
        <v>85.535999999999987</v>
      </c>
    </row>
    <row r="42" spans="1:5" x14ac:dyDescent="0.25">
      <c r="A42" s="73" t="str">
        <f t="shared" si="0"/>
        <v>01/02/2022-28/02/2022</v>
      </c>
      <c r="B42" s="466">
        <v>77.157999999999987</v>
      </c>
    </row>
    <row r="43" spans="1:5" x14ac:dyDescent="0.25">
      <c r="A43" s="73" t="str">
        <f t="shared" si="0"/>
        <v>01/03/2022-31/03/2022</v>
      </c>
      <c r="B43" s="466">
        <v>85.548000000000016</v>
      </c>
    </row>
    <row r="44" spans="1:5" s="391" customFormat="1" x14ac:dyDescent="0.25">
      <c r="A44" s="73" t="s">
        <v>346</v>
      </c>
      <c r="B44" s="466">
        <v>83.012999999999991</v>
      </c>
    </row>
    <row r="45" spans="1:5" s="391" customFormat="1" x14ac:dyDescent="0.25">
      <c r="A45" s="73" t="s">
        <v>348</v>
      </c>
      <c r="B45" s="466">
        <v>85.572000000000003</v>
      </c>
    </row>
    <row r="46" spans="1:5" s="391" customFormat="1" x14ac:dyDescent="0.25">
      <c r="A46" s="73" t="s">
        <v>350</v>
      </c>
      <c r="B46" s="466">
        <v>82.686999999999998</v>
      </c>
    </row>
    <row r="47" spans="1:5" ht="13" thickBot="1" x14ac:dyDescent="0.3">
      <c r="A47" s="99" t="s">
        <v>72</v>
      </c>
      <c r="B47" s="465">
        <f>SUM(B28:B46)</f>
        <v>1523.0469999999996</v>
      </c>
    </row>
    <row r="51" spans="1:16" ht="13" thickBot="1" x14ac:dyDescent="0.3"/>
    <row r="52" spans="1:16" ht="73" x14ac:dyDescent="0.4">
      <c r="A52" s="109" t="str">
        <f t="shared" ref="A52:A68" si="1">A27</f>
        <v>Time interval</v>
      </c>
      <c r="B52" s="110" t="s">
        <v>214</v>
      </c>
      <c r="C52" s="110" t="s">
        <v>215</v>
      </c>
      <c r="D52" s="110" t="s">
        <v>104</v>
      </c>
      <c r="E52" s="111" t="s">
        <v>216</v>
      </c>
      <c r="F52" s="111" t="s">
        <v>100</v>
      </c>
      <c r="G52" s="111" t="s">
        <v>217</v>
      </c>
      <c r="H52" s="111" t="s">
        <v>101</v>
      </c>
      <c r="I52" s="111" t="s">
        <v>102</v>
      </c>
      <c r="J52" s="112" t="s">
        <v>218</v>
      </c>
      <c r="K52" s="111" t="s">
        <v>219</v>
      </c>
      <c r="L52" s="111" t="s">
        <v>220</v>
      </c>
      <c r="M52" s="110" t="s">
        <v>221</v>
      </c>
      <c r="N52" s="315" t="s">
        <v>321</v>
      </c>
    </row>
    <row r="53" spans="1:16" x14ac:dyDescent="0.25">
      <c r="A53" s="73" t="str">
        <f t="shared" si="1"/>
        <v>26/12/2020-31/12/2020</v>
      </c>
      <c r="B53" s="467">
        <v>242985.7138</v>
      </c>
      <c r="C53" s="114">
        <v>231190.28999999998</v>
      </c>
      <c r="D53" s="115">
        <v>0</v>
      </c>
      <c r="E53" s="116">
        <v>35.5</v>
      </c>
      <c r="F53" s="116">
        <f>E53+273.15</f>
        <v>308.64999999999998</v>
      </c>
      <c r="G53" s="67">
        <f>101.325*1000</f>
        <v>101325</v>
      </c>
      <c r="H53" s="67">
        <v>16.04</v>
      </c>
      <c r="I53" s="117">
        <v>8314</v>
      </c>
      <c r="J53" s="118">
        <f>ROUND(G53*H53/F53/I53,2)/1000</f>
        <v>6.3000000000000003E-4</v>
      </c>
      <c r="K53" s="455">
        <v>61.37</v>
      </c>
      <c r="L53" s="119">
        <f>B53</f>
        <v>242985.7138</v>
      </c>
      <c r="M53" s="116">
        <f>J53*K53*L53/100</f>
        <v>93.945809512207802</v>
      </c>
      <c r="N53" s="316">
        <f>L53*J53*K53/100*28</f>
        <v>2630.4826663418185</v>
      </c>
    </row>
    <row r="54" spans="1:16" x14ac:dyDescent="0.25">
      <c r="A54" s="73" t="str">
        <f t="shared" si="1"/>
        <v>01/01/2021-31/01/2021</v>
      </c>
      <c r="B54" s="467">
        <v>1255812.5032000002</v>
      </c>
      <c r="C54" s="114">
        <v>1194850.72</v>
      </c>
      <c r="D54" s="115">
        <v>0</v>
      </c>
      <c r="E54" s="116">
        <v>36</v>
      </c>
      <c r="F54" s="116">
        <f t="shared" ref="F54:F71" si="2">E54+273.15</f>
        <v>309.14999999999998</v>
      </c>
      <c r="G54" s="67">
        <f t="shared" ref="G54:G71" si="3">101.325*1000</f>
        <v>101325</v>
      </c>
      <c r="H54" s="67">
        <v>16.04</v>
      </c>
      <c r="I54" s="117">
        <v>8314</v>
      </c>
      <c r="J54" s="118">
        <f t="shared" ref="J54:J67" si="4">ROUND(G54*H54/F54/I54,2)/1000</f>
        <v>6.3000000000000003E-4</v>
      </c>
      <c r="K54" s="455">
        <v>60.53</v>
      </c>
      <c r="L54" s="413">
        <f t="shared" ref="L54:L71" si="5">B54</f>
        <v>1255812.5032000002</v>
      </c>
      <c r="M54" s="116">
        <f t="shared" ref="M54:M71" si="6">J54*K54*L54/100</f>
        <v>478.89028415778489</v>
      </c>
      <c r="N54" s="316">
        <f t="shared" ref="N54:N71" si="7">L54*J54*K54/100*28</f>
        <v>13408.927956417978</v>
      </c>
      <c r="P54" s="335"/>
    </row>
    <row r="55" spans="1:16" x14ac:dyDescent="0.25">
      <c r="A55" s="73" t="str">
        <f t="shared" si="1"/>
        <v>01/02/1021-28/02/2021</v>
      </c>
      <c r="B55" s="467">
        <v>1134259.175</v>
      </c>
      <c r="C55" s="114">
        <v>1079198.06</v>
      </c>
      <c r="D55" s="115">
        <v>0</v>
      </c>
      <c r="E55" s="116">
        <v>36.5</v>
      </c>
      <c r="F55" s="116">
        <f t="shared" si="2"/>
        <v>309.64999999999998</v>
      </c>
      <c r="G55" s="67">
        <f t="shared" si="3"/>
        <v>101325</v>
      </c>
      <c r="H55" s="67">
        <v>16.04</v>
      </c>
      <c r="I55" s="117">
        <v>8314</v>
      </c>
      <c r="J55" s="118">
        <f t="shared" si="4"/>
        <v>6.3000000000000003E-4</v>
      </c>
      <c r="K55" s="455">
        <v>61.02</v>
      </c>
      <c r="L55" s="413">
        <f t="shared" si="5"/>
        <v>1134259.175</v>
      </c>
      <c r="M55" s="116">
        <f t="shared" si="6"/>
        <v>436.03871760854997</v>
      </c>
      <c r="N55" s="316">
        <f t="shared" si="7"/>
        <v>12209.084093039402</v>
      </c>
      <c r="P55" s="335"/>
    </row>
    <row r="56" spans="1:16" x14ac:dyDescent="0.25">
      <c r="A56" s="73" t="str">
        <f t="shared" si="1"/>
        <v>01/03/2021-31/03/3021</v>
      </c>
      <c r="B56" s="467">
        <v>1255418.5178999999</v>
      </c>
      <c r="C56" s="114">
        <v>1194475.8700000001</v>
      </c>
      <c r="D56" s="115">
        <v>0</v>
      </c>
      <c r="E56" s="116">
        <v>35.6</v>
      </c>
      <c r="F56" s="116">
        <f t="shared" si="2"/>
        <v>308.75</v>
      </c>
      <c r="G56" s="67">
        <f t="shared" si="3"/>
        <v>101325</v>
      </c>
      <c r="H56" s="67">
        <v>16.04</v>
      </c>
      <c r="I56" s="117">
        <v>8314</v>
      </c>
      <c r="J56" s="118">
        <f t="shared" si="4"/>
        <v>6.3000000000000003E-4</v>
      </c>
      <c r="K56" s="455">
        <v>60.86</v>
      </c>
      <c r="L56" s="413">
        <f t="shared" si="5"/>
        <v>1255418.5178999999</v>
      </c>
      <c r="M56" s="116">
        <f>J56*K56*L56/100</f>
        <v>481.35005729618223</v>
      </c>
      <c r="N56" s="316">
        <f t="shared" si="7"/>
        <v>13477.801604293099</v>
      </c>
      <c r="P56" s="335"/>
    </row>
    <row r="57" spans="1:16" x14ac:dyDescent="0.25">
      <c r="A57" s="73" t="str">
        <f t="shared" si="1"/>
        <v>01/04/2021-30/04/2021</v>
      </c>
      <c r="B57" s="467">
        <v>1214168.9234000002</v>
      </c>
      <c r="C57" s="114">
        <v>1155228.68</v>
      </c>
      <c r="D57" s="115">
        <v>0</v>
      </c>
      <c r="E57" s="116">
        <v>37.700000000000003</v>
      </c>
      <c r="F57" s="116">
        <f t="shared" si="2"/>
        <v>310.84999999999997</v>
      </c>
      <c r="G57" s="67">
        <f t="shared" si="3"/>
        <v>101325</v>
      </c>
      <c r="H57" s="67">
        <v>16.04</v>
      </c>
      <c r="I57" s="117">
        <v>8314</v>
      </c>
      <c r="J57" s="118">
        <f t="shared" si="4"/>
        <v>6.3000000000000003E-4</v>
      </c>
      <c r="K57" s="455">
        <v>61.32</v>
      </c>
      <c r="L57" s="413">
        <f t="shared" si="5"/>
        <v>1214168.9234000002</v>
      </c>
      <c r="M57" s="116">
        <f t="shared" si="6"/>
        <v>469.05288181219453</v>
      </c>
      <c r="N57" s="316">
        <f t="shared" si="7"/>
        <v>13133.480690741446</v>
      </c>
      <c r="P57" s="335"/>
    </row>
    <row r="58" spans="1:16" x14ac:dyDescent="0.25">
      <c r="A58" s="73" t="str">
        <f t="shared" si="1"/>
        <v>01/05/2021-31/05/2021</v>
      </c>
      <c r="B58" s="467">
        <v>1256167.7193</v>
      </c>
      <c r="C58" s="114">
        <v>1195188.7</v>
      </c>
      <c r="D58" s="115">
        <v>0</v>
      </c>
      <c r="E58" s="116">
        <v>35.700000000000003</v>
      </c>
      <c r="F58" s="116">
        <f t="shared" si="2"/>
        <v>308.84999999999997</v>
      </c>
      <c r="G58" s="67">
        <f t="shared" si="3"/>
        <v>101325</v>
      </c>
      <c r="H58" s="67">
        <v>16.04</v>
      </c>
      <c r="I58" s="117">
        <v>8314</v>
      </c>
      <c r="J58" s="118">
        <f t="shared" si="4"/>
        <v>6.3000000000000003E-4</v>
      </c>
      <c r="K58" s="455">
        <v>62.92</v>
      </c>
      <c r="L58" s="413">
        <f t="shared" si="5"/>
        <v>1256167.7193</v>
      </c>
      <c r="M58" s="116">
        <f t="shared" si="6"/>
        <v>497.93985925964284</v>
      </c>
      <c r="N58" s="316">
        <f t="shared" si="7"/>
        <v>13942.316059270001</v>
      </c>
      <c r="P58" s="335"/>
    </row>
    <row r="59" spans="1:16" x14ac:dyDescent="0.25">
      <c r="A59" s="73" t="str">
        <f t="shared" si="1"/>
        <v>01/06/2021-30/06/2021</v>
      </c>
      <c r="B59" s="467">
        <v>1239123.3540000001</v>
      </c>
      <c r="C59" s="114">
        <v>1156515.1400000001</v>
      </c>
      <c r="D59" s="115">
        <v>0</v>
      </c>
      <c r="E59" s="116">
        <v>36.5</v>
      </c>
      <c r="F59" s="116">
        <f t="shared" si="2"/>
        <v>309.64999999999998</v>
      </c>
      <c r="G59" s="67">
        <f t="shared" si="3"/>
        <v>101325</v>
      </c>
      <c r="H59" s="67">
        <v>16.04</v>
      </c>
      <c r="I59" s="117">
        <v>8314</v>
      </c>
      <c r="J59" s="118">
        <f t="shared" si="4"/>
        <v>6.3000000000000003E-4</v>
      </c>
      <c r="K59" s="455">
        <v>62.72</v>
      </c>
      <c r="L59" s="413">
        <f t="shared" si="5"/>
        <v>1239123.3540000001</v>
      </c>
      <c r="M59" s="116">
        <f t="shared" si="6"/>
        <v>489.62224560614408</v>
      </c>
      <c r="N59" s="316">
        <f t="shared" si="7"/>
        <v>13709.422876972034</v>
      </c>
      <c r="P59" s="335"/>
    </row>
    <row r="60" spans="1:16" x14ac:dyDescent="0.25">
      <c r="A60" s="73" t="str">
        <f t="shared" si="1"/>
        <v>01/07/2021-31/07/2021</v>
      </c>
      <c r="B60" s="467">
        <v>1267809.8055999998</v>
      </c>
      <c r="C60" s="114">
        <v>1194666.92</v>
      </c>
      <c r="D60" s="115">
        <v>0</v>
      </c>
      <c r="E60" s="116">
        <v>37.700000000000003</v>
      </c>
      <c r="F60" s="116">
        <f t="shared" si="2"/>
        <v>310.84999999999997</v>
      </c>
      <c r="G60" s="67">
        <f t="shared" si="3"/>
        <v>101325</v>
      </c>
      <c r="H60" s="67">
        <v>16.04</v>
      </c>
      <c r="I60" s="117">
        <v>8314</v>
      </c>
      <c r="J60" s="118">
        <f t="shared" si="4"/>
        <v>6.3000000000000003E-4</v>
      </c>
      <c r="K60" s="455">
        <v>59.74</v>
      </c>
      <c r="L60" s="413">
        <f t="shared" si="5"/>
        <v>1267809.8055999998</v>
      </c>
      <c r="M60" s="116">
        <f t="shared" si="6"/>
        <v>477.15543405522715</v>
      </c>
      <c r="N60" s="316">
        <f t="shared" si="7"/>
        <v>13360.352153546361</v>
      </c>
      <c r="P60" s="335"/>
    </row>
    <row r="61" spans="1:16" x14ac:dyDescent="0.25">
      <c r="A61" s="73" t="str">
        <f t="shared" si="1"/>
        <v>01/08/2021-31/08/2021</v>
      </c>
      <c r="B61" s="467">
        <v>1254406.4296000001</v>
      </c>
      <c r="C61" s="114">
        <v>1193512.9100000001</v>
      </c>
      <c r="D61" s="115">
        <v>0</v>
      </c>
      <c r="E61" s="116">
        <v>35.9</v>
      </c>
      <c r="F61" s="116">
        <f t="shared" si="2"/>
        <v>309.04999999999995</v>
      </c>
      <c r="G61" s="67">
        <f t="shared" si="3"/>
        <v>101325</v>
      </c>
      <c r="H61" s="67">
        <v>16.04</v>
      </c>
      <c r="I61" s="117">
        <v>8314</v>
      </c>
      <c r="J61" s="118">
        <f t="shared" si="4"/>
        <v>6.3000000000000003E-4</v>
      </c>
      <c r="K61" s="455">
        <v>61.37</v>
      </c>
      <c r="L61" s="413">
        <f t="shared" si="5"/>
        <v>1254406.4296000001</v>
      </c>
      <c r="M61" s="116">
        <f t="shared" si="6"/>
        <v>484.99241228267761</v>
      </c>
      <c r="N61" s="316">
        <f t="shared" si="7"/>
        <v>13579.787543914974</v>
      </c>
      <c r="P61" s="335"/>
    </row>
    <row r="62" spans="1:16" x14ac:dyDescent="0.25">
      <c r="A62" s="73" t="str">
        <f t="shared" si="1"/>
        <v>01/09/2021-30/09/2021</v>
      </c>
      <c r="B62" s="467">
        <v>1214768.0641000001</v>
      </c>
      <c r="C62" s="114">
        <v>1155798.7400000002</v>
      </c>
      <c r="D62" s="115">
        <v>0</v>
      </c>
      <c r="E62" s="116">
        <v>37.799999999999997</v>
      </c>
      <c r="F62" s="116">
        <f t="shared" si="2"/>
        <v>310.95</v>
      </c>
      <c r="G62" s="67">
        <f t="shared" si="3"/>
        <v>101325</v>
      </c>
      <c r="H62" s="67">
        <v>16.04</v>
      </c>
      <c r="I62" s="117">
        <v>8314</v>
      </c>
      <c r="J62" s="118">
        <f t="shared" si="4"/>
        <v>6.3000000000000003E-4</v>
      </c>
      <c r="K62" s="455">
        <v>62.81</v>
      </c>
      <c r="L62" s="413">
        <f t="shared" si="5"/>
        <v>1214768.0641000001</v>
      </c>
      <c r="M62" s="116">
        <f t="shared" si="6"/>
        <v>480.68736726856235</v>
      </c>
      <c r="N62" s="316">
        <f t="shared" si="7"/>
        <v>13459.246283519746</v>
      </c>
      <c r="P62" s="335"/>
    </row>
    <row r="63" spans="1:16" x14ac:dyDescent="0.25">
      <c r="A63" s="73" t="str">
        <f t="shared" si="1"/>
        <v>01/10/2021-31/10/2021</v>
      </c>
      <c r="B63" s="467">
        <v>1254358.9054000003</v>
      </c>
      <c r="C63" s="114">
        <v>1193467.7</v>
      </c>
      <c r="D63" s="115">
        <v>0</v>
      </c>
      <c r="E63" s="116">
        <v>35.6</v>
      </c>
      <c r="F63" s="116">
        <f t="shared" si="2"/>
        <v>308.75</v>
      </c>
      <c r="G63" s="67">
        <f t="shared" si="3"/>
        <v>101325</v>
      </c>
      <c r="H63" s="67">
        <v>16.04</v>
      </c>
      <c r="I63" s="117">
        <v>8314</v>
      </c>
      <c r="J63" s="118">
        <f t="shared" si="4"/>
        <v>6.3000000000000003E-4</v>
      </c>
      <c r="K63" s="455">
        <v>62.68</v>
      </c>
      <c r="L63" s="413">
        <f t="shared" si="5"/>
        <v>1254358.9054000003</v>
      </c>
      <c r="M63" s="116">
        <f t="shared" si="6"/>
        <v>495.32626199997372</v>
      </c>
      <c r="N63" s="316">
        <f t="shared" si="7"/>
        <v>13869.135335999264</v>
      </c>
      <c r="P63" s="335"/>
    </row>
    <row r="64" spans="1:16" x14ac:dyDescent="0.25">
      <c r="A64" s="73" t="str">
        <f t="shared" si="1"/>
        <v>01/11/2021-30/11/2021</v>
      </c>
      <c r="B64" s="467">
        <v>1214633.9272</v>
      </c>
      <c r="C64" s="114">
        <v>1155671.1200000001</v>
      </c>
      <c r="D64" s="115">
        <v>0</v>
      </c>
      <c r="E64" s="116">
        <v>37.4</v>
      </c>
      <c r="F64" s="116">
        <f t="shared" si="2"/>
        <v>310.54999999999995</v>
      </c>
      <c r="G64" s="67">
        <f t="shared" si="3"/>
        <v>101325</v>
      </c>
      <c r="H64" s="67">
        <v>16.04</v>
      </c>
      <c r="I64" s="117">
        <v>8314</v>
      </c>
      <c r="J64" s="118">
        <f t="shared" si="4"/>
        <v>6.3000000000000003E-4</v>
      </c>
      <c r="K64" s="455">
        <v>60.67</v>
      </c>
      <c r="L64" s="413">
        <f t="shared" si="5"/>
        <v>1214633.9272</v>
      </c>
      <c r="M64" s="116">
        <f t="shared" si="6"/>
        <v>464.2585942883112</v>
      </c>
      <c r="N64" s="316">
        <f t="shared" si="7"/>
        <v>12999.240640072714</v>
      </c>
      <c r="P64" s="335"/>
    </row>
    <row r="65" spans="1:19" x14ac:dyDescent="0.25">
      <c r="A65" s="73" t="str">
        <f t="shared" si="1"/>
        <v>01/12/2021-31/12/2021</v>
      </c>
      <c r="B65" s="467">
        <v>1254780.8861000002</v>
      </c>
      <c r="C65" s="114">
        <v>1193869.19</v>
      </c>
      <c r="D65" s="115">
        <v>0</v>
      </c>
      <c r="E65" s="116">
        <v>35.6</v>
      </c>
      <c r="F65" s="116">
        <f t="shared" si="2"/>
        <v>308.75</v>
      </c>
      <c r="G65" s="67">
        <f t="shared" si="3"/>
        <v>101325</v>
      </c>
      <c r="H65" s="67">
        <v>16.04</v>
      </c>
      <c r="I65" s="117">
        <v>8314</v>
      </c>
      <c r="J65" s="118">
        <f t="shared" si="4"/>
        <v>6.3000000000000003E-4</v>
      </c>
      <c r="K65" s="455">
        <v>59.82</v>
      </c>
      <c r="L65" s="413">
        <f t="shared" si="5"/>
        <v>1254780.8861000002</v>
      </c>
      <c r="M65" s="116">
        <f t="shared" si="6"/>
        <v>472.88425342096269</v>
      </c>
      <c r="N65" s="316">
        <f t="shared" si="7"/>
        <v>13240.759095786956</v>
      </c>
      <c r="P65" s="335"/>
    </row>
    <row r="66" spans="1:19" x14ac:dyDescent="0.25">
      <c r="A66" s="73" t="str">
        <f t="shared" si="1"/>
        <v>01/01/2022-31/01/2022</v>
      </c>
      <c r="B66" s="467">
        <v>1254885.7401000001</v>
      </c>
      <c r="C66" s="114">
        <v>1193968.9499999997</v>
      </c>
      <c r="D66" s="115">
        <v>0</v>
      </c>
      <c r="E66" s="116">
        <v>37</v>
      </c>
      <c r="F66" s="116">
        <f t="shared" si="2"/>
        <v>310.14999999999998</v>
      </c>
      <c r="G66" s="67">
        <f t="shared" si="3"/>
        <v>101325</v>
      </c>
      <c r="H66" s="67">
        <v>16.04</v>
      </c>
      <c r="I66" s="117">
        <v>8314</v>
      </c>
      <c r="J66" s="118">
        <f t="shared" si="4"/>
        <v>6.3000000000000003E-4</v>
      </c>
      <c r="K66" s="455">
        <v>61.74</v>
      </c>
      <c r="L66" s="413">
        <f t="shared" si="5"/>
        <v>1254885.7401000001</v>
      </c>
      <c r="M66" s="116">
        <f t="shared" si="6"/>
        <v>488.10286724077633</v>
      </c>
      <c r="N66" s="316">
        <f t="shared" si="7"/>
        <v>13666.880282741735</v>
      </c>
      <c r="P66" s="335"/>
      <c r="Q66" s="104"/>
      <c r="R66" s="104"/>
    </row>
    <row r="67" spans="1:19" x14ac:dyDescent="0.25">
      <c r="A67" s="73" t="str">
        <f t="shared" si="1"/>
        <v>01/02/2022-28/02/2022</v>
      </c>
      <c r="B67" s="467">
        <v>1133391.6884000001</v>
      </c>
      <c r="C67" s="114">
        <v>1078372.6900000002</v>
      </c>
      <c r="D67" s="115">
        <v>0</v>
      </c>
      <c r="E67" s="116">
        <v>35.799999999999997</v>
      </c>
      <c r="F67" s="116">
        <f t="shared" si="2"/>
        <v>308.95</v>
      </c>
      <c r="G67" s="67">
        <f t="shared" si="3"/>
        <v>101325</v>
      </c>
      <c r="H67" s="67">
        <v>16.04</v>
      </c>
      <c r="I67" s="117">
        <v>8314</v>
      </c>
      <c r="J67" s="118">
        <f t="shared" si="4"/>
        <v>6.3000000000000003E-4</v>
      </c>
      <c r="K67" s="455">
        <v>63.42</v>
      </c>
      <c r="L67" s="413">
        <f t="shared" si="5"/>
        <v>1133391.6884000001</v>
      </c>
      <c r="M67" s="116">
        <f t="shared" si="6"/>
        <v>452.84211553346643</v>
      </c>
      <c r="N67" s="316">
        <f t="shared" si="7"/>
        <v>12679.579234937062</v>
      </c>
      <c r="P67" s="335"/>
      <c r="Q67" s="104"/>
      <c r="R67" s="104"/>
    </row>
    <row r="68" spans="1:19" x14ac:dyDescent="0.25">
      <c r="A68" s="73" t="str">
        <f t="shared" si="1"/>
        <v>01/03/2022-31/03/2022</v>
      </c>
      <c r="B68" s="467">
        <v>1255675.987</v>
      </c>
      <c r="C68" s="114">
        <v>1194720.8500000001</v>
      </c>
      <c r="D68" s="115">
        <v>0</v>
      </c>
      <c r="E68" s="116">
        <v>35.5</v>
      </c>
      <c r="F68" s="116">
        <f t="shared" si="2"/>
        <v>308.64999999999998</v>
      </c>
      <c r="G68" s="67">
        <f t="shared" si="3"/>
        <v>101325</v>
      </c>
      <c r="H68" s="67">
        <v>16.04</v>
      </c>
      <c r="I68" s="117">
        <v>8314</v>
      </c>
      <c r="J68" s="118">
        <f t="shared" ref="J68:J71" si="8">ROUND(G68*H68/F68/I68,2)/1000</f>
        <v>6.3000000000000003E-4</v>
      </c>
      <c r="K68" s="455">
        <v>62.93</v>
      </c>
      <c r="L68" s="413">
        <f t="shared" si="5"/>
        <v>1255675.987</v>
      </c>
      <c r="M68" s="116">
        <f t="shared" si="6"/>
        <v>497.82404613003303</v>
      </c>
      <c r="N68" s="316">
        <f t="shared" si="7"/>
        <v>13939.073291640923</v>
      </c>
      <c r="P68" s="335"/>
      <c r="Q68" s="104"/>
      <c r="R68" s="104"/>
    </row>
    <row r="69" spans="1:19" s="391" customFormat="1" x14ac:dyDescent="0.25">
      <c r="A69" s="431" t="s">
        <v>346</v>
      </c>
      <c r="B69" s="467">
        <v>1215918.0178999999</v>
      </c>
      <c r="C69" s="393">
        <v>1156892.8699999999</v>
      </c>
      <c r="D69" s="115">
        <v>0</v>
      </c>
      <c r="E69" s="394">
        <v>37.6</v>
      </c>
      <c r="F69" s="410">
        <f t="shared" si="2"/>
        <v>310.75</v>
      </c>
      <c r="G69" s="408">
        <f t="shared" si="3"/>
        <v>101325</v>
      </c>
      <c r="H69" s="408">
        <v>16.04</v>
      </c>
      <c r="I69" s="411">
        <v>8314</v>
      </c>
      <c r="J69" s="412">
        <f t="shared" si="8"/>
        <v>6.3000000000000003E-4</v>
      </c>
      <c r="K69" s="455">
        <v>63.34</v>
      </c>
      <c r="L69" s="413">
        <f t="shared" si="5"/>
        <v>1215918.0178999999</v>
      </c>
      <c r="M69" s="410">
        <f t="shared" si="6"/>
        <v>485.20235769885176</v>
      </c>
      <c r="N69" s="429">
        <f t="shared" si="7"/>
        <v>13585.666015567849</v>
      </c>
      <c r="Q69" s="104"/>
      <c r="R69" s="104"/>
    </row>
    <row r="70" spans="1:19" s="397" customFormat="1" x14ac:dyDescent="0.25">
      <c r="A70" s="431" t="s">
        <v>348</v>
      </c>
      <c r="B70" s="467">
        <v>1257866.1516</v>
      </c>
      <c r="C70" s="393">
        <v>1194485.3099999998</v>
      </c>
      <c r="D70" s="115">
        <v>0</v>
      </c>
      <c r="E70" s="399">
        <v>36.1</v>
      </c>
      <c r="F70" s="410">
        <f t="shared" si="2"/>
        <v>309.25</v>
      </c>
      <c r="G70" s="408">
        <f t="shared" si="3"/>
        <v>101325</v>
      </c>
      <c r="H70" s="408">
        <v>16.04</v>
      </c>
      <c r="I70" s="411">
        <v>8314</v>
      </c>
      <c r="J70" s="412">
        <f t="shared" si="8"/>
        <v>6.3000000000000003E-4</v>
      </c>
      <c r="K70" s="455">
        <v>60.23</v>
      </c>
      <c r="L70" s="413">
        <f t="shared" si="5"/>
        <v>1257866.1516</v>
      </c>
      <c r="M70" s="410">
        <f t="shared" si="6"/>
        <v>477.29605335846833</v>
      </c>
      <c r="N70" s="429">
        <f t="shared" si="7"/>
        <v>13364.289494037117</v>
      </c>
      <c r="Q70" s="398"/>
      <c r="R70" s="398"/>
    </row>
    <row r="71" spans="1:19" s="391" customFormat="1" x14ac:dyDescent="0.25">
      <c r="A71" s="431" t="s">
        <v>350</v>
      </c>
      <c r="B71" s="467">
        <v>1230492.3396499997</v>
      </c>
      <c r="C71" s="393">
        <v>1156167.32</v>
      </c>
      <c r="D71" s="115">
        <v>0</v>
      </c>
      <c r="E71" s="394">
        <v>35.9</v>
      </c>
      <c r="F71" s="410">
        <f t="shared" si="2"/>
        <v>309.04999999999995</v>
      </c>
      <c r="G71" s="408">
        <f t="shared" si="3"/>
        <v>101325</v>
      </c>
      <c r="H71" s="408">
        <v>16.04</v>
      </c>
      <c r="I71" s="411">
        <v>8314</v>
      </c>
      <c r="J71" s="412">
        <f t="shared" si="8"/>
        <v>6.3000000000000003E-4</v>
      </c>
      <c r="K71" s="455">
        <v>62.96</v>
      </c>
      <c r="L71" s="413">
        <f t="shared" si="5"/>
        <v>1230492.3396499997</v>
      </c>
      <c r="M71" s="410">
        <f t="shared" si="6"/>
        <v>488.0723255374931</v>
      </c>
      <c r="N71" s="429">
        <f t="shared" si="7"/>
        <v>13666.025115049808</v>
      </c>
      <c r="Q71" s="104"/>
      <c r="R71" s="104"/>
    </row>
    <row r="72" spans="1:19" ht="13" thickBot="1" x14ac:dyDescent="0.3">
      <c r="A72" s="99" t="s">
        <v>72</v>
      </c>
      <c r="B72" s="120">
        <f>SUM(B53:B71)</f>
        <v>22406923.849250004</v>
      </c>
      <c r="C72" s="120">
        <f>SUM(C53:C71)</f>
        <v>21268242.030000001</v>
      </c>
      <c r="D72" s="120">
        <f>SUM(D53:D71)</f>
        <v>0</v>
      </c>
      <c r="E72" s="121"/>
      <c r="F72" s="121"/>
      <c r="G72" s="122"/>
      <c r="H72" s="122"/>
      <c r="I72" s="122"/>
      <c r="J72" s="123"/>
      <c r="K72" s="121"/>
      <c r="L72" s="120">
        <f>SUM(L53:L71)</f>
        <v>22406923.849250004</v>
      </c>
      <c r="M72" s="120">
        <f>SUM(M53:M71)</f>
        <v>8711.4839440675096</v>
      </c>
      <c r="N72" s="317">
        <f>INT(SUM(N53:N71))</f>
        <v>243921</v>
      </c>
      <c r="Q72" s="124"/>
      <c r="R72" s="124"/>
    </row>
    <row r="73" spans="1:19" x14ac:dyDescent="0.25">
      <c r="A73" s="104"/>
      <c r="B73" s="104"/>
      <c r="C73" s="104"/>
      <c r="D73" s="125"/>
      <c r="E73" s="104"/>
      <c r="F73" s="97"/>
      <c r="K73" s="97"/>
      <c r="M73" s="126"/>
      <c r="N73" s="126"/>
      <c r="O73" s="126"/>
      <c r="P73" s="127"/>
      <c r="Q73" s="128"/>
      <c r="R73" s="129"/>
    </row>
    <row r="74" spans="1:19" x14ac:dyDescent="0.25">
      <c r="B74" s="130"/>
      <c r="C74" s="130"/>
      <c r="E74" s="104"/>
      <c r="L74" s="131"/>
      <c r="M74" s="132"/>
      <c r="N74" s="126"/>
      <c r="O74" s="358"/>
      <c r="P74" s="133"/>
      <c r="Q74" s="108"/>
      <c r="R74" s="108"/>
      <c r="S74" s="130"/>
    </row>
    <row r="75" spans="1:19" x14ac:dyDescent="0.25">
      <c r="A75" s="104"/>
      <c r="I75" s="126"/>
      <c r="J75" s="133"/>
      <c r="K75" s="126"/>
      <c r="L75" s="134"/>
      <c r="M75" s="126"/>
      <c r="N75" s="135"/>
    </row>
    <row r="76" spans="1:19" x14ac:dyDescent="0.25">
      <c r="A76" s="104"/>
      <c r="I76" s="126"/>
      <c r="J76" s="133"/>
      <c r="K76" s="126"/>
      <c r="L76" s="133"/>
      <c r="M76" s="127"/>
      <c r="N76" s="135"/>
    </row>
    <row r="77" spans="1:19" x14ac:dyDescent="0.25">
      <c r="A77" s="104"/>
      <c r="I77" s="126"/>
      <c r="J77" s="133"/>
      <c r="K77" s="126"/>
      <c r="L77" s="137"/>
      <c r="M77" s="127"/>
      <c r="N77" s="126"/>
    </row>
    <row r="78" spans="1:19" x14ac:dyDescent="0.25">
      <c r="A78" s="104"/>
      <c r="L78" s="138"/>
    </row>
    <row r="79" spans="1:19" x14ac:dyDescent="0.25">
      <c r="A79" s="104"/>
      <c r="L79" s="139"/>
    </row>
    <row r="80" spans="1:19" x14ac:dyDescent="0.25">
      <c r="A80" s="104"/>
    </row>
    <row r="81" spans="1:8" x14ac:dyDescent="0.25">
      <c r="A81" s="104"/>
    </row>
    <row r="82" spans="1:8" x14ac:dyDescent="0.25">
      <c r="A82" s="104"/>
    </row>
    <row r="83" spans="1:8" x14ac:dyDescent="0.25">
      <c r="A83" s="104"/>
    </row>
    <row r="84" spans="1:8" x14ac:dyDescent="0.25">
      <c r="A84" s="104"/>
    </row>
    <row r="85" spans="1:8" x14ac:dyDescent="0.25">
      <c r="A85" s="104"/>
    </row>
    <row r="86" spans="1:8" x14ac:dyDescent="0.25">
      <c r="A86" s="104"/>
    </row>
    <row r="87" spans="1:8" x14ac:dyDescent="0.25">
      <c r="A87" s="104"/>
    </row>
    <row r="89" spans="1:8" x14ac:dyDescent="0.25">
      <c r="H89" s="140"/>
    </row>
    <row r="101" spans="14:15" x14ac:dyDescent="0.25">
      <c r="N101" s="141"/>
      <c r="O101" s="141"/>
    </row>
  </sheetData>
  <mergeCells count="5">
    <mergeCell ref="A1:E1"/>
    <mergeCell ref="A2:A3"/>
    <mergeCell ref="B2:C2"/>
    <mergeCell ref="D2:E2"/>
    <mergeCell ref="A26:B26"/>
  </mergeCells>
  <phoneticPr fontId="11" type="noConversion"/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B73A2-5D64-4EB5-9408-BDABC9AF8E7C}">
  <dimension ref="A1:CP67"/>
  <sheetViews>
    <sheetView zoomScale="70" zoomScaleNormal="70" workbookViewId="0">
      <pane xSplit="1" ySplit="3" topLeftCell="B4" activePane="bottomRight" state="frozenSplit"/>
      <selection activeCell="D11" sqref="D11"/>
      <selection pane="topRight" activeCell="D11" sqref="D11"/>
      <selection pane="bottomLeft" activeCell="D11" sqref="D11"/>
      <selection pane="bottomRight" activeCell="H31" sqref="H31"/>
    </sheetView>
  </sheetViews>
  <sheetFormatPr defaultColWidth="8.54296875" defaultRowHeight="12.5" x14ac:dyDescent="0.25"/>
  <cols>
    <col min="1" max="1" width="29.1796875" style="154" bestFit="1" customWidth="1"/>
    <col min="2" max="2" width="18.1796875" style="154" customWidth="1"/>
    <col min="3" max="3" width="17" style="154" customWidth="1"/>
    <col min="4" max="4" width="11.54296875" style="154" customWidth="1"/>
    <col min="5" max="5" width="13.36328125" style="154" bestFit="1" customWidth="1"/>
    <col min="6" max="6" width="10.36328125" style="154" bestFit="1" customWidth="1"/>
    <col min="7" max="7" width="17.08984375" style="154" customWidth="1"/>
    <col min="8" max="8" width="9.81640625" style="154" customWidth="1"/>
    <col min="9" max="9" width="11" style="154" bestFit="1" customWidth="1"/>
    <col min="10" max="10" width="9.81640625" style="154" customWidth="1"/>
    <col min="11" max="11" width="18.453125" style="154" customWidth="1"/>
    <col min="12" max="12" width="9" style="154" customWidth="1"/>
    <col min="13" max="13" width="12.1796875" style="154" bestFit="1" customWidth="1"/>
    <col min="14" max="14" width="6.1796875" style="154" bestFit="1" customWidth="1"/>
    <col min="15" max="15" width="10" style="154" bestFit="1" customWidth="1"/>
    <col min="16" max="16" width="12.453125" style="154" customWidth="1"/>
    <col min="17" max="17" width="12.1796875" style="154" customWidth="1"/>
    <col min="18" max="18" width="11.453125" style="154" customWidth="1"/>
    <col min="19" max="19" width="10.453125" style="154" customWidth="1"/>
    <col min="20" max="20" width="14.6328125" style="154" customWidth="1"/>
    <col min="21" max="21" width="11.453125" style="154" customWidth="1"/>
    <col min="22" max="22" width="9.453125" style="154" customWidth="1"/>
    <col min="23" max="23" width="5.453125" style="154" customWidth="1"/>
    <col min="24" max="24" width="10.36328125" style="154" bestFit="1" customWidth="1"/>
    <col min="25" max="25" width="10" style="154" bestFit="1" customWidth="1"/>
    <col min="26" max="26" width="12.1796875" style="154" bestFit="1" customWidth="1"/>
    <col min="27" max="27" width="8.1796875" style="154" customWidth="1"/>
    <col min="28" max="28" width="11.1796875" style="154" customWidth="1"/>
    <col min="29" max="29" width="15" style="154" customWidth="1"/>
    <col min="30" max="30" width="11.453125" style="154" customWidth="1"/>
    <col min="31" max="31" width="14.453125" style="154" customWidth="1"/>
    <col min="32" max="32" width="4.54296875" style="154" customWidth="1"/>
    <col min="33" max="33" width="10.1796875" style="154" bestFit="1" customWidth="1"/>
    <col min="34" max="34" width="15.90625" style="154" bestFit="1" customWidth="1"/>
    <col min="35" max="35" width="9.54296875" style="154" customWidth="1"/>
    <col min="36" max="36" width="10.54296875" style="154" customWidth="1"/>
    <col min="37" max="37" width="9.1796875" style="154" bestFit="1" customWidth="1"/>
    <col min="38" max="38" width="15" style="154" customWidth="1"/>
    <col min="39" max="39" width="12.08984375" style="154" customWidth="1"/>
    <col min="40" max="40" width="9.81640625" style="154" customWidth="1"/>
    <col min="41" max="41" width="4.54296875" style="154" customWidth="1"/>
    <col min="42" max="42" width="7.1796875" style="154" customWidth="1"/>
    <col min="43" max="43" width="9.81640625" style="154" customWidth="1"/>
    <col min="44" max="44" width="11.453125" style="154" customWidth="1"/>
    <col min="45" max="45" width="9.453125" style="154" customWidth="1"/>
    <col min="46" max="46" width="10.1796875" style="154" customWidth="1"/>
    <col min="47" max="47" width="13.453125" style="154" customWidth="1"/>
    <col min="48" max="48" width="9.453125" style="154" customWidth="1"/>
    <col min="49" max="49" width="10.1796875" style="154" customWidth="1"/>
    <col min="50" max="50" width="4.54296875" style="154" customWidth="1"/>
    <col min="51" max="51" width="7.81640625" style="154" customWidth="1"/>
    <col min="52" max="52" width="9.1796875" style="154" customWidth="1"/>
    <col min="53" max="53" width="10.54296875" style="154" customWidth="1"/>
    <col min="54" max="54" width="9.81640625" style="154" customWidth="1"/>
    <col min="55" max="55" width="10.1796875" style="154" customWidth="1"/>
    <col min="56" max="56" width="19.26953125" style="154" customWidth="1"/>
    <col min="57" max="57" width="11.453125" style="154" customWidth="1"/>
    <col min="58" max="58" width="11.08984375" style="154" customWidth="1"/>
    <col min="59" max="59" width="4.81640625" style="154" customWidth="1"/>
    <col min="60" max="61" width="9.453125" style="154" customWidth="1"/>
    <col min="62" max="62" width="10.453125" style="154" customWidth="1"/>
    <col min="63" max="63" width="9.1796875" style="154" customWidth="1"/>
    <col min="64" max="64" width="11.453125" style="154" customWidth="1"/>
    <col min="65" max="65" width="19" style="154" customWidth="1"/>
    <col min="66" max="66" width="11.453125" style="154" customWidth="1"/>
    <col min="67" max="67" width="10.1796875" style="154" customWidth="1"/>
    <col min="68" max="68" width="4.81640625" style="154" customWidth="1"/>
    <col min="69" max="70" width="9.453125" style="154" customWidth="1"/>
    <col min="71" max="71" width="10.453125" style="154" customWidth="1"/>
    <col min="72" max="72" width="9.1796875" style="154" customWidth="1"/>
    <col min="73" max="73" width="11.453125" style="154" customWidth="1"/>
    <col min="74" max="74" width="19" style="154" customWidth="1"/>
    <col min="75" max="75" width="11.453125" style="154" customWidth="1"/>
    <col min="76" max="76" width="10.26953125" style="154" customWidth="1"/>
    <col min="77" max="77" width="4.81640625" style="154" customWidth="1"/>
    <col min="78" max="79" width="9.453125" style="154" customWidth="1"/>
    <col min="80" max="80" width="10.453125" style="154" customWidth="1"/>
    <col min="81" max="81" width="9.1796875" style="154" customWidth="1"/>
    <col min="82" max="82" width="11.453125" style="154" customWidth="1"/>
    <col min="83" max="83" width="19" style="154" customWidth="1"/>
    <col min="84" max="84" width="11.453125" style="154" customWidth="1"/>
    <col min="85" max="85" width="8.453125" style="154" customWidth="1"/>
    <col min="86" max="86" width="4.81640625" style="154" customWidth="1"/>
    <col min="87" max="88" width="9.453125" style="154" customWidth="1"/>
    <col min="89" max="89" width="10.453125" style="154" customWidth="1"/>
    <col min="90" max="90" width="9.1796875" style="154" customWidth="1"/>
    <col min="91" max="91" width="11.453125" style="154" customWidth="1"/>
    <col min="92" max="92" width="19" style="154" customWidth="1"/>
    <col min="93" max="93" width="11.1796875" style="154" customWidth="1"/>
    <col min="94" max="94" width="13.453125" style="154" customWidth="1"/>
    <col min="95" max="16384" width="8.54296875" style="154"/>
  </cols>
  <sheetData>
    <row r="1" spans="1:94" ht="13" x14ac:dyDescent="0.25">
      <c r="A1" s="639" t="s">
        <v>80</v>
      </c>
      <c r="B1" s="639"/>
      <c r="C1" s="639"/>
      <c r="D1" s="639"/>
      <c r="E1" s="639"/>
      <c r="F1" s="639"/>
      <c r="G1" s="157"/>
      <c r="H1" s="157"/>
      <c r="I1" s="157"/>
      <c r="J1" s="157"/>
      <c r="K1" s="157"/>
      <c r="L1" s="157"/>
      <c r="M1" s="157"/>
      <c r="N1" s="158"/>
      <c r="O1" s="158"/>
      <c r="P1" s="158"/>
      <c r="Q1" s="158"/>
      <c r="R1" s="158"/>
      <c r="S1" s="158"/>
      <c r="T1" s="158"/>
    </row>
    <row r="2" spans="1:94" ht="31.5" customHeight="1" x14ac:dyDescent="0.25">
      <c r="A2" s="654" t="s">
        <v>140</v>
      </c>
      <c r="B2" s="159" t="s">
        <v>81</v>
      </c>
      <c r="C2" s="651" t="s">
        <v>401</v>
      </c>
      <c r="D2" s="652"/>
      <c r="E2" s="652"/>
      <c r="F2" s="652"/>
      <c r="G2" s="652"/>
      <c r="H2" s="652"/>
      <c r="I2" s="652"/>
      <c r="J2" s="652"/>
      <c r="K2" s="653"/>
      <c r="L2" s="648" t="s">
        <v>389</v>
      </c>
      <c r="M2" s="649"/>
      <c r="N2" s="649"/>
      <c r="O2" s="649"/>
      <c r="P2" s="649"/>
      <c r="Q2" s="649"/>
      <c r="R2" s="649"/>
      <c r="S2" s="649"/>
      <c r="T2" s="650"/>
      <c r="U2" s="651" t="s">
        <v>390</v>
      </c>
      <c r="V2" s="652"/>
      <c r="W2" s="652"/>
      <c r="X2" s="652"/>
      <c r="Y2" s="652"/>
      <c r="Z2" s="652"/>
      <c r="AA2" s="652"/>
      <c r="AB2" s="652"/>
      <c r="AC2" s="653"/>
      <c r="AD2" s="648" t="s">
        <v>391</v>
      </c>
      <c r="AE2" s="649"/>
      <c r="AF2" s="649"/>
      <c r="AG2" s="649"/>
      <c r="AH2" s="649"/>
      <c r="AI2" s="649"/>
      <c r="AJ2" s="649"/>
      <c r="AK2" s="649"/>
      <c r="AL2" s="650"/>
      <c r="AM2" s="651" t="s">
        <v>393</v>
      </c>
      <c r="AN2" s="652"/>
      <c r="AO2" s="652"/>
      <c r="AP2" s="652"/>
      <c r="AQ2" s="652"/>
      <c r="AR2" s="652"/>
      <c r="AS2" s="652"/>
      <c r="AT2" s="652"/>
      <c r="AU2" s="653"/>
      <c r="AV2" s="648" t="s">
        <v>392</v>
      </c>
      <c r="AW2" s="649"/>
      <c r="AX2" s="649"/>
      <c r="AY2" s="649"/>
      <c r="AZ2" s="649"/>
      <c r="BA2" s="649"/>
      <c r="BB2" s="649"/>
      <c r="BC2" s="649"/>
      <c r="BD2" s="650"/>
      <c r="BE2" s="651" t="s">
        <v>394</v>
      </c>
      <c r="BF2" s="652"/>
      <c r="BG2" s="652"/>
      <c r="BH2" s="652"/>
      <c r="BI2" s="652"/>
      <c r="BJ2" s="652"/>
      <c r="BK2" s="652"/>
      <c r="BL2" s="652"/>
      <c r="BM2" s="653"/>
      <c r="BN2" s="648" t="s">
        <v>395</v>
      </c>
      <c r="BO2" s="649"/>
      <c r="BP2" s="649"/>
      <c r="BQ2" s="649"/>
      <c r="BR2" s="649"/>
      <c r="BS2" s="649"/>
      <c r="BT2" s="649"/>
      <c r="BU2" s="649"/>
      <c r="BV2" s="650"/>
      <c r="BW2" s="651" t="s">
        <v>396</v>
      </c>
      <c r="BX2" s="652"/>
      <c r="BY2" s="652"/>
      <c r="BZ2" s="652"/>
      <c r="CA2" s="652"/>
      <c r="CB2" s="652"/>
      <c r="CC2" s="652"/>
      <c r="CD2" s="652"/>
      <c r="CE2" s="653"/>
      <c r="CF2" s="648" t="s">
        <v>397</v>
      </c>
      <c r="CG2" s="649"/>
      <c r="CH2" s="649"/>
      <c r="CI2" s="649"/>
      <c r="CJ2" s="649"/>
      <c r="CK2" s="649"/>
      <c r="CL2" s="649"/>
      <c r="CM2" s="649"/>
      <c r="CN2" s="650"/>
      <c r="CO2" s="644" t="s">
        <v>226</v>
      </c>
      <c r="CP2" s="646" t="s">
        <v>227</v>
      </c>
    </row>
    <row r="3" spans="1:94" ht="30.75" customHeight="1" x14ac:dyDescent="0.25">
      <c r="A3" s="655"/>
      <c r="B3" s="160" t="s">
        <v>82</v>
      </c>
      <c r="C3" s="161" t="s">
        <v>228</v>
      </c>
      <c r="D3" s="162" t="s">
        <v>229</v>
      </c>
      <c r="E3" s="162" t="s">
        <v>230</v>
      </c>
      <c r="F3" s="162" t="s">
        <v>231</v>
      </c>
      <c r="G3" s="162" t="s">
        <v>232</v>
      </c>
      <c r="H3" s="162" t="s">
        <v>233</v>
      </c>
      <c r="I3" s="162" t="s">
        <v>234</v>
      </c>
      <c r="J3" s="162" t="s">
        <v>235</v>
      </c>
      <c r="K3" s="162"/>
      <c r="L3" s="163" t="s">
        <v>228</v>
      </c>
      <c r="M3" s="164" t="s">
        <v>229</v>
      </c>
      <c r="N3" s="164" t="s">
        <v>230</v>
      </c>
      <c r="O3" s="164" t="s">
        <v>231</v>
      </c>
      <c r="P3" s="164" t="s">
        <v>232</v>
      </c>
      <c r="Q3" s="164" t="s">
        <v>233</v>
      </c>
      <c r="R3" s="164" t="s">
        <v>234</v>
      </c>
      <c r="S3" s="164" t="s">
        <v>235</v>
      </c>
      <c r="T3" s="164"/>
      <c r="U3" s="161" t="s">
        <v>228</v>
      </c>
      <c r="V3" s="162" t="s">
        <v>229</v>
      </c>
      <c r="W3" s="162" t="s">
        <v>230</v>
      </c>
      <c r="X3" s="162" t="s">
        <v>231</v>
      </c>
      <c r="Y3" s="162" t="s">
        <v>232</v>
      </c>
      <c r="Z3" s="162" t="s">
        <v>233</v>
      </c>
      <c r="AA3" s="162" t="s">
        <v>234</v>
      </c>
      <c r="AB3" s="162" t="s">
        <v>235</v>
      </c>
      <c r="AC3" s="162"/>
      <c r="AD3" s="163" t="s">
        <v>228</v>
      </c>
      <c r="AE3" s="164" t="s">
        <v>229</v>
      </c>
      <c r="AF3" s="164" t="s">
        <v>230</v>
      </c>
      <c r="AG3" s="164" t="s">
        <v>231</v>
      </c>
      <c r="AH3" s="164" t="s">
        <v>232</v>
      </c>
      <c r="AI3" s="164" t="s">
        <v>233</v>
      </c>
      <c r="AJ3" s="164" t="s">
        <v>234</v>
      </c>
      <c r="AK3" s="164" t="s">
        <v>235</v>
      </c>
      <c r="AL3" s="164"/>
      <c r="AM3" s="161" t="s">
        <v>228</v>
      </c>
      <c r="AN3" s="162" t="s">
        <v>229</v>
      </c>
      <c r="AO3" s="162" t="s">
        <v>230</v>
      </c>
      <c r="AP3" s="162" t="s">
        <v>231</v>
      </c>
      <c r="AQ3" s="162" t="s">
        <v>232</v>
      </c>
      <c r="AR3" s="162" t="s">
        <v>233</v>
      </c>
      <c r="AS3" s="162" t="s">
        <v>234</v>
      </c>
      <c r="AT3" s="162" t="s">
        <v>235</v>
      </c>
      <c r="AU3" s="162"/>
      <c r="AV3" s="163" t="s">
        <v>228</v>
      </c>
      <c r="AW3" s="164" t="s">
        <v>229</v>
      </c>
      <c r="AX3" s="164" t="s">
        <v>230</v>
      </c>
      <c r="AY3" s="164" t="s">
        <v>231</v>
      </c>
      <c r="AZ3" s="164" t="s">
        <v>232</v>
      </c>
      <c r="BA3" s="164" t="s">
        <v>233</v>
      </c>
      <c r="BB3" s="164" t="s">
        <v>234</v>
      </c>
      <c r="BC3" s="164" t="s">
        <v>235</v>
      </c>
      <c r="BD3" s="164"/>
      <c r="BE3" s="161" t="s">
        <v>228</v>
      </c>
      <c r="BF3" s="162" t="s">
        <v>229</v>
      </c>
      <c r="BG3" s="162" t="s">
        <v>230</v>
      </c>
      <c r="BH3" s="162" t="s">
        <v>231</v>
      </c>
      <c r="BI3" s="162" t="s">
        <v>232</v>
      </c>
      <c r="BJ3" s="162" t="s">
        <v>233</v>
      </c>
      <c r="BK3" s="162" t="s">
        <v>234</v>
      </c>
      <c r="BL3" s="162" t="s">
        <v>235</v>
      </c>
      <c r="BM3" s="162"/>
      <c r="BN3" s="163" t="s">
        <v>228</v>
      </c>
      <c r="BO3" s="164" t="s">
        <v>229</v>
      </c>
      <c r="BP3" s="164" t="s">
        <v>230</v>
      </c>
      <c r="BQ3" s="164" t="s">
        <v>231</v>
      </c>
      <c r="BR3" s="164" t="s">
        <v>232</v>
      </c>
      <c r="BS3" s="164" t="s">
        <v>233</v>
      </c>
      <c r="BT3" s="164" t="s">
        <v>234</v>
      </c>
      <c r="BU3" s="164" t="s">
        <v>235</v>
      </c>
      <c r="BV3" s="164"/>
      <c r="BW3" s="161" t="s">
        <v>228</v>
      </c>
      <c r="BX3" s="162" t="s">
        <v>229</v>
      </c>
      <c r="BY3" s="162" t="s">
        <v>230</v>
      </c>
      <c r="BZ3" s="162" t="s">
        <v>231</v>
      </c>
      <c r="CA3" s="162" t="s">
        <v>232</v>
      </c>
      <c r="CB3" s="162" t="s">
        <v>233</v>
      </c>
      <c r="CC3" s="162" t="s">
        <v>234</v>
      </c>
      <c r="CD3" s="162" t="s">
        <v>235</v>
      </c>
      <c r="CE3" s="162"/>
      <c r="CF3" s="163" t="s">
        <v>228</v>
      </c>
      <c r="CG3" s="164" t="s">
        <v>229</v>
      </c>
      <c r="CH3" s="164" t="s">
        <v>230</v>
      </c>
      <c r="CI3" s="164" t="s">
        <v>231</v>
      </c>
      <c r="CJ3" s="164" t="s">
        <v>232</v>
      </c>
      <c r="CK3" s="164" t="s">
        <v>233</v>
      </c>
      <c r="CL3" s="164" t="s">
        <v>234</v>
      </c>
      <c r="CM3" s="164" t="s">
        <v>235</v>
      </c>
      <c r="CN3" s="164"/>
      <c r="CO3" s="645"/>
      <c r="CP3" s="647"/>
    </row>
    <row r="4" spans="1:94" x14ac:dyDescent="0.25">
      <c r="A4" s="165" t="str">
        <f>'monitoring results'!A4</f>
        <v>26/12/2020-31/12/2020</v>
      </c>
      <c r="B4" s="166">
        <f>F4+O4+X4+AG4+AP4+AY4+BH4+BQ4+BZ4+CI4</f>
        <v>188026</v>
      </c>
      <c r="C4" s="167">
        <f>AVERAGE('2020.12'!$B$6:$G$11)</f>
        <v>64.405882352941177</v>
      </c>
      <c r="D4" s="167">
        <f>_xlfn.STDEV.S('2020.12'!$B$6:$G$11)</f>
        <v>37.488439394502585</v>
      </c>
      <c r="E4" s="162">
        <f>COUNT('2020.12'!$B$6:$G$11)</f>
        <v>17</v>
      </c>
      <c r="F4" s="162">
        <f>'2020.12'!$D$143+'2020.12'!$E$143</f>
        <v>5570</v>
      </c>
      <c r="G4" s="168">
        <f t="shared" ref="G4:G22" si="0">F4/B4</f>
        <v>2.96235626987757E-2</v>
      </c>
      <c r="H4" s="168">
        <f t="shared" ref="H4:H22" si="1">F4*C4/B4</f>
        <v>1.9079316940523243</v>
      </c>
      <c r="I4" s="168">
        <f t="shared" ref="I4:I22" si="2">1-(E4/F4)</f>
        <v>0.99694793536804305</v>
      </c>
      <c r="J4" s="168">
        <f t="shared" ref="J4:J22" si="3">D4*D4/E4</f>
        <v>82.669593425605498</v>
      </c>
      <c r="K4" s="155">
        <f t="shared" ref="K4:K22" si="4">G4*G4*I4*J4</f>
        <v>7.2325735060843291E-2</v>
      </c>
      <c r="L4" s="169">
        <f>AVERAGE('2020.12'!$B$15:$G$20)</f>
        <v>61.652631578947371</v>
      </c>
      <c r="M4" s="169">
        <f>_xlfn.STDEV.S('2020.12'!$B$15:$G$20)</f>
        <v>33.863293277219</v>
      </c>
      <c r="N4" s="170">
        <f>COUNT('2020.12'!$B$15:$G$20)</f>
        <v>19</v>
      </c>
      <c r="O4" s="170">
        <f>'2020.12'!$D$144+'2020.12'!$E$144</f>
        <v>6993</v>
      </c>
      <c r="P4" s="171">
        <f t="shared" ref="P4:P18" si="5">O4/B4</f>
        <v>3.7191664982502419E-2</v>
      </c>
      <c r="Q4" s="172">
        <f t="shared" ref="Q4:Q18" si="6">O4*L4/B4</f>
        <v>2.2929640189738598</v>
      </c>
      <c r="R4" s="172">
        <f t="shared" ref="R4:R18" si="7">1-N4/O4</f>
        <v>0.9972829972829973</v>
      </c>
      <c r="S4" s="172">
        <f t="shared" ref="S4:S18" si="8">M4*M4/N4</f>
        <v>60.353822714681343</v>
      </c>
      <c r="T4" s="172">
        <f t="shared" ref="T4:T18" si="9">P4*P4*R4*S4</f>
        <v>8.3255788804203409E-2</v>
      </c>
      <c r="U4" s="421">
        <f>AVERAGE('2020.12'!$B$24:$G$38)</f>
        <v>63.958904109589028</v>
      </c>
      <c r="V4" s="421">
        <f>_xlfn.STDEV.S('2020.12'!$B$24:$G$38)</f>
        <v>27.654499511413864</v>
      </c>
      <c r="W4" s="447">
        <f>COUNT('2020.12'!$B$24:$G$38)</f>
        <v>73</v>
      </c>
      <c r="X4" s="447">
        <f>'2020.12'!$D$145+'2020.12'!$E$145</f>
        <v>30775</v>
      </c>
      <c r="Y4" s="168">
        <f t="shared" ref="Y4:Y18" si="10">X4/$B$4</f>
        <v>0.16367417272079393</v>
      </c>
      <c r="Z4" s="168">
        <f t="shared" ref="Z4:Z18" si="11">X4*U4/B4</f>
        <v>10.468420718265572</v>
      </c>
      <c r="AA4" s="168">
        <f t="shared" ref="AA4:AA18" si="12">1-W4/X4</f>
        <v>0.99762794476035743</v>
      </c>
      <c r="AB4" s="168">
        <f t="shared" ref="AB4:AB18" si="13">V4*V4/W4</f>
        <v>10.476319770229995</v>
      </c>
      <c r="AC4" s="155">
        <f t="shared" ref="AC4:AC18" si="14">Y4*Y4*AA4*AB4</f>
        <v>0.27998686688306673</v>
      </c>
      <c r="AD4" s="423">
        <f>AVERAGE('2020.12'!$B$42:$G$56)</f>
        <v>66.043421052631587</v>
      </c>
      <c r="AE4" s="423">
        <f>_xlfn.STDEV.S('2020.12'!$B$42:$G$56)</f>
        <v>27.009037181537646</v>
      </c>
      <c r="AF4" s="424">
        <f>COUNT('2020.12'!$B$42:$G$56)</f>
        <v>76</v>
      </c>
      <c r="AG4" s="424">
        <f>'2020.12'!$D$146+'2020.12'!$E$146</f>
        <v>31765</v>
      </c>
      <c r="AH4" s="164">
        <f t="shared" ref="AH4:AH18" si="15">AG4/B4</f>
        <v>0.16893940199759608</v>
      </c>
      <c r="AI4" s="172">
        <f t="shared" ref="AI4:AI18" si="16">AG4*AD4/B4</f>
        <v>11.157336058507028</v>
      </c>
      <c r="AJ4" s="172">
        <f t="shared" ref="AJ4:AJ18" si="17">1-AF4/AG4</f>
        <v>0.99760742956083737</v>
      </c>
      <c r="AK4" s="172">
        <f t="shared" ref="AK4:AK18" si="18">AE4*AE4/AF4</f>
        <v>9.5985274930747781</v>
      </c>
      <c r="AL4" s="156">
        <f t="shared" ref="AL4:AL18" si="19">AH4*AH4*AJ4*AK4</f>
        <v>0.27329154329049093</v>
      </c>
      <c r="AM4" s="421">
        <f>AVERAGE('2020.12'!$B$60:$G$68)</f>
        <v>61.156097560975603</v>
      </c>
      <c r="AN4" s="448">
        <f>_xlfn.STDEV.S('2020.12'!$B$60:$G$68)</f>
        <v>27.11036747058666</v>
      </c>
      <c r="AO4" s="447">
        <f>COUNT('2020.12'!$B$60:$G$68)</f>
        <v>41</v>
      </c>
      <c r="AP4" s="447">
        <f>'2020.12'!$D$147+'2020.12'!$E$147</f>
        <v>16525</v>
      </c>
      <c r="AQ4" s="162">
        <f t="shared" ref="AQ4:AQ18" si="20">AP4/B4</f>
        <v>8.7886781615308524E-2</v>
      </c>
      <c r="AR4" s="168">
        <f t="shared" ref="AR4:AR18" si="21">AP4*AM4/$B$4</f>
        <v>5.3748125907859645</v>
      </c>
      <c r="AS4" s="168">
        <f t="shared" ref="AS4:AS18" si="22">1-AO4/AP4</f>
        <v>0.99751891074130106</v>
      </c>
      <c r="AT4" s="168">
        <f t="shared" ref="AT4:AT18" si="23">AN4*AN4/AO4</f>
        <v>17.926146936347397</v>
      </c>
      <c r="AU4" s="155">
        <f t="shared" ref="AU4:AU18" si="24">AQ4*AQ4*AS4*AT4</f>
        <v>0.13811956811665674</v>
      </c>
      <c r="AV4" s="423">
        <f>AVERAGE('2020.12'!$B$72:$G$90)</f>
        <v>65.174193548387095</v>
      </c>
      <c r="AW4" s="423">
        <f>_xlfn.STDEV.S('2020.12'!$B$72:$G$90)</f>
        <v>27.067813001815708</v>
      </c>
      <c r="AX4" s="424">
        <f>COUNT('2020.12'!$B$72:$G$90)</f>
        <v>93</v>
      </c>
      <c r="AY4" s="424">
        <f>'2020.12'!$D$148+'2020.12'!$E$148</f>
        <v>39783</v>
      </c>
      <c r="AZ4" s="164">
        <f t="shared" ref="AZ4:AZ18" si="25">AY4/B4</f>
        <v>0.21158244072628254</v>
      </c>
      <c r="BA4" s="172">
        <f>AY4*AV4/B4</f>
        <v>13.789714943334879</v>
      </c>
      <c r="BB4" s="172">
        <f t="shared" ref="BB4:BB18" si="26">1-AX4/AY4</f>
        <v>0.99766231807555994</v>
      </c>
      <c r="BC4" s="172">
        <f t="shared" ref="BC4:BC18" si="27">AW4*AW4/AX4</f>
        <v>7.8781344161426174</v>
      </c>
      <c r="BD4" s="156">
        <f t="shared" ref="BD4:BD18" si="28">AZ4*AZ4*BB4*BC4</f>
        <v>0.35185700437154838</v>
      </c>
      <c r="BE4" s="421">
        <f>AVERAGE('2020.12'!$B$94:$G$108)</f>
        <v>63.26666666666668</v>
      </c>
      <c r="BF4" s="448">
        <f>_xlfn.STDEV.S('2020.12'!$B$94:$G$108)</f>
        <v>26.685233559795662</v>
      </c>
      <c r="BG4" s="447">
        <f>COUNT('2020.12'!$B$94:$G$108)</f>
        <v>72</v>
      </c>
      <c r="BH4" s="447">
        <f>'2020.12'!$D$149+'2020.12'!$E$149</f>
        <v>30377</v>
      </c>
      <c r="BI4" s="162">
        <f>BH4/B4</f>
        <v>0.16155744418325124</v>
      </c>
      <c r="BJ4" s="168">
        <f>BH4*BE4/B4</f>
        <v>10.221200968660364</v>
      </c>
      <c r="BK4" s="168">
        <f t="shared" ref="BK4:BK18" si="29">1-BG4/BH4</f>
        <v>0.99762978569312311</v>
      </c>
      <c r="BL4" s="168">
        <f t="shared" ref="BL4:BL18" si="30">BF4*BF4/BG4</f>
        <v>9.8903012519561759</v>
      </c>
      <c r="BM4" s="155">
        <f t="shared" ref="BM4:BM18" si="31">BI4*BI4*BK4*BL4</f>
        <v>0.25753299315390621</v>
      </c>
      <c r="BN4" s="423">
        <f>AVERAGE('2020.12'!$B$112:$G$116)</f>
        <v>59.193750000000001</v>
      </c>
      <c r="BO4" s="449">
        <f>_xlfn.STDEV.S('2020.12'!$B$112:$G$116)</f>
        <v>34.343062739559691</v>
      </c>
      <c r="BP4" s="424">
        <f>COUNT('2020.12'!$B$112:$G$116)</f>
        <v>16</v>
      </c>
      <c r="BQ4" s="424">
        <f>'2020.12'!$D$150+'2020.12'!$E$150</f>
        <v>5002</v>
      </c>
      <c r="BR4" s="164">
        <f>BQ4/B4</f>
        <v>2.6602703881378108E-2</v>
      </c>
      <c r="BS4" s="172">
        <f>BQ4*BN4/B4</f>
        <v>1.5747138028783254</v>
      </c>
      <c r="BT4" s="172">
        <f t="shared" ref="BT4:BT18" si="32">1-BP4/BQ4</f>
        <v>0.99680127948820474</v>
      </c>
      <c r="BU4" s="172">
        <f t="shared" ref="BU4:BU18" si="33">BO4*BO4/BP4</f>
        <v>73.715372395833327</v>
      </c>
      <c r="BV4" s="156">
        <f t="shared" ref="BV4:BV18" si="34">BR4*BR4*BT4*BU4</f>
        <v>5.2001780188018751E-2</v>
      </c>
      <c r="BW4" s="421">
        <f>AVERAGE('2020.12'!$B$120:$G$128)</f>
        <v>64.739473684210523</v>
      </c>
      <c r="BX4" s="448">
        <f>_xlfn.STDEV.S('2020.12'!$B$120:$G$128)</f>
        <v>28.535360136046712</v>
      </c>
      <c r="BY4" s="447">
        <f>COUNT('2020.12'!$B$120:$G$128)</f>
        <v>38</v>
      </c>
      <c r="BZ4" s="447">
        <f>'2020.12'!$D$151+'2020.12'!$E$151</f>
        <v>15240</v>
      </c>
      <c r="CA4" s="162">
        <f>BZ4/B4</f>
        <v>8.1052620382287555E-2</v>
      </c>
      <c r="CB4" s="168">
        <f>BZ4*BW4/B4</f>
        <v>5.247303984275411</v>
      </c>
      <c r="CC4" s="168">
        <f t="shared" ref="CC4:CC22" si="35">1-BY4/BZ4</f>
        <v>0.99750656167979002</v>
      </c>
      <c r="CD4" s="168">
        <f t="shared" ref="CD4:CD22" si="36">BX4*BX4/BY4</f>
        <v>21.428073107733788</v>
      </c>
      <c r="CE4" s="155">
        <f t="shared" ref="CE4:CE22" si="37">CA4*CA4*CC4*CD4</f>
        <v>0.14042130356892679</v>
      </c>
      <c r="CF4" s="423">
        <f>AVERAGE('2020.12'!$B$132:$G$136)</f>
        <v>60.488235294117644</v>
      </c>
      <c r="CG4" s="449">
        <f>_xlfn.STDEV.S('2020.12'!$B$132:$G$136)</f>
        <v>35.932556309580555</v>
      </c>
      <c r="CH4" s="424">
        <f>COUNT('2020.12'!$B$132:$G$136)</f>
        <v>17</v>
      </c>
      <c r="CI4" s="424">
        <f>'2020.12'!$D$152+'2020.12'!$E$152</f>
        <v>5996</v>
      </c>
      <c r="CJ4" s="164">
        <f>CI4/B4</f>
        <v>3.1889206811823896E-2</v>
      </c>
      <c r="CK4" s="172">
        <f>CI4*CF4/B4</f>
        <v>1.9289218449763827</v>
      </c>
      <c r="CL4" s="172">
        <f t="shared" ref="CL4:CL22" si="38">1-CH4/CI4</f>
        <v>0.99716477651767843</v>
      </c>
      <c r="CM4" s="172">
        <f t="shared" ref="CM4:CM22" si="39">CG4*CG4/CH4</f>
        <v>75.94991782006926</v>
      </c>
      <c r="CN4" s="156">
        <f t="shared" ref="CN4:CN22" si="40">CJ4*CJ4*CL4*CM4</f>
        <v>7.7016126412626423E-2</v>
      </c>
      <c r="CO4" s="173">
        <f>H4+Q4+Z4+AI4+AR4+BA4+BJ4+BS4+CB4+CK4</f>
        <v>63.963320624710107</v>
      </c>
      <c r="CP4" s="174">
        <f>SQRT(K4+T4+AC4+AL4+AU4+BD4+BM4+BV4+CE4+CN4)</f>
        <v>1.3137003881594491</v>
      </c>
    </row>
    <row r="5" spans="1:94" x14ac:dyDescent="0.25">
      <c r="A5" s="165" t="str">
        <f>'monitoring results'!A5</f>
        <v>01/01/2021-31/01/2021</v>
      </c>
      <c r="B5" s="420">
        <f t="shared" ref="B5:B22" si="41">F5+O5+X5+AG5+AP5+AY5+BH5+BQ5+BZ5+CI5</f>
        <v>187982</v>
      </c>
      <c r="C5" s="421">
        <f>AVERAGE('2021.01'!$B$6:$G$11)</f>
        <v>66.029411764705884</v>
      </c>
      <c r="D5" s="421">
        <f>_xlfn.STDEV.S('2021.01'!$B$6:$G$11)</f>
        <v>37.414314852504688</v>
      </c>
      <c r="E5" s="417">
        <f>E4</f>
        <v>17</v>
      </c>
      <c r="F5" s="417">
        <f>'2021.01'!$D$143+'2021.01'!$E$143</f>
        <v>5583</v>
      </c>
      <c r="G5" s="168">
        <f t="shared" si="0"/>
        <v>2.9699652094349459E-2</v>
      </c>
      <c r="H5" s="168">
        <f t="shared" si="1"/>
        <v>1.96105055740631</v>
      </c>
      <c r="I5" s="168">
        <f t="shared" si="2"/>
        <v>0.9969550420920652</v>
      </c>
      <c r="J5" s="168">
        <f t="shared" si="3"/>
        <v>82.342997404844297</v>
      </c>
      <c r="K5" s="155">
        <f t="shared" si="4"/>
        <v>7.2411070831705393E-2</v>
      </c>
      <c r="L5" s="423">
        <f>AVERAGE('2021.01'!$B$15:$G$20)</f>
        <v>63.852631578947374</v>
      </c>
      <c r="M5" s="423">
        <f>_xlfn.STDEV.S('2021.01'!$B$15:$G$20)</f>
        <v>35.561658010669809</v>
      </c>
      <c r="N5" s="424">
        <f>N4</f>
        <v>19</v>
      </c>
      <c r="O5" s="424">
        <f>'2021.01'!$D$144+'2021.01'!$E$144</f>
        <v>6989</v>
      </c>
      <c r="P5" s="171">
        <f t="shared" si="5"/>
        <v>3.717909161515464E-2</v>
      </c>
      <c r="Q5" s="172">
        <f t="shared" si="6"/>
        <v>2.3739828393424007</v>
      </c>
      <c r="R5" s="172">
        <f t="shared" si="7"/>
        <v>0.99728144226641868</v>
      </c>
      <c r="S5" s="172">
        <f t="shared" si="8"/>
        <v>66.559553708833491</v>
      </c>
      <c r="T5" s="172">
        <f t="shared" si="9"/>
        <v>9.1754144035469068E-2</v>
      </c>
      <c r="U5" s="421">
        <f>AVERAGE('2021.01'!$B$24:$G$38)</f>
        <v>65.323287671232876</v>
      </c>
      <c r="V5" s="421">
        <f>_xlfn.STDEV.S('2021.01'!$B$24:$G$38)</f>
        <v>27.305125284804571</v>
      </c>
      <c r="W5" s="162">
        <f>W4</f>
        <v>73</v>
      </c>
      <c r="X5" s="447">
        <f>'2021.01'!$D$145+'2021.01'!$E$145</f>
        <v>30752</v>
      </c>
      <c r="Y5" s="168">
        <f t="shared" si="10"/>
        <v>0.16355184921234298</v>
      </c>
      <c r="Z5" s="168">
        <f t="shared" si="11"/>
        <v>10.68624518552709</v>
      </c>
      <c r="AA5" s="168">
        <f t="shared" si="12"/>
        <v>0.99762617065556713</v>
      </c>
      <c r="AB5" s="168">
        <f t="shared" si="13"/>
        <v>10.213285846833889</v>
      </c>
      <c r="AC5" s="155">
        <f t="shared" si="14"/>
        <v>0.27254877738580985</v>
      </c>
      <c r="AD5" s="423">
        <f>AVERAGE('2021.01'!$B$42:$G$56)</f>
        <v>63.044736842105273</v>
      </c>
      <c r="AE5" s="423">
        <f>_xlfn.STDEV.S('2021.01'!$B$42:$G$56)</f>
        <v>28.985754637922113</v>
      </c>
      <c r="AF5" s="164">
        <f>AF4</f>
        <v>76</v>
      </c>
      <c r="AG5" s="424">
        <f>'2021.01'!$D$146+'2021.01'!$E$146</f>
        <v>31699</v>
      </c>
      <c r="AH5" s="164">
        <f t="shared" si="15"/>
        <v>0.16862784734708641</v>
      </c>
      <c r="AI5" s="172">
        <f t="shared" si="16"/>
        <v>10.631098260247764</v>
      </c>
      <c r="AJ5" s="172">
        <f t="shared" si="17"/>
        <v>0.99760244802675169</v>
      </c>
      <c r="AK5" s="172">
        <f t="shared" si="18"/>
        <v>11.054920683287149</v>
      </c>
      <c r="AL5" s="156">
        <f t="shared" si="19"/>
        <v>0.31359687703242944</v>
      </c>
      <c r="AM5" s="421">
        <f>AVERAGE('2021.01'!$B$60:$G$68)</f>
        <v>66.441463414634143</v>
      </c>
      <c r="AN5" s="448">
        <f>_xlfn.STDEV.S('2021.01'!$B$60:$G$68)</f>
        <v>28.955102966573584</v>
      </c>
      <c r="AO5" s="162">
        <f>AO4</f>
        <v>41</v>
      </c>
      <c r="AP5" s="447">
        <f>'2021.01'!$D$147+'2021.01'!$E$147</f>
        <v>16527</v>
      </c>
      <c r="AQ5" s="162">
        <f t="shared" si="20"/>
        <v>8.7917992148184396E-2</v>
      </c>
      <c r="AR5" s="168">
        <f t="shared" si="21"/>
        <v>5.8400331116635913</v>
      </c>
      <c r="AS5" s="168">
        <f t="shared" si="22"/>
        <v>0.99751921098808016</v>
      </c>
      <c r="AT5" s="168">
        <f t="shared" si="23"/>
        <v>20.44873140987508</v>
      </c>
      <c r="AU5" s="155">
        <f t="shared" si="24"/>
        <v>0.15766785577662251</v>
      </c>
      <c r="AV5" s="423">
        <f>AVERAGE('2021.01'!$B$72:$G$90)</f>
        <v>64.104301075268836</v>
      </c>
      <c r="AW5" s="423">
        <f>_xlfn.STDEV.S('2021.01'!$B$72:$G$90)</f>
        <v>27.820620730339741</v>
      </c>
      <c r="AX5" s="418">
        <f>AX4</f>
        <v>93</v>
      </c>
      <c r="AY5" s="424">
        <f>'2021.01'!$D$148+'2021.01'!$E$148</f>
        <v>39794</v>
      </c>
      <c r="AZ5" s="164">
        <f t="shared" si="25"/>
        <v>0.21169048100350032</v>
      </c>
      <c r="BA5" s="172">
        <f t="shared" ref="BA5:BA18" si="42">AY5*AV5/B5</f>
        <v>13.570270329016862</v>
      </c>
      <c r="BB5" s="172">
        <f t="shared" si="26"/>
        <v>0.99766296426596979</v>
      </c>
      <c r="BC5" s="172">
        <f t="shared" si="27"/>
        <v>8.3224401916280577</v>
      </c>
      <c r="BD5" s="156">
        <f t="shared" si="28"/>
        <v>0.37208074210682396</v>
      </c>
      <c r="BE5" s="421">
        <f>AVERAGE('2021.01'!$B$94:$G$108)</f>
        <v>65.86944444444444</v>
      </c>
      <c r="BF5" s="448">
        <f>_xlfn.STDEV.S('2021.01'!$B$94:$G$108)</f>
        <v>27.279227194089088</v>
      </c>
      <c r="BG5" s="417">
        <f>BG4</f>
        <v>72</v>
      </c>
      <c r="BH5" s="447">
        <f>'2021.01'!$D$149+'2021.01'!$E$149</f>
        <v>30418</v>
      </c>
      <c r="BI5" s="162">
        <f t="shared" ref="BI5:BI18" si="43">BH5/B5</f>
        <v>0.16181336510942537</v>
      </c>
      <c r="BJ5" s="168">
        <f t="shared" ref="BJ5:BJ18" si="44">BH5*BE5/B5</f>
        <v>10.658556463443899</v>
      </c>
      <c r="BK5" s="168">
        <f t="shared" si="29"/>
        <v>0.99763298047208893</v>
      </c>
      <c r="BL5" s="168">
        <f t="shared" si="30"/>
        <v>10.335503282037912</v>
      </c>
      <c r="BM5" s="155">
        <f t="shared" si="31"/>
        <v>0.26997975972633237</v>
      </c>
      <c r="BN5" s="423">
        <f>AVERAGE('2021.01'!$B$112:$G$116)</f>
        <v>59.362499999999997</v>
      </c>
      <c r="BO5" s="449">
        <f>_xlfn.STDEV.S('2021.01'!$B$112:$G$116)</f>
        <v>38.96315995056527</v>
      </c>
      <c r="BP5" s="418">
        <f>BP4</f>
        <v>16</v>
      </c>
      <c r="BQ5" s="424">
        <f>'2021.01'!$D$150+'2021.01'!$E$150</f>
        <v>5005</v>
      </c>
      <c r="BR5" s="164">
        <f t="shared" ref="BR5:BR18" si="45">BQ5/B5</f>
        <v>2.6624889617090999E-2</v>
      </c>
      <c r="BS5" s="172">
        <f t="shared" ref="BS5:BS18" si="46">BQ5*BN5/B5</f>
        <v>1.5805200098945644</v>
      </c>
      <c r="BT5" s="172">
        <f t="shared" si="32"/>
        <v>0.99680319680319684</v>
      </c>
      <c r="BU5" s="172">
        <f t="shared" si="33"/>
        <v>94.882989583333341</v>
      </c>
      <c r="BV5" s="156">
        <f t="shared" si="34"/>
        <v>6.7046083564453365E-2</v>
      </c>
      <c r="BW5" s="421">
        <f>AVERAGE('2021.01'!$B$120:$G$128)</f>
        <v>66.757894736842118</v>
      </c>
      <c r="BX5" s="448">
        <f>_xlfn.STDEV.S('2021.01'!$B$120:$G$128)</f>
        <v>30.725265873799128</v>
      </c>
      <c r="BY5" s="417">
        <f>BY4</f>
        <v>38</v>
      </c>
      <c r="BZ5" s="447">
        <f>'2021.01'!$D$151+'2021.01'!$E$151</f>
        <v>15215</v>
      </c>
      <c r="CA5" s="162">
        <f t="shared" ref="CA5:CA22" si="47">BZ5/B5</f>
        <v>8.0938600504303598E-2</v>
      </c>
      <c r="CB5" s="168">
        <f t="shared" ref="CB5:CB22" si="48">BZ5*BW5/B5</f>
        <v>5.4032905726136162</v>
      </c>
      <c r="CC5" s="168">
        <f t="shared" si="35"/>
        <v>0.99750246467302006</v>
      </c>
      <c r="CD5" s="168">
        <f t="shared" si="36"/>
        <v>24.843209553043295</v>
      </c>
      <c r="CE5" s="155">
        <f t="shared" si="37"/>
        <v>0.16234281104267323</v>
      </c>
      <c r="CF5" s="423">
        <f>AVERAGE('2021.01'!$B$132:$G$136)</f>
        <v>58.258823529411771</v>
      </c>
      <c r="CG5" s="449">
        <f>_xlfn.STDEV.S('2021.01'!$B$132:$G$136)</f>
        <v>35.692787416079064</v>
      </c>
      <c r="CH5" s="418">
        <f>CH4</f>
        <v>17</v>
      </c>
      <c r="CI5" s="424">
        <f>'2021.01'!$D$152+'2021.01'!$E$152</f>
        <v>6000</v>
      </c>
      <c r="CJ5" s="164">
        <f t="shared" ref="CJ5:CJ22" si="49">CI5/B5</f>
        <v>3.1917949590918281E-2</v>
      </c>
      <c r="CK5" s="172">
        <f t="shared" ref="CK5:CK22" si="50">CI5*CF5/B5</f>
        <v>1.8595021926379685</v>
      </c>
      <c r="CL5" s="172">
        <f t="shared" si="38"/>
        <v>0.99716666666666665</v>
      </c>
      <c r="CM5" s="172">
        <f t="shared" si="39"/>
        <v>74.939710207612464</v>
      </c>
      <c r="CN5" s="156">
        <f t="shared" si="40"/>
        <v>7.6128930878544721E-2</v>
      </c>
      <c r="CO5" s="427">
        <f t="shared" ref="CO5:CO22" si="51">H5+Q5+Z5+AI5+AR5+BA5+BJ5+BS5+CB5+CK5</f>
        <v>64.564549521794063</v>
      </c>
      <c r="CP5" s="428">
        <f t="shared" ref="CP5:CP22" si="52">SQRT(K5+T5+AC5+AL5+AU5+BD5+BM5+BV5+CE5+CN5)</f>
        <v>1.3621883321996497</v>
      </c>
    </row>
    <row r="6" spans="1:94" x14ac:dyDescent="0.25">
      <c r="A6" s="165" t="str">
        <f>'monitoring results'!A6</f>
        <v>01/02/1021-28/02/2021</v>
      </c>
      <c r="B6" s="420">
        <f t="shared" si="41"/>
        <v>187841</v>
      </c>
      <c r="C6" s="421">
        <f>AVERAGE('2021.02'!$B$6:$G$11)</f>
        <v>62.105882352941187</v>
      </c>
      <c r="D6" s="421">
        <f>_xlfn.STDEV.S('2021.02'!$B$6:$G$11)</f>
        <v>37.344702947476939</v>
      </c>
      <c r="E6" s="417">
        <f>E5</f>
        <v>17</v>
      </c>
      <c r="F6" s="417">
        <f>'2021.02'!$D$143+'2021.02'!$E$143</f>
        <v>5581</v>
      </c>
      <c r="G6" s="168">
        <f t="shared" si="0"/>
        <v>2.9711298385336534E-2</v>
      </c>
      <c r="H6" s="168">
        <f t="shared" si="1"/>
        <v>1.8452464020728423</v>
      </c>
      <c r="I6" s="168">
        <f t="shared" si="2"/>
        <v>0.99695395090485572</v>
      </c>
      <c r="J6" s="168">
        <f t="shared" si="3"/>
        <v>82.036872837370169</v>
      </c>
      <c r="K6" s="155">
        <f t="shared" si="4"/>
        <v>7.2198380809134988E-2</v>
      </c>
      <c r="L6" s="423">
        <f>AVERAGE('2021.02'!$B$15:$G$20)</f>
        <v>60.457894736842093</v>
      </c>
      <c r="M6" s="423">
        <f>_xlfn.STDEV.S('2021.02'!$B$15:$G$20)</f>
        <v>35.736680747898156</v>
      </c>
      <c r="N6" s="424">
        <f t="shared" ref="N6:N17" si="53">N5</f>
        <v>19</v>
      </c>
      <c r="O6" s="424">
        <f>'2021.02'!$D$144+'2021.02'!$E$144</f>
        <v>6981</v>
      </c>
      <c r="P6" s="171">
        <f t="shared" si="5"/>
        <v>3.7164410325754231E-2</v>
      </c>
      <c r="Q6" s="172">
        <f t="shared" si="6"/>
        <v>2.2468820074312563</v>
      </c>
      <c r="R6" s="172">
        <f t="shared" si="7"/>
        <v>0.99727832688726548</v>
      </c>
      <c r="S6" s="172">
        <f t="shared" si="8"/>
        <v>67.216334256694452</v>
      </c>
      <c r="T6" s="172">
        <f t="shared" si="9"/>
        <v>9.2586080153637215E-2</v>
      </c>
      <c r="U6" s="421">
        <f>AVERAGE('2021.02'!$B$24:$G$38)</f>
        <v>64.093150684931516</v>
      </c>
      <c r="V6" s="421">
        <f>_xlfn.STDEV.S('2021.02'!$B$24:$G$38)</f>
        <v>27.869608740063079</v>
      </c>
      <c r="W6" s="162">
        <f t="shared" ref="W6:W22" si="54">W5</f>
        <v>73</v>
      </c>
      <c r="X6" s="447">
        <f>'2021.02'!$D$145+'2021.02'!$E$145</f>
        <v>30759</v>
      </c>
      <c r="Y6" s="168">
        <f t="shared" si="10"/>
        <v>0.16358907810621937</v>
      </c>
      <c r="Z6" s="168">
        <f t="shared" si="11"/>
        <v>10.49526579350519</v>
      </c>
      <c r="AA6" s="168">
        <f t="shared" si="12"/>
        <v>0.99762671088136801</v>
      </c>
      <c r="AB6" s="168">
        <f t="shared" si="13"/>
        <v>10.639932757865758</v>
      </c>
      <c r="AC6" s="155">
        <f t="shared" si="14"/>
        <v>0.28406358380090574</v>
      </c>
      <c r="AD6" s="423">
        <f>AVERAGE('2021.02'!$B$42:$G$56)</f>
        <v>65.13026315789476</v>
      </c>
      <c r="AE6" s="423">
        <f>_xlfn.STDEV.S('2021.02'!$B$42:$G$56)</f>
        <v>27.495813110298965</v>
      </c>
      <c r="AF6" s="164">
        <f t="shared" ref="AF6:AF22" si="55">AF5</f>
        <v>76</v>
      </c>
      <c r="AG6" s="424">
        <f>'2021.02'!$D$146+'2021.02'!$E$146</f>
        <v>31693</v>
      </c>
      <c r="AH6" s="164">
        <f t="shared" si="15"/>
        <v>0.16872248337689855</v>
      </c>
      <c r="AI6" s="172">
        <f t="shared" si="16"/>
        <v>10.988939742990926</v>
      </c>
      <c r="AJ6" s="172">
        <f t="shared" si="17"/>
        <v>0.99760199413119621</v>
      </c>
      <c r="AK6" s="172">
        <f t="shared" si="18"/>
        <v>9.9476281394274793</v>
      </c>
      <c r="AL6" s="156">
        <f t="shared" si="19"/>
        <v>0.28250280792879046</v>
      </c>
      <c r="AM6" s="421">
        <f>AVERAGE('2021.02'!$B$60:$G$68)</f>
        <v>64.563414634146355</v>
      </c>
      <c r="AN6" s="448">
        <f>_xlfn.STDEV.S('2021.02'!$B$60:$G$68)</f>
        <v>24.504293053438193</v>
      </c>
      <c r="AO6" s="162">
        <f t="shared" ref="AO6:AO22" si="56">AO5</f>
        <v>41</v>
      </c>
      <c r="AP6" s="447">
        <f>'2021.02'!$D$147+'2021.02'!$E$147</f>
        <v>16490</v>
      </c>
      <c r="AQ6" s="162">
        <f t="shared" si="20"/>
        <v>8.7787011355348402E-2</v>
      </c>
      <c r="AR6" s="168">
        <f t="shared" si="21"/>
        <v>5.6622525997312785</v>
      </c>
      <c r="AS6" s="168">
        <f t="shared" si="22"/>
        <v>0.99751364463311099</v>
      </c>
      <c r="AT6" s="168">
        <f t="shared" si="23"/>
        <v>14.645375074360469</v>
      </c>
      <c r="AU6" s="155">
        <f t="shared" si="24"/>
        <v>0.1125848287763153</v>
      </c>
      <c r="AV6" s="423">
        <f>AVERAGE('2021.02'!$B$72:$G$90)</f>
        <v>65.509677419354858</v>
      </c>
      <c r="AW6" s="423">
        <f>_xlfn.STDEV.S('2021.02'!$B$72:$G$90)</f>
        <v>30.28899234876431</v>
      </c>
      <c r="AX6" s="418">
        <f t="shared" ref="AX6:AX22" si="57">AX5</f>
        <v>93</v>
      </c>
      <c r="AY6" s="424">
        <f>'2021.02'!$D$148+'2021.02'!$E$148</f>
        <v>39732</v>
      </c>
      <c r="AZ6" s="164">
        <f t="shared" si="25"/>
        <v>0.21151931686905415</v>
      </c>
      <c r="BA6" s="172">
        <f t="shared" si="42"/>
        <v>13.856562216054041</v>
      </c>
      <c r="BB6" s="172">
        <f t="shared" si="26"/>
        <v>0.99765931742675928</v>
      </c>
      <c r="BC6" s="172">
        <f t="shared" si="27"/>
        <v>9.8647640591774515</v>
      </c>
      <c r="BD6" s="156">
        <f t="shared" si="28"/>
        <v>0.44032063218869061</v>
      </c>
      <c r="BE6" s="421">
        <f>AVERAGE('2021.02'!$B$94:$G$108)</f>
        <v>65.593055555555551</v>
      </c>
      <c r="BF6" s="448">
        <f>_xlfn.STDEV.S('2021.02'!$B$94:$G$108)</f>
        <v>27.9336050148138</v>
      </c>
      <c r="BG6" s="417">
        <f t="shared" ref="BG6:BG22" si="58">BG5</f>
        <v>72</v>
      </c>
      <c r="BH6" s="447">
        <f>'2021.02'!$D$149+'2021.02'!$E$149</f>
        <v>30377</v>
      </c>
      <c r="BI6" s="162">
        <f t="shared" si="43"/>
        <v>0.16171655815290592</v>
      </c>
      <c r="BJ6" s="168">
        <f t="shared" si="44"/>
        <v>10.607483183176788</v>
      </c>
      <c r="BK6" s="168">
        <f t="shared" si="29"/>
        <v>0.99762978569312311</v>
      </c>
      <c r="BL6" s="168">
        <f t="shared" si="30"/>
        <v>10.837309571161537</v>
      </c>
      <c r="BM6" s="155">
        <f t="shared" si="31"/>
        <v>0.2827482109211345</v>
      </c>
      <c r="BN6" s="423">
        <f>AVERAGE('2021.02'!$B$112:$G$116)</f>
        <v>62.206249999999997</v>
      </c>
      <c r="BO6" s="449">
        <f>_xlfn.STDEV.S('2021.02'!$B$112:$G$116)</f>
        <v>40.240899074614788</v>
      </c>
      <c r="BP6" s="418">
        <f t="shared" ref="BP6:BP22" si="59">BP5</f>
        <v>16</v>
      </c>
      <c r="BQ6" s="424">
        <f>'2021.02'!$D$150+'2021.02'!$E$150</f>
        <v>5017</v>
      </c>
      <c r="BR6" s="164">
        <f t="shared" si="45"/>
        <v>2.6708759003625408E-2</v>
      </c>
      <c r="BS6" s="172">
        <f t="shared" si="46"/>
        <v>1.6614517397692727</v>
      </c>
      <c r="BT6" s="172">
        <f t="shared" si="32"/>
        <v>0.99681084313334667</v>
      </c>
      <c r="BU6" s="172">
        <f t="shared" si="33"/>
        <v>101.20812239583333</v>
      </c>
      <c r="BV6" s="156">
        <f t="shared" si="34"/>
        <v>7.1967354809381115E-2</v>
      </c>
      <c r="BW6" s="421">
        <f>AVERAGE('2021.02'!$B$120:$G$128)</f>
        <v>63.000000000000014</v>
      </c>
      <c r="BX6" s="448">
        <f>_xlfn.STDEV.S('2021.02'!$B$120:$G$128)</f>
        <v>27.814170994442858</v>
      </c>
      <c r="BY6" s="417">
        <f t="shared" ref="BY6:BY22" si="60">BY5</f>
        <v>38</v>
      </c>
      <c r="BZ6" s="447">
        <f>'2021.02'!$D$151+'2021.02'!$E$151</f>
        <v>15232</v>
      </c>
      <c r="CA6" s="162">
        <f t="shared" si="47"/>
        <v>8.1089857911744501E-2</v>
      </c>
      <c r="CB6" s="168">
        <f t="shared" si="48"/>
        <v>5.1086610484399051</v>
      </c>
      <c r="CC6" s="168">
        <f t="shared" si="35"/>
        <v>0.99750525210084029</v>
      </c>
      <c r="CD6" s="168">
        <f t="shared" si="36"/>
        <v>20.358634423897538</v>
      </c>
      <c r="CE6" s="155">
        <f t="shared" si="37"/>
        <v>0.13353555439212397</v>
      </c>
      <c r="CF6" s="423">
        <f>AVERAGE('2021.02'!$B$132:$G$136)</f>
        <v>57.09411764705883</v>
      </c>
      <c r="CG6" s="449">
        <f>_xlfn.STDEV.S('2021.02'!$B$132:$G$136)</f>
        <v>36.273190350936773</v>
      </c>
      <c r="CH6" s="418">
        <f t="shared" ref="CH6:CH22" si="61">CH5</f>
        <v>17</v>
      </c>
      <c r="CI6" s="424">
        <f>'2021.02'!$D$152+'2021.02'!$E$152</f>
        <v>5979</v>
      </c>
      <c r="CJ6" s="164">
        <f t="shared" si="49"/>
        <v>3.1830111636969562E-2</v>
      </c>
      <c r="CK6" s="172">
        <f t="shared" si="50"/>
        <v>1.8173121385201567</v>
      </c>
      <c r="CL6" s="172">
        <f t="shared" si="38"/>
        <v>0.99715671516976079</v>
      </c>
      <c r="CM6" s="172">
        <f t="shared" si="39"/>
        <v>77.396725778546624</v>
      </c>
      <c r="CN6" s="156">
        <f t="shared" si="40"/>
        <v>7.8192001571389641E-2</v>
      </c>
      <c r="CO6" s="427">
        <f t="shared" si="51"/>
        <v>64.290056871691661</v>
      </c>
      <c r="CP6" s="428">
        <f t="shared" si="52"/>
        <v>1.3604041441246435</v>
      </c>
    </row>
    <row r="7" spans="1:94" x14ac:dyDescent="0.25">
      <c r="A7" s="165" t="str">
        <f>'monitoring results'!A7</f>
        <v>01/03/2021-31/03/3021</v>
      </c>
      <c r="B7" s="420">
        <f t="shared" si="41"/>
        <v>187948</v>
      </c>
      <c r="C7" s="421">
        <f>AVERAGE('2021.03'!$B$6:$G$11)</f>
        <v>60.4</v>
      </c>
      <c r="D7" s="421">
        <f>_xlfn.STDEV.S('2021.03'!$B$6:$G$11)</f>
        <v>36.700715251885775</v>
      </c>
      <c r="E7" s="417">
        <f t="shared" ref="E7:E22" si="62">E6</f>
        <v>17</v>
      </c>
      <c r="F7" s="417">
        <f>'2021.03'!$D$143+'2021.03'!$E$143</f>
        <v>5597</v>
      </c>
      <c r="G7" s="168">
        <f t="shared" si="0"/>
        <v>2.9779513482452592E-2</v>
      </c>
      <c r="H7" s="168">
        <f t="shared" si="1"/>
        <v>1.7986826143401367</v>
      </c>
      <c r="I7" s="168">
        <f t="shared" si="2"/>
        <v>0.99696265856708954</v>
      </c>
      <c r="J7" s="168">
        <f t="shared" si="3"/>
        <v>79.231911764705956</v>
      </c>
      <c r="K7" s="155">
        <f t="shared" si="4"/>
        <v>7.005098132609848E-2</v>
      </c>
      <c r="L7" s="423">
        <f>AVERAGE('2021.03'!$B$15:$G$20)</f>
        <v>57.94736842105263</v>
      </c>
      <c r="M7" s="423">
        <f>_xlfn.STDEV.S('2021.03'!$B$15:$G$20)</f>
        <v>34.78577883786312</v>
      </c>
      <c r="N7" s="424">
        <f t="shared" si="53"/>
        <v>19</v>
      </c>
      <c r="O7" s="424">
        <f>'2021.03'!$D$144+'2021.03'!$E$144</f>
        <v>7004</v>
      </c>
      <c r="P7" s="171">
        <f t="shared" si="5"/>
        <v>3.7265626662693938E-2</v>
      </c>
      <c r="Q7" s="172">
        <f t="shared" si="6"/>
        <v>2.1594449976645276</v>
      </c>
      <c r="R7" s="172">
        <f t="shared" si="7"/>
        <v>0.99728726442033122</v>
      </c>
      <c r="S7" s="172">
        <f t="shared" si="8"/>
        <v>63.686863650353978</v>
      </c>
      <c r="T7" s="172">
        <f t="shared" si="9"/>
        <v>8.8203738403825602E-2</v>
      </c>
      <c r="U7" s="421">
        <f>AVERAGE('2021.03'!$B$24:$G$38)</f>
        <v>63.745205479452046</v>
      </c>
      <c r="V7" s="421">
        <f>_xlfn.STDEV.S('2021.03'!$B$24:$G$38)</f>
        <v>27.936386274573756</v>
      </c>
      <c r="W7" s="162">
        <f t="shared" si="54"/>
        <v>73</v>
      </c>
      <c r="X7" s="447">
        <f>'2021.03'!$D$145+'2021.03'!$E$145</f>
        <v>30716</v>
      </c>
      <c r="Y7" s="168">
        <f t="shared" si="10"/>
        <v>0.16336038632955016</v>
      </c>
      <c r="Z7" s="168">
        <f t="shared" si="11"/>
        <v>10.417763059499698</v>
      </c>
      <c r="AA7" s="168">
        <f t="shared" si="12"/>
        <v>0.99762338846203935</v>
      </c>
      <c r="AB7" s="168">
        <f t="shared" si="13"/>
        <v>10.690981891536889</v>
      </c>
      <c r="AC7" s="155">
        <f t="shared" si="14"/>
        <v>0.28462806466454016</v>
      </c>
      <c r="AD7" s="423">
        <f>AVERAGE('2021.03'!$B$42:$G$56)</f>
        <v>66.215789473684211</v>
      </c>
      <c r="AE7" s="423">
        <f>_xlfn.STDEV.S('2021.03'!$B$42:$G$56)</f>
        <v>27.456137395885715</v>
      </c>
      <c r="AF7" s="164">
        <f t="shared" si="55"/>
        <v>76</v>
      </c>
      <c r="AG7" s="424">
        <f>'2021.03'!$D$146+'2021.03'!$E$146</f>
        <v>31693</v>
      </c>
      <c r="AH7" s="164">
        <f t="shared" si="15"/>
        <v>0.16862642858663035</v>
      </c>
      <c r="AI7" s="172">
        <f t="shared" si="16"/>
        <v>11.165732094991561</v>
      </c>
      <c r="AJ7" s="172">
        <f t="shared" si="17"/>
        <v>0.99760199413119621</v>
      </c>
      <c r="AK7" s="172">
        <f t="shared" si="18"/>
        <v>9.918940535549396</v>
      </c>
      <c r="AL7" s="156">
        <f t="shared" si="19"/>
        <v>0.28136746594050482</v>
      </c>
      <c r="AM7" s="421">
        <f>AVERAGE('2021.03'!$B$60:$G$68)</f>
        <v>59.307317073170715</v>
      </c>
      <c r="AN7" s="448">
        <f>_xlfn.STDEV.S('2021.03'!$B$60:$G$68)</f>
        <v>25.412756543160608</v>
      </c>
      <c r="AO7" s="162">
        <f t="shared" si="56"/>
        <v>41</v>
      </c>
      <c r="AP7" s="447">
        <f>'2021.03'!$D$147+'2021.03'!$E$147</f>
        <v>16530</v>
      </c>
      <c r="AQ7" s="162">
        <f t="shared" si="20"/>
        <v>8.7949858471492115E-2</v>
      </c>
      <c r="AR7" s="168">
        <f t="shared" si="21"/>
        <v>5.2139063279520483</v>
      </c>
      <c r="AS7" s="168">
        <f t="shared" si="22"/>
        <v>0.99751966122202052</v>
      </c>
      <c r="AT7" s="168">
        <f t="shared" si="23"/>
        <v>15.751419393218349</v>
      </c>
      <c r="AU7" s="155">
        <f t="shared" si="24"/>
        <v>0.12153782199729771</v>
      </c>
      <c r="AV7" s="423">
        <f>AVERAGE('2021.03'!$B$72:$G$90)</f>
        <v>64.324731182795674</v>
      </c>
      <c r="AW7" s="423">
        <f>_xlfn.STDEV.S('2021.03'!$B$72:$G$90)</f>
        <v>27.354165313189608</v>
      </c>
      <c r="AX7" s="418">
        <f t="shared" si="57"/>
        <v>93</v>
      </c>
      <c r="AY7" s="424">
        <f>'2021.03'!$D$148+'2021.03'!$E$148</f>
        <v>39859</v>
      </c>
      <c r="AZ7" s="164">
        <f t="shared" si="25"/>
        <v>0.21207461638325495</v>
      </c>
      <c r="BA7" s="172">
        <f t="shared" si="42"/>
        <v>13.641642689547389</v>
      </c>
      <c r="BB7" s="172">
        <f t="shared" si="26"/>
        <v>0.9976667753832259</v>
      </c>
      <c r="BC7" s="172">
        <f t="shared" si="27"/>
        <v>8.0457027954979079</v>
      </c>
      <c r="BD7" s="156">
        <f t="shared" si="28"/>
        <v>0.36101635373308588</v>
      </c>
      <c r="BE7" s="421">
        <f>AVERAGE('2021.03'!$B$94:$G$108)</f>
        <v>65.158333333333331</v>
      </c>
      <c r="BF7" s="448">
        <f>_xlfn.STDEV.S('2021.03'!$B$94:$G$108)</f>
        <v>27.685480762855146</v>
      </c>
      <c r="BG7" s="417">
        <f t="shared" si="58"/>
        <v>72</v>
      </c>
      <c r="BH7" s="447">
        <f>'2021.03'!$D$149+'2021.03'!$E$149</f>
        <v>30338</v>
      </c>
      <c r="BI7" s="162">
        <f t="shared" si="43"/>
        <v>0.1614169876774427</v>
      </c>
      <c r="BJ7" s="168">
        <f t="shared" si="44"/>
        <v>10.51766188874937</v>
      </c>
      <c r="BK7" s="168">
        <f t="shared" si="29"/>
        <v>0.99762673874349006</v>
      </c>
      <c r="BL7" s="168">
        <f t="shared" si="30"/>
        <v>10.645636737089198</v>
      </c>
      <c r="BM7" s="155">
        <f t="shared" si="31"/>
        <v>0.27671850330732017</v>
      </c>
      <c r="BN7" s="423">
        <f>AVERAGE('2021.03'!$B$112:$G$116)</f>
        <v>61.106249999999996</v>
      </c>
      <c r="BO7" s="449">
        <f>_xlfn.STDEV.S('2021.03'!$B$112:$G$116)</f>
        <v>40.601009326534395</v>
      </c>
      <c r="BP7" s="418">
        <f t="shared" si="59"/>
        <v>16</v>
      </c>
      <c r="BQ7" s="424">
        <f>'2021.03'!$D$150+'2021.03'!$E$150</f>
        <v>5008</v>
      </c>
      <c r="BR7" s="164">
        <f t="shared" si="45"/>
        <v>2.6645667950709769E-2</v>
      </c>
      <c r="BS7" s="172">
        <f t="shared" si="46"/>
        <v>1.6282168472130587</v>
      </c>
      <c r="BT7" s="172">
        <f t="shared" si="32"/>
        <v>0.99680511182108622</v>
      </c>
      <c r="BU7" s="172">
        <f t="shared" si="33"/>
        <v>103.0276223958333</v>
      </c>
      <c r="BV7" s="156">
        <f t="shared" si="34"/>
        <v>7.2915046512990481E-2</v>
      </c>
      <c r="BW7" s="421">
        <f>AVERAGE('2021.03'!$B$120:$G$128)</f>
        <v>63.992105263157889</v>
      </c>
      <c r="BX7" s="448">
        <f>_xlfn.STDEV.S('2021.03'!$B$120:$G$128)</f>
        <v>26.734807573435468</v>
      </c>
      <c r="BY7" s="417">
        <f t="shared" si="60"/>
        <v>38</v>
      </c>
      <c r="BZ7" s="447">
        <f>'2021.03'!$D$151+'2021.03'!$E$151</f>
        <v>15206</v>
      </c>
      <c r="CA7" s="162">
        <f t="shared" si="47"/>
        <v>8.0905356800817244E-2</v>
      </c>
      <c r="CB7" s="168">
        <f t="shared" si="48"/>
        <v>5.1773041087512448</v>
      </c>
      <c r="CC7" s="168">
        <f t="shared" si="35"/>
        <v>0.99750098645271601</v>
      </c>
      <c r="CD7" s="168">
        <f t="shared" si="36"/>
        <v>18.809208841805855</v>
      </c>
      <c r="CE7" s="155">
        <f t="shared" si="37"/>
        <v>0.12281132512039881</v>
      </c>
      <c r="CF7" s="423">
        <f>AVERAGE('2021.03'!$B$132:$G$136)</f>
        <v>62.864705882352943</v>
      </c>
      <c r="CG7" s="449">
        <f>_xlfn.STDEV.S('2021.03'!$B$132:$G$136)</f>
        <v>36.46613053876964</v>
      </c>
      <c r="CH7" s="418">
        <f t="shared" si="61"/>
        <v>17</v>
      </c>
      <c r="CI7" s="424">
        <f>'2021.03'!$D$152+'2021.03'!$E$152</f>
        <v>5997</v>
      </c>
      <c r="CJ7" s="164">
        <f t="shared" si="49"/>
        <v>3.1907761721327178E-2</v>
      </c>
      <c r="CK7" s="172">
        <f t="shared" si="50"/>
        <v>2.0058720559754328</v>
      </c>
      <c r="CL7" s="172">
        <f t="shared" si="38"/>
        <v>0.99716524929131234</v>
      </c>
      <c r="CM7" s="172">
        <f t="shared" si="39"/>
        <v>78.222275086505164</v>
      </c>
      <c r="CN7" s="156">
        <f t="shared" si="40"/>
        <v>7.9412754241953515E-2</v>
      </c>
      <c r="CO7" s="427">
        <f t="shared" si="51"/>
        <v>63.72622668468447</v>
      </c>
      <c r="CP7" s="428">
        <f t="shared" si="52"/>
        <v>1.3261455633707846</v>
      </c>
    </row>
    <row r="8" spans="1:94" x14ac:dyDescent="0.25">
      <c r="A8" s="165" t="str">
        <f>'monitoring results'!A8</f>
        <v>01/04/2021-30/04/2021</v>
      </c>
      <c r="B8" s="420">
        <f t="shared" si="41"/>
        <v>187904</v>
      </c>
      <c r="C8" s="421">
        <f>AVERAGE('2021.04'!$B$6:$G$11)</f>
        <v>64.705882352941174</v>
      </c>
      <c r="D8" s="421">
        <f>_xlfn.STDEV.S('2021.04'!$B$6:$G$11)</f>
        <v>41.457379780146432</v>
      </c>
      <c r="E8" s="417">
        <f t="shared" si="62"/>
        <v>17</v>
      </c>
      <c r="F8" s="417">
        <f>'2021.04'!$D$143+'2021.04'!$E$143</f>
        <v>5603</v>
      </c>
      <c r="G8" s="168">
        <f t="shared" si="0"/>
        <v>2.9818417915531335E-2</v>
      </c>
      <c r="H8" s="168">
        <f t="shared" si="1"/>
        <v>1.929427041593204</v>
      </c>
      <c r="I8" s="168">
        <f t="shared" si="2"/>
        <v>0.99696591111904342</v>
      </c>
      <c r="J8" s="168">
        <f t="shared" si="3"/>
        <v>101.10084342560555</v>
      </c>
      <c r="K8" s="155">
        <f t="shared" si="4"/>
        <v>8.961986431423058E-2</v>
      </c>
      <c r="L8" s="423">
        <f>AVERAGE('2021.04'!$B$15:$G$20)</f>
        <v>62.742105263157903</v>
      </c>
      <c r="M8" s="423">
        <f>_xlfn.STDEV.S('2021.04'!$B$15:$G$20)</f>
        <v>37.29538720046687</v>
      </c>
      <c r="N8" s="424">
        <f t="shared" si="53"/>
        <v>19</v>
      </c>
      <c r="O8" s="424">
        <f>'2021.04'!$D$144+'2021.04'!$E$144</f>
        <v>6978</v>
      </c>
      <c r="P8" s="171">
        <f t="shared" si="5"/>
        <v>3.713598433242507E-2</v>
      </c>
      <c r="Q8" s="172">
        <f t="shared" si="6"/>
        <v>2.3299898380359965</v>
      </c>
      <c r="R8" s="172">
        <f t="shared" si="7"/>
        <v>0.99727715677844653</v>
      </c>
      <c r="S8" s="172">
        <f t="shared" si="8"/>
        <v>73.207679285934105</v>
      </c>
      <c r="T8" s="172">
        <f t="shared" si="9"/>
        <v>0.10068444742187253</v>
      </c>
      <c r="U8" s="421">
        <f>AVERAGE('2021.04'!$B$24:$G$38)</f>
        <v>63.968493150684942</v>
      </c>
      <c r="V8" s="421">
        <f>_xlfn.STDEV.S('2021.04'!$B$24:$G$38)</f>
        <v>26.3245495725543</v>
      </c>
      <c r="W8" s="162">
        <f t="shared" si="54"/>
        <v>73</v>
      </c>
      <c r="X8" s="447">
        <f>'2021.04'!$D$145+'2021.04'!$E$145</f>
        <v>30768</v>
      </c>
      <c r="Y8" s="168">
        <f t="shared" si="10"/>
        <v>0.16363694382691754</v>
      </c>
      <c r="Z8" s="168">
        <f t="shared" si="11"/>
        <v>10.47440500074652</v>
      </c>
      <c r="AA8" s="168">
        <f t="shared" si="12"/>
        <v>0.99762740509620385</v>
      </c>
      <c r="AB8" s="168">
        <f t="shared" si="13"/>
        <v>9.4929028794228607</v>
      </c>
      <c r="AC8" s="155">
        <f t="shared" si="14"/>
        <v>0.25358883473361693</v>
      </c>
      <c r="AD8" s="423">
        <f>AVERAGE('2021.04'!$B$42:$G$56)</f>
        <v>65.021052631578982</v>
      </c>
      <c r="AE8" s="423">
        <f>_xlfn.STDEV.S('2021.04'!$B$42:$G$56)</f>
        <v>27.389605404432576</v>
      </c>
      <c r="AF8" s="164">
        <f t="shared" si="55"/>
        <v>76</v>
      </c>
      <c r="AG8" s="424">
        <f>'2021.04'!$D$146+'2021.04'!$E$146</f>
        <v>31686</v>
      </c>
      <c r="AH8" s="164">
        <f t="shared" si="15"/>
        <v>0.16862866144414168</v>
      </c>
      <c r="AI8" s="172">
        <f t="shared" si="16"/>
        <v>10.964413070952251</v>
      </c>
      <c r="AJ8" s="172">
        <f t="shared" si="17"/>
        <v>0.997601464369122</v>
      </c>
      <c r="AK8" s="172">
        <f t="shared" si="18"/>
        <v>9.8709274238226605</v>
      </c>
      <c r="AL8" s="156">
        <f t="shared" si="19"/>
        <v>0.28001275981053003</v>
      </c>
      <c r="AM8" s="421">
        <f>AVERAGE('2021.04'!$B$60:$G$68)</f>
        <v>63.68292682926829</v>
      </c>
      <c r="AN8" s="448">
        <f>_xlfn.STDEV.S('2021.04'!$B$60:$G$68)</f>
        <v>27.200807914830616</v>
      </c>
      <c r="AO8" s="162">
        <f t="shared" si="56"/>
        <v>41</v>
      </c>
      <c r="AP8" s="447">
        <f>'2021.04'!$D$147+'2021.04'!$E$147</f>
        <v>16522</v>
      </c>
      <c r="AQ8" s="162">
        <f t="shared" si="20"/>
        <v>8.7927878065395093E-2</v>
      </c>
      <c r="AR8" s="168">
        <f t="shared" si="21"/>
        <v>5.5958714064712902</v>
      </c>
      <c r="AS8" s="168">
        <f t="shared" si="22"/>
        <v>0.99751846023483837</v>
      </c>
      <c r="AT8" s="168">
        <f t="shared" si="23"/>
        <v>18.045950029744194</v>
      </c>
      <c r="AU8" s="155">
        <f t="shared" si="24"/>
        <v>0.13917264373161692</v>
      </c>
      <c r="AV8" s="423">
        <f>AVERAGE('2021.04'!$B$72:$G$90)</f>
        <v>65.06236559139785</v>
      </c>
      <c r="AW8" s="423">
        <f>_xlfn.STDEV.S('2021.04'!$B$72:$G$90)</f>
        <v>28.037013245608996</v>
      </c>
      <c r="AX8" s="418">
        <f t="shared" si="57"/>
        <v>93</v>
      </c>
      <c r="AY8" s="424">
        <f>'2021.04'!$D$148+'2021.04'!$E$148</f>
        <v>39761</v>
      </c>
      <c r="AZ8" s="164">
        <f t="shared" si="25"/>
        <v>0.21160273331062671</v>
      </c>
      <c r="BA8" s="172">
        <f t="shared" si="42"/>
        <v>13.767374394795054</v>
      </c>
      <c r="BB8" s="172">
        <f t="shared" si="26"/>
        <v>0.99766102462211714</v>
      </c>
      <c r="BC8" s="172">
        <f t="shared" si="27"/>
        <v>8.4524098035962822</v>
      </c>
      <c r="BD8" s="156">
        <f t="shared" si="28"/>
        <v>0.37757749222097242</v>
      </c>
      <c r="BE8" s="421">
        <f>AVERAGE('2021.04'!$B$94:$G$108)</f>
        <v>63.898611111111123</v>
      </c>
      <c r="BF8" s="448">
        <f>_xlfn.STDEV.S('2021.04'!$B$94:$G$108)</f>
        <v>28.568358804880297</v>
      </c>
      <c r="BG8" s="417">
        <f t="shared" si="58"/>
        <v>72</v>
      </c>
      <c r="BH8" s="447">
        <f>'2021.04'!$D$149+'2021.04'!$E$149</f>
        <v>30353</v>
      </c>
      <c r="BI8" s="162">
        <f t="shared" si="43"/>
        <v>0.16153461341961853</v>
      </c>
      <c r="BJ8" s="168">
        <f t="shared" si="44"/>
        <v>10.321837443883878</v>
      </c>
      <c r="BK8" s="168">
        <f t="shared" si="29"/>
        <v>0.99762791157381481</v>
      </c>
      <c r="BL8" s="168">
        <f t="shared" si="30"/>
        <v>11.335432288949745</v>
      </c>
      <c r="BM8" s="155">
        <f t="shared" si="31"/>
        <v>0.2950787069739475</v>
      </c>
      <c r="BN8" s="423">
        <f>AVERAGE('2021.04'!$B$112:$G$116)</f>
        <v>60.443750000000001</v>
      </c>
      <c r="BO8" s="449">
        <f>_xlfn.STDEV.S('2021.04'!$B$112:$G$116)</f>
        <v>38.216784597870074</v>
      </c>
      <c r="BP8" s="418">
        <f t="shared" si="59"/>
        <v>16</v>
      </c>
      <c r="BQ8" s="424">
        <f>'2021.04'!$D$150+'2021.04'!$E$150</f>
        <v>5021</v>
      </c>
      <c r="BR8" s="164">
        <f t="shared" si="45"/>
        <v>2.6721091621253405E-2</v>
      </c>
      <c r="BS8" s="172">
        <f t="shared" si="46"/>
        <v>1.6151229816821357</v>
      </c>
      <c r="BT8" s="172">
        <f t="shared" si="32"/>
        <v>0.99681338378809003</v>
      </c>
      <c r="BU8" s="172">
        <f t="shared" si="33"/>
        <v>91.282664062499961</v>
      </c>
      <c r="BV8" s="156">
        <f t="shared" si="34"/>
        <v>6.4969654777865371E-2</v>
      </c>
      <c r="BW8" s="421">
        <f>AVERAGE('2021.04'!$B$120:$G$128)</f>
        <v>65.802631578947384</v>
      </c>
      <c r="BX8" s="448">
        <f>_xlfn.STDEV.S('2021.04'!$B$120:$G$128)</f>
        <v>26.505098814339355</v>
      </c>
      <c r="BY8" s="417">
        <f t="shared" si="60"/>
        <v>38</v>
      </c>
      <c r="BZ8" s="447">
        <f>'2021.04'!$D$151+'2021.04'!$E$151</f>
        <v>15233</v>
      </c>
      <c r="CA8" s="162">
        <f t="shared" si="47"/>
        <v>8.1067992166212535E-2</v>
      </c>
      <c r="CB8" s="168">
        <f t="shared" si="48"/>
        <v>5.3344872213582759</v>
      </c>
      <c r="CC8" s="168">
        <f t="shared" si="35"/>
        <v>0.99750541587343267</v>
      </c>
      <c r="CD8" s="168">
        <f t="shared" si="36"/>
        <v>18.487375346260354</v>
      </c>
      <c r="CE8" s="155">
        <f t="shared" si="37"/>
        <v>0.12119629813158393</v>
      </c>
      <c r="CF8" s="423">
        <f>AVERAGE('2021.04'!$B$132:$G$136)</f>
        <v>61.517647058823542</v>
      </c>
      <c r="CG8" s="449">
        <f>_xlfn.STDEV.S('2021.04'!$B$132:$G$136)</f>
        <v>39.613432622251331</v>
      </c>
      <c r="CH8" s="418">
        <f t="shared" si="61"/>
        <v>17</v>
      </c>
      <c r="CI8" s="424">
        <f>'2021.04'!$D$152+'2021.04'!$E$152</f>
        <v>5979</v>
      </c>
      <c r="CJ8" s="164">
        <f t="shared" si="49"/>
        <v>3.1819439713896461E-2</v>
      </c>
      <c r="CK8" s="172">
        <f t="shared" si="50"/>
        <v>1.9574570619289953</v>
      </c>
      <c r="CL8" s="172">
        <f t="shared" si="38"/>
        <v>0.99715671516976079</v>
      </c>
      <c r="CM8" s="172">
        <f t="shared" si="39"/>
        <v>92.307296712802696</v>
      </c>
      <c r="CN8" s="156">
        <f t="shared" si="40"/>
        <v>9.3193260664191563E-2</v>
      </c>
      <c r="CO8" s="427">
        <f t="shared" si="51"/>
        <v>64.290385461447599</v>
      </c>
      <c r="CP8" s="428">
        <f t="shared" si="52"/>
        <v>1.347254230938032</v>
      </c>
    </row>
    <row r="9" spans="1:94" x14ac:dyDescent="0.25">
      <c r="A9" s="165" t="str">
        <f>'monitoring results'!A9</f>
        <v>01/05/2021-31/05/2021</v>
      </c>
      <c r="B9" s="420">
        <f t="shared" si="41"/>
        <v>188062</v>
      </c>
      <c r="C9" s="421">
        <f>AVERAGE('2021.05'!$B$6:$G$11)</f>
        <v>58.39411764705882</v>
      </c>
      <c r="D9" s="421">
        <f>_xlfn.STDEV.S('2021.05'!$B$6:$G$11)</f>
        <v>35.378373877770223</v>
      </c>
      <c r="E9" s="417">
        <f t="shared" si="62"/>
        <v>17</v>
      </c>
      <c r="F9" s="417">
        <f>'2021.05'!$D$143+'2021.05'!$E$143</f>
        <v>5571</v>
      </c>
      <c r="G9" s="168">
        <f t="shared" si="0"/>
        <v>2.9623209367123607E-2</v>
      </c>
      <c r="H9" s="168">
        <f t="shared" si="1"/>
        <v>1.7298211728672708</v>
      </c>
      <c r="I9" s="168">
        <f t="shared" si="2"/>
        <v>0.99694848321665774</v>
      </c>
      <c r="J9" s="168">
        <f t="shared" si="3"/>
        <v>73.625255190311435</v>
      </c>
      <c r="K9" s="155">
        <f t="shared" si="4"/>
        <v>6.4411549401341653E-2</v>
      </c>
      <c r="L9" s="423">
        <f>AVERAGE('2021.05'!$B$15:$G$20)</f>
        <v>63.836842105263152</v>
      </c>
      <c r="M9" s="423">
        <f>_xlfn.STDEV.S('2021.05'!$B$15:$G$20)</f>
        <v>36.046608879281656</v>
      </c>
      <c r="N9" s="424">
        <f t="shared" si="53"/>
        <v>19</v>
      </c>
      <c r="O9" s="424">
        <f>'2021.05'!$D$144+'2021.05'!$E$144</f>
        <v>6959</v>
      </c>
      <c r="P9" s="171">
        <f t="shared" si="5"/>
        <v>3.7003754081100911E-2</v>
      </c>
      <c r="Q9" s="172">
        <f t="shared" si="6"/>
        <v>2.3622028065772258</v>
      </c>
      <c r="R9" s="172">
        <f t="shared" si="7"/>
        <v>0.99726972266130187</v>
      </c>
      <c r="S9" s="172">
        <f t="shared" si="8"/>
        <v>68.387263773468803</v>
      </c>
      <c r="T9" s="172">
        <f t="shared" si="9"/>
        <v>9.3385496842597504E-2</v>
      </c>
      <c r="U9" s="421">
        <f>AVERAGE('2021.05'!$B$24:$G$38)</f>
        <v>62.867123287671234</v>
      </c>
      <c r="V9" s="421">
        <f>_xlfn.STDEV.S('2021.05'!$B$24:$G$38)</f>
        <v>28.478481422112182</v>
      </c>
      <c r="W9" s="162">
        <f t="shared" si="54"/>
        <v>73</v>
      </c>
      <c r="X9" s="447">
        <f>'2021.05'!$D$145+'2021.05'!$E$145</f>
        <v>30741</v>
      </c>
      <c r="Y9" s="168">
        <f t="shared" si="10"/>
        <v>0.16349334666482296</v>
      </c>
      <c r="Z9" s="168">
        <f t="shared" si="11"/>
        <v>10.276388834460452</v>
      </c>
      <c r="AA9" s="168">
        <f t="shared" si="12"/>
        <v>0.99762532123223058</v>
      </c>
      <c r="AB9" s="168">
        <f t="shared" si="13"/>
        <v>11.1099164946519</v>
      </c>
      <c r="AC9" s="155">
        <f t="shared" si="14"/>
        <v>0.29626368879203308</v>
      </c>
      <c r="AD9" s="423">
        <f>AVERAGE('2021.05'!$B$42:$G$56)</f>
        <v>66.74473684210524</v>
      </c>
      <c r="AE9" s="423">
        <f>_xlfn.STDEV.S('2021.05'!$B$42:$G$56)</f>
        <v>27.012640965478123</v>
      </c>
      <c r="AF9" s="164">
        <f t="shared" si="55"/>
        <v>76</v>
      </c>
      <c r="AG9" s="424">
        <f>'2021.05'!$D$146+'2021.05'!$E$146</f>
        <v>31753</v>
      </c>
      <c r="AH9" s="164">
        <f t="shared" si="15"/>
        <v>0.16884325382054854</v>
      </c>
      <c r="AI9" s="172">
        <f t="shared" si="16"/>
        <v>11.269398543817294</v>
      </c>
      <c r="AJ9" s="172">
        <f t="shared" si="17"/>
        <v>0.9976065253676818</v>
      </c>
      <c r="AK9" s="172">
        <f t="shared" si="18"/>
        <v>9.6010891043398274</v>
      </c>
      <c r="AL9" s="156">
        <f t="shared" si="19"/>
        <v>0.27305316028694265</v>
      </c>
      <c r="AM9" s="421">
        <f>AVERAGE('2021.05'!$B$60:$G$68)</f>
        <v>63.699999999999982</v>
      </c>
      <c r="AN9" s="448">
        <f>_xlfn.STDEV.S('2021.05'!$B$60:$G$68)</f>
        <v>27.573266037957879</v>
      </c>
      <c r="AO9" s="162">
        <f t="shared" si="56"/>
        <v>41</v>
      </c>
      <c r="AP9" s="447">
        <f>'2021.05'!$D$147+'2021.05'!$E$147</f>
        <v>16498</v>
      </c>
      <c r="AQ9" s="162">
        <f t="shared" si="20"/>
        <v>8.7726388106050129E-2</v>
      </c>
      <c r="AR9" s="168">
        <f t="shared" si="21"/>
        <v>5.5892408496697241</v>
      </c>
      <c r="AS9" s="168">
        <f t="shared" si="22"/>
        <v>0.99751485028488307</v>
      </c>
      <c r="AT9" s="168">
        <f t="shared" si="23"/>
        <v>18.543536585365885</v>
      </c>
      <c r="AU9" s="155">
        <f t="shared" si="24"/>
        <v>0.14235490407026474</v>
      </c>
      <c r="AV9" s="423">
        <f>AVERAGE('2021.05'!$B$72:$G$90)</f>
        <v>65.602150537634401</v>
      </c>
      <c r="AW9" s="423">
        <f>_xlfn.STDEV.S('2021.05'!$B$72:$G$90)</f>
        <v>28.605563378379475</v>
      </c>
      <c r="AX9" s="418">
        <f t="shared" si="57"/>
        <v>93</v>
      </c>
      <c r="AY9" s="424">
        <f>'2021.05'!$D$148+'2021.05'!$E$148</f>
        <v>39855</v>
      </c>
      <c r="AZ9" s="164">
        <f t="shared" si="25"/>
        <v>0.21192479076049389</v>
      </c>
      <c r="BA9" s="172">
        <f t="shared" si="42"/>
        <v>13.902722026126591</v>
      </c>
      <c r="BB9" s="172">
        <f t="shared" si="26"/>
        <v>0.99766654121189313</v>
      </c>
      <c r="BC9" s="172">
        <f t="shared" si="27"/>
        <v>8.7986909268224203</v>
      </c>
      <c r="BD9" s="156">
        <f t="shared" si="28"/>
        <v>0.39424572795524465</v>
      </c>
      <c r="BE9" s="421">
        <f>AVERAGE('2021.05'!$B$94:$G$108)</f>
        <v>66.504166666666677</v>
      </c>
      <c r="BF9" s="448">
        <f>_xlfn.STDEV.S('2021.05'!$B$94:$G$108)</f>
        <v>28.036170990397647</v>
      </c>
      <c r="BG9" s="417">
        <f t="shared" si="58"/>
        <v>72</v>
      </c>
      <c r="BH9" s="447">
        <f>'2021.05'!$D$149+'2021.05'!$E$149</f>
        <v>30426</v>
      </c>
      <c r="BI9" s="162">
        <f t="shared" si="43"/>
        <v>0.16178707022152269</v>
      </c>
      <c r="BJ9" s="168">
        <f t="shared" si="44"/>
        <v>10.759514282523851</v>
      </c>
      <c r="BK9" s="168">
        <f t="shared" si="29"/>
        <v>0.99763360283967661</v>
      </c>
      <c r="BL9" s="168">
        <f t="shared" si="30"/>
        <v>10.917040052816869</v>
      </c>
      <c r="BM9" s="155">
        <f t="shared" si="31"/>
        <v>0.28507792795335046</v>
      </c>
      <c r="BN9" s="423">
        <f>AVERAGE('2021.05'!$B$112:$G$116)</f>
        <v>58.756250000000001</v>
      </c>
      <c r="BO9" s="449">
        <f>_xlfn.STDEV.S('2021.05'!$B$112:$G$116)</f>
        <v>36.788312795415528</v>
      </c>
      <c r="BP9" s="418">
        <f t="shared" si="59"/>
        <v>16</v>
      </c>
      <c r="BQ9" s="424">
        <f>'2021.05'!$D$150+'2021.05'!$E$150</f>
        <v>4991</v>
      </c>
      <c r="BR9" s="164">
        <f t="shared" si="45"/>
        <v>2.6539120077421277E-2</v>
      </c>
      <c r="BS9" s="172">
        <f t="shared" si="46"/>
        <v>1.5593391740489839</v>
      </c>
      <c r="BT9" s="172">
        <f t="shared" si="32"/>
        <v>0.99679422961330399</v>
      </c>
      <c r="BU9" s="172">
        <f t="shared" si="33"/>
        <v>84.586247395833368</v>
      </c>
      <c r="BV9" s="156">
        <f t="shared" si="34"/>
        <v>5.9385212154869201E-2</v>
      </c>
      <c r="BW9" s="421">
        <f>AVERAGE('2021.05'!$B$120:$G$128)</f>
        <v>64.102631578947367</v>
      </c>
      <c r="BX9" s="448">
        <f>_xlfn.STDEV.S('2021.05'!$B$120:$G$128)</f>
        <v>27.812854182059201</v>
      </c>
      <c r="BY9" s="417">
        <f t="shared" si="60"/>
        <v>38</v>
      </c>
      <c r="BZ9" s="447">
        <f>'2021.05'!$D$151+'2021.05'!$E$151</f>
        <v>15248</v>
      </c>
      <c r="CA9" s="162">
        <f t="shared" si="47"/>
        <v>8.1079643947208901E-2</v>
      </c>
      <c r="CB9" s="168">
        <f t="shared" si="48"/>
        <v>5.1974185445001622</v>
      </c>
      <c r="CC9" s="168">
        <f t="shared" si="35"/>
        <v>0.99750786988457507</v>
      </c>
      <c r="CD9" s="168">
        <f t="shared" si="36"/>
        <v>20.356706782960213</v>
      </c>
      <c r="CE9" s="155">
        <f t="shared" si="37"/>
        <v>0.13348962640757425</v>
      </c>
      <c r="CF9" s="423">
        <f>AVERAGE('2021.05'!$B$132:$G$136)</f>
        <v>63.6235294117647</v>
      </c>
      <c r="CG9" s="449">
        <f>_xlfn.STDEV.S('2021.05'!$B$132:$G$136)</f>
        <v>38.444611608972032</v>
      </c>
      <c r="CH9" s="418">
        <f t="shared" si="61"/>
        <v>17</v>
      </c>
      <c r="CI9" s="424">
        <f>'2021.05'!$D$152+'2021.05'!$E$152</f>
        <v>6020</v>
      </c>
      <c r="CJ9" s="164">
        <f t="shared" si="49"/>
        <v>3.2010719868979381E-2</v>
      </c>
      <c r="CK9" s="172">
        <f t="shared" si="50"/>
        <v>2.0366349770757703</v>
      </c>
      <c r="CL9" s="172">
        <f t="shared" si="38"/>
        <v>0.99717607973421929</v>
      </c>
      <c r="CM9" s="172">
        <f t="shared" si="39"/>
        <v>86.940480103806308</v>
      </c>
      <c r="CN9" s="156">
        <f t="shared" si="40"/>
        <v>8.8835135249687613E-2</v>
      </c>
      <c r="CO9" s="427">
        <f t="shared" si="51"/>
        <v>64.68268121166733</v>
      </c>
      <c r="CP9" s="428">
        <f t="shared" si="52"/>
        <v>1.3529606162464249</v>
      </c>
    </row>
    <row r="10" spans="1:94" x14ac:dyDescent="0.25">
      <c r="A10" s="165" t="str">
        <f>'monitoring results'!A10</f>
        <v>01/06/2021-30/06/2021</v>
      </c>
      <c r="B10" s="420">
        <f t="shared" si="41"/>
        <v>187909</v>
      </c>
      <c r="C10" s="421">
        <f>AVERAGE('2021.06'!$B$6:$G$11)</f>
        <v>65.876470588235293</v>
      </c>
      <c r="D10" s="421">
        <f>_xlfn.STDEV.S('2021.06'!$B$6:$G$11)</f>
        <v>37.79984340926169</v>
      </c>
      <c r="E10" s="417">
        <f t="shared" si="62"/>
        <v>17</v>
      </c>
      <c r="F10" s="417">
        <f>'2021.06'!$D$143+'2021.06'!$E$143</f>
        <v>5581</v>
      </c>
      <c r="G10" s="168">
        <f t="shared" si="0"/>
        <v>2.9700546541144915E-2</v>
      </c>
      <c r="H10" s="168">
        <f t="shared" si="1"/>
        <v>1.9565671806722464</v>
      </c>
      <c r="I10" s="168">
        <f t="shared" si="2"/>
        <v>0.99695395090485572</v>
      </c>
      <c r="J10" s="168">
        <f t="shared" si="3"/>
        <v>84.048715397923786</v>
      </c>
      <c r="K10" s="155">
        <f t="shared" si="4"/>
        <v>7.3915422075763793E-2</v>
      </c>
      <c r="L10" s="423">
        <f>AVERAGE('2021.06'!$B$15:$G$20)</f>
        <v>61.342105263157897</v>
      </c>
      <c r="M10" s="423">
        <f>_xlfn.STDEV.S('2021.06'!$B$15:$G$20)</f>
        <v>32.871844010565809</v>
      </c>
      <c r="N10" s="424">
        <f t="shared" si="53"/>
        <v>19</v>
      </c>
      <c r="O10" s="424">
        <f>'2021.06'!$D$144+'2021.06'!$E$144</f>
        <v>7002</v>
      </c>
      <c r="P10" s="171">
        <f t="shared" si="5"/>
        <v>3.7262717592025929E-2</v>
      </c>
      <c r="Q10" s="172">
        <f t="shared" si="6"/>
        <v>2.2857735449213799</v>
      </c>
      <c r="R10" s="172">
        <f t="shared" si="7"/>
        <v>0.99728648957440735</v>
      </c>
      <c r="S10" s="172">
        <f t="shared" si="8"/>
        <v>56.871480455524797</v>
      </c>
      <c r="T10" s="172">
        <f t="shared" si="9"/>
        <v>7.8752349521434159E-2</v>
      </c>
      <c r="U10" s="421">
        <f>AVERAGE('2021.06'!$B$24:$G$38)</f>
        <v>65.035616438356129</v>
      </c>
      <c r="V10" s="421">
        <f>_xlfn.STDEV.S('2021.06'!$B$24:$G$38)</f>
        <v>26.134493861683971</v>
      </c>
      <c r="W10" s="162">
        <f t="shared" si="54"/>
        <v>73</v>
      </c>
      <c r="X10" s="447">
        <f>'2021.06'!$D$145+'2021.06'!$E$145</f>
        <v>30711</v>
      </c>
      <c r="Y10" s="168">
        <f t="shared" si="10"/>
        <v>0.16333379426249561</v>
      </c>
      <c r="Z10" s="168">
        <f t="shared" si="11"/>
        <v>10.629128016424731</v>
      </c>
      <c r="AA10" s="168">
        <f t="shared" si="12"/>
        <v>0.99762300153039629</v>
      </c>
      <c r="AB10" s="168">
        <f t="shared" si="13"/>
        <v>9.3563256083068111</v>
      </c>
      <c r="AC10" s="155">
        <f t="shared" si="14"/>
        <v>0.24901406781048185</v>
      </c>
      <c r="AD10" s="423">
        <f>AVERAGE('2021.06'!$B$42:$G$56)</f>
        <v>64.659210526315789</v>
      </c>
      <c r="AE10" s="423">
        <f>_xlfn.STDEV.S('2021.06'!$B$42:$G$56)</f>
        <v>28.746079976843554</v>
      </c>
      <c r="AF10" s="164">
        <f t="shared" si="55"/>
        <v>76</v>
      </c>
      <c r="AG10" s="424">
        <f>'2021.06'!$D$146+'2021.06'!$E$146</f>
        <v>31663</v>
      </c>
      <c r="AH10" s="164">
        <f t="shared" si="15"/>
        <v>0.16850177479524664</v>
      </c>
      <c r="AI10" s="172">
        <f t="shared" si="16"/>
        <v>10.895191730543704</v>
      </c>
      <c r="AJ10" s="172">
        <f t="shared" si="17"/>
        <v>0.99759972207308212</v>
      </c>
      <c r="AK10" s="172">
        <f t="shared" si="18"/>
        <v>10.87285676361955</v>
      </c>
      <c r="AL10" s="156">
        <f t="shared" si="19"/>
        <v>0.30797037751332806</v>
      </c>
      <c r="AM10" s="421">
        <f>AVERAGE('2021.06'!$B$60:$G$68)</f>
        <v>64.578048780487805</v>
      </c>
      <c r="AN10" s="448">
        <f>_xlfn.STDEV.S('2021.06'!$B$60:$G$68)</f>
        <v>29.382337485257366</v>
      </c>
      <c r="AO10" s="162">
        <f t="shared" si="56"/>
        <v>41</v>
      </c>
      <c r="AP10" s="447">
        <f>'2021.06'!$D$147+'2021.06'!$E$147</f>
        <v>16499</v>
      </c>
      <c r="AQ10" s="162">
        <f t="shared" si="20"/>
        <v>8.7803138753332732E-2</v>
      </c>
      <c r="AR10" s="168">
        <f t="shared" si="21"/>
        <v>5.6666270985356721</v>
      </c>
      <c r="AS10" s="168">
        <f t="shared" si="22"/>
        <v>0.99751500090914602</v>
      </c>
      <c r="AT10" s="168">
        <f t="shared" si="23"/>
        <v>21.056628197501468</v>
      </c>
      <c r="AU10" s="155">
        <f t="shared" si="24"/>
        <v>0.16193038429508716</v>
      </c>
      <c r="AV10" s="423">
        <f>AVERAGE('2021.06'!$B$72:$G$90)</f>
        <v>64.983870967741964</v>
      </c>
      <c r="AW10" s="423">
        <f>_xlfn.STDEV.S('2021.06'!$B$72:$G$90)</f>
        <v>27.168133068320085</v>
      </c>
      <c r="AX10" s="418">
        <f t="shared" si="57"/>
        <v>93</v>
      </c>
      <c r="AY10" s="424">
        <f>'2021.06'!$D$148+'2021.06'!$E$148</f>
        <v>39808</v>
      </c>
      <c r="AZ10" s="164">
        <f t="shared" si="25"/>
        <v>0.21184722392221766</v>
      </c>
      <c r="BA10" s="172">
        <f t="shared" si="42"/>
        <v>13.76665266423573</v>
      </c>
      <c r="BB10" s="172">
        <f t="shared" si="26"/>
        <v>0.99766378617363349</v>
      </c>
      <c r="BC10" s="172">
        <f t="shared" si="27"/>
        <v>7.9366392948166382</v>
      </c>
      <c r="BD10" s="156">
        <f t="shared" si="28"/>
        <v>0.35535825266283255</v>
      </c>
      <c r="BE10" s="421">
        <f>AVERAGE('2021.06'!$B$94:$G$108)</f>
        <v>63.786111111111126</v>
      </c>
      <c r="BF10" s="448">
        <f>_xlfn.STDEV.S('2021.06'!$B$94:$G$108)</f>
        <v>26.814124434159265</v>
      </c>
      <c r="BG10" s="417">
        <f t="shared" si="58"/>
        <v>72</v>
      </c>
      <c r="BH10" s="447">
        <f>'2021.06'!$D$149+'2021.06'!$E$149</f>
        <v>30421</v>
      </c>
      <c r="BI10" s="162">
        <f t="shared" si="43"/>
        <v>0.16189219249743228</v>
      </c>
      <c r="BJ10" s="168">
        <f t="shared" si="44"/>
        <v>10.326473378662605</v>
      </c>
      <c r="BK10" s="168">
        <f t="shared" si="29"/>
        <v>0.99763321389829396</v>
      </c>
      <c r="BL10" s="168">
        <f t="shared" si="30"/>
        <v>9.9860731829246792</v>
      </c>
      <c r="BM10" s="155">
        <f t="shared" si="31"/>
        <v>0.26110636181412733</v>
      </c>
      <c r="BN10" s="423">
        <f>AVERAGE('2021.06'!$B$112:$G$116)</f>
        <v>62.912499999999994</v>
      </c>
      <c r="BO10" s="449">
        <f>_xlfn.STDEV.S('2021.06'!$B$112:$G$116)</f>
        <v>38.341307141689029</v>
      </c>
      <c r="BP10" s="418">
        <f t="shared" si="59"/>
        <v>16</v>
      </c>
      <c r="BQ10" s="424">
        <f>'2021.06'!$D$150+'2021.06'!$E$150</f>
        <v>5002</v>
      </c>
      <c r="BR10" s="164">
        <f t="shared" si="45"/>
        <v>2.6619267837091357E-2</v>
      </c>
      <c r="BS10" s="172">
        <f t="shared" si="46"/>
        <v>1.6746846878010098</v>
      </c>
      <c r="BT10" s="172">
        <f t="shared" si="32"/>
        <v>0.99680127948820474</v>
      </c>
      <c r="BU10" s="172">
        <f t="shared" si="33"/>
        <v>91.878489583333391</v>
      </c>
      <c r="BV10" s="156">
        <f t="shared" si="34"/>
        <v>6.4895509420587583E-2</v>
      </c>
      <c r="BW10" s="421">
        <f>AVERAGE('2021.06'!$B$120:$G$128)</f>
        <v>60.055263157894736</v>
      </c>
      <c r="BX10" s="448">
        <f>_xlfn.STDEV.S('2021.06'!$B$120:$G$128)</f>
        <v>24.882010188285815</v>
      </c>
      <c r="BY10" s="417">
        <f t="shared" si="60"/>
        <v>38</v>
      </c>
      <c r="BZ10" s="447">
        <f>'2021.06'!$D$151+'2021.06'!$E$151</f>
        <v>15230</v>
      </c>
      <c r="CA10" s="162">
        <f t="shared" si="47"/>
        <v>8.1049869883826745E-2</v>
      </c>
      <c r="CB10" s="168">
        <f t="shared" si="48"/>
        <v>4.8674712647863423</v>
      </c>
      <c r="CC10" s="168">
        <f t="shared" si="35"/>
        <v>0.99750492449113592</v>
      </c>
      <c r="CD10" s="168">
        <f t="shared" si="36"/>
        <v>16.292485026577868</v>
      </c>
      <c r="CE10" s="155">
        <f t="shared" si="37"/>
        <v>0.10675962088186694</v>
      </c>
      <c r="CF10" s="423">
        <f>AVERAGE('2021.06'!$B$132:$G$136)</f>
        <v>64.07647058823531</v>
      </c>
      <c r="CG10" s="449">
        <f>_xlfn.STDEV.S('2021.06'!$B$132:$G$136)</f>
        <v>38.779158858395903</v>
      </c>
      <c r="CH10" s="418">
        <f t="shared" si="61"/>
        <v>17</v>
      </c>
      <c r="CI10" s="424">
        <f>'2021.06'!$D$152+'2021.06'!$E$152</f>
        <v>5992</v>
      </c>
      <c r="CJ10" s="164">
        <f t="shared" si="49"/>
        <v>3.1887775465783967E-2</v>
      </c>
      <c r="CK10" s="172">
        <f t="shared" si="50"/>
        <v>2.0432561067575579</v>
      </c>
      <c r="CL10" s="172">
        <f t="shared" si="38"/>
        <v>0.99716288384512686</v>
      </c>
      <c r="CM10" s="172">
        <f t="shared" si="39"/>
        <v>88.460185986159146</v>
      </c>
      <c r="CN10" s="156">
        <f t="shared" si="40"/>
        <v>8.9693795010452354E-2</v>
      </c>
      <c r="CO10" s="427">
        <f t="shared" si="51"/>
        <v>64.111825673340974</v>
      </c>
      <c r="CP10" s="428">
        <f t="shared" si="52"/>
        <v>1.3226473985934277</v>
      </c>
    </row>
    <row r="11" spans="1:94" x14ac:dyDescent="0.25">
      <c r="A11" s="165" t="str">
        <f>'monitoring results'!A11</f>
        <v>01/07/2021-31/07/2021</v>
      </c>
      <c r="B11" s="420">
        <f t="shared" si="41"/>
        <v>187975</v>
      </c>
      <c r="C11" s="421">
        <f>AVERAGE('2021.07'!$B$6:$G$11)</f>
        <v>63.158823529411755</v>
      </c>
      <c r="D11" s="421">
        <f>_xlfn.STDEV.S('2021.07'!$B$6:$G$11)</f>
        <v>36.156103544621793</v>
      </c>
      <c r="E11" s="417">
        <f t="shared" si="62"/>
        <v>17</v>
      </c>
      <c r="F11" s="417">
        <f>'2021.07'!$D$143+'2021.07'!$E$143</f>
        <v>5586</v>
      </c>
      <c r="G11" s="168">
        <f t="shared" si="0"/>
        <v>2.9716717648623488E-2</v>
      </c>
      <c r="H11" s="168">
        <f t="shared" si="1"/>
        <v>1.8768729258427668</v>
      </c>
      <c r="I11" s="168">
        <f t="shared" si="2"/>
        <v>0.99695667740780525</v>
      </c>
      <c r="J11" s="168">
        <f t="shared" si="3"/>
        <v>76.897871972318384</v>
      </c>
      <c r="K11" s="155">
        <f t="shared" si="4"/>
        <v>6.7700563546169032E-2</v>
      </c>
      <c r="L11" s="423">
        <f>AVERAGE('2021.07'!$B$15:$G$20)</f>
        <v>62.647368421052626</v>
      </c>
      <c r="M11" s="423">
        <f>_xlfn.STDEV.S('2021.07'!$B$15:$G$20)</f>
        <v>38.74440989672722</v>
      </c>
      <c r="N11" s="424">
        <f t="shared" si="53"/>
        <v>19</v>
      </c>
      <c r="O11" s="424">
        <f>'2021.07'!$D$144+'2021.07'!$E$144</f>
        <v>6981</v>
      </c>
      <c r="P11" s="171">
        <f t="shared" si="5"/>
        <v>3.7137917276233542E-2</v>
      </c>
      <c r="Q11" s="172">
        <f t="shared" si="6"/>
        <v>2.3265927859947779</v>
      </c>
      <c r="R11" s="172">
        <f t="shared" si="7"/>
        <v>0.99727832688726548</v>
      </c>
      <c r="S11" s="172">
        <f t="shared" si="8"/>
        <v>79.006805170821792</v>
      </c>
      <c r="T11" s="172">
        <f t="shared" si="9"/>
        <v>0.10867157723876053</v>
      </c>
      <c r="U11" s="421">
        <f>AVERAGE('2021.07'!$B$24:$G$38)</f>
        <v>65.265753424657547</v>
      </c>
      <c r="V11" s="421">
        <f>_xlfn.STDEV.S('2021.07'!$B$24:$G$38)</f>
        <v>28.710669809023926</v>
      </c>
      <c r="W11" s="162">
        <f t="shared" si="54"/>
        <v>73</v>
      </c>
      <c r="X11" s="447">
        <f>'2021.07'!$D$145+'2021.07'!$E$145</f>
        <v>30769</v>
      </c>
      <c r="Y11" s="168">
        <f t="shared" si="10"/>
        <v>0.16364226224032846</v>
      </c>
      <c r="Z11" s="168">
        <f t="shared" si="11"/>
        <v>10.683133220498938</v>
      </c>
      <c r="AA11" s="168">
        <f t="shared" si="12"/>
        <v>0.99762748220611652</v>
      </c>
      <c r="AB11" s="168">
        <f t="shared" si="13"/>
        <v>11.291815902504082</v>
      </c>
      <c r="AC11" s="155">
        <f t="shared" si="14"/>
        <v>0.30166376197322248</v>
      </c>
      <c r="AD11" s="423">
        <f>AVERAGE('2021.07'!$B$42:$G$56)</f>
        <v>64.953947368421055</v>
      </c>
      <c r="AE11" s="423">
        <f>_xlfn.STDEV.S('2021.07'!$B$42:$G$56)</f>
        <v>24.468371098430843</v>
      </c>
      <c r="AF11" s="164">
        <f t="shared" si="55"/>
        <v>76</v>
      </c>
      <c r="AG11" s="424">
        <f>'2021.07'!$D$146+'2021.07'!$E$146</f>
        <v>31666</v>
      </c>
      <c r="AH11" s="164">
        <f t="shared" si="15"/>
        <v>0.16845857161856631</v>
      </c>
      <c r="AI11" s="172">
        <f t="shared" si="16"/>
        <v>10.942049194671744</v>
      </c>
      <c r="AJ11" s="172">
        <f t="shared" si="17"/>
        <v>0.99759994947262043</v>
      </c>
      <c r="AK11" s="172">
        <f t="shared" si="18"/>
        <v>7.8776471606648126</v>
      </c>
      <c r="AL11" s="156">
        <f t="shared" si="19"/>
        <v>0.22301761713832424</v>
      </c>
      <c r="AM11" s="421">
        <f>AVERAGE('2021.07'!$B$60:$G$68)</f>
        <v>62.399999999999991</v>
      </c>
      <c r="AN11" s="448">
        <f>_xlfn.STDEV.S('2021.07'!$B$60:$G$68)</f>
        <v>28.072798221766234</v>
      </c>
      <c r="AO11" s="162">
        <f t="shared" si="56"/>
        <v>41</v>
      </c>
      <c r="AP11" s="447">
        <f>'2021.07'!$D$147+'2021.07'!$E$147</f>
        <v>16529</v>
      </c>
      <c r="AQ11" s="162">
        <f t="shared" si="20"/>
        <v>8.7931905838542365E-2</v>
      </c>
      <c r="AR11" s="168">
        <f t="shared" si="21"/>
        <v>5.4854626487826144</v>
      </c>
      <c r="AS11" s="168">
        <f t="shared" si="22"/>
        <v>0.99751951116219972</v>
      </c>
      <c r="AT11" s="168">
        <f t="shared" si="23"/>
        <v>19.221512195121988</v>
      </c>
      <c r="AU11" s="155">
        <f t="shared" si="24"/>
        <v>0.14825246493659638</v>
      </c>
      <c r="AV11" s="423">
        <f>AVERAGE('2021.07'!$B$72:$G$90)</f>
        <v>63.141935483870967</v>
      </c>
      <c r="AW11" s="423">
        <f>_xlfn.STDEV.S('2021.07'!$B$72:$G$90)</f>
        <v>24.78071358493133</v>
      </c>
      <c r="AX11" s="418">
        <f t="shared" si="57"/>
        <v>93</v>
      </c>
      <c r="AY11" s="424">
        <f>'2021.07'!$D$148+'2021.07'!$E$148</f>
        <v>39801</v>
      </c>
      <c r="AZ11" s="164">
        <f t="shared" si="25"/>
        <v>0.21173560313871526</v>
      </c>
      <c r="BA11" s="172">
        <f t="shared" si="42"/>
        <v>13.369395793023266</v>
      </c>
      <c r="BB11" s="172">
        <f t="shared" si="26"/>
        <v>0.99766337529207805</v>
      </c>
      <c r="BC11" s="172">
        <f t="shared" si="27"/>
        <v>6.6030512449290351</v>
      </c>
      <c r="BD11" s="156">
        <f t="shared" si="28"/>
        <v>0.29533606071535418</v>
      </c>
      <c r="BE11" s="421">
        <f>AVERAGE('2021.07'!$B$94:$G$108)</f>
        <v>64.336111111111123</v>
      </c>
      <c r="BF11" s="448">
        <f>_xlfn.STDEV.S('2021.07'!$B$94:$G$108)</f>
        <v>26.657606295313354</v>
      </c>
      <c r="BG11" s="417">
        <f t="shared" si="58"/>
        <v>72</v>
      </c>
      <c r="BH11" s="447">
        <f>'2021.07'!$D$149+'2021.07'!$E$149</f>
        <v>30421</v>
      </c>
      <c r="BI11" s="162">
        <f t="shared" si="43"/>
        <v>0.16183535044553798</v>
      </c>
      <c r="BJ11" s="168">
        <f t="shared" si="44"/>
        <v>10.411857087969738</v>
      </c>
      <c r="BK11" s="168">
        <f t="shared" si="29"/>
        <v>0.99763321389829396</v>
      </c>
      <c r="BL11" s="168">
        <f t="shared" si="30"/>
        <v>9.8698329638323621</v>
      </c>
      <c r="BM11" s="155">
        <f t="shared" si="31"/>
        <v>0.25788583463298159</v>
      </c>
      <c r="BN11" s="423">
        <f>AVERAGE('2021.07'!$B$112:$G$116)</f>
        <v>62.15625</v>
      </c>
      <c r="BO11" s="449">
        <f>_xlfn.STDEV.S('2021.07'!$B$112:$G$116)</f>
        <v>34.326102191578158</v>
      </c>
      <c r="BP11" s="418">
        <f t="shared" si="59"/>
        <v>16</v>
      </c>
      <c r="BQ11" s="424">
        <f>'2021.07'!$D$150+'2021.07'!$E$150</f>
        <v>4983</v>
      </c>
      <c r="BR11" s="164">
        <f t="shared" si="45"/>
        <v>2.6508844261204947E-2</v>
      </c>
      <c r="BS11" s="172">
        <f t="shared" si="46"/>
        <v>1.6476903511105201</v>
      </c>
      <c r="BT11" s="172">
        <f t="shared" si="32"/>
        <v>0.99678908288179813</v>
      </c>
      <c r="BU11" s="172">
        <f t="shared" si="33"/>
        <v>73.642580729166681</v>
      </c>
      <c r="BV11" s="156">
        <f t="shared" si="34"/>
        <v>5.1583862681189259E-2</v>
      </c>
      <c r="BW11" s="421">
        <f>AVERAGE('2021.07'!$B$120:$G$128)</f>
        <v>64.305263157894728</v>
      </c>
      <c r="BX11" s="448">
        <f>_xlfn.STDEV.S('2021.07'!$B$120:$G$128)</f>
        <v>27.583660923250825</v>
      </c>
      <c r="BY11" s="417">
        <f t="shared" si="60"/>
        <v>38</v>
      </c>
      <c r="BZ11" s="447">
        <f>'2021.07'!$D$151+'2021.07'!$E$151</f>
        <v>15225</v>
      </c>
      <c r="CA11" s="162">
        <f t="shared" si="47"/>
        <v>8.0994813140045224E-2</v>
      </c>
      <c r="CB11" s="168">
        <f t="shared" si="48"/>
        <v>5.2083927733951176</v>
      </c>
      <c r="CC11" s="168">
        <f t="shared" si="35"/>
        <v>0.99750410509031195</v>
      </c>
      <c r="CD11" s="168">
        <f t="shared" si="36"/>
        <v>20.022588156023016</v>
      </c>
      <c r="CE11" s="155">
        <f t="shared" si="37"/>
        <v>0.13102353779061757</v>
      </c>
      <c r="CF11" s="423">
        <f>AVERAGE('2021.07'!$B$132:$G$136)</f>
        <v>59.723529411764709</v>
      </c>
      <c r="CG11" s="449">
        <f>_xlfn.STDEV.S('2021.07'!$B$132:$G$136)</f>
        <v>37.704252568705115</v>
      </c>
      <c r="CH11" s="418">
        <f t="shared" si="61"/>
        <v>17</v>
      </c>
      <c r="CI11" s="424">
        <f>'2021.07'!$D$152+'2021.07'!$E$152</f>
        <v>6014</v>
      </c>
      <c r="CJ11" s="164">
        <f t="shared" si="49"/>
        <v>3.1993616172363348E-2</v>
      </c>
      <c r="CK11" s="172">
        <f t="shared" si="50"/>
        <v>1.9107716764588536</v>
      </c>
      <c r="CL11" s="172">
        <f t="shared" si="38"/>
        <v>0.99717326238776194</v>
      </c>
      <c r="CM11" s="172">
        <f t="shared" si="39"/>
        <v>83.62415657439449</v>
      </c>
      <c r="CN11" s="156">
        <f t="shared" si="40"/>
        <v>8.5355013653774278E-2</v>
      </c>
      <c r="CO11" s="427">
        <f t="shared" si="51"/>
        <v>63.862218457748334</v>
      </c>
      <c r="CP11" s="428">
        <f t="shared" si="52"/>
        <v>1.292474484973297</v>
      </c>
    </row>
    <row r="12" spans="1:94" x14ac:dyDescent="0.25">
      <c r="A12" s="165" t="str">
        <f>'monitoring results'!A12</f>
        <v>01/08/2021-31/08/2021</v>
      </c>
      <c r="B12" s="420">
        <f t="shared" si="41"/>
        <v>187979</v>
      </c>
      <c r="C12" s="421">
        <f>AVERAGE('2021.08'!$B$6:$G$11)</f>
        <v>64.882352941176464</v>
      </c>
      <c r="D12" s="421">
        <f>_xlfn.STDEV.S('2021.08'!$B$6:$G$11)</f>
        <v>41.973075228265643</v>
      </c>
      <c r="E12" s="417">
        <f t="shared" si="62"/>
        <v>17</v>
      </c>
      <c r="F12" s="417">
        <f>'2021.08'!$D$143+'2021.08'!$E$143</f>
        <v>5590</v>
      </c>
      <c r="G12" s="168">
        <f t="shared" si="0"/>
        <v>2.973736428005256E-2</v>
      </c>
      <c r="H12" s="168">
        <f t="shared" si="1"/>
        <v>1.9294301647587042</v>
      </c>
      <c r="I12" s="168">
        <f t="shared" si="2"/>
        <v>0.99695885509839</v>
      </c>
      <c r="J12" s="168">
        <f t="shared" si="3"/>
        <v>103.63170847750864</v>
      </c>
      <c r="K12" s="155">
        <f t="shared" si="4"/>
        <v>9.1363944030952618E-2</v>
      </c>
      <c r="L12" s="423">
        <f>AVERAGE('2021.08'!$B$15:$G$20)</f>
        <v>60.463157894736852</v>
      </c>
      <c r="M12" s="423">
        <f>_xlfn.STDEV.S('2021.08'!$B$15:$G$20)</f>
        <v>37.697041005691602</v>
      </c>
      <c r="N12" s="424">
        <f t="shared" si="53"/>
        <v>19</v>
      </c>
      <c r="O12" s="424">
        <f>'2021.08'!$D$144+'2021.08'!$E$144</f>
        <v>6995</v>
      </c>
      <c r="P12" s="171">
        <f t="shared" si="5"/>
        <v>3.7211603423786703E-2</v>
      </c>
      <c r="Q12" s="172">
        <f t="shared" si="6"/>
        <v>2.2499310533287455</v>
      </c>
      <c r="R12" s="172">
        <f t="shared" si="7"/>
        <v>0.99728377412437452</v>
      </c>
      <c r="S12" s="172">
        <f t="shared" si="8"/>
        <v>74.792994767620755</v>
      </c>
      <c r="T12" s="172">
        <f t="shared" si="9"/>
        <v>0.10328480738245401</v>
      </c>
      <c r="U12" s="421">
        <f>AVERAGE('2021.08'!$B$24:$G$38)</f>
        <v>65.173972602739752</v>
      </c>
      <c r="V12" s="421">
        <f>_xlfn.STDEV.S('2021.08'!$B$24:$G$38)</f>
        <v>28.37328079665626</v>
      </c>
      <c r="W12" s="162">
        <f t="shared" si="54"/>
        <v>73</v>
      </c>
      <c r="X12" s="447">
        <f>'2021.08'!$D$145+'2021.08'!$E$145</f>
        <v>30783</v>
      </c>
      <c r="Y12" s="168">
        <f t="shared" si="10"/>
        <v>0.16371672002808121</v>
      </c>
      <c r="Z12" s="168">
        <f t="shared" si="11"/>
        <v>10.672736840977651</v>
      </c>
      <c r="AA12" s="168">
        <f t="shared" si="12"/>
        <v>0.99762856121885457</v>
      </c>
      <c r="AB12" s="168">
        <f t="shared" si="13"/>
        <v>11.027987166656205</v>
      </c>
      <c r="AC12" s="155">
        <f t="shared" si="14"/>
        <v>0.29488399159255563</v>
      </c>
      <c r="AD12" s="423">
        <f>AVERAGE('2021.08'!$B$42:$G$56)</f>
        <v>64.280263157894709</v>
      </c>
      <c r="AE12" s="423">
        <f>_xlfn.STDEV.S('2021.08'!$B$42:$G$56)</f>
        <v>27.213594738595155</v>
      </c>
      <c r="AF12" s="164">
        <f t="shared" si="55"/>
        <v>76</v>
      </c>
      <c r="AG12" s="424">
        <f>'2021.08'!$D$146+'2021.08'!$E$146</f>
        <v>31719</v>
      </c>
      <c r="AH12" s="164">
        <f t="shared" si="15"/>
        <v>0.16873693338085638</v>
      </c>
      <c r="AI12" s="172">
        <f t="shared" si="16"/>
        <v>10.846454482177595</v>
      </c>
      <c r="AJ12" s="172">
        <f t="shared" si="17"/>
        <v>0.99760395977174565</v>
      </c>
      <c r="AK12" s="172">
        <f t="shared" si="18"/>
        <v>9.7444702446907101</v>
      </c>
      <c r="AL12" s="156">
        <f t="shared" si="19"/>
        <v>0.27678127277440318</v>
      </c>
      <c r="AM12" s="421">
        <f>AVERAGE('2021.08'!$B$60:$G$68)</f>
        <v>61.963414634146339</v>
      </c>
      <c r="AN12" s="448">
        <f>_xlfn.STDEV.S('2021.08'!$B$60:$G$68)</f>
        <v>26.237728141910079</v>
      </c>
      <c r="AO12" s="162">
        <f t="shared" si="56"/>
        <v>41</v>
      </c>
      <c r="AP12" s="447">
        <f>'2021.08'!$D$147+'2021.08'!$E$147</f>
        <v>16482</v>
      </c>
      <c r="AQ12" s="162">
        <f t="shared" si="20"/>
        <v>8.7680006809271252E-2</v>
      </c>
      <c r="AR12" s="168">
        <f t="shared" si="21"/>
        <v>5.431594566708859</v>
      </c>
      <c r="AS12" s="168">
        <f t="shared" si="22"/>
        <v>0.99751243781094523</v>
      </c>
      <c r="AT12" s="168">
        <f t="shared" si="23"/>
        <v>16.790692147531225</v>
      </c>
      <c r="AU12" s="155">
        <f t="shared" si="24"/>
        <v>0.12876210511840552</v>
      </c>
      <c r="AV12" s="423">
        <f>AVERAGE('2021.08'!$B$72:$G$90)</f>
        <v>66.265591397849448</v>
      </c>
      <c r="AW12" s="423">
        <f>_xlfn.STDEV.S('2021.08'!$B$72:$G$90)</f>
        <v>27.442657585463024</v>
      </c>
      <c r="AX12" s="418">
        <f t="shared" si="57"/>
        <v>93</v>
      </c>
      <c r="AY12" s="424">
        <f>'2021.08'!$D$148+'2021.08'!$E$148</f>
        <v>39812</v>
      </c>
      <c r="AZ12" s="164">
        <f t="shared" si="25"/>
        <v>0.21178961479739758</v>
      </c>
      <c r="BA12" s="172">
        <f t="shared" si="42"/>
        <v>14.034364076472277</v>
      </c>
      <c r="BB12" s="172">
        <f t="shared" si="26"/>
        <v>0.99766402089822159</v>
      </c>
      <c r="BC12" s="172">
        <f t="shared" si="27"/>
        <v>8.0978436059459273</v>
      </c>
      <c r="BD12" s="156">
        <f t="shared" si="28"/>
        <v>0.36237899505103371</v>
      </c>
      <c r="BE12" s="421">
        <f>AVERAGE('2021.08'!$B$94:$G$108)</f>
        <v>63.901388888888896</v>
      </c>
      <c r="BF12" s="448">
        <f>_xlfn.STDEV.S('2021.08'!$B$94:$G$108)</f>
        <v>27.462555778273842</v>
      </c>
      <c r="BG12" s="417">
        <f t="shared" si="58"/>
        <v>72</v>
      </c>
      <c r="BH12" s="447">
        <f>'2021.08'!$D$149+'2021.08'!$E$149</f>
        <v>30402</v>
      </c>
      <c r="BI12" s="162">
        <f t="shared" si="43"/>
        <v>0.16173083163544863</v>
      </c>
      <c r="BJ12" s="168">
        <f t="shared" si="44"/>
        <v>10.334824767660217</v>
      </c>
      <c r="BK12" s="168">
        <f t="shared" si="29"/>
        <v>0.99763173475429245</v>
      </c>
      <c r="BL12" s="168">
        <f t="shared" si="30"/>
        <v>10.474888470483361</v>
      </c>
      <c r="BM12" s="155">
        <f t="shared" si="31"/>
        <v>0.27334132966123842</v>
      </c>
      <c r="BN12" s="423">
        <f>AVERAGE('2021.08'!$B$112:$G$116)</f>
        <v>61.293750000000003</v>
      </c>
      <c r="BO12" s="449">
        <f>_xlfn.STDEV.S('2021.08'!$B$112:$G$116)</f>
        <v>41.902608808998984</v>
      </c>
      <c r="BP12" s="418">
        <f t="shared" si="59"/>
        <v>16</v>
      </c>
      <c r="BQ12" s="424">
        <f>'2021.08'!$D$150+'2021.08'!$E$150</f>
        <v>4987</v>
      </c>
      <c r="BR12" s="164">
        <f t="shared" si="45"/>
        <v>2.6529559152884099E-2</v>
      </c>
      <c r="BS12" s="172">
        <f t="shared" si="46"/>
        <v>1.6260961663270899</v>
      </c>
      <c r="BT12" s="172">
        <f t="shared" si="32"/>
        <v>0.99679165831161021</v>
      </c>
      <c r="BU12" s="172">
        <f t="shared" si="33"/>
        <v>109.73928906249995</v>
      </c>
      <c r="BV12" s="156">
        <f t="shared" si="34"/>
        <v>7.6988632182522554E-2</v>
      </c>
      <c r="BW12" s="421">
        <f>AVERAGE('2021.08'!$B$120:$G$128)</f>
        <v>63.942105263157899</v>
      </c>
      <c r="BX12" s="448">
        <f>_xlfn.STDEV.S('2021.08'!$B$120:$G$128)</f>
        <v>29.809336752270102</v>
      </c>
      <c r="BY12" s="417">
        <f t="shared" si="60"/>
        <v>38</v>
      </c>
      <c r="BZ12" s="447">
        <f>'2021.08'!$D$151+'2021.08'!$E$151</f>
        <v>15210</v>
      </c>
      <c r="CA12" s="162">
        <f t="shared" si="47"/>
        <v>8.0913293506189518E-2</v>
      </c>
      <c r="CB12" s="168">
        <f t="shared" si="48"/>
        <v>5.1737663305615609</v>
      </c>
      <c r="CC12" s="168">
        <f t="shared" si="35"/>
        <v>0.99750164365548977</v>
      </c>
      <c r="CD12" s="168">
        <f t="shared" si="36"/>
        <v>23.384119937111606</v>
      </c>
      <c r="CE12" s="155">
        <f t="shared" si="37"/>
        <v>0.15271243711971486</v>
      </c>
      <c r="CF12" s="423">
        <f>AVERAGE('2021.08'!$B$132:$G$136)</f>
        <v>59.264705882352949</v>
      </c>
      <c r="CG12" s="449">
        <f>_xlfn.STDEV.S('2021.08'!$B$132:$G$136)</f>
        <v>36.120214928355388</v>
      </c>
      <c r="CH12" s="418">
        <f t="shared" si="61"/>
        <v>17</v>
      </c>
      <c r="CI12" s="424">
        <f>'2021.08'!$D$152+'2021.08'!$E$152</f>
        <v>5999</v>
      </c>
      <c r="CJ12" s="164">
        <f t="shared" si="49"/>
        <v>3.1913139233637797E-2</v>
      </c>
      <c r="CK12" s="172">
        <f t="shared" si="50"/>
        <v>1.8913228104641229</v>
      </c>
      <c r="CL12" s="172">
        <f t="shared" si="38"/>
        <v>0.99716619436572762</v>
      </c>
      <c r="CM12" s="172">
        <f t="shared" si="39"/>
        <v>76.745289792387496</v>
      </c>
      <c r="CN12" s="156">
        <f t="shared" si="40"/>
        <v>7.7939628447252066E-2</v>
      </c>
      <c r="CO12" s="427">
        <f t="shared" si="51"/>
        <v>64.190521259436821</v>
      </c>
      <c r="CP12" s="428">
        <f t="shared" si="52"/>
        <v>1.355889797646008</v>
      </c>
    </row>
    <row r="13" spans="1:94" x14ac:dyDescent="0.25">
      <c r="A13" s="165" t="str">
        <f>'monitoring results'!A13</f>
        <v>01/09/2021-30/09/2021</v>
      </c>
      <c r="B13" s="420">
        <f t="shared" si="41"/>
        <v>188059</v>
      </c>
      <c r="C13" s="421">
        <f>AVERAGE('2021.09'!$B$6:$G$11)</f>
        <v>63.664705882352941</v>
      </c>
      <c r="D13" s="421">
        <f>_xlfn.STDEV.S('2021.09'!$B$6:$G$11)</f>
        <v>36.46429659914736</v>
      </c>
      <c r="E13" s="417">
        <f t="shared" si="62"/>
        <v>17</v>
      </c>
      <c r="F13" s="417">
        <f>'2021.09'!$D$143+'2021.09'!$E$143</f>
        <v>5576</v>
      </c>
      <c r="G13" s="168">
        <f t="shared" si="0"/>
        <v>2.9650269330369725E-2</v>
      </c>
      <c r="H13" s="168">
        <f t="shared" si="1"/>
        <v>1.8876756762505384</v>
      </c>
      <c r="I13" s="168">
        <f t="shared" si="2"/>
        <v>0.99695121951219512</v>
      </c>
      <c r="J13" s="168">
        <f t="shared" si="3"/>
        <v>78.214407439446461</v>
      </c>
      <c r="K13" s="155">
        <f t="shared" si="4"/>
        <v>6.8551656501636887E-2</v>
      </c>
      <c r="L13" s="423">
        <f>AVERAGE('2021.09'!$B$15:$G$20)</f>
        <v>63.431578947368422</v>
      </c>
      <c r="M13" s="423">
        <f>_xlfn.STDEV.S('2021.09'!$B$15:$G$20)</f>
        <v>40.030197665589903</v>
      </c>
      <c r="N13" s="424">
        <f t="shared" si="53"/>
        <v>19</v>
      </c>
      <c r="O13" s="424">
        <f>'2021.09'!$D$144+'2021.09'!$E$144</f>
        <v>6985</v>
      </c>
      <c r="P13" s="171">
        <f t="shared" si="5"/>
        <v>3.7142598865249739E-2</v>
      </c>
      <c r="Q13" s="172">
        <f t="shared" si="6"/>
        <v>2.3560136922315253</v>
      </c>
      <c r="R13" s="172">
        <f t="shared" si="7"/>
        <v>0.99727988546886182</v>
      </c>
      <c r="S13" s="172">
        <f t="shared" si="8"/>
        <v>84.33772237611575</v>
      </c>
      <c r="T13" s="172">
        <f t="shared" si="9"/>
        <v>0.11603352982556328</v>
      </c>
      <c r="U13" s="421">
        <f>AVERAGE('2021.09'!$B$24:$G$38)</f>
        <v>63.435616438356156</v>
      </c>
      <c r="V13" s="421">
        <f>_xlfn.STDEV.S('2021.09'!$B$24:$G$38)</f>
        <v>27.602568166864355</v>
      </c>
      <c r="W13" s="162">
        <f t="shared" si="54"/>
        <v>73</v>
      </c>
      <c r="X13" s="447">
        <f>'2021.09'!$D$145+'2021.09'!$E$145</f>
        <v>30805</v>
      </c>
      <c r="Y13" s="168">
        <f t="shared" si="10"/>
        <v>0.16383372512312128</v>
      </c>
      <c r="Z13" s="168">
        <f t="shared" si="11"/>
        <v>10.391069634442177</v>
      </c>
      <c r="AA13" s="168">
        <f t="shared" si="12"/>
        <v>0.99763025482876155</v>
      </c>
      <c r="AB13" s="168">
        <f t="shared" si="13"/>
        <v>10.437010539813608</v>
      </c>
      <c r="AC13" s="155">
        <f t="shared" si="14"/>
        <v>0.27948103664300422</v>
      </c>
      <c r="AD13" s="423">
        <f>AVERAGE('2021.09'!$B$42:$G$56)</f>
        <v>63.939473684210533</v>
      </c>
      <c r="AE13" s="423">
        <f>_xlfn.STDEV.S('2021.09'!$B$42:$G$56)</f>
        <v>25.871091093843816</v>
      </c>
      <c r="AF13" s="164">
        <f t="shared" si="55"/>
        <v>76</v>
      </c>
      <c r="AG13" s="424">
        <f>'2021.09'!$D$146+'2021.09'!$E$146</f>
        <v>31772</v>
      </c>
      <c r="AH13" s="164">
        <f t="shared" si="15"/>
        <v>0.16894697940539938</v>
      </c>
      <c r="AI13" s="172">
        <f t="shared" si="16"/>
        <v>10.802380943718392</v>
      </c>
      <c r="AJ13" s="172">
        <f t="shared" si="17"/>
        <v>0.99760795669142643</v>
      </c>
      <c r="AK13" s="172">
        <f t="shared" si="18"/>
        <v>8.806754662973221</v>
      </c>
      <c r="AL13" s="156">
        <f t="shared" si="19"/>
        <v>0.25077062666271183</v>
      </c>
      <c r="AM13" s="421">
        <f>AVERAGE('2021.09'!$B$60:$G$68)</f>
        <v>62.812195121951213</v>
      </c>
      <c r="AN13" s="448">
        <f>_xlfn.STDEV.S('2021.09'!$B$60:$G$68)</f>
        <v>26.973062443129731</v>
      </c>
      <c r="AO13" s="162">
        <f t="shared" si="56"/>
        <v>41</v>
      </c>
      <c r="AP13" s="447">
        <f>'2021.09'!$D$147+'2021.09'!$E$147</f>
        <v>16519</v>
      </c>
      <c r="AQ13" s="162">
        <f t="shared" si="20"/>
        <v>8.7839454639235565E-2</v>
      </c>
      <c r="AR13" s="168">
        <f t="shared" si="21"/>
        <v>5.5183573081356414</v>
      </c>
      <c r="AS13" s="168">
        <f t="shared" si="22"/>
        <v>0.99751800956474368</v>
      </c>
      <c r="AT13" s="168">
        <f t="shared" si="23"/>
        <v>17.745026769779891</v>
      </c>
      <c r="AU13" s="155">
        <f t="shared" si="24"/>
        <v>0.13657671594998019</v>
      </c>
      <c r="AV13" s="423">
        <f>AVERAGE('2021.09'!$B$72:$G$90)</f>
        <v>64.241935483871018</v>
      </c>
      <c r="AW13" s="423">
        <f>_xlfn.STDEV.S('2021.09'!$B$72:$G$90)</f>
        <v>27.40244483927847</v>
      </c>
      <c r="AX13" s="418">
        <f t="shared" si="57"/>
        <v>93</v>
      </c>
      <c r="AY13" s="424">
        <f>'2021.09'!$D$148+'2021.09'!$E$148</f>
        <v>39782</v>
      </c>
      <c r="AZ13" s="164">
        <f t="shared" si="25"/>
        <v>0.21153999542696708</v>
      </c>
      <c r="BA13" s="172">
        <f t="shared" si="42"/>
        <v>13.589738738477589</v>
      </c>
      <c r="BB13" s="172">
        <f t="shared" si="26"/>
        <v>0.99766225931325725</v>
      </c>
      <c r="BC13" s="172">
        <f t="shared" si="27"/>
        <v>8.0741288512870888</v>
      </c>
      <c r="BD13" s="156">
        <f t="shared" si="28"/>
        <v>0.36046591146424312</v>
      </c>
      <c r="BE13" s="421">
        <f>AVERAGE('2021.09'!$B$94:$G$108)</f>
        <v>65.816666666666663</v>
      </c>
      <c r="BF13" s="448">
        <f>_xlfn.STDEV.S('2021.09'!$B$94:$G$108)</f>
        <v>29.957270038656983</v>
      </c>
      <c r="BG13" s="417">
        <f t="shared" si="58"/>
        <v>72</v>
      </c>
      <c r="BH13" s="447">
        <f>'2021.09'!$D$149+'2021.09'!$E$149</f>
        <v>30345</v>
      </c>
      <c r="BI13" s="162">
        <f t="shared" si="43"/>
        <v>0.16135893522777425</v>
      </c>
      <c r="BJ13" s="168">
        <f t="shared" si="44"/>
        <v>10.620107253574677</v>
      </c>
      <c r="BK13" s="168">
        <f t="shared" si="29"/>
        <v>0.99762728620860108</v>
      </c>
      <c r="BL13" s="168">
        <f t="shared" si="30"/>
        <v>12.46441705790299</v>
      </c>
      <c r="BM13" s="155">
        <f t="shared" si="31"/>
        <v>0.32376233971044505</v>
      </c>
      <c r="BN13" s="423">
        <f>AVERAGE('2021.09'!$B$112:$G$116)</f>
        <v>56.987500000000004</v>
      </c>
      <c r="BO13" s="449">
        <f>_xlfn.STDEV.S('2021.09'!$B$112:$G$116)</f>
        <v>37.146015937109581</v>
      </c>
      <c r="BP13" s="418">
        <f t="shared" si="59"/>
        <v>16</v>
      </c>
      <c r="BQ13" s="424">
        <f>'2021.09'!$D$150+'2021.09'!$E$150</f>
        <v>5022</v>
      </c>
      <c r="BR13" s="164">
        <f t="shared" si="45"/>
        <v>2.670438532588177E-2</v>
      </c>
      <c r="BS13" s="172">
        <f t="shared" si="46"/>
        <v>1.5218161587586876</v>
      </c>
      <c r="BT13" s="172">
        <f t="shared" si="32"/>
        <v>0.99681401831939465</v>
      </c>
      <c r="BU13" s="172">
        <f t="shared" si="33"/>
        <v>86.239156249999937</v>
      </c>
      <c r="BV13" s="156">
        <f t="shared" si="34"/>
        <v>6.1303293516112967E-2</v>
      </c>
      <c r="BW13" s="421">
        <f>AVERAGE('2021.09'!$B$120:$G$128)</f>
        <v>63.878947368421052</v>
      </c>
      <c r="BX13" s="448">
        <f>_xlfn.STDEV.S('2021.09'!$B$120:$G$128)</f>
        <v>26.549048518551448</v>
      </c>
      <c r="BY13" s="417">
        <f t="shared" si="60"/>
        <v>38</v>
      </c>
      <c r="BZ13" s="447">
        <f>'2021.09'!$D$151+'2021.09'!$E$151</f>
        <v>15240</v>
      </c>
      <c r="CA13" s="162">
        <f t="shared" si="47"/>
        <v>8.1038397524181238E-2</v>
      </c>
      <c r="CB13" s="168">
        <f t="shared" si="48"/>
        <v>5.1766475302683563</v>
      </c>
      <c r="CC13" s="168">
        <f t="shared" si="35"/>
        <v>0.99750656167979002</v>
      </c>
      <c r="CD13" s="168">
        <f t="shared" si="36"/>
        <v>18.548736243168388</v>
      </c>
      <c r="CE13" s="155">
        <f t="shared" si="37"/>
        <v>0.12150993151429881</v>
      </c>
      <c r="CF13" s="423">
        <f>AVERAGE('2021.09'!$B$132:$G$136)</f>
        <v>60.205882352941181</v>
      </c>
      <c r="CG13" s="449">
        <f>_xlfn.STDEV.S('2021.09'!$B$132:$G$136)</f>
        <v>34.742237812715707</v>
      </c>
      <c r="CH13" s="418">
        <f t="shared" si="61"/>
        <v>17</v>
      </c>
      <c r="CI13" s="424">
        <f>'2021.09'!$D$152+'2021.09'!$E$152</f>
        <v>6013</v>
      </c>
      <c r="CJ13" s="164">
        <f t="shared" si="49"/>
        <v>3.1974008157014552E-2</v>
      </c>
      <c r="CK13" s="172">
        <f t="shared" si="50"/>
        <v>1.9250233734531998</v>
      </c>
      <c r="CL13" s="172">
        <f t="shared" si="38"/>
        <v>0.99717279228338596</v>
      </c>
      <c r="CM13" s="172">
        <f t="shared" si="39"/>
        <v>71.001358131487819</v>
      </c>
      <c r="CN13" s="156">
        <f t="shared" si="40"/>
        <v>7.2382110041612449E-2</v>
      </c>
      <c r="CO13" s="427">
        <f t="shared" si="51"/>
        <v>63.788830309310775</v>
      </c>
      <c r="CP13" s="428">
        <f t="shared" si="52"/>
        <v>1.3382216377826242</v>
      </c>
    </row>
    <row r="14" spans="1:94" x14ac:dyDescent="0.25">
      <c r="A14" s="165" t="str">
        <f>'monitoring results'!A14</f>
        <v>01/10/2021-31/10/2021</v>
      </c>
      <c r="B14" s="420">
        <f t="shared" si="41"/>
        <v>187950</v>
      </c>
      <c r="C14" s="421">
        <f>AVERAGE('2021.10'!$B$6:$G$11)</f>
        <v>63.070588235294132</v>
      </c>
      <c r="D14" s="421">
        <f>_xlfn.STDEV.S('2021.10'!$B$6:$G$11)</f>
        <v>36.907380100494152</v>
      </c>
      <c r="E14" s="417">
        <f t="shared" si="62"/>
        <v>17</v>
      </c>
      <c r="F14" s="417">
        <f>'2021.10'!$D$143+'2021.10'!$E$143</f>
        <v>5593</v>
      </c>
      <c r="G14" s="168">
        <f t="shared" si="0"/>
        <v>2.9757914338919927E-2</v>
      </c>
      <c r="H14" s="168">
        <f t="shared" si="1"/>
        <v>1.8768491620111738</v>
      </c>
      <c r="I14" s="168">
        <f t="shared" si="2"/>
        <v>0.99696048632218848</v>
      </c>
      <c r="J14" s="168">
        <f t="shared" si="3"/>
        <v>80.12674740484421</v>
      </c>
      <c r="K14" s="155">
        <f t="shared" si="4"/>
        <v>7.073924789419106E-2</v>
      </c>
      <c r="L14" s="423">
        <f>AVERAGE('2021.10'!$B$15:$G$20)</f>
        <v>62.936842105263153</v>
      </c>
      <c r="M14" s="423">
        <f>_xlfn.STDEV.S('2021.10'!$B$15:$G$20)</f>
        <v>36.919600493298908</v>
      </c>
      <c r="N14" s="424">
        <f t="shared" si="53"/>
        <v>19</v>
      </c>
      <c r="O14" s="424">
        <f>'2021.10'!$D$144+'2021.10'!$E$144</f>
        <v>6966</v>
      </c>
      <c r="P14" s="171">
        <f t="shared" si="5"/>
        <v>3.7063048683160418E-2</v>
      </c>
      <c r="Q14" s="172">
        <f t="shared" si="6"/>
        <v>2.3326312429117482</v>
      </c>
      <c r="R14" s="172">
        <f t="shared" si="7"/>
        <v>0.99727246626471433</v>
      </c>
      <c r="S14" s="172">
        <f t="shared" si="8"/>
        <v>71.739836872884055</v>
      </c>
      <c r="T14" s="172">
        <f t="shared" si="9"/>
        <v>9.827804161354145E-2</v>
      </c>
      <c r="U14" s="421">
        <f>AVERAGE('2021.10'!$B$24:$G$38)</f>
        <v>63.731506849315053</v>
      </c>
      <c r="V14" s="421">
        <f>_xlfn.STDEV.S('2021.10'!$B$24:$G$38)</f>
        <v>26.74011175863966</v>
      </c>
      <c r="W14" s="162">
        <f t="shared" si="54"/>
        <v>73</v>
      </c>
      <c r="X14" s="447">
        <f>'2021.10'!$D$145+'2021.10'!$E$145</f>
        <v>30778</v>
      </c>
      <c r="Y14" s="168">
        <f t="shared" si="10"/>
        <v>0.16369012796102667</v>
      </c>
      <c r="Z14" s="168">
        <f t="shared" si="11"/>
        <v>10.436436913052507</v>
      </c>
      <c r="AA14" s="168">
        <f t="shared" si="12"/>
        <v>0.99762817596984854</v>
      </c>
      <c r="AB14" s="168">
        <f t="shared" si="13"/>
        <v>9.7949805049936849</v>
      </c>
      <c r="AC14" s="155">
        <f t="shared" si="14"/>
        <v>0.26182870562461175</v>
      </c>
      <c r="AD14" s="423">
        <f>AVERAGE('2021.10'!$B$42:$G$56)</f>
        <v>63.746052631578934</v>
      </c>
      <c r="AE14" s="423">
        <f>_xlfn.STDEV.S('2021.10'!$B$42:$G$56)</f>
        <v>28.879512649579052</v>
      </c>
      <c r="AF14" s="164">
        <f t="shared" si="55"/>
        <v>76</v>
      </c>
      <c r="AG14" s="424">
        <f>'2021.10'!$D$146+'2021.10'!$E$146</f>
        <v>31742</v>
      </c>
      <c r="AH14" s="164">
        <f t="shared" si="15"/>
        <v>0.16888534184623571</v>
      </c>
      <c r="AI14" s="172">
        <f t="shared" si="16"/>
        <v>10.765773890032341</v>
      </c>
      <c r="AJ14" s="172">
        <f t="shared" si="17"/>
        <v>0.99760569592338222</v>
      </c>
      <c r="AK14" s="172">
        <f t="shared" si="18"/>
        <v>10.974029616805216</v>
      </c>
      <c r="AL14" s="156">
        <f t="shared" si="19"/>
        <v>0.31225468458752426</v>
      </c>
      <c r="AM14" s="421">
        <f>AVERAGE('2021.10'!$B$60:$G$68)</f>
        <v>64.078048780487819</v>
      </c>
      <c r="AN14" s="448">
        <f>_xlfn.STDEV.S('2021.10'!$B$60:$G$68)</f>
        <v>25.969188591435795</v>
      </c>
      <c r="AO14" s="162">
        <f t="shared" si="56"/>
        <v>41</v>
      </c>
      <c r="AP14" s="447">
        <f>'2021.10'!$D$147+'2021.10'!$E$147</f>
        <v>16524</v>
      </c>
      <c r="AQ14" s="162">
        <f t="shared" si="20"/>
        <v>8.7916999201915397E-2</v>
      </c>
      <c r="AR14" s="168">
        <f t="shared" si="21"/>
        <v>5.6312726859518403</v>
      </c>
      <c r="AS14" s="168">
        <f t="shared" si="22"/>
        <v>0.99751876059065603</v>
      </c>
      <c r="AT14" s="168">
        <f t="shared" si="23"/>
        <v>16.448750148720951</v>
      </c>
      <c r="AU14" s="155">
        <f t="shared" si="24"/>
        <v>0.12682348664643592</v>
      </c>
      <c r="AV14" s="423">
        <f>AVERAGE('2021.10'!$B$72:$G$90)</f>
        <v>63.578494623655928</v>
      </c>
      <c r="AW14" s="423">
        <f>_xlfn.STDEV.S('2021.10'!$B$72:$G$90)</f>
        <v>26.193144844398564</v>
      </c>
      <c r="AX14" s="418">
        <f t="shared" si="57"/>
        <v>93</v>
      </c>
      <c r="AY14" s="424">
        <f>'2021.10'!$D$148+'2021.10'!$E$148</f>
        <v>39714</v>
      </c>
      <c r="AZ14" s="164">
        <f t="shared" si="25"/>
        <v>0.21130087789305665</v>
      </c>
      <c r="BA14" s="172">
        <f t="shared" si="42"/>
        <v>13.434191729097479</v>
      </c>
      <c r="BB14" s="172">
        <f t="shared" si="26"/>
        <v>0.99765825653421969</v>
      </c>
      <c r="BC14" s="172">
        <f t="shared" si="27"/>
        <v>7.3772132993510011</v>
      </c>
      <c r="BD14" s="156">
        <f t="shared" si="28"/>
        <v>0.32860694997734935</v>
      </c>
      <c r="BE14" s="421">
        <f>AVERAGE('2021.10'!$B$94:$G$108)</f>
        <v>64.930555555555571</v>
      </c>
      <c r="BF14" s="448">
        <f>_xlfn.STDEV.S('2021.10'!$B$94:$G$108)</f>
        <v>28.12783013060238</v>
      </c>
      <c r="BG14" s="417">
        <f t="shared" si="58"/>
        <v>72</v>
      </c>
      <c r="BH14" s="447">
        <f>'2021.10'!$D$149+'2021.10'!$E$149</f>
        <v>30414</v>
      </c>
      <c r="BI14" s="162">
        <f t="shared" si="43"/>
        <v>0.16181963288108539</v>
      </c>
      <c r="BJ14" s="168">
        <f t="shared" si="44"/>
        <v>10.507038662764923</v>
      </c>
      <c r="BK14" s="168">
        <f t="shared" si="29"/>
        <v>0.99763266916551585</v>
      </c>
      <c r="BL14" s="168">
        <f t="shared" si="30"/>
        <v>10.988539275778098</v>
      </c>
      <c r="BM14" s="155">
        <f t="shared" si="31"/>
        <v>0.2870602444323968</v>
      </c>
      <c r="BN14" s="423">
        <f>AVERAGE('2021.10'!$B$112:$G$116)</f>
        <v>59.53125</v>
      </c>
      <c r="BO14" s="449">
        <f>_xlfn.STDEV.S('2021.10'!$B$112:$G$116)</f>
        <v>39.640176904247035</v>
      </c>
      <c r="BP14" s="418">
        <f t="shared" si="59"/>
        <v>16</v>
      </c>
      <c r="BQ14" s="424">
        <f>'2021.10'!$D$150+'2021.10'!$E$150</f>
        <v>4988</v>
      </c>
      <c r="BR14" s="164">
        <f t="shared" si="45"/>
        <v>2.6538973131151902E-2</v>
      </c>
      <c r="BS14" s="172">
        <f t="shared" si="46"/>
        <v>1.5798982442138867</v>
      </c>
      <c r="BT14" s="172">
        <f t="shared" si="32"/>
        <v>0.99679230152365683</v>
      </c>
      <c r="BU14" s="172">
        <f t="shared" si="33"/>
        <v>98.208976562499998</v>
      </c>
      <c r="BV14" s="156">
        <f t="shared" si="34"/>
        <v>6.8948383720266709E-2</v>
      </c>
      <c r="BW14" s="421">
        <f>AVERAGE('2021.10'!$B$120:$G$128)</f>
        <v>64.565789473684205</v>
      </c>
      <c r="BX14" s="448">
        <f>_xlfn.STDEV.S('2021.10'!$B$120:$G$128)</f>
        <v>29.120674148676571</v>
      </c>
      <c r="BY14" s="417">
        <f t="shared" si="60"/>
        <v>38</v>
      </c>
      <c r="BZ14" s="447">
        <f>'2021.10'!$D$151+'2021.10'!$E$151</f>
        <v>15215</v>
      </c>
      <c r="CA14" s="162">
        <f t="shared" si="47"/>
        <v>8.0952380952380956E-2</v>
      </c>
      <c r="CB14" s="168">
        <f t="shared" si="48"/>
        <v>5.2267543859649122</v>
      </c>
      <c r="CC14" s="168">
        <f t="shared" si="35"/>
        <v>0.99750246467302006</v>
      </c>
      <c r="CD14" s="168">
        <f t="shared" si="36"/>
        <v>22.316149022984206</v>
      </c>
      <c r="CE14" s="155">
        <f t="shared" si="37"/>
        <v>0.14587890125973557</v>
      </c>
      <c r="CF14" s="423">
        <f>AVERAGE('2021.10'!$B$132:$G$136)</f>
        <v>58.517647058823528</v>
      </c>
      <c r="CG14" s="449">
        <f>_xlfn.STDEV.S('2021.10'!$B$132:$G$136)</f>
        <v>36.150021357084256</v>
      </c>
      <c r="CH14" s="418">
        <f t="shared" si="61"/>
        <v>17</v>
      </c>
      <c r="CI14" s="424">
        <f>'2021.10'!$D$152+'2021.10'!$E$152</f>
        <v>6016</v>
      </c>
      <c r="CJ14" s="164">
        <f t="shared" si="49"/>
        <v>3.2008512902367649E-2</v>
      </c>
      <c r="CK14" s="172">
        <f t="shared" si="50"/>
        <v>1.8730628608985491</v>
      </c>
      <c r="CL14" s="172">
        <f t="shared" si="38"/>
        <v>0.99717420212765961</v>
      </c>
      <c r="CM14" s="172">
        <f t="shared" si="39"/>
        <v>76.872002595155763</v>
      </c>
      <c r="CN14" s="156">
        <f t="shared" si="40"/>
        <v>7.8536261574357003E-2</v>
      </c>
      <c r="CO14" s="427">
        <f t="shared" si="51"/>
        <v>63.663909776899359</v>
      </c>
      <c r="CP14" s="428">
        <f t="shared" si="52"/>
        <v>1.3337746838692097</v>
      </c>
    </row>
    <row r="15" spans="1:94" x14ac:dyDescent="0.25">
      <c r="A15" s="165" t="str">
        <f>'monitoring results'!A15</f>
        <v>01/11/2021-30/11/2021</v>
      </c>
      <c r="B15" s="420">
        <f t="shared" si="41"/>
        <v>188057</v>
      </c>
      <c r="C15" s="421">
        <f>AVERAGE('2021.11'!$B$6:$G$11)</f>
        <v>61.970588235294116</v>
      </c>
      <c r="D15" s="421">
        <f>_xlfn.STDEV.S('2021.11'!$B$6:$G$11)</f>
        <v>35.460114295957283</v>
      </c>
      <c r="E15" s="417">
        <f t="shared" si="62"/>
        <v>17</v>
      </c>
      <c r="F15" s="417">
        <f>'2021.11'!$D$143+'2021.11'!$E$143</f>
        <v>5607</v>
      </c>
      <c r="G15" s="168">
        <f t="shared" si="0"/>
        <v>2.9815428300993846E-2</v>
      </c>
      <c r="H15" s="168">
        <f t="shared" si="1"/>
        <v>1.8476796302998244</v>
      </c>
      <c r="I15" s="168">
        <f t="shared" si="2"/>
        <v>0.99696807561976097</v>
      </c>
      <c r="J15" s="168">
        <f t="shared" si="3"/>
        <v>73.96586505190318</v>
      </c>
      <c r="K15" s="155">
        <f t="shared" si="4"/>
        <v>6.5553320850188349E-2</v>
      </c>
      <c r="L15" s="423">
        <f>AVERAGE('2021.11'!$B$15:$G$20)</f>
        <v>64.910526315789468</v>
      </c>
      <c r="M15" s="423">
        <f>_xlfn.STDEV.S('2021.11'!$B$15:$G$20)</f>
        <v>35.151938380832213</v>
      </c>
      <c r="N15" s="424">
        <f t="shared" si="53"/>
        <v>19</v>
      </c>
      <c r="O15" s="424">
        <f>'2021.11'!$D$144+'2021.11'!$E$144</f>
        <v>6980</v>
      </c>
      <c r="P15" s="171">
        <f t="shared" si="5"/>
        <v>3.7116406195993767E-2</v>
      </c>
      <c r="Q15" s="172">
        <f t="shared" si="6"/>
        <v>2.4092454611325849</v>
      </c>
      <c r="R15" s="172">
        <f t="shared" si="7"/>
        <v>0.99727793696275069</v>
      </c>
      <c r="S15" s="172">
        <f t="shared" si="8"/>
        <v>65.03467220683288</v>
      </c>
      <c r="T15" s="172">
        <f t="shared" si="9"/>
        <v>8.9349680650319729E-2</v>
      </c>
      <c r="U15" s="421">
        <f>AVERAGE('2021.11'!$B$24:$G$38)</f>
        <v>65.30958904109589</v>
      </c>
      <c r="V15" s="421">
        <f>_xlfn.STDEV.S('2021.11'!$B$24:$G$38)</f>
        <v>28.189271818585528</v>
      </c>
      <c r="W15" s="162">
        <f t="shared" si="54"/>
        <v>73</v>
      </c>
      <c r="X15" s="447">
        <f>'2021.11'!$D$145+'2021.11'!$E$145</f>
        <v>30772</v>
      </c>
      <c r="Y15" s="168">
        <f t="shared" si="10"/>
        <v>0.1636582174805612</v>
      </c>
      <c r="Z15" s="168">
        <f t="shared" si="11"/>
        <v>10.686689003720163</v>
      </c>
      <c r="AA15" s="168">
        <f t="shared" si="12"/>
        <v>0.9976277135057845</v>
      </c>
      <c r="AB15" s="168">
        <f t="shared" si="13"/>
        <v>10.885411584412331</v>
      </c>
      <c r="AC15" s="155">
        <f t="shared" si="14"/>
        <v>0.29086334414321308</v>
      </c>
      <c r="AD15" s="423">
        <f>AVERAGE('2021.11'!$B$42:$G$56)</f>
        <v>66.236842105263193</v>
      </c>
      <c r="AE15" s="423">
        <f>_xlfn.STDEV.S('2021.11'!$B$42:$G$56)</f>
        <v>28.174342190985257</v>
      </c>
      <c r="AF15" s="164">
        <f t="shared" si="55"/>
        <v>76</v>
      </c>
      <c r="AG15" s="424">
        <f>'2021.11'!$D$146+'2021.11'!$E$146</f>
        <v>31780</v>
      </c>
      <c r="AH15" s="164">
        <f t="shared" si="15"/>
        <v>0.16899131646256188</v>
      </c>
      <c r="AI15" s="172">
        <f t="shared" si="16"/>
        <v>11.193451145691276</v>
      </c>
      <c r="AJ15" s="172">
        <f t="shared" si="17"/>
        <v>0.99760855884203903</v>
      </c>
      <c r="AK15" s="172">
        <f t="shared" si="18"/>
        <v>10.444652077562262</v>
      </c>
      <c r="AL15" s="156">
        <f t="shared" si="19"/>
        <v>0.29756573654384488</v>
      </c>
      <c r="AM15" s="421">
        <f>AVERAGE('2021.11'!$B$60:$G$68)</f>
        <v>62.624390243902447</v>
      </c>
      <c r="AN15" s="448">
        <f>_xlfn.STDEV.S('2021.11'!$B$60:$G$68)</f>
        <v>26.295586896738023</v>
      </c>
      <c r="AO15" s="162">
        <f t="shared" si="56"/>
        <v>41</v>
      </c>
      <c r="AP15" s="447">
        <f>'2021.11'!$D$147+'2021.11'!$E$147</f>
        <v>16530</v>
      </c>
      <c r="AQ15" s="162">
        <f t="shared" si="20"/>
        <v>8.7898881722031086E-2</v>
      </c>
      <c r="AR15" s="168">
        <f t="shared" si="21"/>
        <v>5.5055214211423289</v>
      </c>
      <c r="AS15" s="168">
        <f t="shared" si="22"/>
        <v>0.99751966122202052</v>
      </c>
      <c r="AT15" s="168">
        <f t="shared" si="23"/>
        <v>16.864826591314642</v>
      </c>
      <c r="AU15" s="155">
        <f t="shared" si="24"/>
        <v>0.12997805809159357</v>
      </c>
      <c r="AV15" s="423">
        <f>AVERAGE('2021.11'!$B$72:$G$90)</f>
        <v>63.198924731182792</v>
      </c>
      <c r="AW15" s="423">
        <f>_xlfn.STDEV.S('2021.11'!$B$72:$G$90)</f>
        <v>26.819491186949875</v>
      </c>
      <c r="AX15" s="418">
        <f t="shared" si="57"/>
        <v>93</v>
      </c>
      <c r="AY15" s="424">
        <f>'2021.11'!$D$148+'2021.11'!$E$148</f>
        <v>39769</v>
      </c>
      <c r="AZ15" s="164">
        <f t="shared" si="25"/>
        <v>0.21147311719319142</v>
      </c>
      <c r="BA15" s="172">
        <f t="shared" si="42"/>
        <v>13.364873616161104</v>
      </c>
      <c r="BB15" s="172">
        <f t="shared" si="26"/>
        <v>0.99766149513440117</v>
      </c>
      <c r="BC15" s="172">
        <f t="shared" si="27"/>
        <v>7.73424846803099</v>
      </c>
      <c r="BD15" s="156">
        <f t="shared" si="28"/>
        <v>0.34507354452245037</v>
      </c>
      <c r="BE15" s="421">
        <f>AVERAGE('2021.11'!$B$94:$G$108)</f>
        <v>62.287500000000009</v>
      </c>
      <c r="BF15" s="448">
        <f>_xlfn.STDEV.S('2021.11'!$B$94:$G$108)</f>
        <v>25.992360402544691</v>
      </c>
      <c r="BG15" s="417">
        <f t="shared" si="58"/>
        <v>72</v>
      </c>
      <c r="BH15" s="447">
        <f>'2021.11'!$D$149+'2021.11'!$E$149</f>
        <v>30400</v>
      </c>
      <c r="BI15" s="162">
        <f t="shared" si="43"/>
        <v>0.16165311581063188</v>
      </c>
      <c r="BJ15" s="168">
        <f t="shared" si="44"/>
        <v>10.068968451054735</v>
      </c>
      <c r="BK15" s="168">
        <f t="shared" si="29"/>
        <v>0.99763157894736842</v>
      </c>
      <c r="BL15" s="168">
        <f t="shared" si="30"/>
        <v>9.3833722124412944</v>
      </c>
      <c r="BM15" s="155">
        <f t="shared" si="31"/>
        <v>0.24462300203122136</v>
      </c>
      <c r="BN15" s="423">
        <f>AVERAGE('2021.11'!$B$112:$G$116)</f>
        <v>62.075000000000003</v>
      </c>
      <c r="BO15" s="449">
        <f>_xlfn.STDEV.S('2021.11'!$B$112:$G$116)</f>
        <v>39.366779565178206</v>
      </c>
      <c r="BP15" s="418">
        <f t="shared" si="59"/>
        <v>16</v>
      </c>
      <c r="BQ15" s="424">
        <f>'2021.11'!$D$150+'2021.11'!$E$150</f>
        <v>4988</v>
      </c>
      <c r="BR15" s="164">
        <f t="shared" si="45"/>
        <v>2.6523873081033943E-2</v>
      </c>
      <c r="BS15" s="172">
        <f t="shared" si="46"/>
        <v>1.6464694215051821</v>
      </c>
      <c r="BT15" s="172">
        <f t="shared" si="32"/>
        <v>0.99679230152365683</v>
      </c>
      <c r="BU15" s="172">
        <f t="shared" si="33"/>
        <v>96.858958333333277</v>
      </c>
      <c r="BV15" s="156">
        <f t="shared" si="34"/>
        <v>6.7923233359459045E-2</v>
      </c>
      <c r="BW15" s="421">
        <f>AVERAGE('2021.11'!$B$120:$G$128)</f>
        <v>65.307894736842115</v>
      </c>
      <c r="BX15" s="448">
        <f>_xlfn.STDEV.S('2021.11'!$B$120:$G$128)</f>
        <v>29.176558357870814</v>
      </c>
      <c r="BY15" s="417">
        <f t="shared" si="60"/>
        <v>38</v>
      </c>
      <c r="BZ15" s="447">
        <f>'2021.11'!$D$151+'2021.11'!$E$151</f>
        <v>15218</v>
      </c>
      <c r="CA15" s="162">
        <f t="shared" si="47"/>
        <v>8.0922273565993283E-2</v>
      </c>
      <c r="CB15" s="168">
        <f t="shared" si="48"/>
        <v>5.2848633239138314</v>
      </c>
      <c r="CC15" s="168">
        <f t="shared" si="35"/>
        <v>0.99750295702457614</v>
      </c>
      <c r="CD15" s="168">
        <f t="shared" si="36"/>
        <v>22.401883095006347</v>
      </c>
      <c r="CE15" s="155">
        <f t="shared" si="37"/>
        <v>0.14633050468373901</v>
      </c>
      <c r="CF15" s="423">
        <f>AVERAGE('2021.11'!$B$132:$G$136)</f>
        <v>60.088235294117652</v>
      </c>
      <c r="CG15" s="449">
        <f>_xlfn.STDEV.S('2021.11'!$B$132:$G$136)</f>
        <v>38.09046603733244</v>
      </c>
      <c r="CH15" s="418">
        <f t="shared" si="61"/>
        <v>17</v>
      </c>
      <c r="CI15" s="424">
        <f>'2021.11'!$D$152+'2021.11'!$E$152</f>
        <v>6013</v>
      </c>
      <c r="CJ15" s="164">
        <f t="shared" si="49"/>
        <v>3.1974348202938471E-2</v>
      </c>
      <c r="CK15" s="172">
        <f t="shared" si="50"/>
        <v>1.9212821581942148</v>
      </c>
      <c r="CL15" s="172">
        <f t="shared" si="38"/>
        <v>0.99717279228338596</v>
      </c>
      <c r="CM15" s="172">
        <f t="shared" si="39"/>
        <v>85.346094290657419</v>
      </c>
      <c r="CN15" s="156">
        <f t="shared" si="40"/>
        <v>8.7007656597283545E-2</v>
      </c>
      <c r="CO15" s="427">
        <f t="shared" si="51"/>
        <v>63.929043632815244</v>
      </c>
      <c r="CP15" s="428">
        <f t="shared" si="52"/>
        <v>1.3282575358240256</v>
      </c>
    </row>
    <row r="16" spans="1:94" x14ac:dyDescent="0.25">
      <c r="A16" s="165" t="str">
        <f>'monitoring results'!A16</f>
        <v>01/12/2021-31/12/2021</v>
      </c>
      <c r="B16" s="420">
        <f t="shared" si="41"/>
        <v>187945</v>
      </c>
      <c r="C16" s="421">
        <f>AVERAGE('2021.12'!$B$6:$G$11)</f>
        <v>66.564705882352939</v>
      </c>
      <c r="D16" s="421">
        <f>_xlfn.STDEV.S('2021.12'!$B$6:$G$11)</f>
        <v>39.847756228809025</v>
      </c>
      <c r="E16" s="417">
        <f t="shared" si="62"/>
        <v>17</v>
      </c>
      <c r="F16" s="417">
        <f>'2021.12'!$D$143+'2021.12'!$E$143</f>
        <v>5595</v>
      </c>
      <c r="G16" s="168">
        <f t="shared" si="0"/>
        <v>2.9769347415467291E-2</v>
      </c>
      <c r="H16" s="168">
        <f t="shared" si="1"/>
        <v>1.9815878550201638</v>
      </c>
      <c r="I16" s="168">
        <f t="shared" si="2"/>
        <v>0.99696157283288656</v>
      </c>
      <c r="J16" s="168">
        <f t="shared" si="3"/>
        <v>93.402569204152257</v>
      </c>
      <c r="K16" s="155">
        <f t="shared" si="4"/>
        <v>8.2523163916318976E-2</v>
      </c>
      <c r="L16" s="423">
        <f>AVERAGE('2021.12'!$B$15:$G$20)</f>
        <v>63.031578947368402</v>
      </c>
      <c r="M16" s="423">
        <f>_xlfn.STDEV.S('2021.12'!$B$15:$G$20)</f>
        <v>35.662632990468701</v>
      </c>
      <c r="N16" s="424">
        <f t="shared" si="53"/>
        <v>19</v>
      </c>
      <c r="O16" s="424">
        <f>'2021.12'!$D$144+'2021.12'!$E$144</f>
        <v>6989</v>
      </c>
      <c r="P16" s="171">
        <f t="shared" si="5"/>
        <v>3.7186410918087741E-2</v>
      </c>
      <c r="Q16" s="172">
        <f t="shared" si="6"/>
        <v>2.3439181955527295</v>
      </c>
      <c r="R16" s="172">
        <f t="shared" si="7"/>
        <v>0.99728144226641868</v>
      </c>
      <c r="S16" s="172">
        <f t="shared" si="8"/>
        <v>66.938073253308758</v>
      </c>
      <c r="T16" s="172">
        <f t="shared" si="9"/>
        <v>9.2312279047041992E-2</v>
      </c>
      <c r="U16" s="421">
        <f>AVERAGE('2021.12'!$B$24:$G$38)</f>
        <v>64.413698630137006</v>
      </c>
      <c r="V16" s="421">
        <f>_xlfn.STDEV.S('2021.12'!$B$24:$G$38)</f>
        <v>27.3792313577508</v>
      </c>
      <c r="W16" s="162">
        <f t="shared" si="54"/>
        <v>73</v>
      </c>
      <c r="X16" s="447">
        <f>'2021.12'!$D$145+'2021.12'!$E$145</f>
        <v>30765</v>
      </c>
      <c r="Y16" s="168">
        <f t="shared" si="10"/>
        <v>0.16362098858668481</v>
      </c>
      <c r="Z16" s="168">
        <f t="shared" si="11"/>
        <v>10.54397530318</v>
      </c>
      <c r="AA16" s="168">
        <f t="shared" si="12"/>
        <v>0.99762717373638876</v>
      </c>
      <c r="AB16" s="168">
        <f t="shared" si="13"/>
        <v>10.268798763578696</v>
      </c>
      <c r="AC16" s="155">
        <f t="shared" si="14"/>
        <v>0.27426218892332949</v>
      </c>
      <c r="AD16" s="423">
        <f>AVERAGE('2021.12'!$B$42:$G$56)</f>
        <v>63.507894736842125</v>
      </c>
      <c r="AE16" s="423">
        <f>_xlfn.STDEV.S('2021.12'!$B$42:$G$56)</f>
        <v>26.14007275255311</v>
      </c>
      <c r="AF16" s="164">
        <f t="shared" si="55"/>
        <v>76</v>
      </c>
      <c r="AG16" s="424">
        <f>'2021.12'!$D$146+'2021.12'!$E$146</f>
        <v>31757</v>
      </c>
      <c r="AH16" s="164">
        <f t="shared" si="15"/>
        <v>0.16896964537497672</v>
      </c>
      <c r="AI16" s="172">
        <f t="shared" si="16"/>
        <v>10.730906452195565</v>
      </c>
      <c r="AJ16" s="172">
        <f t="shared" si="17"/>
        <v>0.99760682684132629</v>
      </c>
      <c r="AK16" s="172">
        <f t="shared" si="18"/>
        <v>8.9908342566943364</v>
      </c>
      <c r="AL16" s="156">
        <f t="shared" si="19"/>
        <v>0.25608066522166301</v>
      </c>
      <c r="AM16" s="421">
        <f>AVERAGE('2021.12'!$B$60:$G$68)</f>
        <v>62.214634146341481</v>
      </c>
      <c r="AN16" s="448">
        <f>_xlfn.STDEV.S('2021.12'!$B$60:$G$68)</f>
        <v>29.902153442315885</v>
      </c>
      <c r="AO16" s="162">
        <f t="shared" si="56"/>
        <v>41</v>
      </c>
      <c r="AP16" s="447">
        <f>'2021.12'!$D$147+'2021.12'!$E$147</f>
        <v>16522</v>
      </c>
      <c r="AQ16" s="162">
        <f t="shared" si="20"/>
        <v>8.7908696693181521E-2</v>
      </c>
      <c r="AR16" s="168">
        <f t="shared" si="21"/>
        <v>5.4668513150620335</v>
      </c>
      <c r="AS16" s="168">
        <f t="shared" si="22"/>
        <v>0.99751846023483837</v>
      </c>
      <c r="AT16" s="168">
        <f t="shared" si="23"/>
        <v>21.808262938726919</v>
      </c>
      <c r="AU16" s="155">
        <f t="shared" si="24"/>
        <v>0.1681147035353128</v>
      </c>
      <c r="AV16" s="423">
        <f>AVERAGE('2021.12'!$B$72:$G$90)</f>
        <v>64.213978494623646</v>
      </c>
      <c r="AW16" s="423">
        <f>_xlfn.STDEV.S('2021.12'!$B$72:$G$90)</f>
        <v>25.736421457427181</v>
      </c>
      <c r="AX16" s="418">
        <f t="shared" si="57"/>
        <v>93</v>
      </c>
      <c r="AY16" s="424">
        <f>'2021.12'!$D$148+'2021.12'!$E$148</f>
        <v>39732</v>
      </c>
      <c r="AZ16" s="164">
        <f t="shared" si="25"/>
        <v>0.21140227194125941</v>
      </c>
      <c r="BA16" s="172">
        <f t="shared" si="42"/>
        <v>13.57498094415061</v>
      </c>
      <c r="BB16" s="172">
        <f t="shared" si="26"/>
        <v>0.99765931742675928</v>
      </c>
      <c r="BC16" s="172">
        <f t="shared" si="27"/>
        <v>7.1221869831647115</v>
      </c>
      <c r="BD16" s="156">
        <f t="shared" si="28"/>
        <v>0.31755206037593237</v>
      </c>
      <c r="BE16" s="421">
        <f>AVERAGE('2021.12'!$B$94:$G$108)</f>
        <v>64.569444444444429</v>
      </c>
      <c r="BF16" s="448">
        <f>_xlfn.STDEV.S('2021.12'!$B$94:$G$108)</f>
        <v>26.240972365233098</v>
      </c>
      <c r="BG16" s="417">
        <f t="shared" si="58"/>
        <v>72</v>
      </c>
      <c r="BH16" s="447">
        <f>'2021.12'!$D$149+'2021.12'!$E$149</f>
        <v>30346</v>
      </c>
      <c r="BI16" s="162">
        <f t="shared" si="43"/>
        <v>0.16146212987842187</v>
      </c>
      <c r="BJ16" s="168">
        <f t="shared" si="44"/>
        <v>10.425520025066431</v>
      </c>
      <c r="BK16" s="168">
        <f t="shared" si="29"/>
        <v>0.99762736439728461</v>
      </c>
      <c r="BL16" s="168">
        <f t="shared" si="30"/>
        <v>9.5637309815684333</v>
      </c>
      <c r="BM16" s="155">
        <f t="shared" si="31"/>
        <v>0.24873509078979802</v>
      </c>
      <c r="BN16" s="423">
        <f>AVERAGE('2021.12'!$B$112:$G$116)</f>
        <v>61.737500000000004</v>
      </c>
      <c r="BO16" s="449">
        <f>_xlfn.STDEV.S('2021.12'!$B$112:$G$116)</f>
        <v>36.775841254823796</v>
      </c>
      <c r="BP16" s="418">
        <f t="shared" si="59"/>
        <v>16</v>
      </c>
      <c r="BQ16" s="424">
        <f>'2021.12'!$D$150+'2021.12'!$E$150</f>
        <v>5007</v>
      </c>
      <c r="BR16" s="164">
        <f t="shared" si="45"/>
        <v>2.664077256644231E-2</v>
      </c>
      <c r="BS16" s="172">
        <f t="shared" si="46"/>
        <v>1.6447346963207323</v>
      </c>
      <c r="BT16" s="172">
        <f t="shared" si="32"/>
        <v>0.9968044737367685</v>
      </c>
      <c r="BU16" s="172">
        <f t="shared" si="33"/>
        <v>84.528906249999991</v>
      </c>
      <c r="BV16" s="156">
        <f t="shared" si="34"/>
        <v>5.9801056666480085E-2</v>
      </c>
      <c r="BW16" s="421">
        <f>AVERAGE('2021.12'!$B$120:$G$128)</f>
        <v>64.30789473684213</v>
      </c>
      <c r="BX16" s="448">
        <f>_xlfn.STDEV.S('2021.12'!$B$120:$G$128)</f>
        <v>27.361754542870493</v>
      </c>
      <c r="BY16" s="417">
        <f t="shared" si="60"/>
        <v>38</v>
      </c>
      <c r="BZ16" s="447">
        <f>'2021.12'!$D$151+'2021.12'!$E$151</f>
        <v>15247</v>
      </c>
      <c r="CA16" s="162">
        <f t="shared" si="47"/>
        <v>8.1124797148101835E-2</v>
      </c>
      <c r="CB16" s="168">
        <f t="shared" si="48"/>
        <v>5.2169649155478037</v>
      </c>
      <c r="CC16" s="168">
        <f t="shared" si="35"/>
        <v>0.99750770643405262</v>
      </c>
      <c r="CD16" s="168">
        <f t="shared" si="36"/>
        <v>19.70172662274458</v>
      </c>
      <c r="CE16" s="155">
        <f t="shared" si="37"/>
        <v>0.12933849284839613</v>
      </c>
      <c r="CF16" s="423">
        <f>AVERAGE('2021.12'!$B$132:$G$136)</f>
        <v>61.28235294117647</v>
      </c>
      <c r="CG16" s="449">
        <f>_xlfn.STDEV.S('2021.12'!$B$132:$G$136)</f>
        <v>37.663198803575455</v>
      </c>
      <c r="CH16" s="418">
        <f t="shared" si="61"/>
        <v>17</v>
      </c>
      <c r="CI16" s="424">
        <f>'2021.12'!$D$152+'2021.12'!$E$152</f>
        <v>5985</v>
      </c>
      <c r="CJ16" s="164">
        <f t="shared" si="49"/>
        <v>3.1844422570432837E-2</v>
      </c>
      <c r="CK16" s="172">
        <f t="shared" si="50"/>
        <v>1.9515011431692311</v>
      </c>
      <c r="CL16" s="172">
        <f t="shared" si="38"/>
        <v>0.99715956558061825</v>
      </c>
      <c r="CM16" s="172">
        <f t="shared" si="39"/>
        <v>83.442149653979271</v>
      </c>
      <c r="CN16" s="156">
        <f t="shared" si="40"/>
        <v>8.4375605077225482E-2</v>
      </c>
      <c r="CO16" s="427">
        <f t="shared" si="51"/>
        <v>63.8809408452653</v>
      </c>
      <c r="CP16" s="428">
        <f t="shared" si="52"/>
        <v>1.3088526679506363</v>
      </c>
    </row>
    <row r="17" spans="1:94" x14ac:dyDescent="0.25">
      <c r="A17" s="165" t="str">
        <f>'monitoring results'!A17</f>
        <v>01/01/2022-31/01/2022</v>
      </c>
      <c r="B17" s="420">
        <f t="shared" si="41"/>
        <v>187879</v>
      </c>
      <c r="C17" s="421">
        <f>AVERAGE('2022.01'!$B$6:$G$11)</f>
        <v>63.8764705882353</v>
      </c>
      <c r="D17" s="421">
        <f>_xlfn.STDEV.S('2022.01'!$B$6:$G$11)</f>
        <v>39.937788017924902</v>
      </c>
      <c r="E17" s="417">
        <f t="shared" si="62"/>
        <v>17</v>
      </c>
      <c r="F17" s="417">
        <f>'2022.01'!$D$143+'2022.01'!$E$143</f>
        <v>5609</v>
      </c>
      <c r="G17" s="168">
        <f t="shared" si="0"/>
        <v>2.9854321132218076E-2</v>
      </c>
      <c r="H17" s="168">
        <f t="shared" si="1"/>
        <v>1.9069886657338595</v>
      </c>
      <c r="I17" s="168">
        <f t="shared" si="2"/>
        <v>0.99696915671242647</v>
      </c>
      <c r="J17" s="168">
        <f t="shared" si="3"/>
        <v>93.825112456747405</v>
      </c>
      <c r="K17" s="155">
        <f t="shared" si="4"/>
        <v>8.3371039498724084E-2</v>
      </c>
      <c r="L17" s="423">
        <f>AVERAGE('2022.01'!$B$15:$G$20)</f>
        <v>66.352631578947367</v>
      </c>
      <c r="M17" s="423">
        <f>_xlfn.STDEV.S('2022.01'!$B$15:$G$20)</f>
        <v>35.864798099111873</v>
      </c>
      <c r="N17" s="424">
        <f t="shared" si="53"/>
        <v>19</v>
      </c>
      <c r="O17" s="424">
        <f>'2022.01'!$D$144+'2022.01'!$E$144</f>
        <v>6991</v>
      </c>
      <c r="P17" s="171">
        <f t="shared" si="5"/>
        <v>3.7210119278897585E-2</v>
      </c>
      <c r="Q17" s="172">
        <f t="shared" si="6"/>
        <v>2.4689893355213783</v>
      </c>
      <c r="R17" s="172">
        <f t="shared" si="7"/>
        <v>0.99728221999713917</v>
      </c>
      <c r="S17" s="172">
        <f t="shared" si="8"/>
        <v>67.699144352108348</v>
      </c>
      <c r="T17" s="172">
        <f t="shared" si="9"/>
        <v>9.348100662835658E-2</v>
      </c>
      <c r="U17" s="421">
        <f>AVERAGE('2022.01'!$B$24:$G$38)</f>
        <v>64.902739726027349</v>
      </c>
      <c r="V17" s="421">
        <f>_xlfn.STDEV.S('2022.01'!$B$24:$G$38)</f>
        <v>27.238723317094212</v>
      </c>
      <c r="W17" s="162">
        <f t="shared" si="54"/>
        <v>73</v>
      </c>
      <c r="X17" s="447">
        <f>'2022.01'!$D$145+'2022.01'!$E$145</f>
        <v>30748</v>
      </c>
      <c r="Y17" s="168">
        <f t="shared" si="10"/>
        <v>0.16353057555869932</v>
      </c>
      <c r="Z17" s="168">
        <f t="shared" si="11"/>
        <v>10.621886645638357</v>
      </c>
      <c r="AA17" s="168">
        <f t="shared" si="12"/>
        <v>0.99762586184467283</v>
      </c>
      <c r="AB17" s="168">
        <f t="shared" si="13"/>
        <v>10.163671889660437</v>
      </c>
      <c r="AC17" s="155">
        <f t="shared" si="14"/>
        <v>0.27115415644147534</v>
      </c>
      <c r="AD17" s="423">
        <f>AVERAGE('2022.01'!$B$42:$G$56)</f>
        <v>64.651315789473699</v>
      </c>
      <c r="AE17" s="423">
        <f>_xlfn.STDEV.S('2022.01'!$B$42:$G$56)</f>
        <v>26.042414088923188</v>
      </c>
      <c r="AF17" s="164">
        <f t="shared" si="55"/>
        <v>76</v>
      </c>
      <c r="AG17" s="424">
        <f>'2022.01'!$D$146+'2022.01'!$E$146</f>
        <v>31783</v>
      </c>
      <c r="AH17" s="164">
        <f t="shared" si="15"/>
        <v>0.16916738964972136</v>
      </c>
      <c r="AI17" s="172">
        <f t="shared" si="16"/>
        <v>10.93689432952508</v>
      </c>
      <c r="AJ17" s="172">
        <f t="shared" si="17"/>
        <v>0.99760878457036783</v>
      </c>
      <c r="AK17" s="172">
        <f t="shared" si="18"/>
        <v>8.9237806786703278</v>
      </c>
      <c r="AL17" s="156">
        <f t="shared" si="19"/>
        <v>0.25476657501248273</v>
      </c>
      <c r="AM17" s="421">
        <f>AVERAGE('2022.01'!$B$60:$G$68)</f>
        <v>63.346341463414632</v>
      </c>
      <c r="AN17" s="448">
        <f>_xlfn.STDEV.S('2022.01'!$B$60:$G$68)</f>
        <v>26.302149128550095</v>
      </c>
      <c r="AO17" s="162">
        <f t="shared" si="56"/>
        <v>41</v>
      </c>
      <c r="AP17" s="447">
        <f>'2022.01'!$D$147+'2022.01'!$E$147</f>
        <v>16485</v>
      </c>
      <c r="AQ17" s="162">
        <f t="shared" si="20"/>
        <v>8.7742642871209656E-2</v>
      </c>
      <c r="AR17" s="168">
        <f t="shared" si="21"/>
        <v>5.5538299970450371</v>
      </c>
      <c r="AS17" s="168">
        <f t="shared" si="22"/>
        <v>0.99751289050652103</v>
      </c>
      <c r="AT17" s="168">
        <f t="shared" si="23"/>
        <v>16.873245092207039</v>
      </c>
      <c r="AU17" s="155">
        <f t="shared" si="24"/>
        <v>0.12958017274812592</v>
      </c>
      <c r="AV17" s="423">
        <f>AVERAGE('2022.01'!$B$72:$G$90)</f>
        <v>65.368817204301095</v>
      </c>
      <c r="AW17" s="423">
        <f>_xlfn.STDEV.S('2022.01'!$B$72:$G$90)</f>
        <v>27.525975789261352</v>
      </c>
      <c r="AX17" s="418">
        <f t="shared" si="57"/>
        <v>93</v>
      </c>
      <c r="AY17" s="424">
        <f>'2022.01'!$D$148+'2022.01'!$E$148</f>
        <v>39734</v>
      </c>
      <c r="AZ17" s="164">
        <f t="shared" si="25"/>
        <v>0.21148718057898966</v>
      </c>
      <c r="BA17" s="172">
        <f t="shared" si="42"/>
        <v>13.824666848320991</v>
      </c>
      <c r="BB17" s="172">
        <f t="shared" si="26"/>
        <v>0.99765943524437506</v>
      </c>
      <c r="BC17" s="172">
        <f t="shared" si="27"/>
        <v>8.1470897113010992</v>
      </c>
      <c r="BD17" s="156">
        <f t="shared" si="28"/>
        <v>0.36354059001725236</v>
      </c>
      <c r="BE17" s="421">
        <f>AVERAGE('2022.01'!$B$94:$G$108)</f>
        <v>63.759722222222223</v>
      </c>
      <c r="BF17" s="448">
        <f>_xlfn.STDEV.S('2022.01'!$B$94:$G$108)</f>
        <v>25.302578278258235</v>
      </c>
      <c r="BG17" s="417">
        <f t="shared" si="58"/>
        <v>72</v>
      </c>
      <c r="BH17" s="447">
        <f>'2022.01'!$D$149+'2022.01'!$E$149</f>
        <v>30329</v>
      </c>
      <c r="BI17" s="162">
        <f t="shared" si="43"/>
        <v>0.16142836612926403</v>
      </c>
      <c r="BJ17" s="168">
        <f t="shared" si="44"/>
        <v>10.292627783189063</v>
      </c>
      <c r="BK17" s="168">
        <f t="shared" si="29"/>
        <v>0.99762603448844345</v>
      </c>
      <c r="BL17" s="168">
        <f t="shared" si="30"/>
        <v>8.8919509378803543</v>
      </c>
      <c r="BM17" s="155">
        <f t="shared" si="31"/>
        <v>0.23116630660047266</v>
      </c>
      <c r="BN17" s="423">
        <f>AVERAGE('2022.01'!$B$112:$G$116)</f>
        <v>59.949999999999996</v>
      </c>
      <c r="BO17" s="449">
        <f>_xlfn.STDEV.S('2022.01'!$B$112:$G$116)</f>
        <v>35.595917368896856</v>
      </c>
      <c r="BP17" s="418">
        <f t="shared" si="59"/>
        <v>16</v>
      </c>
      <c r="BQ17" s="424">
        <f>'2022.01'!$D$150+'2022.01'!$E$150</f>
        <v>4988</v>
      </c>
      <c r="BR17" s="164">
        <f t="shared" si="45"/>
        <v>2.6549002283384519E-2</v>
      </c>
      <c r="BS17" s="172">
        <f t="shared" si="46"/>
        <v>1.5916126868889018</v>
      </c>
      <c r="BT17" s="172">
        <f t="shared" si="32"/>
        <v>0.99679230152365683</v>
      </c>
      <c r="BU17" s="172">
        <f t="shared" si="33"/>
        <v>79.191833333333307</v>
      </c>
      <c r="BV17" s="156">
        <f t="shared" si="34"/>
        <v>5.5639277531648476E-2</v>
      </c>
      <c r="BW17" s="421">
        <f>AVERAGE('2022.01'!$B$120:$G$128)</f>
        <v>65.336842105263159</v>
      </c>
      <c r="BX17" s="448">
        <f>_xlfn.STDEV.S('2022.01'!$B$120:$G$128)</f>
        <v>27.474601746149677</v>
      </c>
      <c r="BY17" s="417">
        <f t="shared" si="60"/>
        <v>38</v>
      </c>
      <c r="BZ17" s="447">
        <f>'2022.01'!$D$151+'2022.01'!$E$151</f>
        <v>15204</v>
      </c>
      <c r="CA17" s="162">
        <f t="shared" si="47"/>
        <v>8.0924424762746236E-2</v>
      </c>
      <c r="CB17" s="168">
        <f t="shared" si="48"/>
        <v>5.2873463631827988</v>
      </c>
      <c r="CC17" s="168">
        <f t="shared" si="35"/>
        <v>0.9975006577216522</v>
      </c>
      <c r="CD17" s="168">
        <f t="shared" si="36"/>
        <v>19.864572134461341</v>
      </c>
      <c r="CE17" s="155">
        <f t="shared" si="37"/>
        <v>0.12976323018129524</v>
      </c>
      <c r="CF17" s="423">
        <f>AVERAGE('2022.01'!$B$132:$G$136)</f>
        <v>58.188235294117646</v>
      </c>
      <c r="CG17" s="449">
        <f>_xlfn.STDEV.S('2022.01'!$B$132:$G$136)</f>
        <v>35.817067899832018</v>
      </c>
      <c r="CH17" s="418">
        <f t="shared" si="61"/>
        <v>17</v>
      </c>
      <c r="CI17" s="424">
        <f>'2022.01'!$D$152+'2022.01'!$E$152</f>
        <v>6008</v>
      </c>
      <c r="CJ17" s="164">
        <f t="shared" si="49"/>
        <v>3.1978028411903406E-2</v>
      </c>
      <c r="CK17" s="172">
        <f t="shared" si="50"/>
        <v>1.8607450414738147</v>
      </c>
      <c r="CL17" s="172">
        <f t="shared" si="38"/>
        <v>0.99717043941411454</v>
      </c>
      <c r="CM17" s="172">
        <f t="shared" si="39"/>
        <v>75.462491349481013</v>
      </c>
      <c r="CN17" s="156">
        <f t="shared" si="40"/>
        <v>7.6949163446732485E-2</v>
      </c>
      <c r="CO17" s="427">
        <f t="shared" si="51"/>
        <v>64.345587696519289</v>
      </c>
      <c r="CP17" s="428">
        <f t="shared" si="52"/>
        <v>1.29977364110316</v>
      </c>
    </row>
    <row r="18" spans="1:94" x14ac:dyDescent="0.25">
      <c r="A18" s="165" t="str">
        <f>'monitoring results'!A18</f>
        <v>01/02/2022-28/02/2022</v>
      </c>
      <c r="B18" s="420">
        <f t="shared" si="41"/>
        <v>187826</v>
      </c>
      <c r="C18" s="421">
        <f>AVERAGE('2022.02'!$B$6:$G$11)</f>
        <v>64.535294117647055</v>
      </c>
      <c r="D18" s="421">
        <f>_xlfn.STDEV.S('2022.02'!$B$6:$G$11)</f>
        <v>37.840684804461297</v>
      </c>
      <c r="E18" s="417">
        <f t="shared" si="62"/>
        <v>17</v>
      </c>
      <c r="F18" s="417">
        <f>'2022.02'!$D$143+'2022.02'!$E$143</f>
        <v>5594</v>
      </c>
      <c r="G18" s="168">
        <f t="shared" si="0"/>
        <v>2.9782884158742667E-2</v>
      </c>
      <c r="H18" s="168">
        <f t="shared" si="1"/>
        <v>1.9220471888562691</v>
      </c>
      <c r="I18" s="168">
        <f t="shared" si="2"/>
        <v>0.99696102967465139</v>
      </c>
      <c r="J18" s="168">
        <f t="shared" si="3"/>
        <v>84.230436851211067</v>
      </c>
      <c r="K18" s="155">
        <f t="shared" si="4"/>
        <v>7.4487044072863995E-2</v>
      </c>
      <c r="L18" s="423">
        <f>AVERAGE('2022.02'!$B$15:$G$20)</f>
        <v>61.005263157894746</v>
      </c>
      <c r="M18" s="423">
        <f>_xlfn.STDEV.S('2022.02'!$B$15:$G$20)</f>
        <v>35.274974977299728</v>
      </c>
      <c r="N18" s="424">
        <f t="shared" ref="N18:N21" si="63">N17</f>
        <v>19</v>
      </c>
      <c r="O18" s="424">
        <f>'2022.02'!$D$144+'2022.02'!$E$144</f>
        <v>7005</v>
      </c>
      <c r="P18" s="171">
        <f t="shared" si="5"/>
        <v>3.7295156155164884E-2</v>
      </c>
      <c r="Q18" s="172">
        <f t="shared" si="6"/>
        <v>2.2752008157606118</v>
      </c>
      <c r="R18" s="172">
        <f t="shared" si="7"/>
        <v>0.99728765167737332</v>
      </c>
      <c r="S18" s="172">
        <f t="shared" si="8"/>
        <v>65.490729455216936</v>
      </c>
      <c r="T18" s="172">
        <f t="shared" si="9"/>
        <v>9.0845857626161097E-2</v>
      </c>
      <c r="U18" s="421">
        <f>AVERAGE('2022.02'!$B$24:$G$38)</f>
        <v>62.756164383561668</v>
      </c>
      <c r="V18" s="421">
        <f>_xlfn.STDEV.S('2022.02'!$B$24:$G$38)</f>
        <v>28.09335126117405</v>
      </c>
      <c r="W18" s="162">
        <f t="shared" si="54"/>
        <v>73</v>
      </c>
      <c r="X18" s="447">
        <f>'2022.02'!$D$145+'2022.02'!$E$145</f>
        <v>30746</v>
      </c>
      <c r="Y18" s="168">
        <f t="shared" si="10"/>
        <v>0.16351993873187751</v>
      </c>
      <c r="Z18" s="168">
        <f t="shared" si="11"/>
        <v>10.272811166382647</v>
      </c>
      <c r="AA18" s="168">
        <f t="shared" si="12"/>
        <v>0.99762570740909384</v>
      </c>
      <c r="AB18" s="168">
        <f t="shared" si="13"/>
        <v>10.81145732991383</v>
      </c>
      <c r="AC18" s="155">
        <f t="shared" si="14"/>
        <v>0.28839870228129233</v>
      </c>
      <c r="AD18" s="423">
        <f>AVERAGE('2022.02'!$B$42:$G$56)</f>
        <v>65.844736842105263</v>
      </c>
      <c r="AE18" s="423">
        <f>_xlfn.STDEV.S('2022.02'!$B$42:$G$56)</f>
        <v>28.945960661143946</v>
      </c>
      <c r="AF18" s="164">
        <f t="shared" si="55"/>
        <v>76</v>
      </c>
      <c r="AG18" s="424">
        <f>'2022.02'!$D$146+'2022.02'!$E$146</f>
        <v>31675</v>
      </c>
      <c r="AH18" s="164">
        <f t="shared" si="15"/>
        <v>0.16864012437042794</v>
      </c>
      <c r="AI18" s="172">
        <f t="shared" si="16"/>
        <v>11.104064610190731</v>
      </c>
      <c r="AJ18" s="172">
        <f t="shared" si="17"/>
        <v>0.9976006314127861</v>
      </c>
      <c r="AK18" s="172">
        <f t="shared" si="18"/>
        <v>11.024587349953855</v>
      </c>
      <c r="AL18" s="156">
        <f t="shared" si="19"/>
        <v>0.31278137594374739</v>
      </c>
      <c r="AM18" s="421">
        <f>AVERAGE('2022.02'!$B$60:$G$68)</f>
        <v>62.226829268292668</v>
      </c>
      <c r="AN18" s="448">
        <f>_xlfn.STDEV.S('2022.02'!$B$60:$G$68)</f>
        <v>28.239998445381033</v>
      </c>
      <c r="AO18" s="162">
        <f t="shared" si="56"/>
        <v>41</v>
      </c>
      <c r="AP18" s="447">
        <f>'2022.02'!$D$147+'2022.02'!$E$147</f>
        <v>16492</v>
      </c>
      <c r="AQ18" s="162">
        <f t="shared" si="20"/>
        <v>8.7804670279939948E-2</v>
      </c>
      <c r="AR18" s="168">
        <f t="shared" si="21"/>
        <v>5.4579944704066605</v>
      </c>
      <c r="AS18" s="168">
        <f t="shared" si="22"/>
        <v>0.99751394615571187</v>
      </c>
      <c r="AT18" s="168">
        <f t="shared" si="23"/>
        <v>19.451158834027392</v>
      </c>
      <c r="AU18" s="155">
        <f t="shared" si="24"/>
        <v>0.14958901044015888</v>
      </c>
      <c r="AV18" s="423">
        <f>AVERAGE('2022.02'!$B$72:$G$90)</f>
        <v>64.417204301075273</v>
      </c>
      <c r="AW18" s="423">
        <f>_xlfn.STDEV.S('2022.02'!$B$72:$G$90)</f>
        <v>26.651509556952504</v>
      </c>
      <c r="AX18" s="418">
        <f t="shared" si="57"/>
        <v>93</v>
      </c>
      <c r="AY18" s="424">
        <f>'2022.02'!$D$148+'2022.02'!$E$148</f>
        <v>39728</v>
      </c>
      <c r="AZ18" s="164">
        <f t="shared" si="25"/>
        <v>0.21151491273838552</v>
      </c>
      <c r="BA18" s="172">
        <f t="shared" si="42"/>
        <v>13.625199346592691</v>
      </c>
      <c r="BB18" s="172">
        <f t="shared" si="26"/>
        <v>0.99765908175594042</v>
      </c>
      <c r="BC18" s="172">
        <f t="shared" si="27"/>
        <v>7.6376662544551692</v>
      </c>
      <c r="BD18" s="156">
        <f t="shared" si="28"/>
        <v>0.34089828958611817</v>
      </c>
      <c r="BE18" s="421">
        <f>AVERAGE('2022.02'!$B$94:$G$108)</f>
        <v>64.645833333333357</v>
      </c>
      <c r="BF18" s="448">
        <f>_xlfn.STDEV.S('2022.02'!$B$94:$G$108)</f>
        <v>29.246032293792833</v>
      </c>
      <c r="BG18" s="417">
        <f t="shared" si="58"/>
        <v>72</v>
      </c>
      <c r="BH18" s="447">
        <f>'2022.02'!$D$149+'2022.02'!$E$149</f>
        <v>30369</v>
      </c>
      <c r="BI18" s="162">
        <f t="shared" si="43"/>
        <v>0.16168688041059279</v>
      </c>
      <c r="BJ18" s="168">
        <f t="shared" si="44"/>
        <v>10.452383123209783</v>
      </c>
      <c r="BK18" s="168">
        <f t="shared" si="29"/>
        <v>0.99762916131581547</v>
      </c>
      <c r="BL18" s="168">
        <f t="shared" si="30"/>
        <v>11.879588957355185</v>
      </c>
      <c r="BM18" s="155">
        <f t="shared" si="31"/>
        <v>0.30982760722653857</v>
      </c>
      <c r="BN18" s="423">
        <f>AVERAGE('2022.02'!$B$112:$G$116)</f>
        <v>64.924999999999997</v>
      </c>
      <c r="BO18" s="449">
        <f>_xlfn.STDEV.S('2022.02'!$B$112:$G$116)</f>
        <v>39.006178997692146</v>
      </c>
      <c r="BP18" s="418">
        <f t="shared" si="59"/>
        <v>16</v>
      </c>
      <c r="BQ18" s="424">
        <f>'2022.02'!$D$150+'2022.02'!$E$150</f>
        <v>4982</v>
      </c>
      <c r="BR18" s="164">
        <f t="shared" si="45"/>
        <v>2.652454931692098E-2</v>
      </c>
      <c r="BS18" s="172">
        <f t="shared" si="46"/>
        <v>1.7221063644010945</v>
      </c>
      <c r="BT18" s="172">
        <f t="shared" si="32"/>
        <v>0.99678843837816133</v>
      </c>
      <c r="BU18" s="172">
        <f t="shared" si="33"/>
        <v>95.092624999999998</v>
      </c>
      <c r="BV18" s="156">
        <f t="shared" si="34"/>
        <v>6.6687717785127054E-2</v>
      </c>
      <c r="BW18" s="421">
        <f>AVERAGE('2022.02'!$B$120:$G$128)</f>
        <v>62.96842105263157</v>
      </c>
      <c r="BX18" s="448">
        <f>_xlfn.STDEV.S('2022.02'!$B$120:$G$128)</f>
        <v>25.346049377786031</v>
      </c>
      <c r="BY18" s="417">
        <f t="shared" si="60"/>
        <v>38</v>
      </c>
      <c r="BZ18" s="447">
        <f>'2022.02'!$D$151+'2022.02'!$E$151</f>
        <v>15233</v>
      </c>
      <c r="CA18" s="162">
        <f t="shared" si="47"/>
        <v>8.1101657917434219E-2</v>
      </c>
      <c r="CB18" s="168">
        <f t="shared" si="48"/>
        <v>5.1068433438114891</v>
      </c>
      <c r="CC18" s="168">
        <f t="shared" si="35"/>
        <v>0.99750541587343267</v>
      </c>
      <c r="CD18" s="168">
        <f t="shared" si="36"/>
        <v>16.905847870030726</v>
      </c>
      <c r="CE18" s="155">
        <f t="shared" si="37"/>
        <v>0.11092046552707997</v>
      </c>
      <c r="CF18" s="423">
        <f>AVERAGE('2022.02'!$B$132:$G$136)</f>
        <v>61.658823529411769</v>
      </c>
      <c r="CG18" s="449">
        <f>_xlfn.STDEV.S('2022.02'!$B$132:$G$136)</f>
        <v>39.946605907503709</v>
      </c>
      <c r="CH18" s="418">
        <f t="shared" si="61"/>
        <v>17</v>
      </c>
      <c r="CI18" s="424">
        <f>'2022.02'!$D$152+'2022.02'!$E$152</f>
        <v>6002</v>
      </c>
      <c r="CJ18" s="164">
        <f t="shared" si="49"/>
        <v>3.1955107386623792E-2</v>
      </c>
      <c r="CK18" s="172">
        <f t="shared" si="50"/>
        <v>1.970314327215239</v>
      </c>
      <c r="CL18" s="172">
        <f t="shared" si="38"/>
        <v>0.99716761079640115</v>
      </c>
      <c r="CM18" s="172">
        <f t="shared" si="39"/>
        <v>93.866548442906492</v>
      </c>
      <c r="CN18" s="156">
        <f t="shared" si="40"/>
        <v>9.5578360176419852E-2</v>
      </c>
      <c r="CO18" s="427">
        <f t="shared" si="51"/>
        <v>63.908964756827217</v>
      </c>
      <c r="CP18" s="428">
        <f t="shared" si="52"/>
        <v>1.3564713158285018</v>
      </c>
    </row>
    <row r="19" spans="1:94" s="414" customFormat="1" x14ac:dyDescent="0.25">
      <c r="A19" s="419" t="str">
        <f>'monitoring results'!A19</f>
        <v>01/03/2022-31/03/2022</v>
      </c>
      <c r="B19" s="420">
        <f t="shared" si="41"/>
        <v>187904</v>
      </c>
      <c r="C19" s="421">
        <f>AVERAGE('2022.03'!$B$6:$G$11)</f>
        <v>64.211764705882345</v>
      </c>
      <c r="D19" s="421">
        <f>_xlfn.STDEV.S('2022.03'!$B$6:$G$11)</f>
        <v>37.860911279856651</v>
      </c>
      <c r="E19" s="417">
        <f t="shared" si="62"/>
        <v>17</v>
      </c>
      <c r="F19" s="417">
        <f>'2022.03'!$D$143+'2022.03'!$E$143</f>
        <v>5579</v>
      </c>
      <c r="G19" s="422">
        <f t="shared" si="0"/>
        <v>2.9690693119891007E-2</v>
      </c>
      <c r="H19" s="422">
        <f t="shared" si="1"/>
        <v>1.9064918005690012</v>
      </c>
      <c r="I19" s="422">
        <f t="shared" si="2"/>
        <v>0.99695285893529306</v>
      </c>
      <c r="J19" s="422">
        <f t="shared" si="3"/>
        <v>84.320506055363339</v>
      </c>
      <c r="K19" s="415">
        <f t="shared" si="4"/>
        <v>7.4105168619074652E-2</v>
      </c>
      <c r="L19" s="423">
        <f>AVERAGE('2022.03'!$B$15:$G$20)</f>
        <v>65.247368421052627</v>
      </c>
      <c r="M19" s="423">
        <f>_xlfn.STDEV.S('2022.03'!$B$15:$G$20)</f>
        <v>37.602842215583358</v>
      </c>
      <c r="N19" s="424">
        <f t="shared" si="63"/>
        <v>19</v>
      </c>
      <c r="O19" s="424">
        <f>'2022.03'!$D$144+'2022.03'!$E$144</f>
        <v>6974</v>
      </c>
      <c r="P19" s="425">
        <f t="shared" ref="P19:P22" si="64">O19/B19</f>
        <v>3.7114696866485011E-2</v>
      </c>
      <c r="Q19" s="426">
        <f t="shared" ref="Q19:Q22" si="65">O19*L19/B19</f>
        <v>2.4216363002832351</v>
      </c>
      <c r="R19" s="426">
        <f t="shared" ref="R19:R22" si="66">1-N19/O19</f>
        <v>0.99727559506739316</v>
      </c>
      <c r="S19" s="426">
        <f t="shared" ref="S19:S22" si="67">M19*M19/N19</f>
        <v>74.419670667897776</v>
      </c>
      <c r="T19" s="426">
        <f t="shared" ref="T19:T22" si="68">P19*P19*R19*S19</f>
        <v>0.10223386285497001</v>
      </c>
      <c r="U19" s="421">
        <f>AVERAGE('2022.03'!$B$24:$G$38)</f>
        <v>63.387671232876713</v>
      </c>
      <c r="V19" s="421">
        <f>_xlfn.STDEV.S('2022.03'!$B$24:$G$38)</f>
        <v>26.073123375558158</v>
      </c>
      <c r="W19" s="417">
        <f t="shared" si="54"/>
        <v>73</v>
      </c>
      <c r="X19" s="447">
        <f>'2022.03'!$D$145+'2022.03'!$E$145</f>
        <v>30747</v>
      </c>
      <c r="Y19" s="422">
        <f t="shared" ref="Y19:Y22" si="69">X19/$B$4</f>
        <v>0.16352525714528843</v>
      </c>
      <c r="Z19" s="422">
        <f t="shared" ref="Z19:Z22" si="70">X19*U19/B19</f>
        <v>10.372215213072954</v>
      </c>
      <c r="AA19" s="422">
        <f t="shared" ref="AA19:AA22" si="71">1-W19/X19</f>
        <v>0.99762578462939477</v>
      </c>
      <c r="AB19" s="422">
        <f t="shared" ref="AB19:AB22" si="72">V19*V19/W19</f>
        <v>9.3124351035216062</v>
      </c>
      <c r="AC19" s="415">
        <f t="shared" ref="AC19:AC22" si="73">Y19*Y19*AA19*AB19</f>
        <v>0.24842803608577121</v>
      </c>
      <c r="AD19" s="423">
        <f>AVERAGE('2022.03'!$B$42:$G$56)</f>
        <v>65.284210526315789</v>
      </c>
      <c r="AE19" s="423">
        <f>_xlfn.STDEV.S('2022.03'!$B$42:$G$56)</f>
        <v>29.099773436147011</v>
      </c>
      <c r="AF19" s="418">
        <f t="shared" si="55"/>
        <v>76</v>
      </c>
      <c r="AG19" s="424">
        <f>'2022.03'!$D$146+'2022.03'!$E$146</f>
        <v>31713</v>
      </c>
      <c r="AH19" s="418">
        <f t="shared" ref="AH19:AH22" si="74">AG19/B19</f>
        <v>0.16877235183923706</v>
      </c>
      <c r="AI19" s="426">
        <f t="shared" ref="AI19:AI22" si="75">AG19*AD19/B19</f>
        <v>11.018169748494191</v>
      </c>
      <c r="AJ19" s="426">
        <f t="shared" ref="AJ19:AJ22" si="76">1-AF19/AG19</f>
        <v>0.99760350644845963</v>
      </c>
      <c r="AK19" s="426">
        <f t="shared" ref="AK19:AK22" si="77">AE19*AE19/AF19</f>
        <v>11.142063342566937</v>
      </c>
      <c r="AL19" s="416">
        <f t="shared" ref="AL19:AL22" si="78">AH19*AH19*AJ19*AK19</f>
        <v>0.31661114232880988</v>
      </c>
      <c r="AM19" s="421">
        <f>AVERAGE('2022.03'!$B$60:$G$68)</f>
        <v>61.295121951219535</v>
      </c>
      <c r="AN19" s="448">
        <f>_xlfn.STDEV.S('2022.03'!$B$60:$G$68)</f>
        <v>26.875825114957021</v>
      </c>
      <c r="AO19" s="417">
        <f t="shared" si="56"/>
        <v>41</v>
      </c>
      <c r="AP19" s="447">
        <f>'2022.03'!$D$147+'2022.03'!$E$147</f>
        <v>16517</v>
      </c>
      <c r="AQ19" s="417">
        <f t="shared" ref="AQ19:AQ22" si="79">AP19/B19</f>
        <v>8.7901268732970023E-2</v>
      </c>
      <c r="AR19" s="422">
        <f t="shared" ref="AR19:AR22" si="80">AP19*AM19/$B$4</f>
        <v>5.3844230546216645</v>
      </c>
      <c r="AS19" s="422">
        <f t="shared" ref="AS19:AS22" si="81">1-AO19/AP19</f>
        <v>0.99751770902706305</v>
      </c>
      <c r="AT19" s="422">
        <f t="shared" ref="AT19:AT22" si="82">AN19*AN19/AO19</f>
        <v>17.617316478286696</v>
      </c>
      <c r="AU19" s="415">
        <f t="shared" ref="AU19:AU22" si="83">AQ19*AQ19*AS19*AT19</f>
        <v>0.1357846439115703</v>
      </c>
      <c r="AV19" s="423">
        <f>AVERAGE('2022.03'!$B$72:$G$90)</f>
        <v>64.651612903225853</v>
      </c>
      <c r="AW19" s="423">
        <f>_xlfn.STDEV.S('2022.03'!$B$72:$G$90)</f>
        <v>27.157281883995338</v>
      </c>
      <c r="AX19" s="418">
        <f t="shared" si="57"/>
        <v>93</v>
      </c>
      <c r="AY19" s="424">
        <f>'2022.03'!$D$148+'2022.03'!$E$148</f>
        <v>39772</v>
      </c>
      <c r="AZ19" s="418">
        <f t="shared" ref="AZ19:AZ22" si="84">AY19/B19</f>
        <v>0.21166127384196184</v>
      </c>
      <c r="BA19" s="426">
        <f t="shared" ref="BA19:BA22" si="85">AY19*AV19/B19</f>
        <v>13.684242743034201</v>
      </c>
      <c r="BB19" s="426">
        <f t="shared" ref="BB19:BB22" si="86">1-AX19/AY19</f>
        <v>0.99766167152770791</v>
      </c>
      <c r="BC19" s="426">
        <f t="shared" ref="BC19:BC22" si="87">AW19*AW19/AX19</f>
        <v>7.9303006379223797</v>
      </c>
      <c r="BD19" s="416">
        <f t="shared" ref="BD19:BD22" si="88">AZ19*AZ19*BB19*BC19</f>
        <v>0.35445062824723689</v>
      </c>
      <c r="BE19" s="421">
        <f>AVERAGE('2022.03'!$B$94:$G$108)</f>
        <v>64.395833333333343</v>
      </c>
      <c r="BF19" s="448">
        <f>_xlfn.STDEV.S('2022.03'!$B$94:$G$108)</f>
        <v>27.235252825682984</v>
      </c>
      <c r="BG19" s="417">
        <f t="shared" si="58"/>
        <v>72</v>
      </c>
      <c r="BH19" s="447">
        <f>'2022.03'!$D$149+'2022.03'!$E$149</f>
        <v>30403</v>
      </c>
      <c r="BI19" s="417">
        <f t="shared" ref="BI19:BI22" si="89">BH19/B19</f>
        <v>0.1618007067438692</v>
      </c>
      <c r="BJ19" s="422">
        <f t="shared" ref="BJ19:BJ22" si="90">BH19*BE19/B19</f>
        <v>10.419291344693747</v>
      </c>
      <c r="BK19" s="422">
        <f t="shared" ref="BK19:BK22" si="91">1-BG19/BH19</f>
        <v>0.9976318126500674</v>
      </c>
      <c r="BL19" s="422">
        <f t="shared" ref="BL19:BL22" si="92">BF19*BF19/BG19</f>
        <v>10.302208284428792</v>
      </c>
      <c r="BM19" s="415">
        <f t="shared" ref="BM19:BM22" si="93">BI19*BI19*BK19*BL19</f>
        <v>0.26906762421104052</v>
      </c>
      <c r="BN19" s="423">
        <f>AVERAGE('2022.03'!$B$112:$G$116)</f>
        <v>56.312499999999993</v>
      </c>
      <c r="BO19" s="449">
        <f>_xlfn.STDEV.S('2022.03'!$B$112:$G$116)</f>
        <v>33.145776503198725</v>
      </c>
      <c r="BP19" s="418">
        <f t="shared" si="59"/>
        <v>16</v>
      </c>
      <c r="BQ19" s="424">
        <f>'2022.03'!$D$150+'2022.03'!$E$150</f>
        <v>5010</v>
      </c>
      <c r="BR19" s="418">
        <f t="shared" ref="BR19:BR22" si="94">BQ19/B19</f>
        <v>2.6662551089918256E-2</v>
      </c>
      <c r="BS19" s="426">
        <f t="shared" ref="BS19:BS22" si="95">BQ19*BN19/B19</f>
        <v>1.5014349082510214</v>
      </c>
      <c r="BT19" s="426">
        <f t="shared" ref="BT19:BT22" si="96">1-BP19/BQ19</f>
        <v>0.99680638722554893</v>
      </c>
      <c r="BU19" s="426">
        <f t="shared" ref="BU19:BU22" si="97">BO19*BO19/BP19</f>
        <v>68.665156250000038</v>
      </c>
      <c r="BV19" s="416">
        <f t="shared" ref="BV19:BV22" si="98">BR19*BR19*BT19*BU19</f>
        <v>4.8657593524589961E-2</v>
      </c>
      <c r="BW19" s="421">
        <f>AVERAGE('2022.03'!$B$120:$G$128)</f>
        <v>62.25263157894738</v>
      </c>
      <c r="BX19" s="448">
        <f>_xlfn.STDEV.S('2022.03'!$B$120:$G$128)</f>
        <v>27.809571916606718</v>
      </c>
      <c r="BY19" s="417">
        <f t="shared" si="60"/>
        <v>38</v>
      </c>
      <c r="BZ19" s="447">
        <f>'2022.03'!$D$151+'2022.03'!$E$151</f>
        <v>15214</v>
      </c>
      <c r="CA19" s="417">
        <f t="shared" ref="CA19:CA21" si="99">BZ19/B19</f>
        <v>8.0966876702997279E-2</v>
      </c>
      <c r="CB19" s="422">
        <f t="shared" ref="CB19:CB21" si="100">BZ19*BW19/B19</f>
        <v>5.0404011454897475</v>
      </c>
      <c r="CC19" s="422">
        <f t="shared" ref="CC19:CC21" si="101">1-BY19/BZ19</f>
        <v>0.99750230051268574</v>
      </c>
      <c r="CD19" s="422">
        <f t="shared" ref="CD19:CD21" si="102">BX19*BX19/BY19</f>
        <v>20.351902373287395</v>
      </c>
      <c r="CE19" s="415">
        <f t="shared" ref="CE19:CE21" si="103">CA19*CA19*CC19*CD19</f>
        <v>0.13308640383751144</v>
      </c>
      <c r="CF19" s="423">
        <f>AVERAGE('2022.03'!$B$132:$G$136)</f>
        <v>60.723529411764702</v>
      </c>
      <c r="CG19" s="449">
        <f>_xlfn.STDEV.S('2022.03'!$B$132:$G$136)</f>
        <v>37.414928995852797</v>
      </c>
      <c r="CH19" s="418">
        <f t="shared" si="61"/>
        <v>17</v>
      </c>
      <c r="CI19" s="424">
        <f>'2022.03'!$D$152+'2022.03'!$E$152</f>
        <v>5975</v>
      </c>
      <c r="CJ19" s="418">
        <f t="shared" ref="CJ19:CJ21" si="104">CI19/B19</f>
        <v>3.1798152247956402E-2</v>
      </c>
      <c r="CK19" s="426">
        <f t="shared" ref="CK19:CK21" si="105">CI19*CF19/B19</f>
        <v>1.9308960332685525</v>
      </c>
      <c r="CL19" s="426">
        <f t="shared" ref="CL19:CL21" si="106">1-CH19/CI19</f>
        <v>0.99715481171548115</v>
      </c>
      <c r="CM19" s="426">
        <f t="shared" ref="CM19:CM21" si="107">CG19*CG19/CH19</f>
        <v>82.345700692041547</v>
      </c>
      <c r="CN19" s="416">
        <f t="shared" ref="CN19:CN21" si="108">CJ19*CJ19*CL19*CM19</f>
        <v>8.3024694727430848E-2</v>
      </c>
      <c r="CO19" s="427">
        <f t="shared" si="51"/>
        <v>63.67920229177831</v>
      </c>
      <c r="CP19" s="428">
        <f t="shared" si="52"/>
        <v>1.328702298616212</v>
      </c>
    </row>
    <row r="20" spans="1:94" s="414" customFormat="1" x14ac:dyDescent="0.25">
      <c r="A20" s="419" t="str">
        <f>'monitoring results'!A20</f>
        <v>01/04/2022-30/04/2022</v>
      </c>
      <c r="B20" s="420">
        <f t="shared" si="41"/>
        <v>187973</v>
      </c>
      <c r="C20" s="421">
        <f>AVERAGE('2022.04'!$B$6:$G$11)</f>
        <v>64.92941176470589</v>
      </c>
      <c r="D20" s="421">
        <f>_xlfn.STDEV.S('2022.04'!$B$6:$G$11)</f>
        <v>38.047351496291455</v>
      </c>
      <c r="E20" s="417">
        <f t="shared" si="62"/>
        <v>17</v>
      </c>
      <c r="F20" s="417">
        <f>'2022.04'!$D$143+'2022.04'!$E$143</f>
        <v>5585</v>
      </c>
      <c r="G20" s="422">
        <f t="shared" si="0"/>
        <v>2.9711713916360329E-2</v>
      </c>
      <c r="H20" s="422">
        <f t="shared" si="1"/>
        <v>1.9291641071105021</v>
      </c>
      <c r="I20" s="422">
        <f t="shared" si="2"/>
        <v>0.99695613249776183</v>
      </c>
      <c r="J20" s="422">
        <f t="shared" si="3"/>
        <v>85.152997404844214</v>
      </c>
      <c r="K20" s="415">
        <f t="shared" si="4"/>
        <v>7.4943055975794828E-2</v>
      </c>
      <c r="L20" s="423">
        <f>AVERAGE('2022.04'!$B$15:$G$20)</f>
        <v>60.884210526315798</v>
      </c>
      <c r="M20" s="423">
        <f>_xlfn.STDEV.S('2022.04'!$B$15:$G$20)</f>
        <v>33.834651257712004</v>
      </c>
      <c r="N20" s="424">
        <f t="shared" si="63"/>
        <v>19</v>
      </c>
      <c r="O20" s="424">
        <f>'2022.04'!$D$144+'2022.04'!$E$144</f>
        <v>6993</v>
      </c>
      <c r="P20" s="425">
        <f t="shared" si="64"/>
        <v>3.7202151372803541E-2</v>
      </c>
      <c r="Q20" s="426">
        <f t="shared" si="65"/>
        <v>2.265023616213639</v>
      </c>
      <c r="R20" s="426">
        <f t="shared" si="66"/>
        <v>0.9972829972829973</v>
      </c>
      <c r="S20" s="426">
        <f t="shared" si="67"/>
        <v>60.251769775315395</v>
      </c>
      <c r="T20" s="426">
        <f t="shared" si="68"/>
        <v>8.3161886737313187E-2</v>
      </c>
      <c r="U20" s="421">
        <f>AVERAGE('2022.04'!$B$24:$G$38)</f>
        <v>62.290410958904104</v>
      </c>
      <c r="V20" s="421">
        <f>_xlfn.STDEV.S('2022.04'!$B$24:$G$38)</f>
        <v>26.564900424262635</v>
      </c>
      <c r="W20" s="417">
        <f t="shared" si="54"/>
        <v>73</v>
      </c>
      <c r="X20" s="447">
        <f>'2022.04'!$D$145+'2022.04'!$E$145</f>
        <v>30733</v>
      </c>
      <c r="Y20" s="422">
        <f t="shared" si="69"/>
        <v>0.16345079935753565</v>
      </c>
      <c r="Z20" s="422">
        <f t="shared" si="70"/>
        <v>10.184288169045553</v>
      </c>
      <c r="AA20" s="422">
        <f t="shared" si="71"/>
        <v>0.99762470308788598</v>
      </c>
      <c r="AB20" s="422">
        <f t="shared" si="72"/>
        <v>9.6670401993286195</v>
      </c>
      <c r="AC20" s="415">
        <f t="shared" si="73"/>
        <v>0.25765277055158287</v>
      </c>
      <c r="AD20" s="423">
        <f>AVERAGE('2022.04'!$B$42:$G$56)</f>
        <v>67.194736842105286</v>
      </c>
      <c r="AE20" s="423">
        <f>_xlfn.STDEV.S('2022.04'!$B$42:$G$56)</f>
        <v>27.337743846127616</v>
      </c>
      <c r="AF20" s="418">
        <f t="shared" si="55"/>
        <v>76</v>
      </c>
      <c r="AG20" s="424">
        <f>'2022.04'!$D$146+'2022.04'!$E$146</f>
        <v>31701</v>
      </c>
      <c r="AH20" s="418">
        <f t="shared" si="74"/>
        <v>0.16864656094226299</v>
      </c>
      <c r="AI20" s="426">
        <f t="shared" si="75"/>
        <v>11.332161281841433</v>
      </c>
      <c r="AJ20" s="426">
        <f t="shared" si="76"/>
        <v>0.99760259928708872</v>
      </c>
      <c r="AK20" s="426">
        <f t="shared" si="77"/>
        <v>9.8335820867958983</v>
      </c>
      <c r="AL20" s="416">
        <f t="shared" si="78"/>
        <v>0.27901290981446619</v>
      </c>
      <c r="AM20" s="421">
        <f>AVERAGE('2022.04'!$B$60:$G$68)</f>
        <v>62.163414634146356</v>
      </c>
      <c r="AN20" s="448">
        <f>_xlfn.STDEV.S('2022.04'!$B$60:$G$68)</f>
        <v>26.370957093908803</v>
      </c>
      <c r="AO20" s="417">
        <f t="shared" si="56"/>
        <v>41</v>
      </c>
      <c r="AP20" s="447">
        <f>'2022.04'!$D$147+'2022.04'!$E$147</f>
        <v>16502</v>
      </c>
      <c r="AQ20" s="417">
        <f t="shared" si="79"/>
        <v>8.7789203768626339E-2</v>
      </c>
      <c r="AR20" s="422">
        <f t="shared" si="80"/>
        <v>5.4557383994377542</v>
      </c>
      <c r="AS20" s="422">
        <f t="shared" si="81"/>
        <v>0.99751545267240338</v>
      </c>
      <c r="AT20" s="422">
        <f t="shared" si="82"/>
        <v>16.96164336704339</v>
      </c>
      <c r="AU20" s="415">
        <f t="shared" si="83"/>
        <v>0.1303976545473878</v>
      </c>
      <c r="AV20" s="423">
        <f>AVERAGE('2022.04'!$B$72:$G$90)</f>
        <v>65.004301075268785</v>
      </c>
      <c r="AW20" s="423">
        <f>_xlfn.STDEV.S('2022.04'!$B$72:$G$90)</f>
        <v>28.916968517744007</v>
      </c>
      <c r="AX20" s="418">
        <f t="shared" si="57"/>
        <v>93</v>
      </c>
      <c r="AY20" s="424">
        <f>'2022.04'!$D$148+'2022.04'!$E$148</f>
        <v>39806</v>
      </c>
      <c r="AZ20" s="418">
        <f t="shared" si="84"/>
        <v>0.21176445553350748</v>
      </c>
      <c r="BA20" s="426">
        <f t="shared" si="85"/>
        <v>13.765600424540487</v>
      </c>
      <c r="BB20" s="426">
        <f t="shared" si="86"/>
        <v>0.99766366879364921</v>
      </c>
      <c r="BC20" s="426">
        <f t="shared" si="87"/>
        <v>8.9913018092064299</v>
      </c>
      <c r="BD20" s="416">
        <f t="shared" si="88"/>
        <v>0.40226557187803852</v>
      </c>
      <c r="BE20" s="421">
        <f>AVERAGE('2022.04'!$B$94:$G$108)</f>
        <v>63.651388888888896</v>
      </c>
      <c r="BF20" s="448">
        <f>_xlfn.STDEV.S('2022.04'!$B$94:$G$108)</f>
        <v>26.777139677557503</v>
      </c>
      <c r="BG20" s="417">
        <f t="shared" si="58"/>
        <v>72</v>
      </c>
      <c r="BH20" s="447">
        <f>'2022.04'!$D$149+'2022.04'!$E$149</f>
        <v>30405</v>
      </c>
      <c r="BI20" s="417">
        <f t="shared" si="89"/>
        <v>0.16175195373803686</v>
      </c>
      <c r="BJ20" s="422">
        <f t="shared" si="90"/>
        <v>10.295736510917349</v>
      </c>
      <c r="BK20" s="422">
        <f t="shared" si="91"/>
        <v>0.99763196842624569</v>
      </c>
      <c r="BL20" s="422">
        <f t="shared" si="92"/>
        <v>9.9585445737697817</v>
      </c>
      <c r="BM20" s="415">
        <f t="shared" si="93"/>
        <v>0.25993532215560444</v>
      </c>
      <c r="BN20" s="423">
        <f>AVERAGE('2022.04'!$B$112:$G$116)</f>
        <v>60.131250000000001</v>
      </c>
      <c r="BO20" s="449">
        <f>_xlfn.STDEV.S('2022.04'!$B$112:$G$116)</f>
        <v>35.013154075766053</v>
      </c>
      <c r="BP20" s="418">
        <f t="shared" si="59"/>
        <v>16</v>
      </c>
      <c r="BQ20" s="424">
        <f>'2022.04'!$D$150+'2022.04'!$E$150</f>
        <v>5003</v>
      </c>
      <c r="BR20" s="418">
        <f t="shared" si="94"/>
        <v>2.6615524570018034E-2</v>
      </c>
      <c r="BS20" s="426">
        <f t="shared" si="95"/>
        <v>1.6004247618008969</v>
      </c>
      <c r="BT20" s="426">
        <f t="shared" si="96"/>
        <v>0.99680191884869074</v>
      </c>
      <c r="BU20" s="426">
        <f t="shared" si="97"/>
        <v>76.620059895833307</v>
      </c>
      <c r="BV20" s="416">
        <f t="shared" si="98"/>
        <v>5.4103008163096537E-2</v>
      </c>
      <c r="BW20" s="421">
        <f>AVERAGE('2022.04'!$B$120:$G$128)</f>
        <v>65.071052631578937</v>
      </c>
      <c r="BX20" s="448">
        <f>_xlfn.STDEV.S('2022.04'!$B$120:$G$128)</f>
        <v>29.107887924110248</v>
      </c>
      <c r="BY20" s="417">
        <f t="shared" si="60"/>
        <v>38</v>
      </c>
      <c r="BZ20" s="447">
        <f>'2022.04'!$D$151+'2022.04'!$E$151</f>
        <v>15226</v>
      </c>
      <c r="CA20" s="417">
        <f t="shared" si="99"/>
        <v>8.1000994823724679E-2</v>
      </c>
      <c r="CB20" s="422">
        <f t="shared" si="100"/>
        <v>5.2708199973848417</v>
      </c>
      <c r="CC20" s="422">
        <f t="shared" si="101"/>
        <v>0.99750426901352951</v>
      </c>
      <c r="CD20" s="422">
        <f t="shared" si="102"/>
        <v>22.296556300067451</v>
      </c>
      <c r="CE20" s="415">
        <f t="shared" si="103"/>
        <v>0.14592619552341074</v>
      </c>
      <c r="CF20" s="423">
        <f>AVERAGE('2022.04'!$B$132:$G$136)</f>
        <v>61.599999999999987</v>
      </c>
      <c r="CG20" s="449">
        <f>_xlfn.STDEV.S('2022.04'!$B$132:$G$136)</f>
        <v>37.402122265989156</v>
      </c>
      <c r="CH20" s="418">
        <f t="shared" si="61"/>
        <v>17</v>
      </c>
      <c r="CI20" s="424">
        <f>'2022.04'!$D$152+'2022.04'!$E$152</f>
        <v>6019</v>
      </c>
      <c r="CJ20" s="418">
        <f t="shared" si="104"/>
        <v>3.2020556143701487E-2</v>
      </c>
      <c r="CK20" s="426">
        <f t="shared" si="105"/>
        <v>1.9724662584520112</v>
      </c>
      <c r="CL20" s="426">
        <f t="shared" si="106"/>
        <v>0.99717561056653925</v>
      </c>
      <c r="CM20" s="426">
        <f t="shared" si="107"/>
        <v>82.289338235294224</v>
      </c>
      <c r="CN20" s="416">
        <f t="shared" si="108"/>
        <v>8.413427540496593E-2</v>
      </c>
      <c r="CO20" s="427">
        <f t="shared" si="51"/>
        <v>64.071423526744468</v>
      </c>
      <c r="CP20" s="428">
        <f t="shared" si="52"/>
        <v>1.330989350352459</v>
      </c>
    </row>
    <row r="21" spans="1:94" s="414" customFormat="1" x14ac:dyDescent="0.25">
      <c r="A21" s="419" t="str">
        <f>'monitoring results'!A21</f>
        <v>01/05/2022-31/05/2022</v>
      </c>
      <c r="B21" s="420">
        <f t="shared" si="41"/>
        <v>188037</v>
      </c>
      <c r="C21" s="421">
        <f>AVERAGE('2022.05'!$B$6:$G$11)</f>
        <v>63.547058823529426</v>
      </c>
      <c r="D21" s="421">
        <f>_xlfn.STDEV.S('2022.05'!$B$6:$G$11)</f>
        <v>38.323998970081675</v>
      </c>
      <c r="E21" s="417">
        <f t="shared" si="62"/>
        <v>17</v>
      </c>
      <c r="F21" s="417">
        <f>'2022.05'!$D$143+'2022.05'!$E$143</f>
        <v>5604</v>
      </c>
      <c r="G21" s="422">
        <f t="shared" si="0"/>
        <v>2.9802645224078241E-2</v>
      </c>
      <c r="H21" s="422">
        <f t="shared" si="1"/>
        <v>1.8938704491512781</v>
      </c>
      <c r="I21" s="422">
        <f t="shared" si="2"/>
        <v>0.99696645253390437</v>
      </c>
      <c r="J21" s="422">
        <f t="shared" si="3"/>
        <v>86.395817474048314</v>
      </c>
      <c r="K21" s="415">
        <f t="shared" si="4"/>
        <v>7.650377911086155E-2</v>
      </c>
      <c r="L21" s="423">
        <f>AVERAGE('2022.05'!$B$15:$G$20)</f>
        <v>64.763157894736835</v>
      </c>
      <c r="M21" s="423">
        <f>_xlfn.STDEV.S('2022.05'!$B$15:$G$20)</f>
        <v>38.008101629437945</v>
      </c>
      <c r="N21" s="424">
        <f t="shared" si="63"/>
        <v>19</v>
      </c>
      <c r="O21" s="424">
        <f>'2022.05'!$D$144+'2022.05'!$E$144</f>
        <v>7007</v>
      </c>
      <c r="P21" s="425">
        <f t="shared" si="64"/>
        <v>3.7263942734674559E-2</v>
      </c>
      <c r="Q21" s="426">
        <f t="shared" si="65"/>
        <v>2.4133306071061602</v>
      </c>
      <c r="R21" s="426">
        <f t="shared" si="66"/>
        <v>0.99728842585985444</v>
      </c>
      <c r="S21" s="426">
        <f t="shared" si="67"/>
        <v>76.032409972299135</v>
      </c>
      <c r="T21" s="426">
        <f t="shared" si="68"/>
        <v>0.10529242856382059</v>
      </c>
      <c r="U21" s="421">
        <f>AVERAGE('2022.05'!$B$24:$G$38)</f>
        <v>65.172602739725988</v>
      </c>
      <c r="V21" s="421">
        <f>_xlfn.STDEV.S('2022.05'!$B$24:$G$38)</f>
        <v>27.20876217259795</v>
      </c>
      <c r="W21" s="417">
        <f t="shared" si="54"/>
        <v>73</v>
      </c>
      <c r="X21" s="447">
        <f>'2022.05'!$D$145+'2022.05'!$E$145</f>
        <v>30796</v>
      </c>
      <c r="Y21" s="422">
        <f t="shared" si="69"/>
        <v>0.16378585940242307</v>
      </c>
      <c r="Z21" s="422">
        <f t="shared" si="70"/>
        <v>10.673726309038123</v>
      </c>
      <c r="AA21" s="422">
        <f t="shared" si="71"/>
        <v>0.99762956228081567</v>
      </c>
      <c r="AB21" s="422">
        <f t="shared" si="72"/>
        <v>10.14132519130133</v>
      </c>
      <c r="AC21" s="415">
        <f t="shared" si="73"/>
        <v>0.27140436403307089</v>
      </c>
      <c r="AD21" s="423">
        <f>AVERAGE('2022.05'!$B$42:$G$56)</f>
        <v>63.410526315789468</v>
      </c>
      <c r="AE21" s="423">
        <f>_xlfn.STDEV.S('2022.05'!$B$42:$G$56)</f>
        <v>29.548484806940031</v>
      </c>
      <c r="AF21" s="418">
        <f t="shared" si="55"/>
        <v>76</v>
      </c>
      <c r="AG21" s="424">
        <f>'2022.05'!$D$146+'2022.05'!$E$146</f>
        <v>31703</v>
      </c>
      <c r="AH21" s="418">
        <f t="shared" si="74"/>
        <v>0.16859979684849258</v>
      </c>
      <c r="AI21" s="426">
        <f t="shared" si="75"/>
        <v>10.691001854898097</v>
      </c>
      <c r="AJ21" s="426">
        <f t="shared" si="76"/>
        <v>0.99760275052834113</v>
      </c>
      <c r="AK21" s="426">
        <f t="shared" si="77"/>
        <v>11.488328347183762</v>
      </c>
      <c r="AL21" s="416">
        <f t="shared" si="78"/>
        <v>0.32578311497178042</v>
      </c>
      <c r="AM21" s="421">
        <f>AVERAGE('2022.05'!$B$60:$G$68)</f>
        <v>61.619512195121978</v>
      </c>
      <c r="AN21" s="448">
        <f>_xlfn.STDEV.S('2022.05'!$B$60:$G$68)</f>
        <v>27.709549071684553</v>
      </c>
      <c r="AO21" s="417">
        <f t="shared" si="56"/>
        <v>41</v>
      </c>
      <c r="AP21" s="447">
        <f>'2022.05'!$D$147+'2022.05'!$E$147</f>
        <v>16489</v>
      </c>
      <c r="AQ21" s="417">
        <f t="shared" si="79"/>
        <v>8.7690188633088167E-2</v>
      </c>
      <c r="AR21" s="422">
        <f t="shared" si="80"/>
        <v>5.4037427620933611</v>
      </c>
      <c r="AS21" s="422">
        <f t="shared" si="81"/>
        <v>0.99751349384438115</v>
      </c>
      <c r="AT21" s="422">
        <f t="shared" si="82"/>
        <v>18.727295359904737</v>
      </c>
      <c r="AU21" s="415">
        <f t="shared" si="83"/>
        <v>0.14364676436685428</v>
      </c>
      <c r="AV21" s="423">
        <f>AVERAGE('2022.05'!$B$72:$G$90)</f>
        <v>63.968817204301068</v>
      </c>
      <c r="AW21" s="423">
        <f>_xlfn.STDEV.S('2022.05'!$B$72:$G$90)</f>
        <v>26.299251842948546</v>
      </c>
      <c r="AX21" s="418">
        <f t="shared" si="57"/>
        <v>93</v>
      </c>
      <c r="AY21" s="424">
        <f>'2022.05'!$D$148+'2022.05'!$E$148</f>
        <v>39839</v>
      </c>
      <c r="AZ21" s="418">
        <f t="shared" si="84"/>
        <v>0.21186787706674751</v>
      </c>
      <c r="BA21" s="426">
        <f t="shared" si="85"/>
        <v>13.552937499546102</v>
      </c>
      <c r="BB21" s="426">
        <f t="shared" si="86"/>
        <v>0.99766560405632676</v>
      </c>
      <c r="BC21" s="426">
        <f t="shared" si="87"/>
        <v>7.4371037365465869</v>
      </c>
      <c r="BD21" s="416">
        <f t="shared" si="88"/>
        <v>0.33305738566837623</v>
      </c>
      <c r="BE21" s="421">
        <f>AVERAGE('2022.05'!$B$94:$G$108)</f>
        <v>64.311111111111131</v>
      </c>
      <c r="BF21" s="448">
        <f>_xlfn.STDEV.S('2022.05'!$B$94:$G$108)</f>
        <v>27.022247253612456</v>
      </c>
      <c r="BG21" s="417">
        <f t="shared" si="58"/>
        <v>72</v>
      </c>
      <c r="BH21" s="447">
        <f>'2022.05'!$D$149+'2022.05'!$E$149</f>
        <v>30387</v>
      </c>
      <c r="BI21" s="417">
        <f t="shared" si="89"/>
        <v>0.16160117423698528</v>
      </c>
      <c r="BJ21" s="422">
        <f t="shared" si="90"/>
        <v>10.39275107204079</v>
      </c>
      <c r="BK21" s="422">
        <f t="shared" si="91"/>
        <v>0.99763056570243858</v>
      </c>
      <c r="BL21" s="422">
        <f t="shared" si="92"/>
        <v>10.141692314380082</v>
      </c>
      <c r="BM21" s="415">
        <f t="shared" si="93"/>
        <v>0.2642221374487384</v>
      </c>
      <c r="BN21" s="423">
        <f>AVERAGE('2022.05'!$B$112:$G$116)</f>
        <v>63.875</v>
      </c>
      <c r="BO21" s="449">
        <f>_xlfn.STDEV.S('2022.05'!$B$112:$G$116)</f>
        <v>36.013839932263075</v>
      </c>
      <c r="BP21" s="418">
        <f t="shared" si="59"/>
        <v>16</v>
      </c>
      <c r="BQ21" s="424">
        <f>'2022.05'!$D$150+'2022.05'!$E$150</f>
        <v>5013</v>
      </c>
      <c r="BR21" s="418">
        <f t="shared" si="94"/>
        <v>2.6659646771646006E-2</v>
      </c>
      <c r="BS21" s="426">
        <f t="shared" si="95"/>
        <v>1.7028849375388886</v>
      </c>
      <c r="BT21" s="426">
        <f t="shared" si="96"/>
        <v>0.99680829842409735</v>
      </c>
      <c r="BU21" s="426">
        <f t="shared" si="97"/>
        <v>81.062291666666653</v>
      </c>
      <c r="BV21" s="416">
        <f t="shared" si="98"/>
        <v>5.743006448454497E-2</v>
      </c>
      <c r="BW21" s="421">
        <f>AVERAGE('2022.05'!$B$120:$G$128)</f>
        <v>64.55</v>
      </c>
      <c r="BX21" s="448">
        <f>_xlfn.STDEV.S('2022.05'!$B$120:$G$128)</f>
        <v>25.921093883324236</v>
      </c>
      <c r="BY21" s="417">
        <f t="shared" si="60"/>
        <v>38</v>
      </c>
      <c r="BZ21" s="447">
        <f>'2022.05'!$D$151+'2022.05'!$E$151</f>
        <v>15227</v>
      </c>
      <c r="CA21" s="417">
        <f t="shared" si="99"/>
        <v>8.0978743545153345E-2</v>
      </c>
      <c r="CB21" s="422">
        <f t="shared" si="100"/>
        <v>5.2271778958396489</v>
      </c>
      <c r="CC21" s="422">
        <f t="shared" si="101"/>
        <v>0.9975044329152164</v>
      </c>
      <c r="CD21" s="422">
        <f t="shared" si="102"/>
        <v>17.681660739687082</v>
      </c>
      <c r="CE21" s="415">
        <f t="shared" si="103"/>
        <v>0.11565913924438168</v>
      </c>
      <c r="CF21" s="423">
        <f>AVERAGE('2022.05'!$B$132:$G$136)</f>
        <v>61.788235294117641</v>
      </c>
      <c r="CG21" s="449">
        <f>_xlfn.STDEV.S('2022.05'!$B$132:$G$136)</f>
        <v>39.702044694715376</v>
      </c>
      <c r="CH21" s="418">
        <f t="shared" si="61"/>
        <v>17</v>
      </c>
      <c r="CI21" s="424">
        <f>'2022.05'!$D$152+'2022.05'!$E$152</f>
        <v>5972</v>
      </c>
      <c r="CJ21" s="418">
        <f t="shared" si="104"/>
        <v>3.1759706866201866E-2</v>
      </c>
      <c r="CK21" s="426">
        <f t="shared" si="105"/>
        <v>1.9623762407210845</v>
      </c>
      <c r="CL21" s="426">
        <f t="shared" si="106"/>
        <v>0.99715338245144003</v>
      </c>
      <c r="CM21" s="426">
        <f t="shared" si="107"/>
        <v>92.720726643598667</v>
      </c>
      <c r="CN21" s="416">
        <f t="shared" si="108"/>
        <v>9.3259216815273438E-2</v>
      </c>
      <c r="CO21" s="427">
        <f t="shared" si="51"/>
        <v>63.913799627973532</v>
      </c>
      <c r="CP21" s="428">
        <f t="shared" si="52"/>
        <v>1.3365097809996387</v>
      </c>
    </row>
    <row r="22" spans="1:94" x14ac:dyDescent="0.25">
      <c r="A22" s="419" t="str">
        <f>'monitoring results'!A22</f>
        <v>01/06/2022-30/06/2022</v>
      </c>
      <c r="B22" s="420">
        <f t="shared" si="41"/>
        <v>188136</v>
      </c>
      <c r="C22" s="421">
        <f>AVERAGE('2022.06'!$B$6:$G$11)</f>
        <v>62.047058823529412</v>
      </c>
      <c r="D22" s="421">
        <f>_xlfn.STDEV.S('2022.06'!$B$6:$G$11)</f>
        <v>34.763344877310416</v>
      </c>
      <c r="E22" s="417">
        <f t="shared" si="62"/>
        <v>17</v>
      </c>
      <c r="F22" s="417">
        <f>'2022.06'!$D$143+'2022.06'!$E$143</f>
        <v>5606</v>
      </c>
      <c r="G22" s="422">
        <f t="shared" si="0"/>
        <v>2.9797593230429052E-2</v>
      </c>
      <c r="H22" s="422">
        <f t="shared" si="1"/>
        <v>1.8488530199680331</v>
      </c>
      <c r="I22" s="422">
        <f t="shared" si="2"/>
        <v>0.99696753478415978</v>
      </c>
      <c r="J22" s="422">
        <f t="shared" si="3"/>
        <v>71.087655709342599</v>
      </c>
      <c r="K22" s="415">
        <f t="shared" si="4"/>
        <v>6.2927080517519815E-2</v>
      </c>
      <c r="L22" s="423">
        <f>AVERAGE('2022.06'!$B$15:$G$20)</f>
        <v>61.931578947368422</v>
      </c>
      <c r="M22" s="423">
        <f>_xlfn.STDEV.S('2022.06'!$B$15:$G$20)</f>
        <v>34.754920557008575</v>
      </c>
      <c r="N22" s="424">
        <f t="shared" ref="N22" si="109">N21</f>
        <v>19</v>
      </c>
      <c r="O22" s="424">
        <f>'2022.06'!$D$144+'2022.06'!$E$144</f>
        <v>6981</v>
      </c>
      <c r="P22" s="425">
        <f t="shared" si="64"/>
        <v>3.7106135986732999E-2</v>
      </c>
      <c r="Q22" s="426">
        <f t="shared" si="65"/>
        <v>2.2980415902941433</v>
      </c>
      <c r="R22" s="426">
        <f t="shared" si="66"/>
        <v>0.99727832688726548</v>
      </c>
      <c r="S22" s="426">
        <f t="shared" si="67"/>
        <v>63.573921206525114</v>
      </c>
      <c r="T22" s="426">
        <f t="shared" si="68"/>
        <v>8.7294492393827972E-2</v>
      </c>
      <c r="U22" s="421">
        <f>AVERAGE('2022.06'!$B$24:$G$38)</f>
        <v>64.363013698630127</v>
      </c>
      <c r="V22" s="421">
        <f>_xlfn.STDEV.S('2022.06'!$B$24:$G$38)</f>
        <v>28.240089248999872</v>
      </c>
      <c r="W22" s="417">
        <f t="shared" si="54"/>
        <v>73</v>
      </c>
      <c r="X22" s="447">
        <f>'2022.06'!$D$145+'2022.06'!$E$145</f>
        <v>30795</v>
      </c>
      <c r="Y22" s="422">
        <f t="shared" si="69"/>
        <v>0.16378054098901215</v>
      </c>
      <c r="Z22" s="422">
        <f t="shared" si="70"/>
        <v>10.535245816054953</v>
      </c>
      <c r="AA22" s="422">
        <f t="shared" si="71"/>
        <v>0.99762948530605622</v>
      </c>
      <c r="AB22" s="422">
        <f t="shared" si="72"/>
        <v>10.924693709472303</v>
      </c>
      <c r="AC22" s="415">
        <f t="shared" si="73"/>
        <v>0.2923500340262617</v>
      </c>
      <c r="AD22" s="423">
        <f>AVERAGE('2022.06'!$B$42:$G$56)</f>
        <v>66.371052631578905</v>
      </c>
      <c r="AE22" s="423">
        <f>_xlfn.STDEV.S('2022.06'!$B$42:$G$56)</f>
        <v>28.417894905801845</v>
      </c>
      <c r="AF22" s="418">
        <f t="shared" si="55"/>
        <v>76</v>
      </c>
      <c r="AG22" s="424">
        <f>'2022.06'!$D$146+'2022.06'!$E$146</f>
        <v>31755</v>
      </c>
      <c r="AH22" s="418">
        <f t="shared" si="74"/>
        <v>0.16878747289195051</v>
      </c>
      <c r="AI22" s="426">
        <f t="shared" si="75"/>
        <v>11.202602246862845</v>
      </c>
      <c r="AJ22" s="426">
        <f t="shared" si="76"/>
        <v>0.99760667611399778</v>
      </c>
      <c r="AK22" s="426">
        <f t="shared" si="77"/>
        <v>10.626009879963137</v>
      </c>
      <c r="AL22" s="416">
        <f t="shared" si="78"/>
        <v>0.3020021147214198</v>
      </c>
      <c r="AM22" s="421">
        <f>AVERAGE('2022.06'!$B$60:$G$68)</f>
        <v>61.819512195121952</v>
      </c>
      <c r="AN22" s="448">
        <f>_xlfn.STDEV.S('2022.06'!$B$60:$G$68)</f>
        <v>28.676630027883313</v>
      </c>
      <c r="AO22" s="417">
        <f t="shared" si="56"/>
        <v>41</v>
      </c>
      <c r="AP22" s="447">
        <f>'2022.06'!$D$147+'2022.06'!$E$147</f>
        <v>16508</v>
      </c>
      <c r="AQ22" s="417">
        <f t="shared" si="79"/>
        <v>8.774503550622953E-2</v>
      </c>
      <c r="AR22" s="422">
        <f t="shared" si="80"/>
        <v>5.4275286785714378</v>
      </c>
      <c r="AS22" s="422">
        <f t="shared" si="81"/>
        <v>0.99751635570632424</v>
      </c>
      <c r="AT22" s="422">
        <f t="shared" si="82"/>
        <v>20.057295359904849</v>
      </c>
      <c r="AU22" s="415">
        <f t="shared" si="83"/>
        <v>0.15404141640032465</v>
      </c>
      <c r="AV22" s="423">
        <f>AVERAGE('2022.06'!$B$72:$G$90)</f>
        <v>64.169892473118296</v>
      </c>
      <c r="AW22" s="423">
        <f>_xlfn.STDEV.S('2022.06'!$B$72:$G$90)</f>
        <v>27.787390731840251</v>
      </c>
      <c r="AX22" s="418">
        <f t="shared" si="57"/>
        <v>93</v>
      </c>
      <c r="AY22" s="424">
        <f>'2022.06'!$D$148+'2022.06'!$E$148</f>
        <v>39853</v>
      </c>
      <c r="AZ22" s="418">
        <f t="shared" si="84"/>
        <v>0.2118308032487137</v>
      </c>
      <c r="BA22" s="426">
        <f t="shared" si="85"/>
        <v>13.593159866964237</v>
      </c>
      <c r="BB22" s="426">
        <f t="shared" si="86"/>
        <v>0.99766642410859907</v>
      </c>
      <c r="BC22" s="426">
        <f t="shared" si="87"/>
        <v>8.30257079230066</v>
      </c>
      <c r="BD22" s="416">
        <f t="shared" si="88"/>
        <v>0.37168597153603433</v>
      </c>
      <c r="BE22" s="421">
        <f>AVERAGE('2022.06'!$B$94:$G$108)</f>
        <v>64.940277777777794</v>
      </c>
      <c r="BF22" s="448">
        <f>_xlfn.STDEV.S('2022.06'!$B$94:$G$108)</f>
        <v>26.156358986195151</v>
      </c>
      <c r="BG22" s="417">
        <f t="shared" si="58"/>
        <v>72</v>
      </c>
      <c r="BH22" s="447">
        <f>'2022.06'!$D$149+'2022.06'!$E$149</f>
        <v>30422</v>
      </c>
      <c r="BI22" s="417">
        <f t="shared" si="89"/>
        <v>0.16170217289620276</v>
      </c>
      <c r="BJ22" s="422">
        <f t="shared" si="90"/>
        <v>10.500984025149659</v>
      </c>
      <c r="BK22" s="422">
        <f t="shared" si="91"/>
        <v>0.99763329169679837</v>
      </c>
      <c r="BL22" s="422">
        <f t="shared" si="92"/>
        <v>9.5021543807598867</v>
      </c>
      <c r="BM22" s="415">
        <f t="shared" si="93"/>
        <v>0.2478704339978462</v>
      </c>
      <c r="BN22" s="423">
        <f>AVERAGE('2022.06'!$B$112:$G$116)</f>
        <v>59.806250000000006</v>
      </c>
      <c r="BO22" s="449">
        <f>_xlfn.STDEV.S('2022.06'!$B$112:$G$116)</f>
        <v>37.778538329762469</v>
      </c>
      <c r="BP22" s="418">
        <f t="shared" si="59"/>
        <v>16</v>
      </c>
      <c r="BQ22" s="424">
        <f>'2022.06'!$D$150+'2022.06'!$E$150</f>
        <v>4983</v>
      </c>
      <c r="BR22" s="418">
        <f t="shared" si="94"/>
        <v>2.6486158948845515E-2</v>
      </c>
      <c r="BS22" s="426">
        <f t="shared" si="95"/>
        <v>1.5840378436343923</v>
      </c>
      <c r="BT22" s="426">
        <f t="shared" si="96"/>
        <v>0.99678908288179813</v>
      </c>
      <c r="BU22" s="426">
        <f t="shared" si="97"/>
        <v>89.201122395833252</v>
      </c>
      <c r="BV22" s="416">
        <f t="shared" si="98"/>
        <v>6.2375142941558222E-2</v>
      </c>
      <c r="BW22" s="421">
        <f>AVERAGE('2022.06'!$B$120:$G$128)</f>
        <v>65.855263157894711</v>
      </c>
      <c r="BX22" s="448">
        <f>_xlfn.STDEV.S('2022.06'!$B$120:$G$128)</f>
        <v>27.146327185433538</v>
      </c>
      <c r="BY22" s="417">
        <f t="shared" si="60"/>
        <v>38</v>
      </c>
      <c r="BZ22" s="447">
        <f>'2022.06'!$D$151+'2022.06'!$E$151</f>
        <v>15212</v>
      </c>
      <c r="CA22" s="162">
        <f t="shared" si="47"/>
        <v>8.0856401751924142E-2</v>
      </c>
      <c r="CB22" s="168">
        <f t="shared" si="48"/>
        <v>5.3248196153734231</v>
      </c>
      <c r="CC22" s="168">
        <f t="shared" si="35"/>
        <v>0.99750197212726799</v>
      </c>
      <c r="CD22" s="168">
        <f t="shared" si="36"/>
        <v>19.392712622594946</v>
      </c>
      <c r="CE22" s="155">
        <f t="shared" si="37"/>
        <v>0.12646814425002109</v>
      </c>
      <c r="CF22" s="423">
        <f>AVERAGE('2022.06'!$B$132:$G$136)</f>
        <v>60.647058823529413</v>
      </c>
      <c r="CG22" s="449">
        <f>_xlfn.STDEV.S('2022.06'!$B$132:$G$136)</f>
        <v>36.881891180616314</v>
      </c>
      <c r="CH22" s="418">
        <f t="shared" si="61"/>
        <v>17</v>
      </c>
      <c r="CI22" s="424">
        <f>'2022.06'!$D$152+'2022.06'!$E$152</f>
        <v>6021</v>
      </c>
      <c r="CJ22" s="164">
        <f t="shared" si="49"/>
        <v>3.2003444316877155E-2</v>
      </c>
      <c r="CK22" s="172">
        <f t="shared" si="50"/>
        <v>1.9409147700411968</v>
      </c>
      <c r="CL22" s="172">
        <f t="shared" si="38"/>
        <v>0.99717654874605544</v>
      </c>
      <c r="CM22" s="172">
        <f t="shared" si="39"/>
        <v>80.016111591695491</v>
      </c>
      <c r="CN22" s="156">
        <f t="shared" si="40"/>
        <v>8.1722744160364014E-2</v>
      </c>
      <c r="CO22" s="427">
        <f t="shared" si="51"/>
        <v>64.25618747291432</v>
      </c>
      <c r="CP22" s="428">
        <f t="shared" si="52"/>
        <v>1.3374369424182875</v>
      </c>
    </row>
    <row r="23" spans="1:94" ht="13" x14ac:dyDescent="0.25">
      <c r="P23" s="158"/>
    </row>
    <row r="24" spans="1:94" x14ac:dyDescent="0.25">
      <c r="H24" s="175"/>
    </row>
    <row r="25" spans="1:94" ht="13" x14ac:dyDescent="0.25">
      <c r="A25" s="639" t="s">
        <v>83</v>
      </c>
      <c r="B25" s="639"/>
      <c r="C25" s="639"/>
      <c r="D25" s="639"/>
      <c r="E25" s="639"/>
      <c r="F25" s="639"/>
      <c r="G25" s="176"/>
      <c r="H25" s="176"/>
      <c r="I25" s="176"/>
      <c r="J25" s="176"/>
      <c r="K25" s="177"/>
      <c r="L25" s="340"/>
      <c r="M25" s="176"/>
      <c r="N25" s="158"/>
      <c r="O25" s="158"/>
      <c r="P25" s="158"/>
      <c r="Q25" s="158"/>
      <c r="R25" s="158"/>
      <c r="S25" s="158"/>
      <c r="T25" s="158"/>
    </row>
    <row r="26" spans="1:94" ht="39" customHeight="1" x14ac:dyDescent="0.25">
      <c r="A26" s="640"/>
      <c r="B26" s="640"/>
      <c r="C26" s="640"/>
      <c r="D26" s="640"/>
      <c r="E26" s="640"/>
      <c r="F26" s="640"/>
      <c r="G26" s="178"/>
      <c r="H26" s="179"/>
      <c r="I26" s="179"/>
    </row>
    <row r="27" spans="1:94" ht="15" x14ac:dyDescent="0.25">
      <c r="A27" s="180" t="s">
        <v>236</v>
      </c>
      <c r="B27" s="638" t="s">
        <v>84</v>
      </c>
      <c r="C27" s="638"/>
      <c r="D27" s="638"/>
      <c r="E27" s="638"/>
      <c r="F27" s="638"/>
      <c r="G27" s="181"/>
      <c r="H27" s="182"/>
      <c r="I27" s="182"/>
    </row>
    <row r="28" spans="1:94" ht="15" x14ac:dyDescent="0.25">
      <c r="A28" s="180" t="s">
        <v>237</v>
      </c>
      <c r="B28" s="638" t="s">
        <v>238</v>
      </c>
      <c r="C28" s="638"/>
      <c r="D28" s="638"/>
      <c r="E28" s="638"/>
      <c r="F28" s="638"/>
      <c r="G28" s="181"/>
      <c r="H28" s="182"/>
      <c r="I28" s="182"/>
    </row>
    <row r="29" spans="1:94" ht="13" x14ac:dyDescent="0.25">
      <c r="A29" s="180" t="s">
        <v>85</v>
      </c>
      <c r="B29" s="638" t="s">
        <v>81</v>
      </c>
      <c r="C29" s="638"/>
      <c r="D29" s="638"/>
      <c r="E29" s="638"/>
      <c r="F29" s="638"/>
      <c r="G29" s="181"/>
      <c r="H29" s="182"/>
      <c r="I29" s="182"/>
    </row>
    <row r="30" spans="1:94" ht="15" x14ac:dyDescent="0.25">
      <c r="A30" s="180" t="s">
        <v>239</v>
      </c>
      <c r="B30" s="638" t="s">
        <v>240</v>
      </c>
      <c r="C30" s="638"/>
      <c r="D30" s="638"/>
      <c r="E30" s="638"/>
      <c r="F30" s="638"/>
      <c r="G30" s="181"/>
      <c r="H30" s="182"/>
      <c r="I30" s="182"/>
    </row>
    <row r="33" spans="1:92" ht="13" x14ac:dyDescent="0.25">
      <c r="A33" s="639" t="s">
        <v>86</v>
      </c>
      <c r="B33" s="639"/>
      <c r="C33" s="639"/>
      <c r="D33" s="639"/>
      <c r="E33" s="639"/>
      <c r="F33" s="639"/>
      <c r="G33" s="176"/>
      <c r="H33" s="176"/>
      <c r="I33" s="176"/>
      <c r="R33" s="158"/>
      <c r="S33" s="158"/>
      <c r="T33" s="158"/>
    </row>
    <row r="34" spans="1:92" ht="57" customHeight="1" x14ac:dyDescent="0.25">
      <c r="A34" s="640"/>
      <c r="B34" s="640"/>
      <c r="C34" s="640"/>
      <c r="D34" s="640"/>
      <c r="E34" s="640"/>
      <c r="F34" s="640"/>
      <c r="G34" s="178"/>
      <c r="H34" s="179"/>
      <c r="I34" s="179"/>
      <c r="J34" s="179"/>
      <c r="M34" s="179"/>
      <c r="O34" s="183"/>
      <c r="P34" s="183"/>
      <c r="Q34" s="183"/>
      <c r="R34" s="183"/>
      <c r="S34" s="183"/>
      <c r="T34" s="183"/>
    </row>
    <row r="35" spans="1:92" ht="15" x14ac:dyDescent="0.25">
      <c r="A35" s="180" t="s">
        <v>241</v>
      </c>
      <c r="B35" s="643" t="s">
        <v>87</v>
      </c>
      <c r="C35" s="643"/>
      <c r="D35" s="643"/>
      <c r="E35" s="643"/>
      <c r="F35" s="643"/>
      <c r="G35" s="181"/>
      <c r="H35" s="182"/>
      <c r="I35" s="182"/>
      <c r="J35" s="182"/>
      <c r="M35" s="182"/>
      <c r="O35" s="184"/>
      <c r="P35" s="184"/>
      <c r="Q35" s="184"/>
      <c r="R35" s="184"/>
      <c r="S35" s="184"/>
      <c r="T35" s="184"/>
    </row>
    <row r="36" spans="1:92" ht="15" x14ac:dyDescent="0.25">
      <c r="A36" s="180" t="s">
        <v>237</v>
      </c>
      <c r="B36" s="638" t="s">
        <v>238</v>
      </c>
      <c r="C36" s="638"/>
      <c r="D36" s="638"/>
      <c r="E36" s="638"/>
      <c r="F36" s="638"/>
      <c r="G36" s="185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</row>
    <row r="37" spans="1:92" ht="13" x14ac:dyDescent="0.25">
      <c r="A37" s="180" t="s">
        <v>85</v>
      </c>
      <c r="B37" s="638" t="s">
        <v>81</v>
      </c>
      <c r="C37" s="638"/>
      <c r="D37" s="638"/>
      <c r="E37" s="638"/>
      <c r="F37" s="638"/>
      <c r="G37" s="181"/>
      <c r="H37" s="182"/>
      <c r="I37" s="182"/>
      <c r="J37" s="182"/>
      <c r="K37" s="182"/>
      <c r="L37" s="182"/>
      <c r="M37" s="182"/>
      <c r="N37" s="184"/>
      <c r="O37" s="184"/>
      <c r="P37" s="184"/>
      <c r="Q37" s="184"/>
      <c r="R37" s="184"/>
      <c r="S37" s="184"/>
      <c r="T37" s="184"/>
    </row>
    <row r="38" spans="1:92" ht="19.5" customHeight="1" x14ac:dyDescent="0.25">
      <c r="A38" s="180" t="s">
        <v>242</v>
      </c>
      <c r="B38" s="643" t="s">
        <v>243</v>
      </c>
      <c r="C38" s="643"/>
      <c r="D38" s="643"/>
      <c r="E38" s="643"/>
      <c r="F38" s="643"/>
      <c r="G38" s="186"/>
      <c r="N38" s="187"/>
      <c r="O38" s="187"/>
      <c r="P38" s="187"/>
      <c r="Q38" s="187"/>
      <c r="R38" s="187"/>
      <c r="S38" s="187"/>
      <c r="T38" s="187"/>
    </row>
    <row r="39" spans="1:92" ht="15" x14ac:dyDescent="0.25">
      <c r="A39" s="180" t="s">
        <v>244</v>
      </c>
      <c r="B39" s="638" t="s">
        <v>245</v>
      </c>
      <c r="C39" s="638"/>
      <c r="D39" s="638"/>
      <c r="E39" s="638"/>
      <c r="F39" s="638"/>
      <c r="G39" s="181"/>
      <c r="H39" s="182"/>
      <c r="I39" s="182"/>
      <c r="J39" s="182"/>
      <c r="K39" s="182"/>
      <c r="L39" s="182"/>
      <c r="M39" s="182"/>
      <c r="N39" s="184"/>
      <c r="O39" s="184"/>
      <c r="P39" s="184"/>
      <c r="Q39" s="184"/>
      <c r="R39" s="184"/>
      <c r="S39" s="184"/>
      <c r="T39" s="184"/>
    </row>
    <row r="41" spans="1:92" ht="13" x14ac:dyDescent="0.25">
      <c r="A41" s="639" t="s">
        <v>88</v>
      </c>
      <c r="B41" s="639"/>
      <c r="C41" s="639"/>
      <c r="D41" s="639"/>
      <c r="E41" s="639"/>
      <c r="F41" s="639"/>
      <c r="G41" s="176"/>
      <c r="H41" s="176"/>
      <c r="I41" s="176"/>
      <c r="J41" s="176"/>
      <c r="K41" s="176"/>
      <c r="L41" s="176"/>
      <c r="M41" s="176"/>
      <c r="N41" s="158"/>
      <c r="O41" s="158"/>
      <c r="P41" s="158"/>
      <c r="Q41" s="158"/>
      <c r="R41" s="158"/>
      <c r="S41" s="158"/>
      <c r="T41" s="158"/>
    </row>
    <row r="42" spans="1:92" ht="114" customHeight="1" x14ac:dyDescent="0.25">
      <c r="A42" s="188">
        <f>TINV(0.05,450)</f>
        <v>1.9652496647364686</v>
      </c>
      <c r="B42" s="641" t="s">
        <v>400</v>
      </c>
      <c r="C42" s="641"/>
      <c r="D42" s="641"/>
      <c r="E42" s="641"/>
      <c r="F42" s="641"/>
      <c r="G42" s="189"/>
      <c r="H42" s="189"/>
      <c r="I42" s="189"/>
      <c r="J42" s="189"/>
      <c r="K42" s="189"/>
      <c r="L42" s="189"/>
      <c r="M42" s="189"/>
      <c r="N42" s="190"/>
      <c r="O42" s="190"/>
      <c r="P42" s="190"/>
      <c r="Q42" s="190"/>
      <c r="R42" s="190"/>
      <c r="S42" s="190"/>
      <c r="T42" s="190"/>
    </row>
    <row r="43" spans="1:92" ht="17.25" customHeight="1" x14ac:dyDescent="0.25"/>
    <row r="44" spans="1:92" ht="17.25" customHeight="1" x14ac:dyDescent="0.25">
      <c r="A44" s="639" t="s">
        <v>89</v>
      </c>
      <c r="B44" s="639"/>
      <c r="C44" s="639"/>
      <c r="D44" s="639"/>
      <c r="E44" s="639"/>
      <c r="F44" s="639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</row>
    <row r="45" spans="1:92" ht="37.5" customHeight="1" x14ac:dyDescent="0.25">
      <c r="A45" s="188" t="s">
        <v>90</v>
      </c>
      <c r="B45" s="642" t="s">
        <v>246</v>
      </c>
      <c r="C45" s="642"/>
      <c r="D45" s="642"/>
      <c r="E45" s="642"/>
      <c r="F45" s="642"/>
      <c r="G45" s="191"/>
      <c r="H45" s="191"/>
      <c r="I45" s="191"/>
      <c r="J45" s="191"/>
      <c r="K45" s="191"/>
      <c r="L45" s="191"/>
      <c r="M45" s="191"/>
      <c r="N45" s="192"/>
      <c r="O45" s="192"/>
      <c r="P45" s="192"/>
      <c r="Q45" s="192"/>
      <c r="R45" s="192"/>
      <c r="S45" s="192"/>
      <c r="T45" s="192"/>
    </row>
    <row r="47" spans="1:92" ht="13" x14ac:dyDescent="0.25">
      <c r="A47" s="639" t="s">
        <v>91</v>
      </c>
      <c r="B47" s="639"/>
      <c r="C47" s="639"/>
      <c r="D47" s="639"/>
      <c r="E47" s="639"/>
      <c r="F47" s="639"/>
      <c r="G47" s="176"/>
      <c r="H47" s="176"/>
      <c r="I47" s="176"/>
      <c r="J47" s="176"/>
      <c r="K47" s="176"/>
      <c r="L47" s="176"/>
      <c r="M47" s="176"/>
      <c r="N47" s="158"/>
      <c r="O47" s="158"/>
      <c r="P47" s="158"/>
      <c r="Q47" s="158"/>
      <c r="R47" s="158"/>
      <c r="S47" s="158"/>
      <c r="T47" s="158"/>
    </row>
    <row r="48" spans="1:92" ht="26" x14ac:dyDescent="0.25">
      <c r="A48" s="193" t="s">
        <v>168</v>
      </c>
      <c r="B48" s="180" t="s">
        <v>92</v>
      </c>
      <c r="C48" s="180" t="s">
        <v>226</v>
      </c>
      <c r="D48" s="194" t="s">
        <v>227</v>
      </c>
      <c r="E48" s="160" t="s">
        <v>247</v>
      </c>
      <c r="F48" s="194" t="s">
        <v>93</v>
      </c>
      <c r="G48" s="195"/>
      <c r="H48" s="196"/>
      <c r="I48" s="196"/>
      <c r="J48" s="196"/>
      <c r="K48" s="196"/>
      <c r="L48" s="183"/>
      <c r="M48" s="196"/>
      <c r="N48" s="196"/>
      <c r="O48" s="196"/>
      <c r="P48" s="196"/>
      <c r="Q48" s="196"/>
      <c r="R48" s="196"/>
      <c r="S48" s="196"/>
      <c r="T48" s="196"/>
      <c r="U48" s="197"/>
      <c r="V48" s="198"/>
      <c r="W48" s="198"/>
      <c r="X48" s="198"/>
      <c r="Y48" s="198"/>
      <c r="Z48" s="198"/>
      <c r="AA48" s="198"/>
      <c r="AB48" s="198"/>
      <c r="AC48" s="198"/>
      <c r="AD48" s="197"/>
      <c r="AE48" s="198"/>
      <c r="AF48" s="198"/>
      <c r="AG48" s="198"/>
      <c r="AH48" s="198"/>
      <c r="AI48" s="198"/>
      <c r="AJ48" s="198"/>
      <c r="AK48" s="198"/>
      <c r="AL48" s="198"/>
      <c r="AM48" s="197"/>
      <c r="AN48" s="198"/>
      <c r="AO48" s="198"/>
      <c r="AP48" s="198"/>
      <c r="AQ48" s="198"/>
      <c r="AR48" s="198"/>
      <c r="AS48" s="198"/>
      <c r="AT48" s="198"/>
      <c r="AU48" s="198"/>
      <c r="AV48" s="197"/>
      <c r="AW48" s="198"/>
      <c r="AX48" s="198"/>
      <c r="AY48" s="198"/>
      <c r="AZ48" s="198"/>
      <c r="BA48" s="198"/>
      <c r="BB48" s="198"/>
      <c r="BC48" s="198"/>
      <c r="BD48" s="198"/>
      <c r="BE48" s="197"/>
      <c r="BF48" s="198"/>
      <c r="BG48" s="198"/>
      <c r="BH48" s="198"/>
      <c r="BI48" s="198"/>
      <c r="BJ48" s="198"/>
      <c r="BK48" s="198"/>
      <c r="BL48" s="198"/>
      <c r="BM48" s="198"/>
      <c r="BN48" s="197"/>
      <c r="BO48" s="198"/>
      <c r="BP48" s="198"/>
      <c r="BQ48" s="198"/>
      <c r="BR48" s="198"/>
      <c r="BS48" s="198"/>
      <c r="BT48" s="198"/>
      <c r="BU48" s="198"/>
      <c r="BV48" s="198"/>
      <c r="BW48" s="197"/>
      <c r="BX48" s="198"/>
      <c r="BY48" s="198"/>
      <c r="BZ48" s="198"/>
      <c r="CA48" s="198"/>
      <c r="CB48" s="198"/>
      <c r="CC48" s="198"/>
      <c r="CD48" s="198"/>
      <c r="CE48" s="198"/>
      <c r="CF48" s="197"/>
      <c r="CG48" s="198"/>
      <c r="CH48" s="198"/>
      <c r="CI48" s="198"/>
      <c r="CJ48" s="198"/>
      <c r="CK48" s="198"/>
      <c r="CL48" s="198"/>
      <c r="CM48" s="198"/>
      <c r="CN48" s="198"/>
    </row>
    <row r="49" spans="1:92" ht="13" x14ac:dyDescent="0.25">
      <c r="A49" s="199" t="str">
        <f t="shared" ref="A49:A67" si="110">A4</f>
        <v>26/12/2020-31/12/2020</v>
      </c>
      <c r="B49" s="200">
        <f t="shared" ref="B49:B67" si="111">$A$42</f>
        <v>1.9652496647364686</v>
      </c>
      <c r="C49" s="201">
        <f t="shared" ref="C49:C63" si="112">CO4</f>
        <v>63.963320624710107</v>
      </c>
      <c r="D49" s="202">
        <f t="shared" ref="D49:D63" si="113">CP4</f>
        <v>1.3137003881594491</v>
      </c>
      <c r="E49" s="203">
        <f t="shared" ref="E49:E63" si="114">B49*D49</f>
        <v>2.581749247394526</v>
      </c>
      <c r="F49" s="204">
        <f t="shared" ref="F49:F63" si="115">E49/C49</f>
        <v>4.0362964620650928E-2</v>
      </c>
      <c r="G49" s="196"/>
      <c r="H49" s="196"/>
      <c r="I49" s="196"/>
      <c r="J49" s="196"/>
      <c r="K49" s="196"/>
      <c r="L49" s="183"/>
      <c r="M49" s="196"/>
      <c r="N49" s="196"/>
      <c r="O49" s="196"/>
      <c r="P49" s="196"/>
      <c r="Q49" s="196"/>
      <c r="R49" s="196"/>
      <c r="S49" s="196"/>
      <c r="T49" s="196"/>
      <c r="U49" s="197"/>
      <c r="V49" s="198"/>
      <c r="W49" s="198"/>
      <c r="X49" s="198"/>
      <c r="Y49" s="198"/>
      <c r="Z49" s="198"/>
      <c r="AA49" s="198"/>
      <c r="AB49" s="198"/>
      <c r="AC49" s="198"/>
      <c r="AD49" s="197"/>
      <c r="AE49" s="198"/>
      <c r="AF49" s="198"/>
      <c r="AG49" s="198"/>
      <c r="AH49" s="198"/>
      <c r="AI49" s="198"/>
      <c r="AJ49" s="198"/>
      <c r="AK49" s="198"/>
      <c r="AL49" s="198"/>
      <c r="AM49" s="197"/>
      <c r="AN49" s="198"/>
      <c r="AO49" s="198"/>
      <c r="AP49" s="198"/>
      <c r="AQ49" s="198"/>
      <c r="AR49" s="198"/>
      <c r="AS49" s="198"/>
      <c r="AT49" s="198"/>
      <c r="AU49" s="198"/>
      <c r="AV49" s="197"/>
      <c r="AW49" s="198"/>
      <c r="AX49" s="198"/>
      <c r="AY49" s="198"/>
      <c r="AZ49" s="198"/>
      <c r="BA49" s="198"/>
      <c r="BB49" s="198"/>
      <c r="BC49" s="198"/>
      <c r="BD49" s="198"/>
      <c r="BE49" s="197"/>
      <c r="BF49" s="198"/>
      <c r="BG49" s="198"/>
      <c r="BH49" s="198"/>
      <c r="BI49" s="198"/>
      <c r="BJ49" s="198"/>
      <c r="BK49" s="198"/>
      <c r="BL49" s="198"/>
      <c r="BM49" s="198"/>
      <c r="BN49" s="197"/>
      <c r="BO49" s="198"/>
      <c r="BP49" s="198"/>
      <c r="BQ49" s="198"/>
      <c r="BR49" s="198"/>
      <c r="BS49" s="198"/>
      <c r="BT49" s="198"/>
      <c r="BU49" s="198"/>
      <c r="BV49" s="198"/>
      <c r="BW49" s="197"/>
      <c r="BX49" s="198"/>
      <c r="BY49" s="198"/>
      <c r="BZ49" s="198"/>
      <c r="CA49" s="198"/>
      <c r="CB49" s="198"/>
      <c r="CC49" s="198"/>
      <c r="CD49" s="198"/>
      <c r="CE49" s="198"/>
      <c r="CF49" s="197"/>
      <c r="CG49" s="198"/>
      <c r="CH49" s="198"/>
      <c r="CI49" s="198"/>
      <c r="CJ49" s="198"/>
      <c r="CK49" s="198"/>
      <c r="CL49" s="198"/>
      <c r="CM49" s="198"/>
      <c r="CN49" s="198"/>
    </row>
    <row r="50" spans="1:92" ht="13" x14ac:dyDescent="0.25">
      <c r="A50" s="199" t="str">
        <f t="shared" si="110"/>
        <v>01/01/2021-31/01/2021</v>
      </c>
      <c r="B50" s="200">
        <f t="shared" si="111"/>
        <v>1.9652496647364686</v>
      </c>
      <c r="C50" s="201">
        <f t="shared" si="112"/>
        <v>64.564549521794063</v>
      </c>
      <c r="D50" s="202">
        <f t="shared" si="113"/>
        <v>1.3621883321996497</v>
      </c>
      <c r="E50" s="203">
        <f t="shared" si="114"/>
        <v>2.6770401631632907</v>
      </c>
      <c r="F50" s="204">
        <f t="shared" si="115"/>
        <v>4.1463003815424178E-2</v>
      </c>
      <c r="G50" s="196"/>
      <c r="H50" s="196"/>
      <c r="I50" s="196"/>
      <c r="J50" s="196"/>
      <c r="K50" s="196"/>
      <c r="L50" s="183"/>
      <c r="M50" s="196"/>
      <c r="N50" s="196"/>
      <c r="O50" s="196"/>
      <c r="P50" s="196"/>
      <c r="Q50" s="196"/>
      <c r="R50" s="196"/>
      <c r="S50" s="196"/>
      <c r="T50" s="196"/>
      <c r="U50" s="197"/>
      <c r="V50" s="198"/>
      <c r="W50" s="198"/>
      <c r="X50" s="198"/>
      <c r="Y50" s="198"/>
      <c r="Z50" s="198"/>
      <c r="AA50" s="198"/>
      <c r="AB50" s="198"/>
      <c r="AC50" s="198"/>
      <c r="AD50" s="197"/>
      <c r="AE50" s="198"/>
      <c r="AF50" s="198"/>
      <c r="AG50" s="198"/>
      <c r="AH50" s="198"/>
      <c r="AI50" s="198"/>
      <c r="AJ50" s="198"/>
      <c r="AK50" s="198"/>
      <c r="AL50" s="198"/>
      <c r="AM50" s="197"/>
      <c r="AN50" s="198"/>
      <c r="AO50" s="198"/>
      <c r="AP50" s="198"/>
      <c r="AQ50" s="198"/>
      <c r="AR50" s="198"/>
      <c r="AS50" s="198"/>
      <c r="AT50" s="198"/>
      <c r="AU50" s="198"/>
      <c r="AV50" s="197"/>
      <c r="AW50" s="198"/>
      <c r="AX50" s="198"/>
      <c r="AY50" s="198"/>
      <c r="AZ50" s="198"/>
      <c r="BA50" s="198"/>
      <c r="BB50" s="198"/>
      <c r="BC50" s="198"/>
      <c r="BD50" s="198"/>
      <c r="BE50" s="197"/>
      <c r="BF50" s="198"/>
      <c r="BG50" s="198"/>
      <c r="BH50" s="198"/>
      <c r="BI50" s="198"/>
      <c r="BJ50" s="198"/>
      <c r="BK50" s="198"/>
      <c r="BL50" s="198"/>
      <c r="BM50" s="198"/>
      <c r="BN50" s="197"/>
      <c r="BO50" s="198"/>
      <c r="BP50" s="198"/>
      <c r="BQ50" s="198"/>
      <c r="BR50" s="198"/>
      <c r="BS50" s="198"/>
      <c r="BT50" s="198"/>
      <c r="BU50" s="198"/>
      <c r="BV50" s="198"/>
      <c r="BW50" s="197"/>
      <c r="BX50" s="198"/>
      <c r="BY50" s="198"/>
      <c r="BZ50" s="198"/>
      <c r="CA50" s="198"/>
      <c r="CB50" s="198"/>
      <c r="CC50" s="198"/>
      <c r="CD50" s="198"/>
      <c r="CE50" s="198"/>
      <c r="CF50" s="197"/>
      <c r="CG50" s="198"/>
      <c r="CH50" s="198"/>
      <c r="CI50" s="198"/>
      <c r="CJ50" s="198"/>
      <c r="CK50" s="198"/>
      <c r="CL50" s="198"/>
      <c r="CM50" s="198"/>
      <c r="CN50" s="198"/>
    </row>
    <row r="51" spans="1:92" ht="13" x14ac:dyDescent="0.25">
      <c r="A51" s="199" t="str">
        <f t="shared" si="110"/>
        <v>01/02/1021-28/02/2021</v>
      </c>
      <c r="B51" s="200">
        <f t="shared" si="111"/>
        <v>1.9652496647364686</v>
      </c>
      <c r="C51" s="201">
        <f t="shared" si="112"/>
        <v>64.290056871691661</v>
      </c>
      <c r="D51" s="202">
        <f t="shared" si="113"/>
        <v>1.3604041441246435</v>
      </c>
      <c r="E51" s="203">
        <f t="shared" si="114"/>
        <v>2.6735337881470582</v>
      </c>
      <c r="F51" s="204">
        <f t="shared" si="115"/>
        <v>4.1585494215424693E-2</v>
      </c>
      <c r="G51" s="196"/>
      <c r="H51" s="196"/>
      <c r="I51" s="196"/>
      <c r="J51" s="196"/>
      <c r="K51" s="196"/>
      <c r="L51" s="183"/>
      <c r="M51" s="196"/>
      <c r="N51" s="196"/>
      <c r="O51" s="196"/>
      <c r="P51" s="196"/>
      <c r="Q51" s="196"/>
      <c r="R51" s="196"/>
      <c r="S51" s="196"/>
      <c r="T51" s="196"/>
      <c r="U51" s="197"/>
      <c r="V51" s="198"/>
      <c r="W51" s="198"/>
      <c r="X51" s="198"/>
      <c r="Y51" s="198"/>
      <c r="Z51" s="198"/>
      <c r="AA51" s="198"/>
      <c r="AB51" s="198"/>
      <c r="AC51" s="198"/>
      <c r="AD51" s="197"/>
      <c r="AE51" s="198"/>
      <c r="AF51" s="198"/>
      <c r="AG51" s="198"/>
      <c r="AH51" s="198"/>
      <c r="AI51" s="198"/>
      <c r="AJ51" s="198"/>
      <c r="AK51" s="198"/>
      <c r="AL51" s="198"/>
      <c r="AM51" s="197"/>
      <c r="AN51" s="198"/>
      <c r="AO51" s="198"/>
      <c r="AP51" s="198"/>
      <c r="AQ51" s="198"/>
      <c r="AR51" s="198"/>
      <c r="AS51" s="198"/>
      <c r="AT51" s="198"/>
      <c r="AU51" s="198"/>
      <c r="AV51" s="197"/>
      <c r="AW51" s="198"/>
      <c r="AX51" s="198"/>
      <c r="AY51" s="198"/>
      <c r="AZ51" s="198"/>
      <c r="BA51" s="198"/>
      <c r="BB51" s="198"/>
      <c r="BC51" s="198"/>
      <c r="BD51" s="198"/>
      <c r="BE51" s="197"/>
      <c r="BF51" s="198"/>
      <c r="BG51" s="198"/>
      <c r="BH51" s="198"/>
      <c r="BI51" s="198"/>
      <c r="BJ51" s="198"/>
      <c r="BK51" s="198"/>
      <c r="BL51" s="198"/>
      <c r="BM51" s="198"/>
      <c r="BN51" s="197"/>
      <c r="BO51" s="198"/>
      <c r="BP51" s="198"/>
      <c r="BQ51" s="198"/>
      <c r="BR51" s="198"/>
      <c r="BS51" s="198"/>
      <c r="BT51" s="198"/>
      <c r="BU51" s="198"/>
      <c r="BV51" s="198"/>
      <c r="BW51" s="197"/>
      <c r="BX51" s="198"/>
      <c r="BY51" s="198"/>
      <c r="BZ51" s="198"/>
      <c r="CA51" s="198"/>
      <c r="CB51" s="198"/>
      <c r="CC51" s="198"/>
      <c r="CD51" s="198"/>
      <c r="CE51" s="198"/>
      <c r="CF51" s="197"/>
      <c r="CG51" s="198"/>
      <c r="CH51" s="198"/>
      <c r="CI51" s="198"/>
      <c r="CJ51" s="198"/>
      <c r="CK51" s="198"/>
      <c r="CL51" s="198"/>
      <c r="CM51" s="198"/>
      <c r="CN51" s="198"/>
    </row>
    <row r="52" spans="1:92" ht="13" x14ac:dyDescent="0.25">
      <c r="A52" s="199" t="str">
        <f t="shared" si="110"/>
        <v>01/03/2021-31/03/3021</v>
      </c>
      <c r="B52" s="200">
        <f t="shared" si="111"/>
        <v>1.9652496647364686</v>
      </c>
      <c r="C52" s="201">
        <f t="shared" si="112"/>
        <v>63.72622668468447</v>
      </c>
      <c r="D52" s="202">
        <f t="shared" si="113"/>
        <v>1.3261455633707846</v>
      </c>
      <c r="E52" s="203">
        <f t="shared" si="114"/>
        <v>2.6062071238061897</v>
      </c>
      <c r="F52" s="204">
        <f t="shared" si="115"/>
        <v>4.0896931442396978E-2</v>
      </c>
      <c r="G52" s="196"/>
      <c r="H52" s="196"/>
      <c r="I52" s="196"/>
      <c r="J52" s="196"/>
      <c r="K52" s="196"/>
      <c r="L52" s="183"/>
      <c r="M52" s="196"/>
      <c r="N52" s="196"/>
      <c r="O52" s="196"/>
      <c r="P52" s="196"/>
      <c r="Q52" s="196"/>
      <c r="R52" s="196"/>
      <c r="S52" s="196"/>
      <c r="T52" s="196"/>
      <c r="U52" s="197"/>
      <c r="V52" s="198"/>
      <c r="W52" s="198"/>
      <c r="X52" s="198"/>
      <c r="Y52" s="198"/>
      <c r="Z52" s="198"/>
      <c r="AA52" s="198"/>
      <c r="AB52" s="198"/>
      <c r="AC52" s="198"/>
      <c r="AD52" s="197"/>
      <c r="AE52" s="198"/>
      <c r="AF52" s="198"/>
      <c r="AG52" s="198"/>
      <c r="AH52" s="198"/>
      <c r="AI52" s="198"/>
      <c r="AJ52" s="198"/>
      <c r="AK52" s="198"/>
      <c r="AL52" s="198"/>
      <c r="AM52" s="197"/>
      <c r="AN52" s="198"/>
      <c r="AO52" s="198"/>
      <c r="AP52" s="198"/>
      <c r="AQ52" s="198"/>
      <c r="AR52" s="198"/>
      <c r="AS52" s="198"/>
      <c r="AT52" s="198"/>
      <c r="AU52" s="198"/>
      <c r="AV52" s="197"/>
      <c r="AW52" s="198"/>
      <c r="AX52" s="198"/>
      <c r="AY52" s="198"/>
      <c r="AZ52" s="198"/>
      <c r="BA52" s="198"/>
      <c r="BB52" s="198"/>
      <c r="BC52" s="198"/>
      <c r="BD52" s="198"/>
      <c r="BE52" s="197"/>
      <c r="BF52" s="198"/>
      <c r="BG52" s="198"/>
      <c r="BH52" s="198"/>
      <c r="BI52" s="198"/>
      <c r="BJ52" s="198"/>
      <c r="BK52" s="198"/>
      <c r="BL52" s="198"/>
      <c r="BM52" s="198"/>
      <c r="BN52" s="197"/>
      <c r="BO52" s="198"/>
      <c r="BP52" s="198"/>
      <c r="BQ52" s="198"/>
      <c r="BR52" s="198"/>
      <c r="BS52" s="198"/>
      <c r="BT52" s="198"/>
      <c r="BU52" s="198"/>
      <c r="BV52" s="198"/>
      <c r="BW52" s="197"/>
      <c r="BX52" s="198"/>
      <c r="BY52" s="198"/>
      <c r="BZ52" s="198"/>
      <c r="CA52" s="198"/>
      <c r="CB52" s="198"/>
      <c r="CC52" s="198"/>
      <c r="CD52" s="198"/>
      <c r="CE52" s="198"/>
      <c r="CF52" s="197"/>
      <c r="CG52" s="198"/>
      <c r="CH52" s="198"/>
      <c r="CI52" s="198"/>
      <c r="CJ52" s="198"/>
      <c r="CK52" s="198"/>
      <c r="CL52" s="198"/>
      <c r="CM52" s="198"/>
      <c r="CN52" s="198"/>
    </row>
    <row r="53" spans="1:92" ht="13" x14ac:dyDescent="0.25">
      <c r="A53" s="199" t="str">
        <f t="shared" si="110"/>
        <v>01/04/2021-30/04/2021</v>
      </c>
      <c r="B53" s="200">
        <f t="shared" si="111"/>
        <v>1.9652496647364686</v>
      </c>
      <c r="C53" s="201">
        <f t="shared" si="112"/>
        <v>64.290385461447599</v>
      </c>
      <c r="D53" s="202">
        <f t="shared" si="113"/>
        <v>1.347254230938032</v>
      </c>
      <c r="E53" s="203">
        <f t="shared" si="114"/>
        <v>2.6476909256657559</v>
      </c>
      <c r="F53" s="204">
        <f t="shared" si="115"/>
        <v>4.1183310796191627E-2</v>
      </c>
      <c r="G53" s="196"/>
      <c r="H53" s="196"/>
      <c r="I53" s="196"/>
      <c r="J53" s="196"/>
      <c r="K53" s="196"/>
      <c r="L53" s="183"/>
      <c r="M53" s="196"/>
      <c r="N53" s="196"/>
      <c r="O53" s="196"/>
      <c r="P53" s="196"/>
      <c r="Q53" s="196"/>
      <c r="R53" s="196"/>
      <c r="S53" s="196"/>
      <c r="T53" s="196"/>
      <c r="U53" s="197"/>
      <c r="V53" s="198"/>
      <c r="W53" s="198"/>
      <c r="X53" s="198"/>
      <c r="Y53" s="198"/>
      <c r="Z53" s="198"/>
      <c r="AA53" s="198"/>
      <c r="AB53" s="198"/>
      <c r="AC53" s="198"/>
      <c r="AD53" s="197"/>
      <c r="AE53" s="198"/>
      <c r="AF53" s="198"/>
      <c r="AG53" s="198"/>
      <c r="AH53" s="198"/>
      <c r="AI53" s="198"/>
      <c r="AJ53" s="198"/>
      <c r="AK53" s="198"/>
      <c r="AL53" s="198"/>
      <c r="AM53" s="197"/>
      <c r="AN53" s="198"/>
      <c r="AO53" s="198"/>
      <c r="AP53" s="198"/>
      <c r="AQ53" s="198"/>
      <c r="AR53" s="198"/>
      <c r="AS53" s="198"/>
      <c r="AT53" s="198"/>
      <c r="AU53" s="198"/>
      <c r="AV53" s="197"/>
      <c r="AW53" s="198"/>
      <c r="AX53" s="198"/>
      <c r="AY53" s="198"/>
      <c r="AZ53" s="198"/>
      <c r="BA53" s="198"/>
      <c r="BB53" s="198"/>
      <c r="BC53" s="198"/>
      <c r="BD53" s="198"/>
      <c r="BE53" s="197"/>
      <c r="BF53" s="198"/>
      <c r="BG53" s="198"/>
      <c r="BH53" s="198"/>
      <c r="BI53" s="198"/>
      <c r="BJ53" s="198"/>
      <c r="BK53" s="198"/>
      <c r="BL53" s="198"/>
      <c r="BM53" s="198"/>
      <c r="BN53" s="197"/>
      <c r="BO53" s="198"/>
      <c r="BP53" s="198"/>
      <c r="BQ53" s="198"/>
      <c r="BR53" s="198"/>
      <c r="BS53" s="198"/>
      <c r="BT53" s="198"/>
      <c r="BU53" s="198"/>
      <c r="BV53" s="198"/>
      <c r="BW53" s="197"/>
      <c r="BX53" s="198"/>
      <c r="BY53" s="198"/>
      <c r="BZ53" s="198"/>
      <c r="CA53" s="198"/>
      <c r="CB53" s="198"/>
      <c r="CC53" s="198"/>
      <c r="CD53" s="198"/>
      <c r="CE53" s="198"/>
      <c r="CF53" s="197"/>
      <c r="CG53" s="198"/>
      <c r="CH53" s="198"/>
      <c r="CI53" s="198"/>
      <c r="CJ53" s="198"/>
      <c r="CK53" s="198"/>
      <c r="CL53" s="198"/>
      <c r="CM53" s="198"/>
      <c r="CN53" s="198"/>
    </row>
    <row r="54" spans="1:92" ht="13" x14ac:dyDescent="0.25">
      <c r="A54" s="199" t="str">
        <f t="shared" si="110"/>
        <v>01/05/2021-31/05/2021</v>
      </c>
      <c r="B54" s="200">
        <f t="shared" si="111"/>
        <v>1.9652496647364686</v>
      </c>
      <c r="C54" s="201">
        <f t="shared" si="112"/>
        <v>64.68268121166733</v>
      </c>
      <c r="D54" s="202">
        <f t="shared" si="113"/>
        <v>1.3529606162464249</v>
      </c>
      <c r="E54" s="203">
        <f t="shared" si="114"/>
        <v>2.6589053974799324</v>
      </c>
      <c r="F54" s="204">
        <f t="shared" si="115"/>
        <v>4.1106913746802511E-2</v>
      </c>
      <c r="G54" s="196"/>
      <c r="H54" s="196"/>
      <c r="I54" s="196"/>
      <c r="J54" s="196"/>
      <c r="K54" s="196"/>
      <c r="L54" s="183"/>
      <c r="M54" s="196"/>
      <c r="N54" s="196"/>
      <c r="O54" s="196"/>
      <c r="P54" s="196"/>
      <c r="Q54" s="196"/>
      <c r="R54" s="196"/>
      <c r="S54" s="196"/>
      <c r="T54" s="196"/>
      <c r="U54" s="197"/>
      <c r="V54" s="198"/>
      <c r="W54" s="198"/>
      <c r="X54" s="198"/>
      <c r="Y54" s="198"/>
      <c r="Z54" s="198"/>
      <c r="AA54" s="198"/>
      <c r="AB54" s="198"/>
      <c r="AC54" s="198"/>
      <c r="AD54" s="197"/>
      <c r="AE54" s="198"/>
      <c r="AF54" s="198"/>
      <c r="AG54" s="198"/>
      <c r="AH54" s="198"/>
      <c r="AI54" s="198"/>
      <c r="AJ54" s="198"/>
      <c r="AK54" s="198"/>
      <c r="AL54" s="198"/>
      <c r="AM54" s="197"/>
      <c r="AN54" s="198"/>
      <c r="AO54" s="198"/>
      <c r="AP54" s="198"/>
      <c r="AQ54" s="198"/>
      <c r="AR54" s="198"/>
      <c r="AS54" s="198"/>
      <c r="AT54" s="198"/>
      <c r="AU54" s="198"/>
      <c r="AV54" s="197"/>
      <c r="AW54" s="198"/>
      <c r="AX54" s="198"/>
      <c r="AY54" s="198"/>
      <c r="AZ54" s="198"/>
      <c r="BA54" s="198"/>
      <c r="BB54" s="198"/>
      <c r="BC54" s="198"/>
      <c r="BD54" s="198"/>
      <c r="BE54" s="197"/>
      <c r="BF54" s="198"/>
      <c r="BG54" s="198"/>
      <c r="BH54" s="198"/>
      <c r="BI54" s="198"/>
      <c r="BJ54" s="198"/>
      <c r="BK54" s="198"/>
      <c r="BL54" s="198"/>
      <c r="BM54" s="198"/>
      <c r="BN54" s="197"/>
      <c r="BO54" s="198"/>
      <c r="BP54" s="198"/>
      <c r="BQ54" s="198"/>
      <c r="BR54" s="198"/>
      <c r="BS54" s="198"/>
      <c r="BT54" s="198"/>
      <c r="BU54" s="198"/>
      <c r="BV54" s="198"/>
      <c r="BW54" s="197"/>
      <c r="BX54" s="198"/>
      <c r="BY54" s="198"/>
      <c r="BZ54" s="198"/>
      <c r="CA54" s="198"/>
      <c r="CB54" s="198"/>
      <c r="CC54" s="198"/>
      <c r="CD54" s="198"/>
      <c r="CE54" s="198"/>
      <c r="CF54" s="197"/>
      <c r="CG54" s="198"/>
      <c r="CH54" s="198"/>
      <c r="CI54" s="198"/>
      <c r="CJ54" s="198"/>
      <c r="CK54" s="198"/>
      <c r="CL54" s="198"/>
      <c r="CM54" s="198"/>
      <c r="CN54" s="198"/>
    </row>
    <row r="55" spans="1:92" ht="13" x14ac:dyDescent="0.25">
      <c r="A55" s="199" t="str">
        <f t="shared" si="110"/>
        <v>01/06/2021-30/06/2021</v>
      </c>
      <c r="B55" s="200">
        <f t="shared" si="111"/>
        <v>1.9652496647364686</v>
      </c>
      <c r="C55" s="201">
        <f t="shared" si="112"/>
        <v>64.111825673340974</v>
      </c>
      <c r="D55" s="202">
        <f t="shared" si="113"/>
        <v>1.3226473985934277</v>
      </c>
      <c r="E55" s="203">
        <f t="shared" si="114"/>
        <v>2.5993323566502959</v>
      </c>
      <c r="F55" s="204">
        <f t="shared" si="115"/>
        <v>4.0543726985630864E-2</v>
      </c>
      <c r="G55" s="196"/>
      <c r="H55" s="196"/>
      <c r="I55" s="196"/>
      <c r="J55" s="196"/>
      <c r="K55" s="196"/>
      <c r="L55" s="183"/>
      <c r="M55" s="196"/>
      <c r="N55" s="196"/>
      <c r="O55" s="196"/>
      <c r="P55" s="196"/>
      <c r="Q55" s="196"/>
      <c r="R55" s="196"/>
      <c r="S55" s="196"/>
      <c r="T55" s="196"/>
      <c r="U55" s="197"/>
      <c r="V55" s="198"/>
      <c r="W55" s="198"/>
      <c r="X55" s="198"/>
      <c r="Y55" s="198"/>
      <c r="Z55" s="198"/>
      <c r="AA55" s="198"/>
      <c r="AB55" s="198"/>
      <c r="AC55" s="198"/>
      <c r="AD55" s="197"/>
      <c r="AE55" s="198"/>
      <c r="AF55" s="198"/>
      <c r="AG55" s="198"/>
      <c r="AH55" s="198"/>
      <c r="AI55" s="198"/>
      <c r="AJ55" s="198"/>
      <c r="AK55" s="198"/>
      <c r="AL55" s="198"/>
      <c r="AM55" s="197"/>
      <c r="AN55" s="198"/>
      <c r="AO55" s="198"/>
      <c r="AP55" s="198"/>
      <c r="AQ55" s="198"/>
      <c r="AR55" s="198"/>
      <c r="AS55" s="198"/>
      <c r="AT55" s="198"/>
      <c r="AU55" s="198"/>
      <c r="AV55" s="197"/>
      <c r="AW55" s="198"/>
      <c r="AX55" s="198"/>
      <c r="AY55" s="198"/>
      <c r="AZ55" s="198"/>
      <c r="BA55" s="198"/>
      <c r="BB55" s="198"/>
      <c r="BC55" s="198"/>
      <c r="BD55" s="198"/>
      <c r="BE55" s="197"/>
      <c r="BF55" s="198"/>
      <c r="BG55" s="198"/>
      <c r="BH55" s="198"/>
      <c r="BI55" s="198"/>
      <c r="BJ55" s="198"/>
      <c r="BK55" s="198"/>
      <c r="BL55" s="198"/>
      <c r="BM55" s="198"/>
      <c r="BN55" s="197"/>
      <c r="BO55" s="198"/>
      <c r="BP55" s="198"/>
      <c r="BQ55" s="198"/>
      <c r="BR55" s="198"/>
      <c r="BS55" s="198"/>
      <c r="BT55" s="198"/>
      <c r="BU55" s="198"/>
      <c r="BV55" s="198"/>
      <c r="BW55" s="197"/>
      <c r="BX55" s="198"/>
      <c r="BY55" s="198"/>
      <c r="BZ55" s="198"/>
      <c r="CA55" s="198"/>
      <c r="CB55" s="198"/>
      <c r="CC55" s="198"/>
      <c r="CD55" s="198"/>
      <c r="CE55" s="198"/>
      <c r="CF55" s="197"/>
      <c r="CG55" s="198"/>
      <c r="CH55" s="198"/>
      <c r="CI55" s="198"/>
      <c r="CJ55" s="198"/>
      <c r="CK55" s="198"/>
      <c r="CL55" s="198"/>
      <c r="CM55" s="198"/>
      <c r="CN55" s="198"/>
    </row>
    <row r="56" spans="1:92" ht="13" x14ac:dyDescent="0.25">
      <c r="A56" s="199" t="str">
        <f t="shared" si="110"/>
        <v>01/07/2021-31/07/2021</v>
      </c>
      <c r="B56" s="200">
        <f t="shared" si="111"/>
        <v>1.9652496647364686</v>
      </c>
      <c r="C56" s="201">
        <f t="shared" si="112"/>
        <v>63.862218457748334</v>
      </c>
      <c r="D56" s="202">
        <f t="shared" si="113"/>
        <v>1.292474484973297</v>
      </c>
      <c r="E56" s="203">
        <f t="shared" si="114"/>
        <v>2.5400350482742118</v>
      </c>
      <c r="F56" s="204">
        <f t="shared" si="115"/>
        <v>3.977367384997306E-2</v>
      </c>
      <c r="G56" s="196"/>
      <c r="H56" s="196"/>
      <c r="I56" s="196"/>
      <c r="J56" s="196"/>
      <c r="K56" s="196"/>
      <c r="L56" s="183"/>
      <c r="M56" s="196"/>
      <c r="N56" s="196"/>
      <c r="O56" s="196"/>
      <c r="P56" s="196"/>
      <c r="Q56" s="196"/>
      <c r="R56" s="196"/>
      <c r="S56" s="196"/>
      <c r="T56" s="196"/>
      <c r="U56" s="197"/>
      <c r="V56" s="198"/>
      <c r="W56" s="198"/>
      <c r="X56" s="198"/>
      <c r="Y56" s="198"/>
      <c r="Z56" s="198"/>
      <c r="AA56" s="198"/>
      <c r="AB56" s="198"/>
      <c r="AC56" s="198"/>
      <c r="AD56" s="197"/>
      <c r="AE56" s="198"/>
      <c r="AF56" s="198"/>
      <c r="AG56" s="198"/>
      <c r="AH56" s="198"/>
      <c r="AI56" s="198"/>
      <c r="AJ56" s="198"/>
      <c r="AK56" s="198"/>
      <c r="AL56" s="198"/>
      <c r="AM56" s="197"/>
      <c r="AN56" s="198"/>
      <c r="AO56" s="198"/>
      <c r="AP56" s="198"/>
      <c r="AQ56" s="198"/>
      <c r="AR56" s="198"/>
      <c r="AS56" s="198"/>
      <c r="AT56" s="198"/>
      <c r="AU56" s="198"/>
      <c r="AV56" s="197"/>
      <c r="AW56" s="198"/>
      <c r="AX56" s="198"/>
      <c r="AY56" s="198"/>
      <c r="AZ56" s="198"/>
      <c r="BA56" s="198"/>
      <c r="BB56" s="198"/>
      <c r="BC56" s="198"/>
      <c r="BD56" s="198"/>
      <c r="BE56" s="197"/>
      <c r="BF56" s="198"/>
      <c r="BG56" s="198"/>
      <c r="BH56" s="198"/>
      <c r="BI56" s="198"/>
      <c r="BJ56" s="198"/>
      <c r="BK56" s="198"/>
      <c r="BL56" s="198"/>
      <c r="BM56" s="198"/>
      <c r="BN56" s="197"/>
      <c r="BO56" s="198"/>
      <c r="BP56" s="198"/>
      <c r="BQ56" s="198"/>
      <c r="BR56" s="198"/>
      <c r="BS56" s="198"/>
      <c r="BT56" s="198"/>
      <c r="BU56" s="198"/>
      <c r="BV56" s="198"/>
      <c r="BW56" s="197"/>
      <c r="BX56" s="198"/>
      <c r="BY56" s="198"/>
      <c r="BZ56" s="198"/>
      <c r="CA56" s="198"/>
      <c r="CB56" s="198"/>
      <c r="CC56" s="198"/>
      <c r="CD56" s="198"/>
      <c r="CE56" s="198"/>
      <c r="CF56" s="197"/>
      <c r="CG56" s="198"/>
      <c r="CH56" s="198"/>
      <c r="CI56" s="198"/>
      <c r="CJ56" s="198"/>
      <c r="CK56" s="198"/>
      <c r="CL56" s="198"/>
      <c r="CM56" s="198"/>
      <c r="CN56" s="198"/>
    </row>
    <row r="57" spans="1:92" ht="13" x14ac:dyDescent="0.25">
      <c r="A57" s="199" t="str">
        <f t="shared" si="110"/>
        <v>01/08/2021-31/08/2021</v>
      </c>
      <c r="B57" s="200">
        <f t="shared" si="111"/>
        <v>1.9652496647364686</v>
      </c>
      <c r="C57" s="201">
        <f t="shared" si="112"/>
        <v>64.190521259436821</v>
      </c>
      <c r="D57" s="202">
        <f t="shared" si="113"/>
        <v>1.355889797646008</v>
      </c>
      <c r="E57" s="203">
        <f t="shared" si="114"/>
        <v>2.6646619702434156</v>
      </c>
      <c r="F57" s="204">
        <f t="shared" si="115"/>
        <v>4.1511767126391368E-2</v>
      </c>
      <c r="G57" s="196"/>
      <c r="H57" s="196"/>
      <c r="I57" s="196"/>
      <c r="J57" s="196"/>
      <c r="K57" s="196"/>
      <c r="L57" s="183"/>
      <c r="M57" s="196"/>
      <c r="N57" s="196"/>
      <c r="O57" s="196"/>
      <c r="P57" s="196"/>
      <c r="Q57" s="196"/>
      <c r="R57" s="196"/>
      <c r="S57" s="196"/>
      <c r="T57" s="196"/>
      <c r="U57" s="197"/>
      <c r="V57" s="198"/>
      <c r="W57" s="198"/>
      <c r="X57" s="198"/>
      <c r="Y57" s="198"/>
      <c r="Z57" s="198"/>
      <c r="AA57" s="198"/>
      <c r="AB57" s="198"/>
      <c r="AC57" s="198"/>
      <c r="AD57" s="197"/>
      <c r="AE57" s="198"/>
      <c r="AF57" s="198"/>
      <c r="AG57" s="198"/>
      <c r="AH57" s="198"/>
      <c r="AI57" s="198"/>
      <c r="AJ57" s="198"/>
      <c r="AK57" s="198"/>
      <c r="AL57" s="198"/>
      <c r="AM57" s="197"/>
      <c r="AN57" s="198"/>
      <c r="AO57" s="198"/>
      <c r="AP57" s="198"/>
      <c r="AQ57" s="198"/>
      <c r="AR57" s="198"/>
      <c r="AS57" s="198"/>
      <c r="AT57" s="198"/>
      <c r="AU57" s="198"/>
      <c r="AV57" s="197"/>
      <c r="AW57" s="198"/>
      <c r="AX57" s="198"/>
      <c r="AY57" s="198"/>
      <c r="AZ57" s="198"/>
      <c r="BA57" s="198"/>
      <c r="BB57" s="198"/>
      <c r="BC57" s="198"/>
      <c r="BD57" s="198"/>
      <c r="BE57" s="197"/>
      <c r="BF57" s="198"/>
      <c r="BG57" s="198"/>
      <c r="BH57" s="198"/>
      <c r="BI57" s="198"/>
      <c r="BJ57" s="198"/>
      <c r="BK57" s="198"/>
      <c r="BL57" s="198"/>
      <c r="BM57" s="198"/>
      <c r="BN57" s="197"/>
      <c r="BO57" s="198"/>
      <c r="BP57" s="198"/>
      <c r="BQ57" s="198"/>
      <c r="BR57" s="198"/>
      <c r="BS57" s="198"/>
      <c r="BT57" s="198"/>
      <c r="BU57" s="198"/>
      <c r="BV57" s="198"/>
      <c r="BW57" s="197"/>
      <c r="BX57" s="198"/>
      <c r="BY57" s="198"/>
      <c r="BZ57" s="198"/>
      <c r="CA57" s="198"/>
      <c r="CB57" s="198"/>
      <c r="CC57" s="198"/>
      <c r="CD57" s="198"/>
      <c r="CE57" s="198"/>
      <c r="CF57" s="197"/>
      <c r="CG57" s="198"/>
      <c r="CH57" s="198"/>
      <c r="CI57" s="198"/>
      <c r="CJ57" s="198"/>
      <c r="CK57" s="198"/>
      <c r="CL57" s="198"/>
      <c r="CM57" s="198"/>
      <c r="CN57" s="198"/>
    </row>
    <row r="58" spans="1:92" x14ac:dyDescent="0.25">
      <c r="A58" s="199" t="str">
        <f t="shared" si="110"/>
        <v>01/09/2021-30/09/2021</v>
      </c>
      <c r="B58" s="200">
        <f t="shared" si="111"/>
        <v>1.9652496647364686</v>
      </c>
      <c r="C58" s="201">
        <f t="shared" si="112"/>
        <v>63.788830309310775</v>
      </c>
      <c r="D58" s="202">
        <f t="shared" si="113"/>
        <v>1.3382216377826242</v>
      </c>
      <c r="E58" s="203">
        <f t="shared" si="114"/>
        <v>2.6299396249953899</v>
      </c>
      <c r="F58" s="204">
        <f t="shared" si="115"/>
        <v>4.1228842294847932E-2</v>
      </c>
    </row>
    <row r="59" spans="1:92" x14ac:dyDescent="0.25">
      <c r="A59" s="199" t="str">
        <f t="shared" si="110"/>
        <v>01/10/2021-31/10/2021</v>
      </c>
      <c r="B59" s="200">
        <f t="shared" si="111"/>
        <v>1.9652496647364686</v>
      </c>
      <c r="C59" s="201">
        <f t="shared" si="112"/>
        <v>63.663909776899359</v>
      </c>
      <c r="D59" s="202">
        <f t="shared" si="113"/>
        <v>1.3337746838692097</v>
      </c>
      <c r="E59" s="203">
        <f t="shared" si="114"/>
        <v>2.6212002503079539</v>
      </c>
      <c r="F59" s="204">
        <f t="shared" si="115"/>
        <v>4.1172467407257232E-2</v>
      </c>
    </row>
    <row r="60" spans="1:92" x14ac:dyDescent="0.25">
      <c r="A60" s="199" t="str">
        <f t="shared" si="110"/>
        <v>01/11/2021-30/11/2021</v>
      </c>
      <c r="B60" s="200">
        <f t="shared" si="111"/>
        <v>1.9652496647364686</v>
      </c>
      <c r="C60" s="201">
        <f t="shared" si="112"/>
        <v>63.929043632815244</v>
      </c>
      <c r="D60" s="202">
        <f t="shared" si="113"/>
        <v>1.3282575358240256</v>
      </c>
      <c r="E60" s="203">
        <f t="shared" si="114"/>
        <v>2.6103576769618542</v>
      </c>
      <c r="F60" s="204">
        <f t="shared" si="115"/>
        <v>4.083210898562447E-2</v>
      </c>
    </row>
    <row r="61" spans="1:92" x14ac:dyDescent="0.25">
      <c r="A61" s="199" t="str">
        <f t="shared" si="110"/>
        <v>01/12/2021-31/12/2021</v>
      </c>
      <c r="B61" s="200">
        <f t="shared" si="111"/>
        <v>1.9652496647364686</v>
      </c>
      <c r="C61" s="201">
        <f t="shared" si="112"/>
        <v>63.8809408452653</v>
      </c>
      <c r="D61" s="202">
        <f t="shared" si="113"/>
        <v>1.3088526679506363</v>
      </c>
      <c r="E61" s="203">
        <f t="shared" si="114"/>
        <v>2.5722222668794203</v>
      </c>
      <c r="F61" s="204">
        <f t="shared" si="115"/>
        <v>4.026587950715925E-2</v>
      </c>
    </row>
    <row r="62" spans="1:92" x14ac:dyDescent="0.25">
      <c r="A62" s="199" t="str">
        <f t="shared" si="110"/>
        <v>01/01/2022-31/01/2022</v>
      </c>
      <c r="B62" s="200">
        <f t="shared" si="111"/>
        <v>1.9652496647364686</v>
      </c>
      <c r="C62" s="201">
        <f t="shared" si="112"/>
        <v>64.345587696519289</v>
      </c>
      <c r="D62" s="202">
        <f t="shared" si="113"/>
        <v>1.29977364110316</v>
      </c>
      <c r="E62" s="203">
        <f t="shared" si="114"/>
        <v>2.5543797124112841</v>
      </c>
      <c r="F62" s="204">
        <f t="shared" si="115"/>
        <v>3.9697822397066408E-2</v>
      </c>
    </row>
    <row r="63" spans="1:92" x14ac:dyDescent="0.25">
      <c r="A63" s="199" t="str">
        <f t="shared" si="110"/>
        <v>01/02/2022-28/02/2022</v>
      </c>
      <c r="B63" s="200">
        <f t="shared" si="111"/>
        <v>1.9652496647364686</v>
      </c>
      <c r="C63" s="201">
        <f t="shared" si="112"/>
        <v>63.908964756827217</v>
      </c>
      <c r="D63" s="202">
        <f t="shared" si="113"/>
        <v>1.3564713158285018</v>
      </c>
      <c r="E63" s="203">
        <f t="shared" si="114"/>
        <v>2.6658047986565996</v>
      </c>
      <c r="F63" s="204">
        <f t="shared" si="115"/>
        <v>4.1712532956838723E-2</v>
      </c>
    </row>
    <row r="64" spans="1:92" s="414" customFormat="1" x14ac:dyDescent="0.25">
      <c r="A64" s="199" t="str">
        <f t="shared" si="110"/>
        <v>01/03/2022-31/03/2022</v>
      </c>
      <c r="B64" s="200">
        <f t="shared" si="111"/>
        <v>1.9652496647364686</v>
      </c>
      <c r="C64" s="201">
        <f t="shared" ref="C64:C67" si="116">CO19</f>
        <v>63.67920229177831</v>
      </c>
      <c r="D64" s="202">
        <f t="shared" ref="D64:D67" si="117">CP19</f>
        <v>1.328702298616212</v>
      </c>
      <c r="E64" s="203">
        <f t="shared" ref="E64:E67" si="118">B64*D64</f>
        <v>2.6112317468900859</v>
      </c>
      <c r="F64" s="204">
        <f t="shared" ref="F64:F67" si="119">E64/C64</f>
        <v>4.1006037338932322E-2</v>
      </c>
    </row>
    <row r="65" spans="1:6" s="414" customFormat="1" x14ac:dyDescent="0.25">
      <c r="A65" s="199" t="str">
        <f t="shared" si="110"/>
        <v>01/04/2022-30/04/2022</v>
      </c>
      <c r="B65" s="200">
        <f t="shared" si="111"/>
        <v>1.9652496647364686</v>
      </c>
      <c r="C65" s="201">
        <f t="shared" si="116"/>
        <v>64.071423526744468</v>
      </c>
      <c r="D65" s="202">
        <f t="shared" si="117"/>
        <v>1.330989350352459</v>
      </c>
      <c r="E65" s="203">
        <f t="shared" si="118"/>
        <v>2.6157263745479802</v>
      </c>
      <c r="F65" s="204">
        <f t="shared" si="119"/>
        <v>4.0825164021151064E-2</v>
      </c>
    </row>
    <row r="66" spans="1:6" s="414" customFormat="1" x14ac:dyDescent="0.25">
      <c r="A66" s="199" t="str">
        <f t="shared" si="110"/>
        <v>01/05/2022-31/05/2022</v>
      </c>
      <c r="B66" s="200">
        <f t="shared" si="111"/>
        <v>1.9652496647364686</v>
      </c>
      <c r="C66" s="201">
        <f t="shared" si="116"/>
        <v>63.913799627973532</v>
      </c>
      <c r="D66" s="202">
        <f t="shared" si="117"/>
        <v>1.3365097809996387</v>
      </c>
      <c r="E66" s="203">
        <f t="shared" si="118"/>
        <v>2.6265753990265508</v>
      </c>
      <c r="F66" s="204">
        <f t="shared" si="119"/>
        <v>4.1095591473440767E-2</v>
      </c>
    </row>
    <row r="67" spans="1:6" x14ac:dyDescent="0.25">
      <c r="A67" s="199" t="str">
        <f t="shared" si="110"/>
        <v>01/06/2022-30/06/2022</v>
      </c>
      <c r="B67" s="200">
        <f t="shared" si="111"/>
        <v>1.9652496647364686</v>
      </c>
      <c r="C67" s="201">
        <f t="shared" si="116"/>
        <v>64.25618747291432</v>
      </c>
      <c r="D67" s="202">
        <f t="shared" si="117"/>
        <v>1.3374369424182875</v>
      </c>
      <c r="E67" s="203">
        <f t="shared" si="118"/>
        <v>2.6283975026937072</v>
      </c>
      <c r="F67" s="204">
        <f t="shared" si="119"/>
        <v>4.0904971273025593E-2</v>
      </c>
    </row>
  </sheetData>
  <mergeCells count="32">
    <mergeCell ref="CO2:CO3"/>
    <mergeCell ref="CP2:CP3"/>
    <mergeCell ref="CF2:CN2"/>
    <mergeCell ref="A1:F1"/>
    <mergeCell ref="C2:K2"/>
    <mergeCell ref="L2:T2"/>
    <mergeCell ref="A2:A3"/>
    <mergeCell ref="U2:AC2"/>
    <mergeCell ref="AD2:AL2"/>
    <mergeCell ref="AM2:AU2"/>
    <mergeCell ref="BE2:BM2"/>
    <mergeCell ref="BN2:BV2"/>
    <mergeCell ref="BW2:CE2"/>
    <mergeCell ref="AV2:BD2"/>
    <mergeCell ref="B42:F42"/>
    <mergeCell ref="A44:F44"/>
    <mergeCell ref="B45:F45"/>
    <mergeCell ref="A47:F47"/>
    <mergeCell ref="A33:F33"/>
    <mergeCell ref="A34:F34"/>
    <mergeCell ref="B35:F35"/>
    <mergeCell ref="B36:F36"/>
    <mergeCell ref="B37:F37"/>
    <mergeCell ref="B38:F38"/>
    <mergeCell ref="B39:F39"/>
    <mergeCell ref="A41:F41"/>
    <mergeCell ref="B30:F30"/>
    <mergeCell ref="A25:F25"/>
    <mergeCell ref="A26:F26"/>
    <mergeCell ref="B27:F27"/>
    <mergeCell ref="B28:F28"/>
    <mergeCell ref="B29:F29"/>
  </mergeCells>
  <phoneticPr fontId="11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6E2CC-A530-4622-97AD-14DBF70E544B}">
  <dimension ref="A1:I158"/>
  <sheetViews>
    <sheetView zoomScale="80" zoomScaleNormal="80" workbookViewId="0">
      <selection activeCell="B132" sqref="B132:G136"/>
    </sheetView>
  </sheetViews>
  <sheetFormatPr defaultColWidth="8.7265625" defaultRowHeight="14" x14ac:dyDescent="0.3"/>
  <cols>
    <col min="1" max="1" width="22.453125" style="395" customWidth="1"/>
    <col min="2" max="2" width="16.26953125" style="395" bestFit="1" customWidth="1"/>
    <col min="3" max="3" width="22.90625" style="395" bestFit="1" customWidth="1"/>
    <col min="4" max="4" width="22.6328125" style="395" bestFit="1" customWidth="1"/>
    <col min="5" max="5" width="21.453125" style="395" bestFit="1" customWidth="1"/>
    <col min="6" max="6" width="23.453125" style="395" bestFit="1" customWidth="1"/>
    <col min="7" max="7" width="23.08984375" style="395" bestFit="1" customWidth="1"/>
    <col min="8" max="8" width="14.81640625" style="395" customWidth="1"/>
    <col min="9" max="16384" width="8.7265625" style="395"/>
  </cols>
  <sheetData>
    <row r="1" spans="1:9" x14ac:dyDescent="0.3">
      <c r="A1" s="657" t="s">
        <v>322</v>
      </c>
      <c r="B1" s="658"/>
      <c r="C1" s="658"/>
      <c r="D1" s="658"/>
      <c r="E1" s="658"/>
      <c r="F1" s="658"/>
      <c r="G1" s="659"/>
    </row>
    <row r="2" spans="1:9" ht="33" customHeight="1" x14ac:dyDescent="0.3">
      <c r="A2" s="660" t="s">
        <v>363</v>
      </c>
      <c r="B2" s="661"/>
      <c r="C2" s="661"/>
      <c r="D2" s="661"/>
      <c r="E2" s="661"/>
      <c r="F2" s="661"/>
      <c r="G2" s="662"/>
    </row>
    <row r="3" spans="1:9" x14ac:dyDescent="0.3">
      <c r="A3" s="663" t="s">
        <v>353</v>
      </c>
      <c r="B3" s="663"/>
      <c r="C3" s="663"/>
      <c r="D3" s="663"/>
      <c r="E3" s="663"/>
      <c r="F3" s="663"/>
      <c r="G3" s="663"/>
    </row>
    <row r="4" spans="1:9" x14ac:dyDescent="0.3">
      <c r="A4" s="456"/>
      <c r="B4" s="664" t="s">
        <v>364</v>
      </c>
      <c r="C4" s="664"/>
      <c r="D4" s="664"/>
      <c r="E4" s="664" t="s">
        <v>365</v>
      </c>
      <c r="F4" s="664"/>
      <c r="G4" s="664"/>
    </row>
    <row r="5" spans="1:9" x14ac:dyDescent="0.3">
      <c r="A5" s="457" t="s">
        <v>366</v>
      </c>
      <c r="B5" s="458" t="s">
        <v>344</v>
      </c>
      <c r="C5" s="458" t="s">
        <v>345</v>
      </c>
      <c r="D5" s="458" t="s">
        <v>367</v>
      </c>
      <c r="E5" s="458" t="s">
        <v>368</v>
      </c>
      <c r="F5" s="458" t="s">
        <v>369</v>
      </c>
      <c r="G5" s="458" t="s">
        <v>370</v>
      </c>
      <c r="H5" s="440"/>
      <c r="I5" s="441"/>
    </row>
    <row r="6" spans="1:9" x14ac:dyDescent="0.3">
      <c r="A6" s="457">
        <v>1</v>
      </c>
      <c r="B6" s="459">
        <v>0</v>
      </c>
      <c r="C6" s="459">
        <v>0</v>
      </c>
      <c r="D6" s="459">
        <v>0</v>
      </c>
      <c r="E6" s="459">
        <v>53.8</v>
      </c>
      <c r="F6" s="459">
        <v>66.400000000000006</v>
      </c>
      <c r="G6" s="459">
        <v>102.2</v>
      </c>
    </row>
    <row r="7" spans="1:9" x14ac:dyDescent="0.3">
      <c r="A7" s="457">
        <v>2</v>
      </c>
      <c r="B7" s="459"/>
      <c r="C7" s="459"/>
      <c r="D7" s="459"/>
      <c r="E7" s="459">
        <v>29.4</v>
      </c>
      <c r="F7" s="459">
        <v>78</v>
      </c>
      <c r="G7" s="459">
        <v>101.9</v>
      </c>
    </row>
    <row r="8" spans="1:9" x14ac:dyDescent="0.3">
      <c r="A8" s="457">
        <v>3</v>
      </c>
      <c r="B8" s="459"/>
      <c r="C8" s="459"/>
      <c r="D8" s="459"/>
      <c r="E8" s="459">
        <v>54.7</v>
      </c>
      <c r="F8" s="459">
        <v>69.7</v>
      </c>
      <c r="G8" s="459">
        <v>101.7</v>
      </c>
    </row>
    <row r="9" spans="1:9" x14ac:dyDescent="0.3">
      <c r="A9" s="457">
        <v>4</v>
      </c>
      <c r="B9" s="459"/>
      <c r="C9" s="459"/>
      <c r="D9" s="459"/>
      <c r="E9" s="459"/>
      <c r="F9" s="459">
        <v>75.8</v>
      </c>
      <c r="G9" s="459">
        <v>96.4</v>
      </c>
    </row>
    <row r="10" spans="1:9" x14ac:dyDescent="0.3">
      <c r="A10" s="457">
        <v>5</v>
      </c>
      <c r="B10" s="459"/>
      <c r="C10" s="459"/>
      <c r="D10" s="459"/>
      <c r="E10" s="459"/>
      <c r="F10" s="459">
        <v>64.599999999999994</v>
      </c>
      <c r="G10" s="459">
        <v>115.3</v>
      </c>
    </row>
    <row r="11" spans="1:9" x14ac:dyDescent="0.3">
      <c r="A11" s="457">
        <v>6</v>
      </c>
      <c r="B11" s="459"/>
      <c r="C11" s="459"/>
      <c r="D11" s="459"/>
      <c r="E11" s="459"/>
      <c r="F11" s="459"/>
      <c r="G11" s="459">
        <v>85</v>
      </c>
    </row>
    <row r="12" spans="1:9" x14ac:dyDescent="0.3">
      <c r="A12" s="656" t="s">
        <v>354</v>
      </c>
      <c r="B12" s="656"/>
      <c r="C12" s="656"/>
      <c r="D12" s="656"/>
      <c r="E12" s="656"/>
      <c r="F12" s="656"/>
      <c r="G12" s="656"/>
    </row>
    <row r="13" spans="1:9" x14ac:dyDescent="0.3">
      <c r="A13" s="456"/>
      <c r="B13" s="664" t="s">
        <v>364</v>
      </c>
      <c r="C13" s="664"/>
      <c r="D13" s="664"/>
      <c r="E13" s="664" t="s">
        <v>365</v>
      </c>
      <c r="F13" s="664"/>
      <c r="G13" s="664"/>
    </row>
    <row r="14" spans="1:9" x14ac:dyDescent="0.3">
      <c r="A14" s="457" t="s">
        <v>366</v>
      </c>
      <c r="B14" s="458" t="s">
        <v>344</v>
      </c>
      <c r="C14" s="458" t="s">
        <v>345</v>
      </c>
      <c r="D14" s="458" t="s">
        <v>367</v>
      </c>
      <c r="E14" s="458" t="s">
        <v>368</v>
      </c>
      <c r="F14" s="458" t="s">
        <v>369</v>
      </c>
      <c r="G14" s="458" t="s">
        <v>370</v>
      </c>
    </row>
    <row r="15" spans="1:9" x14ac:dyDescent="0.3">
      <c r="A15" s="457">
        <v>1</v>
      </c>
      <c r="B15" s="459">
        <v>0</v>
      </c>
      <c r="C15" s="459">
        <v>0</v>
      </c>
      <c r="D15" s="459">
        <v>0</v>
      </c>
      <c r="E15" s="459">
        <v>52.2</v>
      </c>
      <c r="F15" s="459">
        <v>67.599999999999994</v>
      </c>
      <c r="G15" s="459">
        <v>91.1</v>
      </c>
    </row>
    <row r="16" spans="1:9" x14ac:dyDescent="0.3">
      <c r="A16" s="457">
        <v>2</v>
      </c>
      <c r="B16" s="459"/>
      <c r="C16" s="459"/>
      <c r="D16" s="459"/>
      <c r="E16" s="459">
        <v>32.4</v>
      </c>
      <c r="F16" s="459">
        <v>63.1</v>
      </c>
      <c r="G16" s="459">
        <v>82.2</v>
      </c>
    </row>
    <row r="17" spans="1:7" x14ac:dyDescent="0.3">
      <c r="A17" s="457">
        <v>3</v>
      </c>
      <c r="B17" s="459"/>
      <c r="C17" s="459"/>
      <c r="D17" s="459"/>
      <c r="E17" s="459">
        <v>53.6</v>
      </c>
      <c r="F17" s="459">
        <v>75.3</v>
      </c>
      <c r="G17" s="459">
        <v>118.1</v>
      </c>
    </row>
    <row r="18" spans="1:7" x14ac:dyDescent="0.3">
      <c r="A18" s="457">
        <v>4</v>
      </c>
      <c r="B18" s="459"/>
      <c r="C18" s="459"/>
      <c r="D18" s="459"/>
      <c r="E18" s="459">
        <v>42.4</v>
      </c>
      <c r="F18" s="459">
        <v>79.599999999999994</v>
      </c>
      <c r="G18" s="459">
        <v>86.9</v>
      </c>
    </row>
    <row r="19" spans="1:7" x14ac:dyDescent="0.3">
      <c r="A19" s="457">
        <v>5</v>
      </c>
      <c r="B19" s="459"/>
      <c r="C19" s="459"/>
      <c r="D19" s="459"/>
      <c r="E19" s="459"/>
      <c r="F19" s="459">
        <v>79.5</v>
      </c>
      <c r="G19" s="459">
        <v>92.4</v>
      </c>
    </row>
    <row r="20" spans="1:7" x14ac:dyDescent="0.3">
      <c r="A20" s="457">
        <v>6</v>
      </c>
      <c r="B20" s="459"/>
      <c r="C20" s="459"/>
      <c r="D20" s="459"/>
      <c r="E20" s="459"/>
      <c r="F20" s="459">
        <v>62.8</v>
      </c>
      <c r="G20" s="459">
        <v>92.2</v>
      </c>
    </row>
    <row r="21" spans="1:7" x14ac:dyDescent="0.3">
      <c r="A21" s="665" t="s">
        <v>355</v>
      </c>
      <c r="B21" s="665"/>
      <c r="C21" s="665"/>
      <c r="D21" s="665"/>
      <c r="E21" s="665"/>
      <c r="F21" s="665"/>
      <c r="G21" s="665"/>
    </row>
    <row r="22" spans="1:7" x14ac:dyDescent="0.3">
      <c r="A22" s="456"/>
      <c r="B22" s="664" t="s">
        <v>364</v>
      </c>
      <c r="C22" s="664"/>
      <c r="D22" s="664"/>
      <c r="E22" s="664" t="s">
        <v>365</v>
      </c>
      <c r="F22" s="664"/>
      <c r="G22" s="664"/>
    </row>
    <row r="23" spans="1:7" x14ac:dyDescent="0.3">
      <c r="A23" s="457" t="s">
        <v>366</v>
      </c>
      <c r="B23" s="458" t="s">
        <v>344</v>
      </c>
      <c r="C23" s="458" t="s">
        <v>345</v>
      </c>
      <c r="D23" s="458" t="s">
        <v>367</v>
      </c>
      <c r="E23" s="458" t="s">
        <v>368</v>
      </c>
      <c r="F23" s="458" t="s">
        <v>369</v>
      </c>
      <c r="G23" s="458" t="s">
        <v>370</v>
      </c>
    </row>
    <row r="24" spans="1:7" x14ac:dyDescent="0.3">
      <c r="A24" s="457">
        <v>1</v>
      </c>
      <c r="B24" s="459">
        <v>21.3</v>
      </c>
      <c r="C24" s="459">
        <v>38.700000000000003</v>
      </c>
      <c r="D24" s="459">
        <v>75.2</v>
      </c>
      <c r="E24" s="459">
        <v>32.6</v>
      </c>
      <c r="F24" s="459">
        <v>70.7</v>
      </c>
      <c r="G24" s="459">
        <v>84.7</v>
      </c>
    </row>
    <row r="25" spans="1:7" x14ac:dyDescent="0.3">
      <c r="A25" s="457">
        <v>2</v>
      </c>
      <c r="B25" s="459">
        <v>25.6</v>
      </c>
      <c r="C25" s="459">
        <v>59.6</v>
      </c>
      <c r="D25" s="459">
        <v>71.400000000000006</v>
      </c>
      <c r="E25" s="459">
        <v>35.799999999999997</v>
      </c>
      <c r="F25" s="459">
        <v>60.3</v>
      </c>
      <c r="G25" s="459">
        <v>85</v>
      </c>
    </row>
    <row r="26" spans="1:7" x14ac:dyDescent="0.3">
      <c r="A26" s="457">
        <v>3</v>
      </c>
      <c r="B26" s="459">
        <v>28.5</v>
      </c>
      <c r="C26" s="459">
        <v>64.599999999999994</v>
      </c>
      <c r="D26" s="459">
        <v>81.2</v>
      </c>
      <c r="E26" s="459">
        <v>48.2</v>
      </c>
      <c r="F26" s="459">
        <v>67.900000000000006</v>
      </c>
      <c r="G26" s="459">
        <v>119</v>
      </c>
    </row>
    <row r="27" spans="1:7" x14ac:dyDescent="0.3">
      <c r="A27" s="457">
        <v>4</v>
      </c>
      <c r="B27" s="459">
        <v>26.6</v>
      </c>
      <c r="C27" s="459">
        <v>61.2</v>
      </c>
      <c r="D27" s="459">
        <v>104</v>
      </c>
      <c r="E27" s="459">
        <v>27.3</v>
      </c>
      <c r="F27" s="459">
        <v>63.1</v>
      </c>
      <c r="G27" s="459">
        <v>85.4</v>
      </c>
    </row>
    <row r="28" spans="1:7" x14ac:dyDescent="0.3">
      <c r="A28" s="457">
        <v>5</v>
      </c>
      <c r="B28" s="459">
        <v>32.299999999999997</v>
      </c>
      <c r="C28" s="459">
        <v>37.5</v>
      </c>
      <c r="D28" s="459">
        <v>86.5</v>
      </c>
      <c r="E28" s="459">
        <v>59.7</v>
      </c>
      <c r="F28" s="459">
        <v>77.599999999999994</v>
      </c>
      <c r="G28" s="459">
        <v>85.3</v>
      </c>
    </row>
    <row r="29" spans="1:7" x14ac:dyDescent="0.3">
      <c r="A29" s="457">
        <v>6</v>
      </c>
      <c r="B29" s="459">
        <v>17.899999999999999</v>
      </c>
      <c r="C29" s="459">
        <v>59.5</v>
      </c>
      <c r="D29" s="459">
        <v>70.599999999999994</v>
      </c>
      <c r="E29" s="459">
        <v>50.7</v>
      </c>
      <c r="F29" s="459">
        <v>74.3</v>
      </c>
      <c r="G29" s="459">
        <v>89</v>
      </c>
    </row>
    <row r="30" spans="1:7" x14ac:dyDescent="0.3">
      <c r="A30" s="457">
        <v>7</v>
      </c>
      <c r="B30" s="459">
        <v>32.4</v>
      </c>
      <c r="C30" s="459">
        <v>65.2</v>
      </c>
      <c r="D30" s="459">
        <v>98.9</v>
      </c>
      <c r="E30" s="459">
        <v>38.6</v>
      </c>
      <c r="F30" s="459">
        <v>78.8</v>
      </c>
      <c r="G30" s="459">
        <v>112.8</v>
      </c>
    </row>
    <row r="31" spans="1:7" x14ac:dyDescent="0.3">
      <c r="A31" s="457">
        <v>8</v>
      </c>
      <c r="B31" s="459">
        <v>22.8</v>
      </c>
      <c r="C31" s="459">
        <v>63.4</v>
      </c>
      <c r="D31" s="459">
        <v>100.7</v>
      </c>
      <c r="E31" s="459"/>
      <c r="F31" s="459">
        <v>65.5</v>
      </c>
      <c r="G31" s="459">
        <v>98.6</v>
      </c>
    </row>
    <row r="32" spans="1:7" x14ac:dyDescent="0.3">
      <c r="A32" s="457">
        <v>9</v>
      </c>
      <c r="B32" s="459">
        <v>21.4</v>
      </c>
      <c r="C32" s="459">
        <v>63.2</v>
      </c>
      <c r="D32" s="459">
        <v>69.3</v>
      </c>
      <c r="E32" s="459"/>
      <c r="F32" s="459">
        <v>69.900000000000006</v>
      </c>
      <c r="G32" s="459">
        <v>119.9</v>
      </c>
    </row>
    <row r="33" spans="1:7" x14ac:dyDescent="0.3">
      <c r="A33" s="457">
        <v>10</v>
      </c>
      <c r="B33" s="459">
        <v>29.1</v>
      </c>
      <c r="C33" s="459">
        <v>40.1</v>
      </c>
      <c r="D33" s="459">
        <v>78.2</v>
      </c>
      <c r="E33" s="459"/>
      <c r="F33" s="459">
        <v>71.400000000000006</v>
      </c>
      <c r="G33" s="459">
        <v>108.2</v>
      </c>
    </row>
    <row r="34" spans="1:7" x14ac:dyDescent="0.3">
      <c r="A34" s="457">
        <v>11</v>
      </c>
      <c r="B34" s="459">
        <v>19.100000000000001</v>
      </c>
      <c r="C34" s="459">
        <v>39.5</v>
      </c>
      <c r="D34" s="459">
        <v>73.599999999999994</v>
      </c>
      <c r="E34" s="459"/>
      <c r="F34" s="459">
        <v>72.2</v>
      </c>
      <c r="G34" s="459">
        <v>100.6</v>
      </c>
    </row>
    <row r="35" spans="1:7" x14ac:dyDescent="0.3">
      <c r="A35" s="457">
        <v>12</v>
      </c>
      <c r="B35" s="459">
        <v>19</v>
      </c>
      <c r="C35" s="459">
        <v>52</v>
      </c>
      <c r="D35" s="459">
        <v>102</v>
      </c>
      <c r="E35" s="459"/>
      <c r="F35" s="459"/>
      <c r="G35" s="459">
        <v>107.9</v>
      </c>
    </row>
    <row r="36" spans="1:7" x14ac:dyDescent="0.3">
      <c r="A36" s="457">
        <v>13</v>
      </c>
      <c r="B36" s="459">
        <v>20.8</v>
      </c>
      <c r="C36" s="459">
        <v>62.3</v>
      </c>
      <c r="D36" s="459">
        <v>103.7</v>
      </c>
      <c r="E36" s="459"/>
      <c r="F36" s="459"/>
      <c r="G36" s="459"/>
    </row>
    <row r="37" spans="1:7" x14ac:dyDescent="0.3">
      <c r="A37" s="457">
        <v>14</v>
      </c>
      <c r="B37" s="459"/>
      <c r="C37" s="459">
        <v>65.3</v>
      </c>
      <c r="D37" s="459">
        <v>71.7</v>
      </c>
      <c r="E37" s="459"/>
      <c r="F37" s="459"/>
      <c r="G37" s="459"/>
    </row>
    <row r="38" spans="1:7" x14ac:dyDescent="0.3">
      <c r="A38" s="457">
        <v>15</v>
      </c>
      <c r="B38" s="459"/>
      <c r="C38" s="459">
        <v>47.2</v>
      </c>
      <c r="D38" s="459">
        <v>84.9</v>
      </c>
      <c r="E38" s="459"/>
      <c r="F38" s="459"/>
      <c r="G38" s="459"/>
    </row>
    <row r="39" spans="1:7" x14ac:dyDescent="0.3">
      <c r="A39" s="656" t="s">
        <v>356</v>
      </c>
      <c r="B39" s="656"/>
      <c r="C39" s="656"/>
      <c r="D39" s="665"/>
      <c r="E39" s="656"/>
      <c r="F39" s="656"/>
      <c r="G39" s="656"/>
    </row>
    <row r="40" spans="1:7" x14ac:dyDescent="0.3">
      <c r="A40" s="456"/>
      <c r="B40" s="664" t="s">
        <v>364</v>
      </c>
      <c r="C40" s="664"/>
      <c r="D40" s="664"/>
      <c r="E40" s="664" t="s">
        <v>365</v>
      </c>
      <c r="F40" s="664"/>
      <c r="G40" s="664"/>
    </row>
    <row r="41" spans="1:7" x14ac:dyDescent="0.3">
      <c r="A41" s="457" t="s">
        <v>366</v>
      </c>
      <c r="B41" s="458" t="s">
        <v>344</v>
      </c>
      <c r="C41" s="458" t="s">
        <v>345</v>
      </c>
      <c r="D41" s="458" t="s">
        <v>367</v>
      </c>
      <c r="E41" s="458" t="s">
        <v>368</v>
      </c>
      <c r="F41" s="458" t="s">
        <v>369</v>
      </c>
      <c r="G41" s="458" t="s">
        <v>370</v>
      </c>
    </row>
    <row r="42" spans="1:7" x14ac:dyDescent="0.3">
      <c r="A42" s="457">
        <v>1</v>
      </c>
      <c r="B42" s="459">
        <v>25.2</v>
      </c>
      <c r="C42" s="459">
        <v>68.099999999999994</v>
      </c>
      <c r="D42" s="459">
        <v>78.7</v>
      </c>
      <c r="E42" s="459">
        <v>46.5</v>
      </c>
      <c r="F42" s="459">
        <v>68</v>
      </c>
      <c r="G42" s="459">
        <v>90.8</v>
      </c>
    </row>
    <row r="43" spans="1:7" x14ac:dyDescent="0.3">
      <c r="A43" s="457">
        <v>2</v>
      </c>
      <c r="B43" s="459">
        <v>34.299999999999997</v>
      </c>
      <c r="C43" s="459">
        <v>40.9</v>
      </c>
      <c r="D43" s="459">
        <v>76.099999999999994</v>
      </c>
      <c r="E43" s="459">
        <v>40.1</v>
      </c>
      <c r="F43" s="459">
        <v>68.900000000000006</v>
      </c>
      <c r="G43" s="459">
        <v>95.7</v>
      </c>
    </row>
    <row r="44" spans="1:7" x14ac:dyDescent="0.3">
      <c r="A44" s="457">
        <v>3</v>
      </c>
      <c r="B44" s="459">
        <v>22.3</v>
      </c>
      <c r="C44" s="459">
        <v>37.200000000000003</v>
      </c>
      <c r="D44" s="459">
        <v>101.1</v>
      </c>
      <c r="E44" s="459">
        <v>56.6</v>
      </c>
      <c r="F44" s="459">
        <v>79.8</v>
      </c>
      <c r="G44" s="459">
        <v>106.5</v>
      </c>
    </row>
    <row r="45" spans="1:7" x14ac:dyDescent="0.3">
      <c r="A45" s="457">
        <v>4</v>
      </c>
      <c r="B45" s="459">
        <v>27</v>
      </c>
      <c r="C45" s="459">
        <v>52.2</v>
      </c>
      <c r="D45" s="459">
        <v>97</v>
      </c>
      <c r="E45" s="459">
        <v>39.299999999999997</v>
      </c>
      <c r="F45" s="459">
        <v>69.5</v>
      </c>
      <c r="G45" s="459">
        <v>82</v>
      </c>
    </row>
    <row r="46" spans="1:7" x14ac:dyDescent="0.3">
      <c r="A46" s="457">
        <v>5</v>
      </c>
      <c r="B46" s="459">
        <v>34.1</v>
      </c>
      <c r="C46" s="459">
        <v>55</v>
      </c>
      <c r="D46" s="459">
        <v>77.5</v>
      </c>
      <c r="E46" s="459">
        <v>37.6</v>
      </c>
      <c r="F46" s="459">
        <v>72.8</v>
      </c>
      <c r="G46" s="459">
        <v>102.3</v>
      </c>
    </row>
    <row r="47" spans="1:7" x14ac:dyDescent="0.3">
      <c r="A47" s="457">
        <v>6</v>
      </c>
      <c r="B47" s="459">
        <v>24.2</v>
      </c>
      <c r="C47" s="459">
        <v>61.2</v>
      </c>
      <c r="D47" s="459">
        <v>100.7</v>
      </c>
      <c r="E47" s="459">
        <v>54.8</v>
      </c>
      <c r="F47" s="459">
        <v>73.900000000000006</v>
      </c>
      <c r="G47" s="459">
        <v>110.2</v>
      </c>
    </row>
    <row r="48" spans="1:7" x14ac:dyDescent="0.3">
      <c r="A48" s="457">
        <v>7</v>
      </c>
      <c r="B48" s="459">
        <v>28.2</v>
      </c>
      <c r="C48" s="459">
        <v>42.1</v>
      </c>
      <c r="D48" s="459">
        <v>77.8</v>
      </c>
      <c r="E48" s="459">
        <v>59.1</v>
      </c>
      <c r="F48" s="459">
        <v>74.8</v>
      </c>
      <c r="G48" s="459">
        <v>117.5</v>
      </c>
    </row>
    <row r="49" spans="1:7" x14ac:dyDescent="0.3">
      <c r="A49" s="457">
        <v>8</v>
      </c>
      <c r="B49" s="459">
        <v>36.700000000000003</v>
      </c>
      <c r="C49" s="459">
        <v>43.4</v>
      </c>
      <c r="D49" s="459">
        <v>105</v>
      </c>
      <c r="E49" s="459"/>
      <c r="F49" s="459">
        <v>61.1</v>
      </c>
      <c r="G49" s="459">
        <v>101.4</v>
      </c>
    </row>
    <row r="50" spans="1:7" x14ac:dyDescent="0.3">
      <c r="A50" s="457">
        <v>9</v>
      </c>
      <c r="B50" s="459">
        <v>22.2</v>
      </c>
      <c r="C50" s="459">
        <v>44.7</v>
      </c>
      <c r="D50" s="459">
        <v>85.3</v>
      </c>
      <c r="E50" s="459"/>
      <c r="F50" s="459">
        <v>65.3</v>
      </c>
      <c r="G50" s="459">
        <v>82.7</v>
      </c>
    </row>
    <row r="51" spans="1:7" x14ac:dyDescent="0.3">
      <c r="A51" s="457">
        <v>10</v>
      </c>
      <c r="B51" s="459">
        <v>30.1</v>
      </c>
      <c r="C51" s="459">
        <v>57.1</v>
      </c>
      <c r="D51" s="459">
        <v>84</v>
      </c>
      <c r="E51" s="459"/>
      <c r="F51" s="459">
        <v>61.6</v>
      </c>
      <c r="G51" s="459">
        <v>111.2</v>
      </c>
    </row>
    <row r="52" spans="1:7" x14ac:dyDescent="0.3">
      <c r="A52" s="457">
        <v>11</v>
      </c>
      <c r="B52" s="459">
        <v>29.8</v>
      </c>
      <c r="C52" s="459">
        <v>42.3</v>
      </c>
      <c r="D52" s="459">
        <v>96.4</v>
      </c>
      <c r="E52" s="459"/>
      <c r="F52" s="459">
        <v>78.599999999999994</v>
      </c>
      <c r="G52" s="459">
        <v>84.1</v>
      </c>
    </row>
    <row r="53" spans="1:7" x14ac:dyDescent="0.3">
      <c r="A53" s="457">
        <v>12</v>
      </c>
      <c r="B53" s="459">
        <v>26.8</v>
      </c>
      <c r="C53" s="459">
        <v>42.1</v>
      </c>
      <c r="D53" s="459">
        <v>102.3</v>
      </c>
      <c r="E53" s="459"/>
      <c r="F53" s="459">
        <v>73.599999999999994</v>
      </c>
      <c r="G53" s="459">
        <v>93</v>
      </c>
    </row>
    <row r="54" spans="1:7" x14ac:dyDescent="0.3">
      <c r="A54" s="457">
        <v>13</v>
      </c>
      <c r="B54" s="459">
        <v>31.8</v>
      </c>
      <c r="C54" s="459">
        <v>60.5</v>
      </c>
      <c r="D54" s="459">
        <v>99.7</v>
      </c>
      <c r="E54" s="459"/>
      <c r="F54" s="459"/>
      <c r="G54" s="459">
        <v>104.3</v>
      </c>
    </row>
    <row r="55" spans="1:7" x14ac:dyDescent="0.3">
      <c r="A55" s="457">
        <v>14</v>
      </c>
      <c r="B55" s="459">
        <v>26.5</v>
      </c>
      <c r="C55" s="459">
        <v>67</v>
      </c>
      <c r="D55" s="459">
        <v>90.4</v>
      </c>
      <c r="E55" s="459"/>
      <c r="F55" s="459"/>
      <c r="G55" s="459">
        <v>99.8</v>
      </c>
    </row>
    <row r="56" spans="1:7" x14ac:dyDescent="0.3">
      <c r="A56" s="457">
        <v>15</v>
      </c>
      <c r="B56" s="459"/>
      <c r="C56" s="459"/>
      <c r="D56" s="459">
        <v>70.900000000000006</v>
      </c>
      <c r="E56" s="459"/>
      <c r="F56" s="459"/>
      <c r="G56" s="459"/>
    </row>
    <row r="57" spans="1:7" x14ac:dyDescent="0.3">
      <c r="A57" s="656" t="s">
        <v>357</v>
      </c>
      <c r="B57" s="656"/>
      <c r="C57" s="656"/>
      <c r="D57" s="665"/>
      <c r="E57" s="656"/>
      <c r="F57" s="656"/>
      <c r="G57" s="656"/>
    </row>
    <row r="58" spans="1:7" x14ac:dyDescent="0.3">
      <c r="A58" s="456"/>
      <c r="B58" s="664" t="s">
        <v>364</v>
      </c>
      <c r="C58" s="664"/>
      <c r="D58" s="664"/>
      <c r="E58" s="664" t="s">
        <v>365</v>
      </c>
      <c r="F58" s="664"/>
      <c r="G58" s="664"/>
    </row>
    <row r="59" spans="1:7" x14ac:dyDescent="0.3">
      <c r="A59" s="457" t="s">
        <v>366</v>
      </c>
      <c r="B59" s="458" t="s">
        <v>344</v>
      </c>
      <c r="C59" s="458" t="s">
        <v>345</v>
      </c>
      <c r="D59" s="458" t="s">
        <v>367</v>
      </c>
      <c r="E59" s="458" t="s">
        <v>368</v>
      </c>
      <c r="F59" s="458" t="s">
        <v>369</v>
      </c>
      <c r="G59" s="458" t="s">
        <v>370</v>
      </c>
    </row>
    <row r="60" spans="1:7" x14ac:dyDescent="0.3">
      <c r="A60" s="457">
        <v>1</v>
      </c>
      <c r="B60" s="459">
        <v>28.9</v>
      </c>
      <c r="C60" s="459">
        <v>41.6</v>
      </c>
      <c r="D60" s="459">
        <v>104.5</v>
      </c>
      <c r="E60" s="459">
        <v>48.8</v>
      </c>
      <c r="F60" s="459">
        <v>72.900000000000006</v>
      </c>
      <c r="G60" s="459">
        <v>98</v>
      </c>
    </row>
    <row r="61" spans="1:7" x14ac:dyDescent="0.3">
      <c r="A61" s="457">
        <v>2</v>
      </c>
      <c r="B61" s="459">
        <v>27.2</v>
      </c>
      <c r="C61" s="459">
        <v>68.2</v>
      </c>
      <c r="D61" s="459">
        <v>100.9</v>
      </c>
      <c r="E61" s="459">
        <v>45.8</v>
      </c>
      <c r="F61" s="459">
        <v>73.599999999999994</v>
      </c>
      <c r="G61" s="459">
        <v>81.599999999999994</v>
      </c>
    </row>
    <row r="62" spans="1:7" x14ac:dyDescent="0.3">
      <c r="A62" s="457">
        <v>3</v>
      </c>
      <c r="B62" s="459">
        <v>26.5</v>
      </c>
      <c r="C62" s="459">
        <v>49.6</v>
      </c>
      <c r="D62" s="459">
        <v>93.5</v>
      </c>
      <c r="E62" s="459">
        <v>30.3</v>
      </c>
      <c r="F62" s="459">
        <v>73.900000000000006</v>
      </c>
      <c r="G62" s="459">
        <v>93.6</v>
      </c>
    </row>
    <row r="63" spans="1:7" x14ac:dyDescent="0.3">
      <c r="A63" s="457">
        <v>4</v>
      </c>
      <c r="B63" s="459">
        <v>24.7</v>
      </c>
      <c r="C63" s="459">
        <v>56</v>
      </c>
      <c r="D63" s="459">
        <v>74.900000000000006</v>
      </c>
      <c r="E63" s="459">
        <v>35.6</v>
      </c>
      <c r="F63" s="459">
        <v>66.599999999999994</v>
      </c>
      <c r="G63" s="459">
        <v>90.5</v>
      </c>
    </row>
    <row r="64" spans="1:7" x14ac:dyDescent="0.3">
      <c r="A64" s="457">
        <v>5</v>
      </c>
      <c r="B64" s="459">
        <v>27.3</v>
      </c>
      <c r="C64" s="459">
        <v>42.2</v>
      </c>
      <c r="D64" s="459">
        <v>71.599999999999994</v>
      </c>
      <c r="E64" s="459"/>
      <c r="F64" s="459">
        <v>61.7</v>
      </c>
      <c r="G64" s="459">
        <v>81.400000000000006</v>
      </c>
    </row>
    <row r="65" spans="1:7" x14ac:dyDescent="0.3">
      <c r="A65" s="457">
        <v>6</v>
      </c>
      <c r="B65" s="459">
        <v>36</v>
      </c>
      <c r="C65" s="459">
        <v>44</v>
      </c>
      <c r="D65" s="459">
        <v>96.4</v>
      </c>
      <c r="E65" s="459"/>
      <c r="F65" s="459"/>
      <c r="G65" s="459">
        <v>104.8</v>
      </c>
    </row>
    <row r="66" spans="1:7" x14ac:dyDescent="0.3">
      <c r="A66" s="457">
        <v>7</v>
      </c>
      <c r="B66" s="459">
        <v>22.2</v>
      </c>
      <c r="C66" s="459">
        <v>50.1</v>
      </c>
      <c r="D66" s="459">
        <v>98.6</v>
      </c>
      <c r="E66" s="459"/>
      <c r="F66" s="459"/>
      <c r="G66" s="459"/>
    </row>
    <row r="67" spans="1:7" x14ac:dyDescent="0.3">
      <c r="A67" s="457">
        <v>8</v>
      </c>
      <c r="B67" s="459">
        <v>30.6</v>
      </c>
      <c r="C67" s="459">
        <v>50.3</v>
      </c>
      <c r="D67" s="459">
        <v>91</v>
      </c>
      <c r="E67" s="459"/>
      <c r="F67" s="459"/>
      <c r="G67" s="459"/>
    </row>
    <row r="68" spans="1:7" x14ac:dyDescent="0.3">
      <c r="A68" s="457">
        <v>9</v>
      </c>
      <c r="B68" s="459">
        <v>16.899999999999999</v>
      </c>
      <c r="C68" s="459"/>
      <c r="D68" s="459">
        <v>74.599999999999994</v>
      </c>
      <c r="E68" s="458"/>
      <c r="F68" s="459"/>
      <c r="G68" s="459"/>
    </row>
    <row r="69" spans="1:7" x14ac:dyDescent="0.3">
      <c r="A69" s="656" t="s">
        <v>358</v>
      </c>
      <c r="B69" s="656"/>
      <c r="C69" s="656"/>
      <c r="D69" s="665"/>
      <c r="E69" s="656"/>
      <c r="F69" s="656"/>
      <c r="G69" s="656"/>
    </row>
    <row r="70" spans="1:7" x14ac:dyDescent="0.3">
      <c r="A70" s="456"/>
      <c r="B70" s="664" t="s">
        <v>364</v>
      </c>
      <c r="C70" s="664"/>
      <c r="D70" s="664"/>
      <c r="E70" s="664" t="s">
        <v>365</v>
      </c>
      <c r="F70" s="664"/>
      <c r="G70" s="664"/>
    </row>
    <row r="71" spans="1:7" x14ac:dyDescent="0.3">
      <c r="A71" s="457" t="s">
        <v>366</v>
      </c>
      <c r="B71" s="458" t="s">
        <v>344</v>
      </c>
      <c r="C71" s="458" t="s">
        <v>345</v>
      </c>
      <c r="D71" s="458" t="s">
        <v>367</v>
      </c>
      <c r="E71" s="458" t="s">
        <v>368</v>
      </c>
      <c r="F71" s="458" t="s">
        <v>369</v>
      </c>
      <c r="G71" s="458" t="s">
        <v>370</v>
      </c>
    </row>
    <row r="72" spans="1:7" x14ac:dyDescent="0.3">
      <c r="A72" s="457">
        <v>1</v>
      </c>
      <c r="B72" s="459">
        <v>28.2</v>
      </c>
      <c r="C72" s="459">
        <v>51.9</v>
      </c>
      <c r="D72" s="459">
        <v>88.2</v>
      </c>
      <c r="E72" s="459">
        <v>31.8</v>
      </c>
      <c r="F72" s="459">
        <v>72.7</v>
      </c>
      <c r="G72" s="459">
        <v>85.3</v>
      </c>
    </row>
    <row r="73" spans="1:7" x14ac:dyDescent="0.3">
      <c r="A73" s="457">
        <v>2</v>
      </c>
      <c r="B73" s="459">
        <v>36.6</v>
      </c>
      <c r="C73" s="459">
        <v>49.7</v>
      </c>
      <c r="D73" s="459">
        <v>77.8</v>
      </c>
      <c r="E73" s="459">
        <v>33.5</v>
      </c>
      <c r="F73" s="459">
        <v>69.099999999999994</v>
      </c>
      <c r="G73" s="459">
        <v>107.3</v>
      </c>
    </row>
    <row r="74" spans="1:7" x14ac:dyDescent="0.3">
      <c r="A74" s="457">
        <v>3</v>
      </c>
      <c r="B74" s="459">
        <v>36.700000000000003</v>
      </c>
      <c r="C74" s="459">
        <v>39.1</v>
      </c>
      <c r="D74" s="459">
        <v>73</v>
      </c>
      <c r="E74" s="459">
        <v>31.4</v>
      </c>
      <c r="F74" s="459">
        <v>77.900000000000006</v>
      </c>
      <c r="G74" s="459">
        <v>107.9</v>
      </c>
    </row>
    <row r="75" spans="1:7" x14ac:dyDescent="0.3">
      <c r="A75" s="457">
        <v>4</v>
      </c>
      <c r="B75" s="459">
        <v>35.1</v>
      </c>
      <c r="C75" s="459">
        <v>65.099999999999994</v>
      </c>
      <c r="D75" s="459">
        <v>97.4</v>
      </c>
      <c r="E75" s="459">
        <v>40.6</v>
      </c>
      <c r="F75" s="459">
        <v>78.2</v>
      </c>
      <c r="G75" s="459">
        <v>111.9</v>
      </c>
    </row>
    <row r="76" spans="1:7" x14ac:dyDescent="0.3">
      <c r="A76" s="457">
        <v>5</v>
      </c>
      <c r="B76" s="459">
        <v>19.399999999999999</v>
      </c>
      <c r="C76" s="459">
        <v>63.8</v>
      </c>
      <c r="D76" s="459">
        <v>75</v>
      </c>
      <c r="E76" s="459">
        <v>46.2</v>
      </c>
      <c r="F76" s="459">
        <v>73.5</v>
      </c>
      <c r="G76" s="459">
        <v>104.2</v>
      </c>
    </row>
    <row r="77" spans="1:7" x14ac:dyDescent="0.3">
      <c r="A77" s="457">
        <v>6</v>
      </c>
      <c r="B77" s="459">
        <v>17.100000000000001</v>
      </c>
      <c r="C77" s="459">
        <v>56.3</v>
      </c>
      <c r="D77" s="459">
        <v>94</v>
      </c>
      <c r="E77" s="459">
        <v>29.5</v>
      </c>
      <c r="F77" s="459">
        <v>69.099999999999994</v>
      </c>
      <c r="G77" s="459">
        <v>85.5</v>
      </c>
    </row>
    <row r="78" spans="1:7" x14ac:dyDescent="0.3">
      <c r="A78" s="457">
        <v>7</v>
      </c>
      <c r="B78" s="459">
        <v>31.2</v>
      </c>
      <c r="C78" s="459">
        <v>61.2</v>
      </c>
      <c r="D78" s="459">
        <v>96.1</v>
      </c>
      <c r="E78" s="459">
        <v>48.5</v>
      </c>
      <c r="F78" s="459">
        <v>78.099999999999994</v>
      </c>
      <c r="G78" s="459">
        <v>108.8</v>
      </c>
    </row>
    <row r="79" spans="1:7" x14ac:dyDescent="0.3">
      <c r="A79" s="457">
        <v>8</v>
      </c>
      <c r="B79" s="459">
        <v>22.9</v>
      </c>
      <c r="C79" s="459">
        <v>54.6</v>
      </c>
      <c r="D79" s="459">
        <v>103.9</v>
      </c>
      <c r="E79" s="459">
        <v>27.2</v>
      </c>
      <c r="F79" s="459">
        <v>75.5</v>
      </c>
      <c r="G79" s="459">
        <v>87.8</v>
      </c>
    </row>
    <row r="80" spans="1:7" x14ac:dyDescent="0.3">
      <c r="A80" s="457">
        <v>9</v>
      </c>
      <c r="B80" s="459">
        <v>35</v>
      </c>
      <c r="C80" s="459">
        <v>45.6</v>
      </c>
      <c r="D80" s="459">
        <v>96.6</v>
      </c>
      <c r="E80" s="459">
        <v>33.6</v>
      </c>
      <c r="F80" s="459">
        <v>66.7</v>
      </c>
      <c r="G80" s="459">
        <v>102.9</v>
      </c>
    </row>
    <row r="81" spans="1:7" x14ac:dyDescent="0.3">
      <c r="A81" s="457">
        <v>10</v>
      </c>
      <c r="B81" s="459">
        <v>19.100000000000001</v>
      </c>
      <c r="C81" s="459">
        <v>49.2</v>
      </c>
      <c r="D81" s="459">
        <v>69.2</v>
      </c>
      <c r="E81" s="459">
        <v>45.8</v>
      </c>
      <c r="F81" s="459">
        <v>75.3</v>
      </c>
      <c r="G81" s="459">
        <v>113.1</v>
      </c>
    </row>
    <row r="82" spans="1:7" x14ac:dyDescent="0.3">
      <c r="A82" s="457">
        <v>11</v>
      </c>
      <c r="B82" s="459">
        <v>34</v>
      </c>
      <c r="C82" s="459">
        <v>48.9</v>
      </c>
      <c r="D82" s="459">
        <v>98.5</v>
      </c>
      <c r="E82" s="459"/>
      <c r="F82" s="459">
        <v>64.400000000000006</v>
      </c>
      <c r="G82" s="459">
        <v>93.4</v>
      </c>
    </row>
    <row r="83" spans="1:7" x14ac:dyDescent="0.3">
      <c r="A83" s="457">
        <v>12</v>
      </c>
      <c r="B83" s="459">
        <v>27.7</v>
      </c>
      <c r="C83" s="459">
        <v>55.6</v>
      </c>
      <c r="D83" s="459">
        <v>93.9</v>
      </c>
      <c r="E83" s="459"/>
      <c r="F83" s="459">
        <v>62.9</v>
      </c>
      <c r="G83" s="459">
        <v>114.6</v>
      </c>
    </row>
    <row r="84" spans="1:7" x14ac:dyDescent="0.3">
      <c r="A84" s="457">
        <v>13</v>
      </c>
      <c r="B84" s="459">
        <v>26.4</v>
      </c>
      <c r="C84" s="459">
        <v>65</v>
      </c>
      <c r="D84" s="459">
        <v>70.5</v>
      </c>
      <c r="E84" s="459"/>
      <c r="F84" s="459">
        <v>68</v>
      </c>
      <c r="G84" s="459">
        <v>108.8</v>
      </c>
    </row>
    <row r="85" spans="1:7" x14ac:dyDescent="0.3">
      <c r="A85" s="457">
        <v>14</v>
      </c>
      <c r="B85" s="459">
        <v>20.3</v>
      </c>
      <c r="C85" s="459">
        <v>63.5</v>
      </c>
      <c r="D85" s="459">
        <v>92.8</v>
      </c>
      <c r="E85" s="459"/>
      <c r="F85" s="459">
        <v>65.3</v>
      </c>
      <c r="G85" s="459">
        <v>88.8</v>
      </c>
    </row>
    <row r="86" spans="1:7" x14ac:dyDescent="0.3">
      <c r="A86" s="457">
        <v>15</v>
      </c>
      <c r="B86" s="459">
        <v>28.1</v>
      </c>
      <c r="C86" s="459">
        <v>41.5</v>
      </c>
      <c r="D86" s="459">
        <v>86.5</v>
      </c>
      <c r="E86" s="459"/>
      <c r="F86" s="459"/>
      <c r="G86" s="459">
        <v>83.9</v>
      </c>
    </row>
    <row r="87" spans="1:7" x14ac:dyDescent="0.3">
      <c r="A87" s="457">
        <v>16</v>
      </c>
      <c r="B87" s="459"/>
      <c r="C87" s="459">
        <v>68.2</v>
      </c>
      <c r="D87" s="459">
        <v>77.099999999999994</v>
      </c>
      <c r="E87" s="459"/>
      <c r="F87" s="459"/>
      <c r="G87" s="459">
        <v>88.6</v>
      </c>
    </row>
    <row r="88" spans="1:7" x14ac:dyDescent="0.3">
      <c r="A88" s="457">
        <v>17</v>
      </c>
      <c r="B88" s="459"/>
      <c r="C88" s="459">
        <v>37.5</v>
      </c>
      <c r="D88" s="459">
        <v>101.7</v>
      </c>
      <c r="E88" s="459"/>
      <c r="F88" s="459"/>
      <c r="G88" s="459">
        <v>88.5</v>
      </c>
    </row>
    <row r="89" spans="1:7" x14ac:dyDescent="0.3">
      <c r="A89" s="457">
        <v>18</v>
      </c>
      <c r="B89" s="459"/>
      <c r="C89" s="459">
        <v>51</v>
      </c>
      <c r="D89" s="459">
        <v>80.7</v>
      </c>
      <c r="E89" s="460"/>
      <c r="F89" s="460"/>
      <c r="G89" s="460"/>
    </row>
    <row r="90" spans="1:7" x14ac:dyDescent="0.3">
      <c r="A90" s="457">
        <v>19</v>
      </c>
      <c r="B90" s="459"/>
      <c r="C90" s="459">
        <v>56.7</v>
      </c>
      <c r="D90" s="459"/>
      <c r="E90" s="460"/>
      <c r="F90" s="460"/>
      <c r="G90" s="460"/>
    </row>
    <row r="91" spans="1:7" x14ac:dyDescent="0.3">
      <c r="A91" s="656" t="s">
        <v>359</v>
      </c>
      <c r="B91" s="656"/>
      <c r="C91" s="656"/>
      <c r="D91" s="665"/>
      <c r="E91" s="656"/>
      <c r="F91" s="656"/>
      <c r="G91" s="656"/>
    </row>
    <row r="92" spans="1:7" x14ac:dyDescent="0.3">
      <c r="A92" s="456"/>
      <c r="B92" s="664" t="s">
        <v>364</v>
      </c>
      <c r="C92" s="664"/>
      <c r="D92" s="664"/>
      <c r="E92" s="664" t="s">
        <v>365</v>
      </c>
      <c r="F92" s="664"/>
      <c r="G92" s="664"/>
    </row>
    <row r="93" spans="1:7" x14ac:dyDescent="0.3">
      <c r="A93" s="457" t="s">
        <v>366</v>
      </c>
      <c r="B93" s="458" t="s">
        <v>344</v>
      </c>
      <c r="C93" s="458" t="s">
        <v>345</v>
      </c>
      <c r="D93" s="458" t="s">
        <v>367</v>
      </c>
      <c r="E93" s="458" t="s">
        <v>368</v>
      </c>
      <c r="F93" s="458" t="s">
        <v>369</v>
      </c>
      <c r="G93" s="458" t="s">
        <v>370</v>
      </c>
    </row>
    <row r="94" spans="1:7" x14ac:dyDescent="0.3">
      <c r="A94" s="457">
        <v>1</v>
      </c>
      <c r="B94" s="459">
        <v>18.3</v>
      </c>
      <c r="C94" s="459">
        <v>52.4</v>
      </c>
      <c r="D94" s="459">
        <v>101.5</v>
      </c>
      <c r="E94" s="459">
        <v>37.200000000000003</v>
      </c>
      <c r="F94" s="459">
        <v>77.599999999999994</v>
      </c>
      <c r="G94" s="459">
        <v>100</v>
      </c>
    </row>
    <row r="95" spans="1:7" x14ac:dyDescent="0.3">
      <c r="A95" s="457">
        <v>2</v>
      </c>
      <c r="B95" s="459">
        <v>21.2</v>
      </c>
      <c r="C95" s="459">
        <v>60.4</v>
      </c>
      <c r="D95" s="459">
        <v>87.8</v>
      </c>
      <c r="E95" s="459">
        <v>36.1</v>
      </c>
      <c r="F95" s="459">
        <v>71.7</v>
      </c>
      <c r="G95" s="459">
        <v>87.8</v>
      </c>
    </row>
    <row r="96" spans="1:7" x14ac:dyDescent="0.3">
      <c r="A96" s="457">
        <v>3</v>
      </c>
      <c r="B96" s="459">
        <v>28.7</v>
      </c>
      <c r="C96" s="459">
        <v>38.299999999999997</v>
      </c>
      <c r="D96" s="459">
        <v>69.599999999999994</v>
      </c>
      <c r="E96" s="459">
        <v>47.2</v>
      </c>
      <c r="F96" s="459">
        <v>62.6</v>
      </c>
      <c r="G96" s="459">
        <v>111.5</v>
      </c>
    </row>
    <row r="97" spans="1:7" x14ac:dyDescent="0.3">
      <c r="A97" s="457">
        <v>4</v>
      </c>
      <c r="B97" s="459">
        <v>36.200000000000003</v>
      </c>
      <c r="C97" s="459">
        <v>49</v>
      </c>
      <c r="D97" s="459">
        <v>70.3</v>
      </c>
      <c r="E97" s="459">
        <v>35.299999999999997</v>
      </c>
      <c r="F97" s="459">
        <v>72.099999999999994</v>
      </c>
      <c r="G97" s="459">
        <v>119.7</v>
      </c>
    </row>
    <row r="98" spans="1:7" x14ac:dyDescent="0.3">
      <c r="A98" s="457">
        <v>5</v>
      </c>
      <c r="B98" s="459">
        <v>27</v>
      </c>
      <c r="C98" s="459">
        <v>47.2</v>
      </c>
      <c r="D98" s="459">
        <v>104.8</v>
      </c>
      <c r="E98" s="459">
        <v>29.4</v>
      </c>
      <c r="F98" s="459">
        <v>75.3</v>
      </c>
      <c r="G98" s="459">
        <v>87.6</v>
      </c>
    </row>
    <row r="99" spans="1:7" x14ac:dyDescent="0.3">
      <c r="A99" s="457">
        <v>6</v>
      </c>
      <c r="B99" s="459">
        <v>29.5</v>
      </c>
      <c r="C99" s="459">
        <v>60.1</v>
      </c>
      <c r="D99" s="459">
        <v>97.4</v>
      </c>
      <c r="E99" s="459">
        <v>51.3</v>
      </c>
      <c r="F99" s="459">
        <v>61.8</v>
      </c>
      <c r="G99" s="459">
        <v>90.9</v>
      </c>
    </row>
    <row r="100" spans="1:7" x14ac:dyDescent="0.3">
      <c r="A100" s="457">
        <v>7</v>
      </c>
      <c r="B100" s="459">
        <v>23.5</v>
      </c>
      <c r="C100" s="459">
        <v>39.299999999999997</v>
      </c>
      <c r="D100" s="459">
        <v>70.599999999999994</v>
      </c>
      <c r="E100" s="459">
        <v>52.4</v>
      </c>
      <c r="F100" s="459">
        <v>61.3</v>
      </c>
      <c r="G100" s="459">
        <v>97</v>
      </c>
    </row>
    <row r="101" spans="1:7" x14ac:dyDescent="0.3">
      <c r="A101" s="457">
        <v>8</v>
      </c>
      <c r="B101" s="459">
        <v>23.9</v>
      </c>
      <c r="C101" s="459">
        <v>46.4</v>
      </c>
      <c r="D101" s="459">
        <v>87</v>
      </c>
      <c r="E101" s="459">
        <v>56.2</v>
      </c>
      <c r="F101" s="459">
        <v>71.8</v>
      </c>
      <c r="G101" s="459">
        <v>85</v>
      </c>
    </row>
    <row r="102" spans="1:7" x14ac:dyDescent="0.3">
      <c r="A102" s="457">
        <v>9</v>
      </c>
      <c r="B102" s="459">
        <v>28.9</v>
      </c>
      <c r="C102" s="459">
        <v>46.1</v>
      </c>
      <c r="D102" s="459">
        <v>104.3</v>
      </c>
      <c r="E102" s="459"/>
      <c r="F102" s="459">
        <v>69.7</v>
      </c>
      <c r="G102" s="459">
        <v>105.6</v>
      </c>
    </row>
    <row r="103" spans="1:7" x14ac:dyDescent="0.3">
      <c r="A103" s="457">
        <v>10</v>
      </c>
      <c r="B103" s="459">
        <v>21.9</v>
      </c>
      <c r="C103" s="459">
        <v>62.9</v>
      </c>
      <c r="D103" s="459">
        <v>89.7</v>
      </c>
      <c r="E103" s="459"/>
      <c r="F103" s="459">
        <v>72.2</v>
      </c>
      <c r="G103" s="459">
        <v>81.400000000000006</v>
      </c>
    </row>
    <row r="104" spans="1:7" x14ac:dyDescent="0.3">
      <c r="A104" s="457">
        <v>11</v>
      </c>
      <c r="B104" s="459">
        <v>21.1</v>
      </c>
      <c r="C104" s="459">
        <v>63.9</v>
      </c>
      <c r="D104" s="459">
        <v>99.9</v>
      </c>
      <c r="E104" s="459"/>
      <c r="F104" s="459"/>
      <c r="G104" s="459">
        <v>81.5</v>
      </c>
    </row>
    <row r="105" spans="1:7" x14ac:dyDescent="0.3">
      <c r="A105" s="457">
        <v>12</v>
      </c>
      <c r="B105" s="459">
        <v>18.3</v>
      </c>
      <c r="C105" s="459">
        <v>53.9</v>
      </c>
      <c r="D105" s="459">
        <v>96.5</v>
      </c>
      <c r="E105" s="459"/>
      <c r="F105" s="459"/>
      <c r="G105" s="459">
        <v>91.7</v>
      </c>
    </row>
    <row r="106" spans="1:7" x14ac:dyDescent="0.3">
      <c r="A106" s="457">
        <v>13</v>
      </c>
      <c r="B106" s="459"/>
      <c r="C106" s="459">
        <v>42.8</v>
      </c>
      <c r="D106" s="459">
        <v>83.5</v>
      </c>
      <c r="E106" s="460"/>
      <c r="F106" s="460"/>
      <c r="G106" s="460"/>
    </row>
    <row r="107" spans="1:7" x14ac:dyDescent="0.3">
      <c r="A107" s="457">
        <v>14</v>
      </c>
      <c r="B107" s="459"/>
      <c r="C107" s="459">
        <v>54.8</v>
      </c>
      <c r="D107" s="459">
        <v>70.7</v>
      </c>
      <c r="E107" s="460"/>
      <c r="F107" s="460"/>
      <c r="G107" s="460"/>
    </row>
    <row r="108" spans="1:7" x14ac:dyDescent="0.3">
      <c r="A108" s="457">
        <v>15</v>
      </c>
      <c r="B108" s="459"/>
      <c r="C108" s="459">
        <v>49.2</v>
      </c>
      <c r="D108" s="459">
        <v>75.5</v>
      </c>
      <c r="E108" s="460"/>
      <c r="F108" s="460"/>
      <c r="G108" s="460"/>
    </row>
    <row r="109" spans="1:7" x14ac:dyDescent="0.3">
      <c r="A109" s="656" t="s">
        <v>360</v>
      </c>
      <c r="B109" s="656"/>
      <c r="C109" s="656"/>
      <c r="D109" s="665"/>
      <c r="E109" s="656"/>
      <c r="F109" s="656"/>
      <c r="G109" s="656"/>
    </row>
    <row r="110" spans="1:7" x14ac:dyDescent="0.3">
      <c r="A110" s="456"/>
      <c r="B110" s="664" t="s">
        <v>364</v>
      </c>
      <c r="C110" s="664"/>
      <c r="D110" s="664"/>
      <c r="E110" s="664" t="s">
        <v>365</v>
      </c>
      <c r="F110" s="664"/>
      <c r="G110" s="664"/>
    </row>
    <row r="111" spans="1:7" x14ac:dyDescent="0.3">
      <c r="A111" s="457" t="s">
        <v>366</v>
      </c>
      <c r="B111" s="458" t="s">
        <v>344</v>
      </c>
      <c r="C111" s="458" t="s">
        <v>345</v>
      </c>
      <c r="D111" s="458" t="s">
        <v>367</v>
      </c>
      <c r="E111" s="458" t="s">
        <v>368</v>
      </c>
      <c r="F111" s="458" t="s">
        <v>369</v>
      </c>
      <c r="G111" s="458" t="s">
        <v>370</v>
      </c>
    </row>
    <row r="112" spans="1:7" x14ac:dyDescent="0.3">
      <c r="A112" s="457">
        <v>1</v>
      </c>
      <c r="B112" s="459">
        <v>0</v>
      </c>
      <c r="C112" s="459">
        <v>0</v>
      </c>
      <c r="D112" s="459">
        <v>0</v>
      </c>
      <c r="E112" s="459">
        <v>49.8</v>
      </c>
      <c r="F112" s="459">
        <v>75.5</v>
      </c>
      <c r="G112" s="459">
        <v>92.3</v>
      </c>
    </row>
    <row r="113" spans="1:7" x14ac:dyDescent="0.3">
      <c r="A113" s="457">
        <v>2</v>
      </c>
      <c r="B113" s="459"/>
      <c r="C113" s="459"/>
      <c r="D113" s="459"/>
      <c r="E113" s="459">
        <v>59.2</v>
      </c>
      <c r="F113" s="459">
        <v>70.099999999999994</v>
      </c>
      <c r="G113" s="459">
        <v>99.2</v>
      </c>
    </row>
    <row r="114" spans="1:7" x14ac:dyDescent="0.3">
      <c r="A114" s="457">
        <v>3</v>
      </c>
      <c r="B114" s="459"/>
      <c r="C114" s="459"/>
      <c r="D114" s="459"/>
      <c r="E114" s="459">
        <v>27.8</v>
      </c>
      <c r="F114" s="459">
        <v>76.2</v>
      </c>
      <c r="G114" s="459">
        <v>87.9</v>
      </c>
    </row>
    <row r="115" spans="1:7" x14ac:dyDescent="0.3">
      <c r="A115" s="457">
        <v>4</v>
      </c>
      <c r="B115" s="459"/>
      <c r="C115" s="459"/>
      <c r="D115" s="459"/>
      <c r="E115" s="459"/>
      <c r="F115" s="459">
        <v>66.599999999999994</v>
      </c>
      <c r="G115" s="459">
        <v>92.6</v>
      </c>
    </row>
    <row r="116" spans="1:7" x14ac:dyDescent="0.3">
      <c r="A116" s="457">
        <v>5</v>
      </c>
      <c r="B116" s="459"/>
      <c r="C116" s="459"/>
      <c r="D116" s="459"/>
      <c r="E116" s="459"/>
      <c r="F116" s="459">
        <v>63.9</v>
      </c>
      <c r="G116" s="459">
        <v>86</v>
      </c>
    </row>
    <row r="117" spans="1:7" x14ac:dyDescent="0.3">
      <c r="A117" s="656" t="s">
        <v>361</v>
      </c>
      <c r="B117" s="656"/>
      <c r="C117" s="656"/>
      <c r="D117" s="665"/>
      <c r="E117" s="656"/>
      <c r="F117" s="656"/>
      <c r="G117" s="656"/>
    </row>
    <row r="118" spans="1:7" x14ac:dyDescent="0.3">
      <c r="A118" s="456"/>
      <c r="B118" s="664" t="s">
        <v>364</v>
      </c>
      <c r="C118" s="664"/>
      <c r="D118" s="664"/>
      <c r="E118" s="664" t="s">
        <v>365</v>
      </c>
      <c r="F118" s="664"/>
      <c r="G118" s="664"/>
    </row>
    <row r="119" spans="1:7" x14ac:dyDescent="0.3">
      <c r="A119" s="457" t="s">
        <v>366</v>
      </c>
      <c r="B119" s="458" t="s">
        <v>344</v>
      </c>
      <c r="C119" s="458" t="s">
        <v>345</v>
      </c>
      <c r="D119" s="458" t="s">
        <v>367</v>
      </c>
      <c r="E119" s="458" t="s">
        <v>368</v>
      </c>
      <c r="F119" s="458" t="s">
        <v>369</v>
      </c>
      <c r="G119" s="458" t="s">
        <v>370</v>
      </c>
    </row>
    <row r="120" spans="1:7" x14ac:dyDescent="0.3">
      <c r="A120" s="457">
        <v>1</v>
      </c>
      <c r="B120" s="459">
        <v>34.799999999999997</v>
      </c>
      <c r="C120" s="459">
        <v>56</v>
      </c>
      <c r="D120" s="459">
        <v>98.8</v>
      </c>
      <c r="E120" s="459">
        <v>25.3</v>
      </c>
      <c r="F120" s="459">
        <v>77.5</v>
      </c>
      <c r="G120" s="459">
        <v>80.900000000000006</v>
      </c>
    </row>
    <row r="121" spans="1:7" x14ac:dyDescent="0.3">
      <c r="A121" s="457">
        <v>2</v>
      </c>
      <c r="B121" s="459">
        <v>16</v>
      </c>
      <c r="C121" s="459">
        <v>42.1</v>
      </c>
      <c r="D121" s="459">
        <v>85.3</v>
      </c>
      <c r="E121" s="459">
        <v>49.3</v>
      </c>
      <c r="F121" s="459">
        <v>65.599999999999994</v>
      </c>
      <c r="G121" s="459">
        <v>116.3</v>
      </c>
    </row>
    <row r="122" spans="1:7" x14ac:dyDescent="0.3">
      <c r="A122" s="457">
        <v>3</v>
      </c>
      <c r="B122" s="459">
        <v>32.200000000000003</v>
      </c>
      <c r="C122" s="459">
        <v>59</v>
      </c>
      <c r="D122" s="459">
        <v>97.6</v>
      </c>
      <c r="E122" s="459">
        <v>32.799999999999997</v>
      </c>
      <c r="F122" s="459">
        <v>65.7</v>
      </c>
      <c r="G122" s="459">
        <v>84</v>
      </c>
    </row>
    <row r="123" spans="1:7" x14ac:dyDescent="0.3">
      <c r="A123" s="457">
        <v>4</v>
      </c>
      <c r="B123" s="459">
        <v>35.9</v>
      </c>
      <c r="C123" s="459">
        <v>42.7</v>
      </c>
      <c r="D123" s="459">
        <v>100.7</v>
      </c>
      <c r="E123" s="459"/>
      <c r="F123" s="459">
        <v>67.599999999999994</v>
      </c>
      <c r="G123" s="459">
        <v>113</v>
      </c>
    </row>
    <row r="124" spans="1:7" x14ac:dyDescent="0.3">
      <c r="A124" s="457">
        <v>5</v>
      </c>
      <c r="B124" s="459">
        <v>29.5</v>
      </c>
      <c r="C124" s="459">
        <v>67.7</v>
      </c>
      <c r="D124" s="459">
        <v>71.7</v>
      </c>
      <c r="E124" s="459"/>
      <c r="F124" s="459">
        <v>63.3</v>
      </c>
      <c r="G124" s="459">
        <v>95</v>
      </c>
    </row>
    <row r="125" spans="1:7" x14ac:dyDescent="0.3">
      <c r="A125" s="457">
        <v>6</v>
      </c>
      <c r="B125" s="459">
        <v>17.8</v>
      </c>
      <c r="C125" s="459">
        <v>44.2</v>
      </c>
      <c r="D125" s="459">
        <v>104.5</v>
      </c>
      <c r="E125" s="459"/>
      <c r="F125" s="459"/>
      <c r="G125" s="459">
        <v>109.4</v>
      </c>
    </row>
    <row r="126" spans="1:7" x14ac:dyDescent="0.3">
      <c r="A126" s="457">
        <v>7</v>
      </c>
      <c r="B126" s="459">
        <v>23.4</v>
      </c>
      <c r="C126" s="459">
        <v>66.2</v>
      </c>
      <c r="D126" s="459">
        <v>72.900000000000006</v>
      </c>
      <c r="E126" s="459"/>
      <c r="F126" s="459"/>
      <c r="G126" s="459"/>
    </row>
    <row r="127" spans="1:7" x14ac:dyDescent="0.3">
      <c r="A127" s="457">
        <v>8</v>
      </c>
      <c r="B127" s="459"/>
      <c r="C127" s="459">
        <v>52.4</v>
      </c>
      <c r="D127" s="459">
        <v>95.4</v>
      </c>
      <c r="E127" s="459"/>
      <c r="F127" s="459"/>
      <c r="G127" s="459"/>
    </row>
    <row r="128" spans="1:7" x14ac:dyDescent="0.3">
      <c r="A128" s="457">
        <v>9</v>
      </c>
      <c r="B128" s="459"/>
      <c r="C128" s="459">
        <v>67.599999999999994</v>
      </c>
      <c r="D128" s="459"/>
      <c r="E128" s="459"/>
      <c r="F128" s="459"/>
      <c r="G128" s="459"/>
    </row>
    <row r="129" spans="1:7" x14ac:dyDescent="0.3">
      <c r="A129" s="656" t="s">
        <v>362</v>
      </c>
      <c r="B129" s="656"/>
      <c r="C129" s="656"/>
      <c r="D129" s="665"/>
      <c r="E129" s="656"/>
      <c r="F129" s="656"/>
      <c r="G129" s="656"/>
    </row>
    <row r="130" spans="1:7" x14ac:dyDescent="0.3">
      <c r="A130" s="456"/>
      <c r="B130" s="664" t="s">
        <v>364</v>
      </c>
      <c r="C130" s="664"/>
      <c r="D130" s="664"/>
      <c r="E130" s="664" t="s">
        <v>365</v>
      </c>
      <c r="F130" s="664"/>
      <c r="G130" s="664"/>
    </row>
    <row r="131" spans="1:7" x14ac:dyDescent="0.3">
      <c r="A131" s="457" t="s">
        <v>366</v>
      </c>
      <c r="B131" s="458" t="s">
        <v>344</v>
      </c>
      <c r="C131" s="458" t="s">
        <v>345</v>
      </c>
      <c r="D131" s="458" t="s">
        <v>367</v>
      </c>
      <c r="E131" s="458" t="s">
        <v>368</v>
      </c>
      <c r="F131" s="458" t="s">
        <v>369</v>
      </c>
      <c r="G131" s="458" t="s">
        <v>370</v>
      </c>
    </row>
    <row r="132" spans="1:7" x14ac:dyDescent="0.3">
      <c r="A132" s="457">
        <v>1</v>
      </c>
      <c r="B132" s="459">
        <v>0</v>
      </c>
      <c r="C132" s="459">
        <v>0</v>
      </c>
      <c r="D132" s="459">
        <v>0</v>
      </c>
      <c r="E132" s="459">
        <v>26.2</v>
      </c>
      <c r="F132" s="459">
        <v>63.1</v>
      </c>
      <c r="G132" s="459">
        <v>82.3</v>
      </c>
    </row>
    <row r="133" spans="1:7" x14ac:dyDescent="0.3">
      <c r="A133" s="457">
        <v>2</v>
      </c>
      <c r="B133" s="459"/>
      <c r="C133" s="459"/>
      <c r="D133" s="459"/>
      <c r="E133" s="459">
        <v>49.2</v>
      </c>
      <c r="F133" s="459">
        <v>77.599999999999994</v>
      </c>
      <c r="G133" s="459">
        <v>103.4</v>
      </c>
    </row>
    <row r="134" spans="1:7" x14ac:dyDescent="0.3">
      <c r="A134" s="457">
        <v>3</v>
      </c>
      <c r="B134" s="459"/>
      <c r="C134" s="459"/>
      <c r="D134" s="459"/>
      <c r="E134" s="459">
        <v>56.3</v>
      </c>
      <c r="F134" s="459">
        <v>77.900000000000006</v>
      </c>
      <c r="G134" s="459">
        <v>116.7</v>
      </c>
    </row>
    <row r="135" spans="1:7" x14ac:dyDescent="0.3">
      <c r="A135" s="457">
        <v>4</v>
      </c>
      <c r="B135" s="459"/>
      <c r="C135" s="459"/>
      <c r="D135" s="459"/>
      <c r="E135" s="459">
        <v>50.9</v>
      </c>
      <c r="F135" s="459">
        <v>72.400000000000006</v>
      </c>
      <c r="G135" s="459">
        <v>98.8</v>
      </c>
    </row>
    <row r="136" spans="1:7" x14ac:dyDescent="0.3">
      <c r="A136" s="457">
        <v>5</v>
      </c>
      <c r="B136" s="459"/>
      <c r="C136" s="459"/>
      <c r="D136" s="459"/>
      <c r="E136" s="459"/>
      <c r="F136" s="459">
        <v>71.7</v>
      </c>
      <c r="G136" s="459">
        <v>81.8</v>
      </c>
    </row>
    <row r="137" spans="1:7" x14ac:dyDescent="0.3">
      <c r="A137" s="442"/>
      <c r="B137" s="443"/>
      <c r="C137" s="443"/>
      <c r="D137" s="443"/>
      <c r="E137" s="443"/>
      <c r="F137" s="443"/>
      <c r="G137" s="443"/>
    </row>
    <row r="138" spans="1:7" x14ac:dyDescent="0.3">
      <c r="A138" s="442"/>
      <c r="B138" s="443"/>
      <c r="C138" s="443"/>
      <c r="D138" s="443"/>
      <c r="E138" s="441"/>
      <c r="F138" s="443"/>
      <c r="G138" s="443"/>
    </row>
    <row r="139" spans="1:7" x14ac:dyDescent="0.3">
      <c r="A139" s="442"/>
      <c r="B139" s="443"/>
      <c r="C139" s="443"/>
      <c r="D139" s="443"/>
      <c r="E139" s="441"/>
      <c r="F139" s="441"/>
      <c r="G139" s="443"/>
    </row>
    <row r="140" spans="1:7" x14ac:dyDescent="0.3">
      <c r="A140" s="442"/>
      <c r="B140" s="443"/>
      <c r="C140" s="443"/>
      <c r="D140" s="443"/>
      <c r="E140" s="441"/>
      <c r="F140" s="441"/>
      <c r="G140" s="441"/>
    </row>
    <row r="141" spans="1:7" x14ac:dyDescent="0.3">
      <c r="A141" s="668" t="s">
        <v>160</v>
      </c>
      <c r="B141" s="666" t="s">
        <v>161</v>
      </c>
      <c r="C141" s="667"/>
      <c r="D141" s="666" t="s">
        <v>162</v>
      </c>
      <c r="E141" s="667"/>
      <c r="F141" s="666" t="s">
        <v>163</v>
      </c>
      <c r="G141" s="667"/>
    </row>
    <row r="142" spans="1:7" x14ac:dyDescent="0.3">
      <c r="A142" s="669"/>
      <c r="B142" s="432" t="s">
        <v>164</v>
      </c>
      <c r="C142" s="432" t="s">
        <v>165</v>
      </c>
      <c r="D142" s="432" t="s">
        <v>164</v>
      </c>
      <c r="E142" s="432" t="s">
        <v>165</v>
      </c>
      <c r="F142" s="432" t="s">
        <v>164</v>
      </c>
      <c r="G142" s="432" t="s">
        <v>165</v>
      </c>
    </row>
    <row r="143" spans="1:7" x14ac:dyDescent="0.3">
      <c r="A143" s="433" t="s">
        <v>353</v>
      </c>
      <c r="B143" s="435">
        <f>ROUNDDOWN(AVERAGE(B6:D11),1)</f>
        <v>0</v>
      </c>
      <c r="C143" s="435">
        <f>ROUNDDOWN(AVERAGE(E6:G11),1)</f>
        <v>78.2</v>
      </c>
      <c r="D143" s="432">
        <v>0</v>
      </c>
      <c r="E143" s="439">
        <v>5570</v>
      </c>
      <c r="F143" s="432">
        <f>B143*D143</f>
        <v>0</v>
      </c>
      <c r="G143" s="432">
        <f>C143*E143</f>
        <v>435574</v>
      </c>
    </row>
    <row r="144" spans="1:7" x14ac:dyDescent="0.3">
      <c r="A144" s="433" t="s">
        <v>354</v>
      </c>
      <c r="B144" s="435">
        <f>ROUNDDOWN(AVERAGE(B15:D20),1)</f>
        <v>0</v>
      </c>
      <c r="C144" s="435">
        <f>ROUNDDOWN(AVERAGE(E15:G20),1)</f>
        <v>73.2</v>
      </c>
      <c r="D144" s="432">
        <v>0</v>
      </c>
      <c r="E144" s="439">
        <v>6993</v>
      </c>
      <c r="F144" s="432">
        <f t="shared" ref="F144:G152" si="0">B144*D144</f>
        <v>0</v>
      </c>
      <c r="G144" s="432">
        <f t="shared" si="0"/>
        <v>511887.60000000003</v>
      </c>
    </row>
    <row r="145" spans="1:7" x14ac:dyDescent="0.3">
      <c r="A145" s="433" t="s">
        <v>355</v>
      </c>
      <c r="B145" s="435">
        <f>ROUNDDOWN(AVERAGE(B24:D38),1)</f>
        <v>56</v>
      </c>
      <c r="C145" s="435">
        <f>ROUNDDOWN(AVERAGE(E24:G38),1)</f>
        <v>75.3</v>
      </c>
      <c r="D145" s="432">
        <v>16871</v>
      </c>
      <c r="E145" s="439">
        <v>13904</v>
      </c>
      <c r="F145" s="432">
        <f t="shared" si="0"/>
        <v>944776</v>
      </c>
      <c r="G145" s="432">
        <f t="shared" si="0"/>
        <v>1046971.2</v>
      </c>
    </row>
    <row r="146" spans="1:7" x14ac:dyDescent="0.3">
      <c r="A146" s="433" t="s">
        <v>356</v>
      </c>
      <c r="B146" s="435">
        <f>ROUNDDOWN(AVERAGE(B42:D56),1)</f>
        <v>57.1</v>
      </c>
      <c r="C146" s="435">
        <f>ROUNDDOWN(AVERAGE(E42:G56),1)</f>
        <v>77.599999999999994</v>
      </c>
      <c r="D146" s="432">
        <v>16520</v>
      </c>
      <c r="E146" s="439">
        <v>15245</v>
      </c>
      <c r="F146" s="432">
        <f t="shared" si="0"/>
        <v>943292</v>
      </c>
      <c r="G146" s="432">
        <f t="shared" si="0"/>
        <v>1183012</v>
      </c>
    </row>
    <row r="147" spans="1:7" x14ac:dyDescent="0.3">
      <c r="A147" s="433" t="s">
        <v>393</v>
      </c>
      <c r="B147" s="435">
        <f>ROUNDDOWN(AVERAGE(B60:D68),1)</f>
        <v>55.7</v>
      </c>
      <c r="C147" s="435">
        <f>ROUNDDOWN(AVERAGE(E60:G68),1)</f>
        <v>70.599999999999994</v>
      </c>
      <c r="D147" s="432">
        <v>10059</v>
      </c>
      <c r="E147" s="439">
        <v>6466</v>
      </c>
      <c r="F147" s="432">
        <f t="shared" si="0"/>
        <v>560286.30000000005</v>
      </c>
      <c r="G147" s="432">
        <f t="shared" si="0"/>
        <v>456499.6</v>
      </c>
    </row>
    <row r="148" spans="1:7" x14ac:dyDescent="0.3">
      <c r="A148" s="433" t="s">
        <v>392</v>
      </c>
      <c r="B148" s="435">
        <f>ROUNDDOWN(AVERAGE(B72:D90),1)</f>
        <v>57.9</v>
      </c>
      <c r="C148" s="435">
        <f>ROUNDDOWN(AVERAGE(E72:G90),1)</f>
        <v>74.2</v>
      </c>
      <c r="D148" s="432">
        <v>20494</v>
      </c>
      <c r="E148" s="439">
        <v>19289</v>
      </c>
      <c r="F148" s="432">
        <f t="shared" si="0"/>
        <v>1186602.5999999999</v>
      </c>
      <c r="G148" s="432">
        <f t="shared" si="0"/>
        <v>1431243.8</v>
      </c>
    </row>
    <row r="149" spans="1:7" x14ac:dyDescent="0.3">
      <c r="A149" s="433" t="s">
        <v>359</v>
      </c>
      <c r="B149" s="435">
        <f>ROUNDDOWN(AVERAGE(B94:D108),1)</f>
        <v>56.5</v>
      </c>
      <c r="C149" s="435">
        <f>ROUNDDOWN(AVERAGE(E94:G108),1)</f>
        <v>72.599999999999994</v>
      </c>
      <c r="D149" s="432">
        <v>16458</v>
      </c>
      <c r="E149" s="439">
        <v>13919</v>
      </c>
      <c r="F149" s="432">
        <f t="shared" si="0"/>
        <v>929877</v>
      </c>
      <c r="G149" s="432">
        <f t="shared" si="0"/>
        <v>1010519.3999999999</v>
      </c>
    </row>
    <row r="150" spans="1:7" x14ac:dyDescent="0.3">
      <c r="A150" s="433" t="s">
        <v>360</v>
      </c>
      <c r="B150" s="435">
        <f>ROUNDDOWN(AVERAGE(B112:D116),1)</f>
        <v>0</v>
      </c>
      <c r="C150" s="435">
        <f>ROUNDDOWN(AVERAGE(E112:G116),1)</f>
        <v>72.8</v>
      </c>
      <c r="D150" s="432">
        <v>0</v>
      </c>
      <c r="E150" s="439">
        <v>5002</v>
      </c>
      <c r="F150" s="432">
        <f t="shared" si="0"/>
        <v>0</v>
      </c>
      <c r="G150" s="432">
        <f t="shared" si="0"/>
        <v>364145.6</v>
      </c>
    </row>
    <row r="151" spans="1:7" x14ac:dyDescent="0.3">
      <c r="A151" s="433" t="s">
        <v>361</v>
      </c>
      <c r="B151" s="435">
        <f>ROUNDDOWN(AVERAGE(B120:D128),1)</f>
        <v>58.9</v>
      </c>
      <c r="C151" s="435">
        <f>ROUNDDOWN(AVERAGE(E120:G128),1)</f>
        <v>74.599999999999994</v>
      </c>
      <c r="D151" s="432">
        <v>9275</v>
      </c>
      <c r="E151" s="439">
        <v>5965</v>
      </c>
      <c r="F151" s="432">
        <f t="shared" si="0"/>
        <v>546297.5</v>
      </c>
      <c r="G151" s="432">
        <f t="shared" si="0"/>
        <v>444988.99999999994</v>
      </c>
    </row>
    <row r="152" spans="1:7" x14ac:dyDescent="0.3">
      <c r="A152" s="433" t="s">
        <v>362</v>
      </c>
      <c r="B152" s="435">
        <f>ROUNDDOWN(AVERAGE(B132:D136),1)</f>
        <v>0</v>
      </c>
      <c r="C152" s="435">
        <f>ROUNDDOWN(AVERAGE(E132:G136),1)</f>
        <v>73.400000000000006</v>
      </c>
      <c r="D152" s="432">
        <v>0</v>
      </c>
      <c r="E152" s="439">
        <v>5996</v>
      </c>
      <c r="F152" s="432">
        <f t="shared" si="0"/>
        <v>0</v>
      </c>
      <c r="G152" s="432">
        <f t="shared" si="0"/>
        <v>440106.4</v>
      </c>
    </row>
    <row r="153" spans="1:7" x14ac:dyDescent="0.3">
      <c r="A153" s="433" t="s">
        <v>166</v>
      </c>
      <c r="B153" s="433"/>
      <c r="C153" s="433"/>
      <c r="D153" s="432">
        <f>SUM(D143:D152)</f>
        <v>89677</v>
      </c>
      <c r="E153" s="432">
        <f>SUM(E143:E152)</f>
        <v>98349</v>
      </c>
      <c r="F153" s="432">
        <f>SUM(F143:F152)</f>
        <v>5111131.3999999994</v>
      </c>
      <c r="G153" s="432">
        <f>SUM(G143:G152)</f>
        <v>7324948.5999999996</v>
      </c>
    </row>
    <row r="154" spans="1:7" x14ac:dyDescent="0.3">
      <c r="A154" s="441"/>
      <c r="B154" s="441"/>
      <c r="C154" s="441"/>
      <c r="D154" s="442"/>
      <c r="E154" s="442"/>
      <c r="F154" s="442"/>
      <c r="G154" s="442"/>
    </row>
    <row r="156" spans="1:7" x14ac:dyDescent="0.3">
      <c r="C156" s="666" t="s">
        <v>167</v>
      </c>
      <c r="D156" s="667"/>
    </row>
    <row r="157" spans="1:7" x14ac:dyDescent="0.3">
      <c r="C157" s="432" t="s">
        <v>164</v>
      </c>
      <c r="D157" s="432" t="s">
        <v>165</v>
      </c>
    </row>
    <row r="158" spans="1:7" x14ac:dyDescent="0.3">
      <c r="C158" s="436">
        <f>ROUNDDOWN(F153/D153,1)</f>
        <v>56.9</v>
      </c>
      <c r="D158" s="437">
        <f>ROUNDDOWN(G153/E153,1)</f>
        <v>74.400000000000006</v>
      </c>
    </row>
  </sheetData>
  <mergeCells count="37">
    <mergeCell ref="C156:D156"/>
    <mergeCell ref="B130:D130"/>
    <mergeCell ref="E130:G130"/>
    <mergeCell ref="A141:A142"/>
    <mergeCell ref="B141:C141"/>
    <mergeCell ref="D141:E141"/>
    <mergeCell ref="F141:G141"/>
    <mergeCell ref="A129:G129"/>
    <mergeCell ref="B70:D70"/>
    <mergeCell ref="E70:G70"/>
    <mergeCell ref="A91:G91"/>
    <mergeCell ref="B92:D92"/>
    <mergeCell ref="E92:G92"/>
    <mergeCell ref="A109:G109"/>
    <mergeCell ref="B110:D110"/>
    <mergeCell ref="E110:G110"/>
    <mergeCell ref="A117:G117"/>
    <mergeCell ref="B118:D118"/>
    <mergeCell ref="E118:G118"/>
    <mergeCell ref="A69:G69"/>
    <mergeCell ref="B13:D13"/>
    <mergeCell ref="E13:G13"/>
    <mergeCell ref="A21:G21"/>
    <mergeCell ref="B22:D22"/>
    <mergeCell ref="E22:G22"/>
    <mergeCell ref="A39:G39"/>
    <mergeCell ref="B40:D40"/>
    <mergeCell ref="E40:G40"/>
    <mergeCell ref="A57:G57"/>
    <mergeCell ref="B58:D58"/>
    <mergeCell ref="E58:G58"/>
    <mergeCell ref="A12:G12"/>
    <mergeCell ref="A1:G1"/>
    <mergeCell ref="A2:G2"/>
    <mergeCell ref="A3:G3"/>
    <mergeCell ref="B4:D4"/>
    <mergeCell ref="E4:G4"/>
  </mergeCells>
  <phoneticPr fontId="1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Cover page</vt:lpstr>
      <vt:lpstr>SDG Outcomes</vt:lpstr>
      <vt:lpstr>Baseline emission</vt:lpstr>
      <vt:lpstr>Project emission</vt:lpstr>
      <vt:lpstr>Leakage</vt:lpstr>
      <vt:lpstr>Emission Reduction</vt:lpstr>
      <vt:lpstr>monitoring results</vt:lpstr>
      <vt:lpstr>Reliability Check</vt:lpstr>
      <vt:lpstr>2020.12</vt:lpstr>
      <vt:lpstr>2021.01</vt:lpstr>
      <vt:lpstr>2021.02</vt:lpstr>
      <vt:lpstr>2021.03</vt:lpstr>
      <vt:lpstr>2021.04</vt:lpstr>
      <vt:lpstr>2021.05</vt:lpstr>
      <vt:lpstr>2021.06</vt:lpstr>
      <vt:lpstr>2021.07</vt:lpstr>
      <vt:lpstr>2021.08</vt:lpstr>
      <vt:lpstr>2021.09</vt:lpstr>
      <vt:lpstr>2021.10</vt:lpstr>
      <vt:lpstr>2021.11</vt:lpstr>
      <vt:lpstr>2021.12</vt:lpstr>
      <vt:lpstr>2022.01</vt:lpstr>
      <vt:lpstr>2022.02</vt:lpstr>
      <vt:lpstr>2022.03</vt:lpstr>
      <vt:lpstr>2022.04</vt:lpstr>
      <vt:lpstr>2022.05</vt:lpstr>
      <vt:lpstr>2022.06</vt:lpstr>
    </vt:vector>
  </TitlesOfParts>
  <Manager>ywert.visser@carbonvietnam.com</Manager>
  <Company>INTRACO Co., Ltd Carbon Consulting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</dc:creator>
  <cp:lastModifiedBy>user01</cp:lastModifiedBy>
  <cp:lastPrinted>2011-01-07T02:59:39Z</cp:lastPrinted>
  <dcterms:created xsi:type="dcterms:W3CDTF">2006-12-11T01:48:55Z</dcterms:created>
  <dcterms:modified xsi:type="dcterms:W3CDTF">2022-10-17T03:09:14Z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Ywert Visser</vt:lpwstr>
  </property>
</Properties>
</file>