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畜禽粪便项目\双胞胎安徽\GS11338-Shuangbaotai Anhui\4. Combine review\a. VVB Final\Design Review\"/>
    </mc:Choice>
  </mc:AlternateContent>
  <xr:revisionPtr revIDLastSave="0" documentId="13_ncr:40009_{976DB4C4-7F9A-4AE9-BA7F-0C8BEDE6BCE2}" xr6:coauthVersionLast="47" xr6:coauthVersionMax="47" xr10:uidLastSave="{00000000-0000-0000-0000-000000000000}"/>
  <bookViews>
    <workbookView xWindow="-110" yWindow="-110" windowWidth="19420" windowHeight="10300" tabRatio="724"/>
  </bookViews>
  <sheets>
    <sheet name="Cover page" sheetId="9" r:id="rId1"/>
    <sheet name="basic parameters" sheetId="1" r:id="rId2"/>
    <sheet name="Loan repayment" sheetId="4" r:id="rId3"/>
    <sheet name="total cost" sheetId="5" r:id="rId4"/>
    <sheet name="cost and income table" sheetId="6" r:id="rId5"/>
    <sheet name="cash flow" sheetId="7" r:id="rId6"/>
    <sheet name="sensitivity analysis" sheetId="8" r:id="rId7"/>
  </sheets>
  <externalReferences>
    <externalReference r:id="rId8"/>
  </externalReferences>
  <definedNames>
    <definedName name="_Hlk325441994" localSheetId="6">'sensitivity analysis'!$A$3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9" i="7" l="1"/>
  <c r="C19" i="1"/>
  <c r="C4" i="1"/>
  <c r="C6" i="1"/>
  <c r="H8" i="1"/>
  <c r="E71" i="7"/>
  <c r="C38" i="1"/>
  <c r="C32" i="1"/>
  <c r="E72" i="7"/>
  <c r="C7" i="1"/>
  <c r="F6" i="6"/>
  <c r="F30" i="7"/>
  <c r="S14" i="5"/>
  <c r="D5" i="6"/>
  <c r="S67" i="7"/>
  <c r="R67" i="7"/>
  <c r="Q67" i="7"/>
  <c r="P67" i="7"/>
  <c r="O67" i="7"/>
  <c r="O68" i="7"/>
  <c r="N67" i="7"/>
  <c r="M67" i="7"/>
  <c r="L67" i="7"/>
  <c r="L68" i="7"/>
  <c r="K67" i="7"/>
  <c r="K68" i="7"/>
  <c r="J67" i="7"/>
  <c r="I67" i="7"/>
  <c r="I68" i="7"/>
  <c r="H67" i="7"/>
  <c r="G67" i="7"/>
  <c r="F67" i="7"/>
  <c r="E67" i="7"/>
  <c r="D67" i="7"/>
  <c r="C67" i="7"/>
  <c r="C64" i="7"/>
  <c r="C63" i="7"/>
  <c r="C62" i="7"/>
  <c r="C61" i="7"/>
  <c r="S60" i="7"/>
  <c r="S65" i="7"/>
  <c r="S68" i="7"/>
  <c r="R60" i="7"/>
  <c r="R65" i="7"/>
  <c r="R68" i="7"/>
  <c r="Q60" i="7"/>
  <c r="Q65" i="7"/>
  <c r="Q68" i="7"/>
  <c r="P60" i="7"/>
  <c r="P65" i="7"/>
  <c r="O60" i="7"/>
  <c r="N60" i="7"/>
  <c r="N65" i="7"/>
  <c r="N68" i="7"/>
  <c r="M60" i="7"/>
  <c r="L60" i="7"/>
  <c r="K60" i="7"/>
  <c r="J60" i="7"/>
  <c r="I60" i="7"/>
  <c r="H60" i="7"/>
  <c r="H65" i="7"/>
  <c r="H68" i="7"/>
  <c r="G60" i="7"/>
  <c r="G65" i="7"/>
  <c r="G68" i="7"/>
  <c r="F60" i="7"/>
  <c r="F65" i="7"/>
  <c r="F68" i="7"/>
  <c r="E60" i="7"/>
  <c r="E65" i="7"/>
  <c r="E68" i="7"/>
  <c r="D60" i="7"/>
  <c r="C59" i="7"/>
  <c r="C58" i="7"/>
  <c r="C57" i="7"/>
  <c r="C56" i="7"/>
  <c r="S55" i="7"/>
  <c r="R55" i="7"/>
  <c r="Q55" i="7"/>
  <c r="P55" i="7"/>
  <c r="O55" i="7"/>
  <c r="N55" i="7"/>
  <c r="M55" i="7"/>
  <c r="L55" i="7"/>
  <c r="L65" i="7"/>
  <c r="K55" i="7"/>
  <c r="K65" i="7"/>
  <c r="J55" i="7"/>
  <c r="I55" i="7"/>
  <c r="C55" i="7"/>
  <c r="I65" i="7"/>
  <c r="H55" i="7"/>
  <c r="G55" i="7"/>
  <c r="F55" i="7"/>
  <c r="E55" i="7"/>
  <c r="D55" i="7"/>
  <c r="C34" i="1"/>
  <c r="R8" i="5"/>
  <c r="E34" i="7"/>
  <c r="E6" i="4"/>
  <c r="E9" i="4"/>
  <c r="D6" i="7"/>
  <c r="D7" i="7"/>
  <c r="D5" i="7"/>
  <c r="D17" i="7"/>
  <c r="E12" i="7"/>
  <c r="C12" i="7"/>
  <c r="E18" i="6"/>
  <c r="S9" i="7"/>
  <c r="C9" i="7"/>
  <c r="C31" i="1"/>
  <c r="C13" i="1"/>
  <c r="M13" i="4"/>
  <c r="D42" i="7"/>
  <c r="C12" i="1"/>
  <c r="S33" i="7"/>
  <c r="C33" i="7"/>
  <c r="E37" i="7"/>
  <c r="C37" i="7"/>
  <c r="D31" i="7"/>
  <c r="D30" i="7"/>
  <c r="C12" i="5"/>
  <c r="C22" i="6"/>
  <c r="C26" i="6"/>
  <c r="C12" i="6"/>
  <c r="Q34" i="7"/>
  <c r="P34" i="7"/>
  <c r="L34" i="7"/>
  <c r="K34" i="7"/>
  <c r="I34" i="7"/>
  <c r="H34" i="7"/>
  <c r="S34" i="7"/>
  <c r="R34" i="7"/>
  <c r="J34" i="7"/>
  <c r="G34" i="7"/>
  <c r="N34" i="7"/>
  <c r="F34" i="7"/>
  <c r="O34" i="7"/>
  <c r="M34" i="7"/>
  <c r="C10" i="6"/>
  <c r="D11" i="6"/>
  <c r="H6" i="6"/>
  <c r="H6" i="7"/>
  <c r="M14" i="5"/>
  <c r="P14" i="5"/>
  <c r="Q6" i="6"/>
  <c r="Q6" i="7"/>
  <c r="J14" i="5"/>
  <c r="K14" i="5"/>
  <c r="G6" i="6"/>
  <c r="G6" i="7"/>
  <c r="G14" i="5"/>
  <c r="I6" i="6"/>
  <c r="I6" i="7"/>
  <c r="E6" i="6"/>
  <c r="E5" i="6"/>
  <c r="K6" i="6"/>
  <c r="K30" i="7"/>
  <c r="I14" i="5"/>
  <c r="O6" i="6"/>
  <c r="O6" i="7"/>
  <c r="J6" i="6"/>
  <c r="J6" i="7"/>
  <c r="F14" i="5"/>
  <c r="P6" i="6"/>
  <c r="P6" i="7"/>
  <c r="H14" i="5"/>
  <c r="N6" i="6"/>
  <c r="N5" i="6"/>
  <c r="N7" i="6"/>
  <c r="Q14" i="5"/>
  <c r="L6" i="6"/>
  <c r="L30" i="7"/>
  <c r="S6" i="6"/>
  <c r="S6" i="7"/>
  <c r="R6" i="6"/>
  <c r="R6" i="7"/>
  <c r="O14" i="5"/>
  <c r="M6" i="6"/>
  <c r="M6" i="7"/>
  <c r="J65" i="7"/>
  <c r="J68" i="7"/>
  <c r="M65" i="7"/>
  <c r="M68" i="7"/>
  <c r="O65" i="7"/>
  <c r="D29" i="7"/>
  <c r="L14" i="5"/>
  <c r="R14" i="5"/>
  <c r="E14" i="5"/>
  <c r="N14" i="5"/>
  <c r="F13" i="4"/>
  <c r="I14" i="4"/>
  <c r="H14" i="4"/>
  <c r="Q13" i="4"/>
  <c r="P14" i="4"/>
  <c r="P13" i="4"/>
  <c r="P68" i="7"/>
  <c r="C60" i="7"/>
  <c r="D65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C65" i="7"/>
  <c r="D68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C68" i="7"/>
  <c r="Q7" i="5"/>
  <c r="E9" i="5"/>
  <c r="M7" i="5"/>
  <c r="H8" i="5"/>
  <c r="L8" i="5"/>
  <c r="J8" i="5"/>
  <c r="P10" i="5"/>
  <c r="P8" i="5"/>
  <c r="F9" i="5"/>
  <c r="O10" i="5"/>
  <c r="R7" i="5"/>
  <c r="L10" i="5"/>
  <c r="G7" i="5"/>
  <c r="Q8" i="5"/>
  <c r="H7" i="5"/>
  <c r="J7" i="5"/>
  <c r="O8" i="5"/>
  <c r="S8" i="5"/>
  <c r="L9" i="5"/>
  <c r="S9" i="5"/>
  <c r="N10" i="5"/>
  <c r="H10" i="5"/>
  <c r="O9" i="5"/>
  <c r="E8" i="5"/>
  <c r="G10" i="5"/>
  <c r="P6" i="5"/>
  <c r="I10" i="5"/>
  <c r="N8" i="5"/>
  <c r="E7" i="5"/>
  <c r="Q10" i="5"/>
  <c r="M9" i="5"/>
  <c r="M10" i="5"/>
  <c r="K8" i="5"/>
  <c r="G9" i="5"/>
  <c r="O7" i="5"/>
  <c r="Q9" i="5"/>
  <c r="F7" i="5"/>
  <c r="P7" i="5"/>
  <c r="E10" i="5"/>
  <c r="S10" i="5"/>
  <c r="F8" i="5"/>
  <c r="K9" i="5"/>
  <c r="H9" i="5"/>
  <c r="F10" i="5"/>
  <c r="R9" i="5"/>
  <c r="N7" i="5"/>
  <c r="M8" i="5"/>
  <c r="I8" i="5"/>
  <c r="S7" i="5"/>
  <c r="G8" i="5"/>
  <c r="J10" i="5"/>
  <c r="I7" i="5"/>
  <c r="L7" i="5"/>
  <c r="N9" i="5"/>
  <c r="P9" i="5"/>
  <c r="K7" i="5"/>
  <c r="K10" i="5"/>
  <c r="J9" i="5"/>
  <c r="I9" i="5"/>
  <c r="R10" i="5"/>
  <c r="R13" i="4"/>
  <c r="M14" i="4"/>
  <c r="E14" i="4"/>
  <c r="S13" i="4"/>
  <c r="K13" i="4"/>
  <c r="S15" i="4"/>
  <c r="J13" i="4"/>
  <c r="N14" i="4"/>
  <c r="J14" i="4"/>
  <c r="L13" i="4"/>
  <c r="E13" i="4"/>
  <c r="Q14" i="4"/>
  <c r="F14" i="4"/>
  <c r="L14" i="4"/>
  <c r="E13" i="5"/>
  <c r="C34" i="7"/>
  <c r="O5" i="6"/>
  <c r="O7" i="6"/>
  <c r="O14" i="7"/>
  <c r="F6" i="7"/>
  <c r="H5" i="6"/>
  <c r="H7" i="6"/>
  <c r="H14" i="7"/>
  <c r="P5" i="6"/>
  <c r="P7" i="6"/>
  <c r="P39" i="7"/>
  <c r="O30" i="7"/>
  <c r="M5" i="6"/>
  <c r="M7" i="6"/>
  <c r="M39" i="7"/>
  <c r="F5" i="6"/>
  <c r="F7" i="6"/>
  <c r="F39" i="7"/>
  <c r="I5" i="6"/>
  <c r="I7" i="6"/>
  <c r="I39" i="7"/>
  <c r="C14" i="5"/>
  <c r="K5" i="6"/>
  <c r="K7" i="6"/>
  <c r="K39" i="7"/>
  <c r="R5" i="6"/>
  <c r="R7" i="6"/>
  <c r="R14" i="7"/>
  <c r="K6" i="7"/>
  <c r="Q30" i="7"/>
  <c r="P30" i="7"/>
  <c r="R30" i="7"/>
  <c r="G5" i="6"/>
  <c r="G7" i="6"/>
  <c r="G39" i="7"/>
  <c r="N6" i="7"/>
  <c r="M30" i="7"/>
  <c r="J30" i="7"/>
  <c r="J5" i="6"/>
  <c r="J7" i="6"/>
  <c r="G30" i="7"/>
  <c r="G25" i="7"/>
  <c r="N30" i="7"/>
  <c r="E7" i="6"/>
  <c r="E10" i="6"/>
  <c r="N14" i="7"/>
  <c r="N39" i="7"/>
  <c r="Q5" i="6"/>
  <c r="Q7" i="6"/>
  <c r="L5" i="6"/>
  <c r="L7" i="6"/>
  <c r="E30" i="7"/>
  <c r="H30" i="7"/>
  <c r="I30" i="7"/>
  <c r="E6" i="7"/>
  <c r="C6" i="6"/>
  <c r="S5" i="6"/>
  <c r="S7" i="6"/>
  <c r="L6" i="7"/>
  <c r="S30" i="7"/>
  <c r="C5" i="1"/>
  <c r="G14" i="4"/>
  <c r="K14" i="4"/>
  <c r="R14" i="4"/>
  <c r="O14" i="4"/>
  <c r="O13" i="4"/>
  <c r="S14" i="4"/>
  <c r="H13" i="4"/>
  <c r="I13" i="4"/>
  <c r="G13" i="4"/>
  <c r="N13" i="4"/>
  <c r="H11" i="5"/>
  <c r="E5" i="5"/>
  <c r="J11" i="5"/>
  <c r="I6" i="5"/>
  <c r="S8" i="7"/>
  <c r="K5" i="5"/>
  <c r="F5" i="5"/>
  <c r="N5" i="5"/>
  <c r="P11" i="5"/>
  <c r="S6" i="5"/>
  <c r="L5" i="5"/>
  <c r="L11" i="5"/>
  <c r="Q6" i="5"/>
  <c r="F11" i="5"/>
  <c r="S11" i="5"/>
  <c r="K6" i="5"/>
  <c r="M5" i="5"/>
  <c r="G5" i="5"/>
  <c r="J6" i="5"/>
  <c r="H5" i="5"/>
  <c r="E11" i="5"/>
  <c r="L6" i="5"/>
  <c r="M11" i="5"/>
  <c r="R11" i="5"/>
  <c r="R6" i="5"/>
  <c r="N11" i="5"/>
  <c r="S32" i="7"/>
  <c r="F6" i="5"/>
  <c r="G11" i="5"/>
  <c r="H6" i="5"/>
  <c r="P5" i="5"/>
  <c r="Q5" i="5"/>
  <c r="E6" i="5"/>
  <c r="I5" i="5"/>
  <c r="Q11" i="5"/>
  <c r="O6" i="5"/>
  <c r="R5" i="5"/>
  <c r="J5" i="5"/>
  <c r="S5" i="5"/>
  <c r="G6" i="5"/>
  <c r="O5" i="5"/>
  <c r="K11" i="5"/>
  <c r="O11" i="5"/>
  <c r="N6" i="5"/>
  <c r="I11" i="5"/>
  <c r="M6" i="5"/>
  <c r="C7" i="5"/>
  <c r="C9" i="5"/>
  <c r="C10" i="5"/>
  <c r="C8" i="5"/>
  <c r="P16" i="5"/>
  <c r="P38" i="7"/>
  <c r="P35" i="7"/>
  <c r="M14" i="7"/>
  <c r="P14" i="7"/>
  <c r="O39" i="7"/>
  <c r="H39" i="7"/>
  <c r="R39" i="7"/>
  <c r="F14" i="7"/>
  <c r="K14" i="7"/>
  <c r="I14" i="7"/>
  <c r="G14" i="7"/>
  <c r="J14" i="7"/>
  <c r="J39" i="7"/>
  <c r="S14" i="7"/>
  <c r="S39" i="7"/>
  <c r="C6" i="7"/>
  <c r="C30" i="7"/>
  <c r="L14" i="7"/>
  <c r="L39" i="7"/>
  <c r="E14" i="7"/>
  <c r="E39" i="7"/>
  <c r="C7" i="6"/>
  <c r="E11" i="6"/>
  <c r="E9" i="6"/>
  <c r="Q39" i="7"/>
  <c r="Q14" i="7"/>
  <c r="R16" i="5"/>
  <c r="R13" i="7"/>
  <c r="R10" i="7"/>
  <c r="D11" i="7"/>
  <c r="D10" i="7"/>
  <c r="K16" i="5"/>
  <c r="K13" i="7"/>
  <c r="D36" i="7"/>
  <c r="D35" i="7"/>
  <c r="J16" i="5"/>
  <c r="J38" i="7"/>
  <c r="M16" i="5"/>
  <c r="M13" i="7"/>
  <c r="Q16" i="5"/>
  <c r="Q38" i="7"/>
  <c r="H16" i="5"/>
  <c r="H38" i="7"/>
  <c r="N16" i="5"/>
  <c r="N13" i="7"/>
  <c r="N10" i="7"/>
  <c r="F16" i="5"/>
  <c r="C32" i="7"/>
  <c r="S16" i="5"/>
  <c r="G16" i="5"/>
  <c r="L16" i="5"/>
  <c r="O16" i="5"/>
  <c r="C11" i="5"/>
  <c r="C8" i="7"/>
  <c r="I16" i="5"/>
  <c r="E27" i="4"/>
  <c r="C5" i="5"/>
  <c r="E15" i="5"/>
  <c r="E16" i="5"/>
  <c r="C6" i="5"/>
  <c r="P13" i="7"/>
  <c r="P10" i="7"/>
  <c r="J35" i="7"/>
  <c r="K10" i="7"/>
  <c r="M10" i="7"/>
  <c r="H35" i="7"/>
  <c r="C39" i="7"/>
  <c r="F10" i="6"/>
  <c r="F9" i="6"/>
  <c r="E7" i="7"/>
  <c r="E31" i="7"/>
  <c r="C14" i="7"/>
  <c r="Q35" i="7"/>
  <c r="C11" i="7"/>
  <c r="K38" i="7"/>
  <c r="K35" i="7"/>
  <c r="R38" i="7"/>
  <c r="R35" i="7"/>
  <c r="C36" i="7"/>
  <c r="J13" i="7"/>
  <c r="J10" i="7"/>
  <c r="Q13" i="7"/>
  <c r="Q10" i="7"/>
  <c r="M38" i="7"/>
  <c r="M35" i="7"/>
  <c r="N38" i="7"/>
  <c r="N35" i="7"/>
  <c r="H13" i="7"/>
  <c r="H10" i="7"/>
  <c r="F13" i="7"/>
  <c r="F10" i="7"/>
  <c r="F38" i="7"/>
  <c r="F35" i="7"/>
  <c r="C16" i="5"/>
  <c r="E38" i="7"/>
  <c r="E13" i="7"/>
  <c r="E8" i="6"/>
  <c r="D15" i="7"/>
  <c r="G13" i="7"/>
  <c r="G10" i="7"/>
  <c r="G38" i="7"/>
  <c r="G35" i="7"/>
  <c r="I38" i="7"/>
  <c r="I35" i="7"/>
  <c r="I13" i="7"/>
  <c r="I10" i="7"/>
  <c r="O38" i="7"/>
  <c r="O35" i="7"/>
  <c r="O13" i="7"/>
  <c r="O10" i="7"/>
  <c r="D40" i="7"/>
  <c r="L38" i="7"/>
  <c r="L35" i="7"/>
  <c r="L13" i="7"/>
  <c r="L10" i="7"/>
  <c r="S13" i="7"/>
  <c r="S10" i="7"/>
  <c r="S38" i="7"/>
  <c r="S35" i="7"/>
  <c r="E29" i="7"/>
  <c r="E5" i="7"/>
  <c r="F7" i="7"/>
  <c r="F5" i="7"/>
  <c r="F15" i="7"/>
  <c r="F31" i="7"/>
  <c r="F29" i="7"/>
  <c r="F40" i="7"/>
  <c r="F11" i="6"/>
  <c r="E13" i="6"/>
  <c r="D18" i="7"/>
  <c r="D16" i="7"/>
  <c r="D41" i="7"/>
  <c r="D43" i="7"/>
  <c r="C13" i="7"/>
  <c r="E10" i="7"/>
  <c r="C38" i="7"/>
  <c r="E35" i="7"/>
  <c r="G10" i="6"/>
  <c r="G9" i="6"/>
  <c r="E15" i="7"/>
  <c r="E16" i="7"/>
  <c r="F16" i="7"/>
  <c r="C10" i="7"/>
  <c r="D44" i="7"/>
  <c r="D19" i="7"/>
  <c r="E40" i="7"/>
  <c r="C35" i="7"/>
  <c r="F18" i="6"/>
  <c r="E29" i="6"/>
  <c r="F17" i="6"/>
  <c r="E19" i="6"/>
  <c r="G31" i="7"/>
  <c r="G7" i="7"/>
  <c r="G11" i="6"/>
  <c r="E30" i="6"/>
  <c r="E22" i="4"/>
  <c r="E20" i="6"/>
  <c r="E41" i="7"/>
  <c r="F41" i="7"/>
  <c r="H10" i="6"/>
  <c r="H9" i="6"/>
  <c r="G5" i="7"/>
  <c r="G29" i="7"/>
  <c r="E21" i="6"/>
  <c r="G40" i="7"/>
  <c r="H7" i="7"/>
  <c r="H31" i="7"/>
  <c r="G15" i="7"/>
  <c r="H11" i="6"/>
  <c r="E42" i="7"/>
  <c r="E17" i="7"/>
  <c r="E23" i="6"/>
  <c r="I10" i="6"/>
  <c r="I9" i="6"/>
  <c r="G16" i="7"/>
  <c r="H29" i="7"/>
  <c r="H5" i="7"/>
  <c r="G41" i="7"/>
  <c r="E24" i="6"/>
  <c r="E18" i="7"/>
  <c r="E43" i="7"/>
  <c r="I11" i="6"/>
  <c r="J10" i="6"/>
  <c r="J9" i="6"/>
  <c r="H15" i="7"/>
  <c r="H16" i="7"/>
  <c r="H40" i="7"/>
  <c r="H41" i="7"/>
  <c r="I7" i="7"/>
  <c r="I31" i="7"/>
  <c r="E19" i="7"/>
  <c r="E44" i="7"/>
  <c r="E25" i="6"/>
  <c r="J11" i="6"/>
  <c r="J7" i="7"/>
  <c r="J5" i="7"/>
  <c r="J15" i="7"/>
  <c r="J31" i="7"/>
  <c r="J29" i="7"/>
  <c r="J40" i="7"/>
  <c r="I29" i="7"/>
  <c r="I5" i="7"/>
  <c r="E27" i="6"/>
  <c r="I40" i="7"/>
  <c r="I15" i="7"/>
  <c r="K10" i="6"/>
  <c r="K9" i="6"/>
  <c r="E28" i="4"/>
  <c r="E28" i="6"/>
  <c r="E8" i="4"/>
  <c r="E26" i="4"/>
  <c r="K31" i="7"/>
  <c r="K29" i="7"/>
  <c r="K40" i="7"/>
  <c r="K7" i="7"/>
  <c r="K11" i="6"/>
  <c r="I16" i="7"/>
  <c r="J16" i="7"/>
  <c r="I41" i="7"/>
  <c r="J41" i="7"/>
  <c r="E10" i="4"/>
  <c r="F6" i="4"/>
  <c r="E7" i="4"/>
  <c r="K41" i="7"/>
  <c r="L10" i="6"/>
  <c r="L9" i="6"/>
  <c r="K5" i="7"/>
  <c r="K15" i="7"/>
  <c r="E23" i="4"/>
  <c r="F9" i="4"/>
  <c r="L31" i="7"/>
  <c r="L29" i="7"/>
  <c r="L40" i="7"/>
  <c r="L7" i="7"/>
  <c r="L5" i="7"/>
  <c r="L15" i="7"/>
  <c r="L11" i="6"/>
  <c r="K16" i="7"/>
  <c r="F13" i="5"/>
  <c r="L16" i="7"/>
  <c r="M10" i="6"/>
  <c r="M9" i="6"/>
  <c r="L41" i="7"/>
  <c r="F15" i="5"/>
  <c r="M11" i="6"/>
  <c r="M7" i="7"/>
  <c r="M5" i="7"/>
  <c r="M15" i="7"/>
  <c r="M16" i="7"/>
  <c r="M31" i="7"/>
  <c r="M29" i="7"/>
  <c r="M40" i="7"/>
  <c r="M41" i="7"/>
  <c r="F8" i="6"/>
  <c r="N10" i="6"/>
  <c r="N9" i="6"/>
  <c r="F13" i="6"/>
  <c r="N31" i="7"/>
  <c r="N29" i="7"/>
  <c r="N40" i="7"/>
  <c r="N41" i="7"/>
  <c r="N7" i="7"/>
  <c r="N5" i="7"/>
  <c r="N15" i="7"/>
  <c r="N16" i="7"/>
  <c r="N11" i="6"/>
  <c r="G18" i="6"/>
  <c r="F29" i="6"/>
  <c r="G16" i="6"/>
  <c r="G17" i="6"/>
  <c r="F19" i="6"/>
  <c r="O10" i="6"/>
  <c r="O9" i="6"/>
  <c r="F20" i="6"/>
  <c r="F30" i="6"/>
  <c r="F22" i="4"/>
  <c r="O11" i="6"/>
  <c r="P10" i="6"/>
  <c r="P9" i="6"/>
  <c r="O7" i="7"/>
  <c r="O5" i="7"/>
  <c r="O15" i="7"/>
  <c r="O31" i="7"/>
  <c r="O29" i="7"/>
  <c r="O40" i="7"/>
  <c r="F21" i="6"/>
  <c r="E47" i="7"/>
  <c r="O41" i="7"/>
  <c r="E22" i="7"/>
  <c r="O16" i="7"/>
  <c r="P7" i="7"/>
  <c r="P5" i="7"/>
  <c r="P15" i="7"/>
  <c r="P31" i="7"/>
  <c r="P29" i="7"/>
  <c r="P40" i="7"/>
  <c r="P11" i="6"/>
  <c r="F17" i="7"/>
  <c r="F42" i="7"/>
  <c r="F23" i="6"/>
  <c r="P41" i="7"/>
  <c r="Q10" i="6"/>
  <c r="Q9" i="6"/>
  <c r="P16" i="7"/>
  <c r="F24" i="6"/>
  <c r="F25" i="6"/>
  <c r="F43" i="7"/>
  <c r="F18" i="7"/>
  <c r="Q7" i="7"/>
  <c r="Q5" i="7"/>
  <c r="Q15" i="7"/>
  <c r="Q16" i="7"/>
  <c r="Q31" i="7"/>
  <c r="Q29" i="7"/>
  <c r="Q40" i="7"/>
  <c r="Q41" i="7"/>
  <c r="Q11" i="6"/>
  <c r="F19" i="7"/>
  <c r="F44" i="7"/>
  <c r="F27" i="6"/>
  <c r="R10" i="6"/>
  <c r="R9" i="6"/>
  <c r="F26" i="4"/>
  <c r="F28" i="6"/>
  <c r="F8" i="4"/>
  <c r="R11" i="6"/>
  <c r="S10" i="6"/>
  <c r="S9" i="6"/>
  <c r="R31" i="7"/>
  <c r="R29" i="7"/>
  <c r="R40" i="7"/>
  <c r="R41" i="7"/>
  <c r="R7" i="7"/>
  <c r="R5" i="7"/>
  <c r="R15" i="7"/>
  <c r="R16" i="7"/>
  <c r="F7" i="4"/>
  <c r="F10" i="4"/>
  <c r="G6" i="4"/>
  <c r="S7" i="7"/>
  <c r="S31" i="7"/>
  <c r="C9" i="6"/>
  <c r="S11" i="6"/>
  <c r="G9" i="4"/>
  <c r="F23" i="4"/>
  <c r="S29" i="7"/>
  <c r="C31" i="7"/>
  <c r="S5" i="7"/>
  <c r="C7" i="7"/>
  <c r="G13" i="5"/>
  <c r="S15" i="7"/>
  <c r="C5" i="7"/>
  <c r="S40" i="7"/>
  <c r="C29" i="7"/>
  <c r="G15" i="5"/>
  <c r="C40" i="7"/>
  <c r="S41" i="7"/>
  <c r="C15" i="7"/>
  <c r="S16" i="7"/>
  <c r="G8" i="6"/>
  <c r="G13" i="6"/>
  <c r="H16" i="6"/>
  <c r="G29" i="6"/>
  <c r="H18" i="6"/>
  <c r="G19" i="6"/>
  <c r="H15" i="6"/>
  <c r="H17" i="6"/>
  <c r="G22" i="4"/>
  <c r="G30" i="6"/>
  <c r="G20" i="6"/>
  <c r="G21" i="6"/>
  <c r="G17" i="7"/>
  <c r="G42" i="7"/>
  <c r="G23" i="6"/>
  <c r="G24" i="6"/>
  <c r="G25" i="6"/>
  <c r="G43" i="7"/>
  <c r="G18" i="7"/>
  <c r="G19" i="7"/>
  <c r="G44" i="7"/>
  <c r="G27" i="6"/>
  <c r="G26" i="4"/>
  <c r="G28" i="6"/>
  <c r="G8" i="4"/>
  <c r="G7" i="4"/>
  <c r="G10" i="4"/>
  <c r="H6" i="4"/>
  <c r="H9" i="4"/>
  <c r="G23" i="4"/>
  <c r="H13" i="5"/>
  <c r="H15" i="5"/>
  <c r="H8" i="6"/>
  <c r="H13" i="6"/>
  <c r="I17" i="6"/>
  <c r="I15" i="6"/>
  <c r="I16" i="6"/>
  <c r="I18" i="6"/>
  <c r="H29" i="6"/>
  <c r="H19" i="6"/>
  <c r="H20" i="6"/>
  <c r="I14" i="6"/>
  <c r="H21" i="6"/>
  <c r="H22" i="4"/>
  <c r="H30" i="6"/>
  <c r="H17" i="7"/>
  <c r="H42" i="7"/>
  <c r="H23" i="6"/>
  <c r="H24" i="6"/>
  <c r="H25" i="6"/>
  <c r="H43" i="7"/>
  <c r="H18" i="7"/>
  <c r="H19" i="7"/>
  <c r="H44" i="7"/>
  <c r="H27" i="6"/>
  <c r="H26" i="4"/>
  <c r="H28" i="6"/>
  <c r="H8" i="4"/>
  <c r="H7" i="4"/>
  <c r="H10" i="4"/>
  <c r="I6" i="4"/>
  <c r="I9" i="4"/>
  <c r="H23" i="4"/>
  <c r="I13" i="5"/>
  <c r="I15" i="5"/>
  <c r="I8" i="6"/>
  <c r="I13" i="6"/>
  <c r="J17" i="6"/>
  <c r="J14" i="6"/>
  <c r="I29" i="6"/>
  <c r="I19" i="6"/>
  <c r="I20" i="6"/>
  <c r="J15" i="6"/>
  <c r="J16" i="6"/>
  <c r="J18" i="6"/>
  <c r="I21" i="6"/>
  <c r="I22" i="4"/>
  <c r="I30" i="6"/>
  <c r="I42" i="7"/>
  <c r="I17" i="7"/>
  <c r="I23" i="6"/>
  <c r="I24" i="6"/>
  <c r="I25" i="6"/>
  <c r="I18" i="7"/>
  <c r="I19" i="7"/>
  <c r="I43" i="7"/>
  <c r="I44" i="7"/>
  <c r="I27" i="6"/>
  <c r="I26" i="4"/>
  <c r="I28" i="6"/>
  <c r="I8" i="4"/>
  <c r="I7" i="4"/>
  <c r="I10" i="4"/>
  <c r="J6" i="4"/>
  <c r="J9" i="4"/>
  <c r="I23" i="4"/>
  <c r="J13" i="5"/>
  <c r="J15" i="5"/>
  <c r="J8" i="6"/>
  <c r="J13" i="6"/>
  <c r="K14" i="6"/>
  <c r="K17" i="6"/>
  <c r="K16" i="6"/>
  <c r="K15" i="6"/>
  <c r="K18" i="6"/>
  <c r="J19" i="6"/>
  <c r="J20" i="6"/>
  <c r="J21" i="6"/>
  <c r="J29" i="6"/>
  <c r="J17" i="7"/>
  <c r="J18" i="7"/>
  <c r="J19" i="7"/>
  <c r="J42" i="7"/>
  <c r="J43" i="7"/>
  <c r="J44" i="7"/>
  <c r="J23" i="6"/>
  <c r="J22" i="4"/>
  <c r="J30" i="6"/>
  <c r="J24" i="6"/>
  <c r="J25" i="6"/>
  <c r="J27" i="6"/>
  <c r="J26" i="4"/>
  <c r="J28" i="6"/>
  <c r="J8" i="4"/>
  <c r="J7" i="4"/>
  <c r="J23" i="4"/>
  <c r="J10" i="4"/>
  <c r="K6" i="4"/>
  <c r="K9" i="4"/>
  <c r="K13" i="5"/>
  <c r="K15" i="5"/>
  <c r="K8" i="6"/>
  <c r="K13" i="6"/>
  <c r="L14" i="6"/>
  <c r="K29" i="6"/>
  <c r="L15" i="6"/>
  <c r="L16" i="6"/>
  <c r="L18" i="6"/>
  <c r="L17" i="6"/>
  <c r="K19" i="6"/>
  <c r="K20" i="6"/>
  <c r="K21" i="6"/>
  <c r="K30" i="6"/>
  <c r="K22" i="4"/>
  <c r="K17" i="7"/>
  <c r="K18" i="7"/>
  <c r="K19" i="7"/>
  <c r="K42" i="7"/>
  <c r="K43" i="7"/>
  <c r="K44" i="7"/>
  <c r="K23" i="6"/>
  <c r="K24" i="6"/>
  <c r="K25" i="6"/>
  <c r="K27" i="6"/>
  <c r="K26" i="4"/>
  <c r="K28" i="6"/>
  <c r="K8" i="4"/>
  <c r="K7" i="4"/>
  <c r="K23" i="4"/>
  <c r="K10" i="4"/>
  <c r="L6" i="4"/>
  <c r="L9" i="4"/>
  <c r="L13" i="5"/>
  <c r="L15" i="5"/>
  <c r="L8" i="6"/>
  <c r="L13" i="6"/>
  <c r="L29" i="6"/>
  <c r="M15" i="6"/>
  <c r="M18" i="6"/>
  <c r="L19" i="6"/>
  <c r="L20" i="6"/>
  <c r="L21" i="6"/>
  <c r="L23" i="6"/>
  <c r="M16" i="6"/>
  <c r="M17" i="6"/>
  <c r="M14" i="6"/>
  <c r="L24" i="6"/>
  <c r="L25" i="6"/>
  <c r="L27" i="6"/>
  <c r="L17" i="7"/>
  <c r="L18" i="7"/>
  <c r="L19" i="7"/>
  <c r="L42" i="7"/>
  <c r="L43" i="7"/>
  <c r="L44" i="7"/>
  <c r="L30" i="6"/>
  <c r="L22" i="4"/>
  <c r="L26" i="4"/>
  <c r="L28" i="6"/>
  <c r="L8" i="4"/>
  <c r="L7" i="4"/>
  <c r="L23" i="4"/>
  <c r="L10" i="4"/>
  <c r="M6" i="4"/>
  <c r="M9" i="4"/>
  <c r="M13" i="5"/>
  <c r="M15" i="5"/>
  <c r="M8" i="6"/>
  <c r="M13" i="6"/>
  <c r="N18" i="6"/>
  <c r="N15" i="6"/>
  <c r="M19" i="6"/>
  <c r="M20" i="6"/>
  <c r="M21" i="6"/>
  <c r="M23" i="6"/>
  <c r="M29" i="6"/>
  <c r="N16" i="6"/>
  <c r="N17" i="6"/>
  <c r="N14" i="6"/>
  <c r="M24" i="6"/>
  <c r="M25" i="6"/>
  <c r="M27" i="6"/>
  <c r="M17" i="7"/>
  <c r="M18" i="7"/>
  <c r="M19" i="7"/>
  <c r="M42" i="7"/>
  <c r="M43" i="7"/>
  <c r="M44" i="7"/>
  <c r="M30" i="6"/>
  <c r="M22" i="4"/>
  <c r="M26" i="4"/>
  <c r="M28" i="6"/>
  <c r="M8" i="4"/>
  <c r="M7" i="4"/>
  <c r="M23" i="4"/>
  <c r="M10" i="4"/>
  <c r="N6" i="4"/>
  <c r="N9" i="4"/>
  <c r="N13" i="5"/>
  <c r="N15" i="5"/>
  <c r="N8" i="6"/>
  <c r="N13" i="6"/>
  <c r="O17" i="6"/>
  <c r="N29" i="6"/>
  <c r="O14" i="6"/>
  <c r="N19" i="6"/>
  <c r="N20" i="6"/>
  <c r="N21" i="6"/>
  <c r="O18" i="6"/>
  <c r="O16" i="6"/>
  <c r="O15" i="6"/>
  <c r="N17" i="7"/>
  <c r="N18" i="7"/>
  <c r="N19" i="7"/>
  <c r="N42" i="7"/>
  <c r="N43" i="7"/>
  <c r="N44" i="7"/>
  <c r="N23" i="6"/>
  <c r="N22" i="4"/>
  <c r="N30" i="6"/>
  <c r="N24" i="6"/>
  <c r="N25" i="6"/>
  <c r="N27" i="6"/>
  <c r="N26" i="4"/>
  <c r="N28" i="6"/>
  <c r="N8" i="4"/>
  <c r="N7" i="4"/>
  <c r="N23" i="4"/>
  <c r="N10" i="4"/>
  <c r="O6" i="4"/>
  <c r="O9" i="4"/>
  <c r="O13" i="5"/>
  <c r="O15" i="5"/>
  <c r="O8" i="6"/>
  <c r="O13" i="6"/>
  <c r="P15" i="6"/>
  <c r="O29" i="6"/>
  <c r="P17" i="6"/>
  <c r="P14" i="6"/>
  <c r="O19" i="6"/>
  <c r="O20" i="6"/>
  <c r="O21" i="6"/>
  <c r="P16" i="6"/>
  <c r="P18" i="6"/>
  <c r="O17" i="7"/>
  <c r="O18" i="7"/>
  <c r="O42" i="7"/>
  <c r="O43" i="7"/>
  <c r="O23" i="6"/>
  <c r="O30" i="6"/>
  <c r="O22" i="4"/>
  <c r="O24" i="6"/>
  <c r="O25" i="6"/>
  <c r="O27" i="6"/>
  <c r="O44" i="7"/>
  <c r="E48" i="7"/>
  <c r="E23" i="7"/>
  <c r="O19" i="7"/>
  <c r="O26" i="4"/>
  <c r="O28" i="6"/>
  <c r="O8" i="4"/>
  <c r="O7" i="4"/>
  <c r="O23" i="4"/>
  <c r="O10" i="4"/>
  <c r="P6" i="4"/>
  <c r="P9" i="4"/>
  <c r="P13" i="5"/>
  <c r="P15" i="5"/>
  <c r="P8" i="6"/>
  <c r="P13" i="6"/>
  <c r="Q16" i="6"/>
  <c r="Q18" i="6"/>
  <c r="P19" i="6"/>
  <c r="P20" i="6"/>
  <c r="P21" i="6"/>
  <c r="Q14" i="6"/>
  <c r="P29" i="6"/>
  <c r="Q17" i="6"/>
  <c r="Q15" i="6"/>
  <c r="P17" i="7"/>
  <c r="P18" i="7"/>
  <c r="P19" i="7"/>
  <c r="P42" i="7"/>
  <c r="P43" i="7"/>
  <c r="P44" i="7"/>
  <c r="P30" i="6"/>
  <c r="P22" i="4"/>
  <c r="P23" i="6"/>
  <c r="P24" i="6"/>
  <c r="P25" i="6"/>
  <c r="P27" i="6"/>
  <c r="P26" i="4"/>
  <c r="P28" i="6"/>
  <c r="P8" i="4"/>
  <c r="P7" i="4"/>
  <c r="P23" i="4"/>
  <c r="P10" i="4"/>
  <c r="Q6" i="4"/>
  <c r="Q9" i="4"/>
  <c r="Q13" i="5"/>
  <c r="Q15" i="5"/>
  <c r="Q8" i="6"/>
  <c r="Q13" i="6"/>
  <c r="Q19" i="6"/>
  <c r="Q20" i="6"/>
  <c r="Q21" i="6"/>
  <c r="R14" i="6"/>
  <c r="Q29" i="6"/>
  <c r="R16" i="6"/>
  <c r="R17" i="6"/>
  <c r="R15" i="6"/>
  <c r="R18" i="6"/>
  <c r="Q42" i="7"/>
  <c r="Q43" i="7"/>
  <c r="Q44" i="7"/>
  <c r="Q17" i="7"/>
  <c r="Q18" i="7"/>
  <c r="Q19" i="7"/>
  <c r="Q22" i="4"/>
  <c r="Q30" i="6"/>
  <c r="Q23" i="6"/>
  <c r="Q24" i="6"/>
  <c r="Q25" i="6"/>
  <c r="Q27" i="6"/>
  <c r="Q26" i="4"/>
  <c r="Q28" i="6"/>
  <c r="Q8" i="4"/>
  <c r="Q7" i="4"/>
  <c r="Q23" i="4"/>
  <c r="Q10" i="4"/>
  <c r="R6" i="4"/>
  <c r="R9" i="4"/>
  <c r="R13" i="5"/>
  <c r="R15" i="5"/>
  <c r="R8" i="6"/>
  <c r="R13" i="6"/>
  <c r="R29" i="6"/>
  <c r="S17" i="6"/>
  <c r="S15" i="6"/>
  <c r="R19" i="6"/>
  <c r="R20" i="6"/>
  <c r="R21" i="6"/>
  <c r="R23" i="6"/>
  <c r="S18" i="6"/>
  <c r="S14" i="6"/>
  <c r="S16" i="6"/>
  <c r="R24" i="6"/>
  <c r="R25" i="6"/>
  <c r="R27" i="6"/>
  <c r="R17" i="7"/>
  <c r="R18" i="7"/>
  <c r="R19" i="7"/>
  <c r="R42" i="7"/>
  <c r="R43" i="7"/>
  <c r="R44" i="7"/>
  <c r="R30" i="6"/>
  <c r="R22" i="4"/>
  <c r="R26" i="4"/>
  <c r="R28" i="6"/>
  <c r="R8" i="4"/>
  <c r="R7" i="4"/>
  <c r="R23" i="4"/>
  <c r="R10" i="4"/>
  <c r="S6" i="4"/>
  <c r="S9" i="4"/>
  <c r="S13" i="5"/>
  <c r="C9" i="4"/>
  <c r="S15" i="5"/>
  <c r="C13" i="5"/>
  <c r="S8" i="6"/>
  <c r="C15" i="5"/>
  <c r="S13" i="6"/>
  <c r="C8" i="6"/>
  <c r="S19" i="6"/>
  <c r="C19" i="6"/>
  <c r="S29" i="6"/>
  <c r="C13" i="6"/>
  <c r="S30" i="6"/>
  <c r="S22" i="4"/>
  <c r="C29" i="6"/>
  <c r="S20" i="6"/>
  <c r="S21" i="6"/>
  <c r="C20" i="6"/>
  <c r="C30" i="6"/>
  <c r="S17" i="7"/>
  <c r="S42" i="7"/>
  <c r="C21" i="6"/>
  <c r="S23" i="6"/>
  <c r="S24" i="6"/>
  <c r="C24" i="6"/>
  <c r="C23" i="6"/>
  <c r="S43" i="7"/>
  <c r="C42" i="7"/>
  <c r="S18" i="7"/>
  <c r="C17" i="7"/>
  <c r="E21" i="7"/>
  <c r="E24" i="7"/>
  <c r="C18" i="7"/>
  <c r="S19" i="7"/>
  <c r="C43" i="7"/>
  <c r="E46" i="7"/>
  <c r="S44" i="7"/>
  <c r="S25" i="6"/>
  <c r="S27" i="6"/>
  <c r="C25" i="6"/>
  <c r="D4" i="8"/>
  <c r="D3" i="8"/>
  <c r="D5" i="8"/>
  <c r="C27" i="6"/>
  <c r="S28" i="6"/>
  <c r="S8" i="4"/>
  <c r="S7" i="4"/>
  <c r="C8" i="4"/>
  <c r="S10" i="4"/>
  <c r="C7" i="4"/>
  <c r="S23" i="4"/>
</calcChain>
</file>

<file path=xl/sharedStrings.xml><?xml version="1.0" encoding="utf-8"?>
<sst xmlns="http://schemas.openxmlformats.org/spreadsheetml/2006/main" count="234" uniqueCount="167">
  <si>
    <t>11</t>
  </si>
  <si>
    <t>IRR</t>
    <phoneticPr fontId="3" type="noConversion"/>
  </si>
  <si>
    <t>Total static investment</t>
    <phoneticPr fontId="3" type="noConversion"/>
  </si>
  <si>
    <t>interest</t>
    <phoneticPr fontId="3" type="noConversion"/>
  </si>
  <si>
    <t>Current capital</t>
  </si>
  <si>
    <t>Current capital</t>
    <phoneticPr fontId="3" type="noConversion"/>
  </si>
  <si>
    <t>Equipment fee</t>
    <phoneticPr fontId="3" type="noConversion"/>
  </si>
  <si>
    <t>Value of fixed assets</t>
    <phoneticPr fontId="3" type="noConversion"/>
  </si>
  <si>
    <t>Ending residual rate</t>
    <phoneticPr fontId="3" type="noConversion"/>
  </si>
  <si>
    <t>welfare</t>
    <phoneticPr fontId="3" type="noConversion"/>
  </si>
  <si>
    <t>Salary</t>
    <phoneticPr fontId="3" type="noConversion"/>
  </si>
  <si>
    <t>Labor insurance fees</t>
    <phoneticPr fontId="3" type="noConversion"/>
  </si>
  <si>
    <t>other cost</t>
    <phoneticPr fontId="3" type="noConversion"/>
  </si>
  <si>
    <t>VAT</t>
    <phoneticPr fontId="3" type="noConversion"/>
  </si>
  <si>
    <t>income tax</t>
    <phoneticPr fontId="3" type="noConversion"/>
  </si>
  <si>
    <t>year</t>
    <phoneticPr fontId="3" type="noConversion"/>
  </si>
  <si>
    <t>per year</t>
    <phoneticPr fontId="3" type="noConversion"/>
  </si>
  <si>
    <t>number</t>
    <phoneticPr fontId="3" type="noConversion"/>
  </si>
  <si>
    <t>annayal salary</t>
    <phoneticPr fontId="3" type="noConversion"/>
  </si>
  <si>
    <t>Total Cost Estimation Table</t>
    <phoneticPr fontId="3" type="noConversion"/>
  </si>
  <si>
    <t>No.</t>
    <phoneticPr fontId="3" type="noConversion"/>
  </si>
  <si>
    <t>Item</t>
    <phoneticPr fontId="3" type="noConversion"/>
  </si>
  <si>
    <t>total</t>
    <phoneticPr fontId="3" type="noConversion"/>
  </si>
  <si>
    <t>calculation period</t>
    <phoneticPr fontId="3" type="noConversion"/>
  </si>
  <si>
    <t>Maintaintence expense</t>
    <phoneticPr fontId="3" type="noConversion"/>
  </si>
  <si>
    <t>Labor insurance expense</t>
    <phoneticPr fontId="3" type="noConversion"/>
  </si>
  <si>
    <t>housing fund expense</t>
    <phoneticPr fontId="3" type="noConversion"/>
  </si>
  <si>
    <t>insurance expense</t>
    <phoneticPr fontId="3" type="noConversion"/>
  </si>
  <si>
    <t>Amortization Expense</t>
    <phoneticPr fontId="3" type="noConversion"/>
  </si>
  <si>
    <t>interest expense</t>
    <phoneticPr fontId="3" type="noConversion"/>
  </si>
  <si>
    <t>O&amp;M cost</t>
  </si>
  <si>
    <t>O&amp;M cost</t>
    <phoneticPr fontId="3" type="noConversion"/>
  </si>
  <si>
    <t>total cost</t>
    <phoneticPr fontId="3" type="noConversion"/>
  </si>
  <si>
    <t>Cost and Income Table</t>
    <phoneticPr fontId="3" type="noConversion"/>
  </si>
  <si>
    <t>No</t>
  </si>
  <si>
    <t>No</t>
    <phoneticPr fontId="3" type="noConversion"/>
  </si>
  <si>
    <t>item</t>
  </si>
  <si>
    <t>item</t>
    <phoneticPr fontId="3" type="noConversion"/>
  </si>
  <si>
    <t>Threshold to reach the benchamrk</t>
    <phoneticPr fontId="3" type="noConversion"/>
  </si>
  <si>
    <t>Total</t>
  </si>
  <si>
    <t>Total</t>
    <phoneticPr fontId="3" type="noConversion"/>
  </si>
  <si>
    <t>Cash inflow</t>
  </si>
  <si>
    <t>Cash inflow</t>
    <phoneticPr fontId="3" type="noConversion"/>
  </si>
  <si>
    <t>Subsidy income</t>
  </si>
  <si>
    <t>Subsidy income</t>
    <phoneticPr fontId="3" type="noConversion"/>
  </si>
  <si>
    <t>Fixed assets residue value</t>
  </si>
  <si>
    <t>Fixed assets residue value</t>
    <phoneticPr fontId="3" type="noConversion"/>
  </si>
  <si>
    <t>Recovered current capital</t>
  </si>
  <si>
    <t>Recovered current capital</t>
    <phoneticPr fontId="3" type="noConversion"/>
  </si>
  <si>
    <t>Cash outflow</t>
  </si>
  <si>
    <t>Cash outflow</t>
    <phoneticPr fontId="3" type="noConversion"/>
  </si>
  <si>
    <t>Construction investment</t>
  </si>
  <si>
    <t>Construction investment</t>
    <phoneticPr fontId="3" type="noConversion"/>
  </si>
  <si>
    <t>Sales tax and associate charge</t>
    <phoneticPr fontId="3" type="noConversion"/>
  </si>
  <si>
    <t>Accumulated net cash flow</t>
  </si>
  <si>
    <t>Accumulated net cash flow</t>
    <phoneticPr fontId="3" type="noConversion"/>
  </si>
  <si>
    <t>Adjustment of income tax</t>
  </si>
  <si>
    <t>Adjustment of income tax</t>
    <phoneticPr fontId="3" type="noConversion"/>
  </si>
  <si>
    <t>Accumulated net cash flow( before-tax)</t>
  </si>
  <si>
    <t>Accumulated net cash flow( before-tax)</t>
    <phoneticPr fontId="3" type="noConversion"/>
  </si>
  <si>
    <t>Calculaiton period</t>
    <phoneticPr fontId="3" type="noConversion"/>
  </si>
  <si>
    <t>Payback period</t>
    <phoneticPr fontId="3" type="noConversion"/>
  </si>
  <si>
    <t xml:space="preserve">  70% of loan</t>
    <phoneticPr fontId="3" type="noConversion"/>
  </si>
  <si>
    <t>Balance of equipment VAT deduction at the end of the year</t>
    <phoneticPr fontId="3" type="noConversion"/>
  </si>
  <si>
    <t>Extract for statutory surplus reserve</t>
    <phoneticPr fontId="3" type="noConversion"/>
  </si>
  <si>
    <t>profit payable</t>
    <phoneticPr fontId="3" type="noConversion"/>
  </si>
  <si>
    <t>Accumulated undistributed profits</t>
    <phoneticPr fontId="3" type="noConversion"/>
  </si>
  <si>
    <t>Earnings before interest, taxes, depreciation and amortization</t>
    <phoneticPr fontId="3" type="noConversion"/>
  </si>
  <si>
    <t>Profits available for distribution to investors</t>
    <phoneticPr fontId="3" type="noConversion"/>
  </si>
  <si>
    <t>Losses 5 years ago</t>
    <phoneticPr fontId="3" type="noConversion"/>
  </si>
  <si>
    <t>Losses 4 years ago</t>
    <phoneticPr fontId="3" type="noConversion"/>
  </si>
  <si>
    <t>Losses 3 years ago</t>
    <phoneticPr fontId="3" type="noConversion"/>
  </si>
  <si>
    <t>Losses 2 years ago</t>
    <phoneticPr fontId="3" type="noConversion"/>
  </si>
  <si>
    <t>Losses 1 years ago</t>
    <phoneticPr fontId="3" type="noConversion"/>
  </si>
  <si>
    <t>Loan repayment table</t>
    <phoneticPr fontId="3" type="noConversion"/>
  </si>
  <si>
    <t xml:space="preserve">item   
          </t>
    <phoneticPr fontId="3" type="noConversion"/>
  </si>
  <si>
    <t>long-term loan</t>
    <phoneticPr fontId="3" type="noConversion"/>
  </si>
  <si>
    <t>Current repayment of principal and interest</t>
    <phoneticPr fontId="3" type="noConversion"/>
  </si>
  <si>
    <t>Ending Loan Balance</t>
    <phoneticPr fontId="3" type="noConversion"/>
  </si>
  <si>
    <t>loan of Current capital</t>
    <phoneticPr fontId="3" type="noConversion"/>
  </si>
  <si>
    <t>cumulative loan of Current capital</t>
    <phoneticPr fontId="3" type="noConversion"/>
  </si>
  <si>
    <t>interest of Current capital</t>
    <phoneticPr fontId="3" type="noConversion"/>
  </si>
  <si>
    <t>Repayment  loan principal of current capital</t>
    <phoneticPr fontId="3" type="noConversion"/>
  </si>
  <si>
    <t>short-term loan</t>
    <phoneticPr fontId="3" type="noConversion"/>
  </si>
  <si>
    <t>Repayment  loan principal of short-term loan</t>
    <phoneticPr fontId="3" type="noConversion"/>
  </si>
  <si>
    <t>interest of short-term loan</t>
    <phoneticPr fontId="3" type="noConversion"/>
  </si>
  <si>
    <t>GS VER Price</t>
    <phoneticPr fontId="3" type="noConversion"/>
  </si>
  <si>
    <t>Cash Flow with VER revenes</t>
    <phoneticPr fontId="3" type="noConversion"/>
  </si>
  <si>
    <t>Revenues from sale of VERs</t>
    <phoneticPr fontId="3" type="noConversion"/>
  </si>
  <si>
    <t>Cash Flow without VER revenes</t>
    <phoneticPr fontId="3" type="noConversion"/>
  </si>
  <si>
    <t>of which:  Equity fund</t>
    <phoneticPr fontId="3" type="noConversion"/>
  </si>
  <si>
    <t>price of organic fertilizers</t>
    <phoneticPr fontId="3" type="noConversion"/>
  </si>
  <si>
    <t>RMB/t</t>
    <phoneticPr fontId="3" type="noConversion"/>
  </si>
  <si>
    <t>Revenues form organic fertilizers sales</t>
    <phoneticPr fontId="3" type="noConversion"/>
  </si>
  <si>
    <t>Total investment</t>
    <phoneticPr fontId="3" type="noConversion"/>
  </si>
  <si>
    <t xml:space="preserve">                 Loan</t>
    <phoneticPr fontId="3" type="noConversion"/>
  </si>
  <si>
    <t>RMB/year. person</t>
    <phoneticPr fontId="3" type="noConversion"/>
  </si>
  <si>
    <t>O&amp;M Basic parameters</t>
    <phoneticPr fontId="3" type="noConversion"/>
  </si>
  <si>
    <t>Income Basic parameters</t>
    <phoneticPr fontId="3" type="noConversion"/>
  </si>
  <si>
    <t>Total investment Basic parameters</t>
    <phoneticPr fontId="3" type="noConversion"/>
  </si>
  <si>
    <t>Emission reductions</t>
    <phoneticPr fontId="3" type="noConversion"/>
  </si>
  <si>
    <t>Urban construction tax</t>
    <phoneticPr fontId="3" type="noConversion"/>
  </si>
  <si>
    <t>Education surcharge</t>
    <phoneticPr fontId="3" type="noConversion"/>
  </si>
  <si>
    <t>Income tax</t>
    <phoneticPr fontId="3" type="noConversion"/>
  </si>
  <si>
    <t>Statutory surplus reserve</t>
    <phoneticPr fontId="3" type="noConversion"/>
  </si>
  <si>
    <t>Sensitivity analysis</t>
    <phoneticPr fontId="3" type="noConversion"/>
  </si>
  <si>
    <t>Maintenance rate</t>
    <phoneticPr fontId="3" type="noConversion"/>
  </si>
  <si>
    <t>Persons employed</t>
    <phoneticPr fontId="3" type="noConversion"/>
  </si>
  <si>
    <t>Average salary</t>
    <phoneticPr fontId="3" type="noConversion"/>
  </si>
  <si>
    <t>Welfare</t>
    <phoneticPr fontId="3" type="noConversion"/>
  </si>
  <si>
    <t>Depreciation rate</t>
    <phoneticPr fontId="3" type="noConversion"/>
  </si>
  <si>
    <t>Period of depreciation</t>
    <phoneticPr fontId="3" type="noConversion"/>
  </si>
  <si>
    <t>Other cost</t>
    <phoneticPr fontId="3" type="noConversion"/>
  </si>
  <si>
    <t>Insurance rate</t>
    <phoneticPr fontId="3" type="noConversion"/>
  </si>
  <si>
    <t>Housing fund</t>
    <phoneticPr fontId="3" type="noConversion"/>
  </si>
  <si>
    <t>Total static investment</t>
  </si>
  <si>
    <r>
      <t>unit:10</t>
    </r>
    <r>
      <rPr>
        <vertAlign val="superscript"/>
        <sz val="10"/>
        <color indexed="8"/>
        <rFont val="Verdana"/>
        <family val="2"/>
      </rPr>
      <t>4</t>
    </r>
    <r>
      <rPr>
        <sz val="10"/>
        <color indexed="8"/>
        <rFont val="Verdana"/>
        <family val="2"/>
      </rPr>
      <t xml:space="preserve"> RMB</t>
    </r>
    <phoneticPr fontId="3" type="noConversion"/>
  </si>
  <si>
    <r>
      <t>Net cash flow( before-tax)</t>
    </r>
    <r>
      <rPr>
        <sz val="10"/>
        <color indexed="8"/>
        <rFont val="Arial"/>
        <family val="2"/>
      </rPr>
      <t>（</t>
    </r>
    <r>
      <rPr>
        <sz val="10"/>
        <color indexed="8"/>
        <rFont val="Verdana"/>
        <family val="2"/>
      </rPr>
      <t>1</t>
    </r>
    <r>
      <rPr>
        <sz val="10"/>
        <color indexed="8"/>
        <rFont val="Arial"/>
        <family val="2"/>
      </rPr>
      <t>－</t>
    </r>
    <r>
      <rPr>
        <sz val="10"/>
        <color indexed="8"/>
        <rFont val="Verdana"/>
        <family val="2"/>
      </rPr>
      <t>2</t>
    </r>
    <r>
      <rPr>
        <sz val="10"/>
        <color indexed="8"/>
        <rFont val="Arial"/>
        <family val="2"/>
      </rPr>
      <t>）</t>
    </r>
  </si>
  <si>
    <r>
      <t>Net cash flow( after-tax)</t>
    </r>
    <r>
      <rPr>
        <sz val="10"/>
        <color indexed="8"/>
        <rFont val="Arial"/>
        <family val="2"/>
      </rPr>
      <t>（</t>
    </r>
    <r>
      <rPr>
        <sz val="10"/>
        <color indexed="8"/>
        <rFont val="Verdana"/>
        <family val="2"/>
      </rPr>
      <t>3</t>
    </r>
    <r>
      <rPr>
        <sz val="10"/>
        <color indexed="8"/>
        <rFont val="Arial"/>
        <family val="2"/>
      </rPr>
      <t>－</t>
    </r>
    <r>
      <rPr>
        <sz val="10"/>
        <color indexed="8"/>
        <rFont val="Verdana"/>
        <family val="2"/>
      </rPr>
      <t>5</t>
    </r>
    <r>
      <rPr>
        <sz val="10"/>
        <color indexed="8"/>
        <rFont val="Arial"/>
        <family val="2"/>
      </rPr>
      <t>）</t>
    </r>
  </si>
  <si>
    <r>
      <t>unit:10</t>
    </r>
    <r>
      <rPr>
        <vertAlign val="superscript"/>
        <sz val="9"/>
        <color indexed="8"/>
        <rFont val="Verdana"/>
        <family val="2"/>
      </rPr>
      <t>4</t>
    </r>
    <r>
      <rPr>
        <sz val="9"/>
        <color indexed="8"/>
        <rFont val="Verdana"/>
        <family val="2"/>
      </rPr>
      <t xml:space="preserve"> RMB</t>
    </r>
    <phoneticPr fontId="3" type="noConversion"/>
  </si>
  <si>
    <r>
      <t>Subsidy income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tax exemption</t>
    </r>
    <r>
      <rPr>
        <sz val="9"/>
        <color indexed="8"/>
        <rFont val="宋体"/>
        <family val="3"/>
        <charset val="134"/>
      </rPr>
      <t>）</t>
    </r>
    <phoneticPr fontId="3" type="noConversion"/>
  </si>
  <si>
    <r>
      <t>net profit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5</t>
    </r>
    <r>
      <rPr>
        <sz val="9"/>
        <color indexed="8"/>
        <rFont val="宋体"/>
        <family val="3"/>
        <charset val="134"/>
      </rPr>
      <t>－</t>
    </r>
    <r>
      <rPr>
        <sz val="9"/>
        <color indexed="8"/>
        <rFont val="Verdana"/>
        <family val="2"/>
      </rPr>
      <t>8</t>
    </r>
    <r>
      <rPr>
        <sz val="9"/>
        <color indexed="8"/>
        <rFont val="宋体"/>
        <family val="3"/>
        <charset val="134"/>
      </rPr>
      <t>）</t>
    </r>
    <phoneticPr fontId="3" type="noConversion"/>
  </si>
  <si>
    <r>
      <t>profit before interest and tax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total profit</t>
    </r>
    <r>
      <rPr>
        <sz val="9"/>
        <color indexed="8"/>
        <rFont val="宋体"/>
        <family val="3"/>
        <charset val="134"/>
      </rPr>
      <t>＋</t>
    </r>
    <r>
      <rPr>
        <sz val="9"/>
        <color indexed="8"/>
        <rFont val="Verdana"/>
        <family val="2"/>
      </rPr>
      <t>interest expense</t>
    </r>
    <r>
      <rPr>
        <sz val="9"/>
        <color indexed="8"/>
        <rFont val="宋体"/>
        <family val="3"/>
        <charset val="134"/>
      </rPr>
      <t>）</t>
    </r>
    <phoneticPr fontId="3" type="noConversion"/>
  </si>
  <si>
    <t>Equipment VAT deduction</t>
    <phoneticPr fontId="3" type="noConversion"/>
  </si>
  <si>
    <r>
      <t>Taxable Income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5</t>
    </r>
    <r>
      <rPr>
        <sz val="9"/>
        <color indexed="8"/>
        <rFont val="宋体"/>
        <family val="3"/>
        <charset val="134"/>
      </rPr>
      <t>－</t>
    </r>
    <r>
      <rPr>
        <sz val="9"/>
        <color indexed="8"/>
        <rFont val="Verdana"/>
        <family val="2"/>
      </rPr>
      <t>6</t>
    </r>
    <r>
      <rPr>
        <sz val="9"/>
        <color indexed="8"/>
        <rFont val="宋体"/>
        <family val="3"/>
        <charset val="134"/>
      </rPr>
      <t>）</t>
    </r>
    <phoneticPr fontId="3" type="noConversion"/>
  </si>
  <si>
    <t>Undistributed profit</t>
    <phoneticPr fontId="3" type="noConversion"/>
  </si>
  <si>
    <r>
      <t>unit:10</t>
    </r>
    <r>
      <rPr>
        <vertAlign val="superscript"/>
        <sz val="9"/>
        <color indexed="8"/>
        <rFont val="Verdana"/>
        <family val="2"/>
      </rPr>
      <t>4</t>
    </r>
    <r>
      <rPr>
        <sz val="9"/>
        <color indexed="8"/>
        <rFont val="Verdana"/>
        <family val="2"/>
      </rPr>
      <t>RMB</t>
    </r>
    <phoneticPr fontId="3" type="noConversion"/>
  </si>
  <si>
    <t>depreciation expense</t>
    <phoneticPr fontId="3" type="noConversion"/>
  </si>
  <si>
    <r>
      <t>ICR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%</t>
    </r>
    <r>
      <rPr>
        <sz val="9"/>
        <color indexed="8"/>
        <rFont val="宋体"/>
        <family val="3"/>
        <charset val="134"/>
      </rPr>
      <t>）</t>
    </r>
    <phoneticPr fontId="3" type="noConversion"/>
  </si>
  <si>
    <r>
      <t>DSCR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%</t>
    </r>
    <r>
      <rPr>
        <sz val="9"/>
        <color indexed="8"/>
        <rFont val="宋体"/>
        <family val="3"/>
        <charset val="134"/>
      </rPr>
      <t>）</t>
    </r>
    <phoneticPr fontId="3" type="noConversion"/>
  </si>
  <si>
    <t>Loan balance at beginning of year</t>
    <phoneticPr fontId="3" type="noConversion"/>
  </si>
  <si>
    <t>repay principal for the year</t>
    <phoneticPr fontId="3" type="noConversion"/>
  </si>
  <si>
    <t>repay interest for the year</t>
    <phoneticPr fontId="3" type="noConversion"/>
  </si>
  <si>
    <r>
      <t>10</t>
    </r>
    <r>
      <rPr>
        <vertAlign val="superscript"/>
        <sz val="9"/>
        <color indexed="8"/>
        <rFont val="Verdana"/>
        <family val="2"/>
      </rPr>
      <t>4</t>
    </r>
    <r>
      <rPr>
        <sz val="9"/>
        <color indexed="8"/>
        <rFont val="Verdana"/>
        <family val="2"/>
      </rPr>
      <t>RMB</t>
    </r>
    <phoneticPr fontId="3" type="noConversion"/>
  </si>
  <si>
    <r>
      <t xml:space="preserve">  of which</t>
    </r>
    <r>
      <rPr>
        <sz val="9"/>
        <color indexed="8"/>
        <rFont val="宋体"/>
        <family val="3"/>
        <charset val="134"/>
      </rPr>
      <t>：</t>
    </r>
    <r>
      <rPr>
        <sz val="9"/>
        <color indexed="8"/>
        <rFont val="Verdana"/>
        <family val="2"/>
      </rPr>
      <t xml:space="preserve">30% of equity fund </t>
    </r>
    <phoneticPr fontId="3" type="noConversion"/>
  </si>
  <si>
    <r>
      <t>loan interest rate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long-term</t>
    </r>
    <r>
      <rPr>
        <sz val="9"/>
        <color indexed="8"/>
        <rFont val="宋体"/>
        <family val="3"/>
        <charset val="134"/>
      </rPr>
      <t>）</t>
    </r>
    <phoneticPr fontId="3" type="noConversion"/>
  </si>
  <si>
    <r>
      <t>loan interest rate</t>
    </r>
    <r>
      <rPr>
        <sz val="9"/>
        <color indexed="8"/>
        <rFont val="Microsoft YaHei UI"/>
        <family val="2"/>
        <charset val="134"/>
      </rPr>
      <t>（</t>
    </r>
    <r>
      <rPr>
        <sz val="9"/>
        <color indexed="8"/>
        <rFont val="Verdana"/>
        <family val="2"/>
      </rPr>
      <t>short-term</t>
    </r>
    <r>
      <rPr>
        <sz val="9"/>
        <color indexed="8"/>
        <rFont val="Microsoft YaHei UI"/>
        <family val="2"/>
        <charset val="134"/>
      </rPr>
      <t>）</t>
    </r>
    <phoneticPr fontId="3" type="noConversion"/>
  </si>
  <si>
    <r>
      <t>Net cash flow( before-tax)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1</t>
    </r>
    <r>
      <rPr>
        <sz val="9"/>
        <color indexed="8"/>
        <rFont val="宋体"/>
        <family val="3"/>
        <charset val="134"/>
      </rPr>
      <t>－</t>
    </r>
    <r>
      <rPr>
        <sz val="9"/>
        <color indexed="8"/>
        <rFont val="Verdana"/>
        <family val="2"/>
      </rPr>
      <t>2</t>
    </r>
    <r>
      <rPr>
        <sz val="9"/>
        <color indexed="8"/>
        <rFont val="宋体"/>
        <family val="3"/>
        <charset val="134"/>
      </rPr>
      <t>）</t>
    </r>
    <phoneticPr fontId="3" type="noConversion"/>
  </si>
  <si>
    <r>
      <t>Net cash flow( after-tax)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3</t>
    </r>
    <r>
      <rPr>
        <sz val="9"/>
        <color indexed="8"/>
        <rFont val="宋体"/>
        <family val="3"/>
        <charset val="134"/>
      </rPr>
      <t>－</t>
    </r>
    <r>
      <rPr>
        <sz val="9"/>
        <color indexed="8"/>
        <rFont val="Verdana"/>
        <family val="2"/>
      </rPr>
      <t>5</t>
    </r>
    <r>
      <rPr>
        <sz val="9"/>
        <color indexed="8"/>
        <rFont val="宋体"/>
        <family val="3"/>
        <charset val="134"/>
      </rPr>
      <t>）</t>
    </r>
    <phoneticPr fontId="3" type="noConversion"/>
  </si>
  <si>
    <r>
      <t>RMB/tCO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>e</t>
    </r>
    <phoneticPr fontId="3" type="noConversion"/>
  </si>
  <si>
    <r>
      <t>tCO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>e/year</t>
    </r>
    <phoneticPr fontId="3" type="noConversion"/>
  </si>
  <si>
    <r>
      <t>Total profit</t>
    </r>
    <r>
      <rPr>
        <sz val="9"/>
        <color indexed="8"/>
        <rFont val="宋体"/>
        <family val="3"/>
        <charset val="134"/>
      </rPr>
      <t>（</t>
    </r>
    <r>
      <rPr>
        <sz val="9"/>
        <color indexed="8"/>
        <rFont val="Verdana"/>
        <family val="2"/>
      </rPr>
      <t>1-2-3+4</t>
    </r>
    <r>
      <rPr>
        <sz val="9"/>
        <color indexed="8"/>
        <rFont val="宋体"/>
        <family val="3"/>
        <charset val="134"/>
      </rPr>
      <t>）</t>
    </r>
    <phoneticPr fontId="3" type="noConversion"/>
  </si>
  <si>
    <t>Less Prior year deficiency</t>
    <phoneticPr fontId="3" type="noConversion"/>
  </si>
  <si>
    <t>t/y</t>
    <phoneticPr fontId="3" type="noConversion"/>
  </si>
  <si>
    <t>(after-tax)</t>
    <phoneticPr fontId="3" type="noConversion"/>
  </si>
  <si>
    <t>year (before-tax)</t>
    <phoneticPr fontId="3" type="noConversion"/>
  </si>
  <si>
    <t>year (after-tax)</t>
    <phoneticPr fontId="3" type="noConversion"/>
  </si>
  <si>
    <t xml:space="preserve">         Variation                          Item</t>
    <phoneticPr fontId="3" type="noConversion"/>
  </si>
  <si>
    <t>Benchmark</t>
    <phoneticPr fontId="3" type="noConversion"/>
  </si>
  <si>
    <t>Cash Flow of uncovered anaerobic lagoon</t>
    <phoneticPr fontId="3" type="noConversion"/>
  </si>
  <si>
    <r>
      <t>unit:10</t>
    </r>
    <r>
      <rPr>
        <vertAlign val="superscript"/>
        <sz val="10"/>
        <color indexed="8"/>
        <rFont val="Franklin Gothic Book"/>
        <family val="2"/>
      </rPr>
      <t>4</t>
    </r>
    <r>
      <rPr>
        <sz val="10"/>
        <color indexed="8"/>
        <rFont val="Franklin Gothic Book"/>
        <family val="2"/>
      </rPr>
      <t xml:space="preserve"> RMB</t>
    </r>
    <phoneticPr fontId="3" type="noConversion"/>
  </si>
  <si>
    <r>
      <t>Net cash flow( before-tax)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Franklin Gothic Book"/>
        <family val="2"/>
      </rPr>
      <t>1</t>
    </r>
    <r>
      <rPr>
        <sz val="10"/>
        <color indexed="8"/>
        <rFont val="宋体"/>
        <family val="3"/>
        <charset val="134"/>
      </rPr>
      <t>－</t>
    </r>
    <r>
      <rPr>
        <sz val="10"/>
        <color indexed="8"/>
        <rFont val="Franklin Gothic Book"/>
        <family val="2"/>
      </rPr>
      <t>2</t>
    </r>
    <r>
      <rPr>
        <sz val="10"/>
        <color indexed="8"/>
        <rFont val="宋体"/>
        <family val="3"/>
        <charset val="134"/>
      </rPr>
      <t>）</t>
    </r>
    <phoneticPr fontId="3" type="noConversion"/>
  </si>
  <si>
    <r>
      <t>Net cash flow( after-tax)</t>
    </r>
    <r>
      <rPr>
        <sz val="10"/>
        <color indexed="8"/>
        <rFont val="Arial"/>
        <family val="2"/>
      </rPr>
      <t>（</t>
    </r>
    <r>
      <rPr>
        <sz val="10"/>
        <color indexed="8"/>
        <rFont val="Franklin Gothic Book"/>
        <family val="2"/>
      </rPr>
      <t>3</t>
    </r>
    <r>
      <rPr>
        <sz val="10"/>
        <color indexed="8"/>
        <rFont val="Arial"/>
        <family val="2"/>
      </rPr>
      <t>－</t>
    </r>
    <r>
      <rPr>
        <sz val="10"/>
        <color indexed="8"/>
        <rFont val="Franklin Gothic Book"/>
        <family val="2"/>
      </rPr>
      <t>5</t>
    </r>
    <r>
      <rPr>
        <sz val="10"/>
        <color indexed="8"/>
        <rFont val="Arial"/>
        <family val="2"/>
      </rPr>
      <t>）</t>
    </r>
  </si>
  <si>
    <t>NPV</t>
    <phoneticPr fontId="3" type="noConversion"/>
  </si>
  <si>
    <t>annual organic fertilizers sales</t>
    <phoneticPr fontId="3" type="noConversion"/>
  </si>
  <si>
    <t>Annual organic fertilizers sales</t>
    <phoneticPr fontId="3" type="noConversion"/>
  </si>
  <si>
    <t>Title of the project activity</t>
  </si>
  <si>
    <t>GS ID of the project activity</t>
    <phoneticPr fontId="3" type="noConversion"/>
  </si>
  <si>
    <t>Version number of this calculation sheet</t>
    <phoneticPr fontId="3" type="noConversion"/>
  </si>
  <si>
    <t>Date</t>
    <phoneticPr fontId="3" type="noConversion"/>
  </si>
  <si>
    <t>Duration of crediting period</t>
    <phoneticPr fontId="3" type="noConversion"/>
  </si>
  <si>
    <t>Amount of organic fertilizers sales</t>
    <phoneticPr fontId="3" type="noConversion"/>
  </si>
  <si>
    <t>Revenues</t>
    <phoneticPr fontId="3" type="noConversion"/>
  </si>
  <si>
    <t>Shuangbaotai Animal Manure Management System GHG Mitigation Project in Anhui Province</t>
    <phoneticPr fontId="3" type="noConversion"/>
  </si>
  <si>
    <t>GS 11338</t>
    <phoneticPr fontId="3" type="noConversion"/>
  </si>
  <si>
    <t>26/12/2020 - 25/12/2025 (both days included)</t>
    <phoneticPr fontId="3" type="noConversion"/>
  </si>
  <si>
    <t>17/10/2022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</si>
</sst>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&quot;¥&quot;#,##0.00;[Red]&quot;¥&quot;\-#,##0.00"/>
    <numFmt numFmtId="43" formatCode="_ * #,##0.00_ ;_ * \-#,##0.00_ ;_ * &quot;-&quot;??_ ;_ @_ "/>
    <numFmt numFmtId="176" formatCode="0.00_ "/>
    <numFmt numFmtId="184" formatCode="#,##0.00_ "/>
    <numFmt numFmtId="185" formatCode="#,##0.000_ "/>
    <numFmt numFmtId="186" formatCode="0.00_);[Red]\(0.00\)"/>
    <numFmt numFmtId="187" formatCode="0.0_);[Red]\(0.0\)"/>
    <numFmt numFmtId="189" formatCode="0.0%"/>
    <numFmt numFmtId="195" formatCode="#,##0.0000000_ "/>
    <numFmt numFmtId="198" formatCode="_ * #,##0_ ;_ * \-#,##0_ ;_ * &quot;-&quot;??_ ;_ @_ "/>
    <numFmt numFmtId="200" formatCode="0.00000000"/>
  </numFmts>
  <fonts count="42" x14ac:knownFonts="1">
    <font>
      <sz val="12"/>
      <name val="宋体"/>
      <charset val="134"/>
    </font>
    <font>
      <sz val="12"/>
      <name val="宋体"/>
      <family val="3"/>
      <charset val="134"/>
    </font>
    <font>
      <sz val="8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Verdana"/>
      <family val="2"/>
    </font>
    <font>
      <vertAlign val="superscript"/>
      <sz val="10"/>
      <color indexed="8"/>
      <name val="Verdana"/>
      <family val="2"/>
    </font>
    <font>
      <b/>
      <sz val="10"/>
      <color indexed="8"/>
      <name val="Verdana"/>
      <family val="2"/>
    </font>
    <font>
      <sz val="9"/>
      <color indexed="8"/>
      <name val="Verdana"/>
      <family val="2"/>
    </font>
    <font>
      <vertAlign val="superscript"/>
      <sz val="9"/>
      <color indexed="8"/>
      <name val="Verdana"/>
      <family val="2"/>
    </font>
    <font>
      <sz val="9"/>
      <color indexed="8"/>
      <name val="Verdana"/>
      <family val="2"/>
    </font>
    <font>
      <sz val="9"/>
      <color indexed="8"/>
      <name val="宋体"/>
      <family val="3"/>
      <charset val="134"/>
    </font>
    <font>
      <sz val="9"/>
      <name val="Verdana"/>
      <family val="2"/>
    </font>
    <font>
      <sz val="9"/>
      <color indexed="10"/>
      <name val="Verdana"/>
      <family val="2"/>
    </font>
    <font>
      <b/>
      <sz val="9"/>
      <color indexed="8"/>
      <name val="Verdana"/>
      <family val="2"/>
    </font>
    <font>
      <b/>
      <sz val="9"/>
      <name val="Verdana"/>
      <family val="2"/>
    </font>
    <font>
      <sz val="9"/>
      <color indexed="8"/>
      <name val="Microsoft YaHei UI"/>
      <family val="2"/>
      <charset val="134"/>
    </font>
    <font>
      <vertAlign val="subscript"/>
      <sz val="9"/>
      <color indexed="8"/>
      <name val="Verdana"/>
      <family val="2"/>
    </font>
    <font>
      <sz val="10"/>
      <color indexed="8"/>
      <name val="Franklin Gothic Book"/>
      <family val="2"/>
    </font>
    <font>
      <vertAlign val="superscript"/>
      <sz val="10"/>
      <color indexed="8"/>
      <name val="Franklin Gothic Book"/>
      <family val="2"/>
    </font>
    <font>
      <sz val="10"/>
      <color indexed="8"/>
      <name val="宋体"/>
      <family val="3"/>
      <charset val="134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Franklin Gothic Book"/>
      <family val="2"/>
    </font>
    <font>
      <sz val="10"/>
      <color rgb="FF000000"/>
      <name val="Franklin Gothic Book"/>
      <family val="2"/>
    </font>
    <font>
      <sz val="10"/>
      <color rgb="FF000000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" fillId="0" borderId="0"/>
    <xf numFmtId="0" fontId="11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5" fillId="8" borderId="9" applyNumberFormat="0" applyFont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8" applyFont="1" applyAlignment="1">
      <alignment horizontal="left"/>
    </xf>
    <xf numFmtId="0" fontId="2" fillId="0" borderId="0" xfId="8" applyFont="1" applyAlignment="1">
      <alignment horizontal="center"/>
    </xf>
    <xf numFmtId="0" fontId="2" fillId="0" borderId="0" xfId="8" applyFont="1"/>
    <xf numFmtId="0" fontId="2" fillId="0" borderId="0" xfId="8" applyFont="1" applyAlignment="1">
      <alignment horizontal="left"/>
    </xf>
    <xf numFmtId="4" fontId="2" fillId="0" borderId="0" xfId="8" applyNumberFormat="1" applyFont="1" applyAlignment="1">
      <alignment horizontal="left"/>
    </xf>
    <xf numFmtId="10" fontId="4" fillId="0" borderId="0" xfId="8" applyNumberFormat="1" applyFont="1" applyAlignment="1">
      <alignment horizontal="left"/>
    </xf>
    <xf numFmtId="0" fontId="2" fillId="0" borderId="0" xfId="8" applyFont="1" applyFill="1" applyAlignment="1">
      <alignment horizontal="left"/>
    </xf>
    <xf numFmtId="9" fontId="21" fillId="0" borderId="10" xfId="8" applyNumberFormat="1" applyFont="1" applyBorder="1" applyAlignment="1">
      <alignment horizontal="center" vertical="center" wrapText="1"/>
    </xf>
    <xf numFmtId="0" fontId="21" fillId="0" borderId="10" xfId="8" applyFont="1" applyBorder="1" applyAlignment="1">
      <alignment horizontal="center" vertical="center" wrapText="1"/>
    </xf>
    <xf numFmtId="10" fontId="21" fillId="0" borderId="10" xfId="8" applyNumberFormat="1" applyFont="1" applyFill="1" applyBorder="1" applyAlignment="1">
      <alignment horizontal="center" vertical="center" wrapText="1"/>
    </xf>
    <xf numFmtId="0" fontId="21" fillId="0" borderId="10" xfId="8" applyFont="1" applyBorder="1" applyAlignment="1">
      <alignment horizontal="center"/>
    </xf>
    <xf numFmtId="0" fontId="21" fillId="0" borderId="0" xfId="8" applyFont="1" applyAlignment="1">
      <alignment horizontal="left" vertical="center"/>
    </xf>
    <xf numFmtId="0" fontId="21" fillId="0" borderId="10" xfId="8" applyFont="1" applyBorder="1" applyAlignment="1">
      <alignment horizontal="center" vertical="center"/>
    </xf>
    <xf numFmtId="184" fontId="21" fillId="9" borderId="10" xfId="8" applyNumberFormat="1" applyFont="1" applyFill="1" applyBorder="1" applyAlignment="1">
      <alignment horizontal="left" vertical="center" wrapText="1"/>
    </xf>
    <xf numFmtId="184" fontId="21" fillId="9" borderId="10" xfId="8" applyNumberFormat="1" applyFont="1" applyFill="1" applyBorder="1" applyAlignment="1">
      <alignment horizontal="left" vertical="center"/>
    </xf>
    <xf numFmtId="184" fontId="21" fillId="0" borderId="10" xfId="8" applyNumberFormat="1" applyFont="1" applyBorder="1" applyAlignment="1">
      <alignment horizontal="left" vertical="center" wrapText="1"/>
    </xf>
    <xf numFmtId="184" fontId="21" fillId="0" borderId="10" xfId="8" applyNumberFormat="1" applyFont="1" applyBorder="1" applyAlignment="1">
      <alignment horizontal="left" vertical="center"/>
    </xf>
    <xf numFmtId="10" fontId="21" fillId="0" borderId="0" xfId="8" applyNumberFormat="1" applyFont="1" applyAlignment="1">
      <alignment horizontal="left" vertical="center"/>
    </xf>
    <xf numFmtId="176" fontId="21" fillId="9" borderId="0" xfId="8" applyNumberFormat="1" applyFont="1" applyFill="1" applyAlignment="1">
      <alignment horizontal="left" vertical="center"/>
    </xf>
    <xf numFmtId="0" fontId="23" fillId="0" borderId="0" xfId="8" applyFont="1" applyAlignment="1">
      <alignment horizontal="left" vertical="center"/>
    </xf>
    <xf numFmtId="184" fontId="21" fillId="0" borderId="0" xfId="8" applyNumberFormat="1" applyFont="1" applyAlignment="1">
      <alignment horizontal="left" vertical="center"/>
    </xf>
    <xf numFmtId="0" fontId="37" fillId="0" borderId="0" xfId="8" applyFont="1" applyAlignment="1">
      <alignment horizontal="left" vertical="center"/>
    </xf>
    <xf numFmtId="0" fontId="24" fillId="0" borderId="0" xfId="8" applyFont="1" applyAlignment="1">
      <alignment horizontal="left"/>
    </xf>
    <xf numFmtId="0" fontId="24" fillId="0" borderId="0" xfId="8" applyFont="1" applyAlignment="1">
      <alignment horizontal="left" vertical="center"/>
    </xf>
    <xf numFmtId="0" fontId="24" fillId="0" borderId="11" xfId="8" applyFont="1" applyBorder="1" applyAlignment="1">
      <alignment horizontal="center" vertical="center"/>
    </xf>
    <xf numFmtId="0" fontId="24" fillId="0" borderId="10" xfId="8" applyFont="1" applyBorder="1" applyAlignment="1">
      <alignment horizontal="left" vertical="center"/>
    </xf>
    <xf numFmtId="0" fontId="24" fillId="0" borderId="10" xfId="8" applyFont="1" applyBorder="1" applyAlignment="1">
      <alignment horizontal="center" vertical="center"/>
    </xf>
    <xf numFmtId="0" fontId="24" fillId="0" borderId="10" xfId="8" applyFont="1" applyBorder="1" applyAlignment="1">
      <alignment horizontal="center" vertical="center" wrapText="1"/>
    </xf>
    <xf numFmtId="184" fontId="24" fillId="0" borderId="10" xfId="8" applyNumberFormat="1" applyFont="1" applyBorder="1" applyAlignment="1">
      <alignment horizontal="left" vertical="center" wrapText="1"/>
    </xf>
    <xf numFmtId="0" fontId="24" fillId="0" borderId="11" xfId="8" applyFont="1" applyBorder="1" applyAlignment="1">
      <alignment horizontal="left" vertical="center"/>
    </xf>
    <xf numFmtId="0" fontId="38" fillId="0" borderId="10" xfId="8" applyFont="1" applyBorder="1" applyAlignment="1">
      <alignment horizontal="left" vertical="center"/>
    </xf>
    <xf numFmtId="4" fontId="24" fillId="9" borderId="10" xfId="8" applyNumberFormat="1" applyFont="1" applyFill="1" applyBorder="1" applyAlignment="1">
      <alignment horizontal="left" vertical="center"/>
    </xf>
    <xf numFmtId="4" fontId="24" fillId="0" borderId="10" xfId="8" applyNumberFormat="1" applyFont="1" applyBorder="1" applyAlignment="1">
      <alignment horizontal="left" vertical="center" wrapText="1"/>
    </xf>
    <xf numFmtId="0" fontId="24" fillId="0" borderId="11" xfId="8" applyFont="1" applyFill="1" applyBorder="1" applyAlignment="1">
      <alignment horizontal="left" vertical="center"/>
    </xf>
    <xf numFmtId="0" fontId="24" fillId="0" borderId="10" xfId="8" applyFont="1" applyFill="1" applyBorder="1" applyAlignment="1">
      <alignment horizontal="left" vertical="center"/>
    </xf>
    <xf numFmtId="4" fontId="24" fillId="0" borderId="10" xfId="8" applyNumberFormat="1" applyFont="1" applyFill="1" applyBorder="1" applyAlignment="1">
      <alignment horizontal="left" vertical="center"/>
    </xf>
    <xf numFmtId="4" fontId="24" fillId="0" borderId="10" xfId="8" applyNumberFormat="1" applyFont="1" applyFill="1" applyBorder="1" applyAlignment="1">
      <alignment horizontal="left" vertical="center" wrapText="1"/>
    </xf>
    <xf numFmtId="4" fontId="24" fillId="10" borderId="10" xfId="8" applyNumberFormat="1" applyFont="1" applyFill="1" applyBorder="1" applyAlignment="1">
      <alignment horizontal="left" vertical="center"/>
    </xf>
    <xf numFmtId="4" fontId="28" fillId="9" borderId="10" xfId="8" applyNumberFormat="1" applyFont="1" applyFill="1" applyBorder="1" applyAlignment="1">
      <alignment horizontal="left" vertical="center" wrapText="1"/>
    </xf>
    <xf numFmtId="4" fontId="24" fillId="9" borderId="10" xfId="8" applyNumberFormat="1" applyFont="1" applyFill="1" applyBorder="1" applyAlignment="1">
      <alignment horizontal="left" vertical="center" wrapText="1"/>
    </xf>
    <xf numFmtId="4" fontId="29" fillId="9" borderId="10" xfId="16" applyNumberFormat="1" applyFont="1" applyFill="1" applyBorder="1" applyAlignment="1">
      <alignment horizontal="left"/>
    </xf>
    <xf numFmtId="4" fontId="28" fillId="9" borderId="10" xfId="16" applyNumberFormat="1" applyFont="1" applyFill="1" applyBorder="1" applyAlignment="1">
      <alignment horizontal="left"/>
    </xf>
    <xf numFmtId="4" fontId="24" fillId="0" borderId="10" xfId="8" applyNumberFormat="1" applyFont="1" applyBorder="1" applyAlignment="1">
      <alignment horizontal="left" vertical="center"/>
    </xf>
    <xf numFmtId="0" fontId="24" fillId="0" borderId="12" xfId="8" applyFont="1" applyBorder="1" applyAlignment="1">
      <alignment horizontal="left" vertical="center"/>
    </xf>
    <xf numFmtId="0" fontId="38" fillId="0" borderId="13" xfId="8" applyFont="1" applyBorder="1" applyAlignment="1">
      <alignment horizontal="left" vertical="center"/>
    </xf>
    <xf numFmtId="4" fontId="24" fillId="9" borderId="13" xfId="8" applyNumberFormat="1" applyFont="1" applyFill="1" applyBorder="1" applyAlignment="1">
      <alignment horizontal="left" vertical="center"/>
    </xf>
    <xf numFmtId="4" fontId="24" fillId="0" borderId="13" xfId="8" applyNumberFormat="1" applyFont="1" applyBorder="1" applyAlignment="1">
      <alignment horizontal="left" vertical="center" wrapText="1"/>
    </xf>
    <xf numFmtId="0" fontId="24" fillId="0" borderId="0" xfId="8" applyFont="1" applyAlignment="1">
      <alignment horizontal="center"/>
    </xf>
    <xf numFmtId="4" fontId="24" fillId="11" borderId="10" xfId="8" applyNumberFormat="1" applyFont="1" applyFill="1" applyBorder="1" applyAlignment="1">
      <alignment horizontal="left" vertical="center"/>
    </xf>
    <xf numFmtId="4" fontId="24" fillId="11" borderId="10" xfId="8" applyNumberFormat="1" applyFont="1" applyFill="1" applyBorder="1" applyAlignment="1">
      <alignment horizontal="left" vertical="center" wrapText="1"/>
    </xf>
    <xf numFmtId="184" fontId="24" fillId="11" borderId="13" xfId="8" applyNumberFormat="1" applyFont="1" applyFill="1" applyBorder="1" applyAlignment="1">
      <alignment horizontal="left" vertical="center"/>
    </xf>
    <xf numFmtId="10" fontId="24" fillId="0" borderId="0" xfId="1" applyNumberFormat="1" applyFont="1" applyAlignment="1">
      <alignment horizontal="left"/>
    </xf>
    <xf numFmtId="176" fontId="24" fillId="0" borderId="0" xfId="8" applyNumberFormat="1" applyFont="1" applyAlignment="1">
      <alignment horizontal="left"/>
    </xf>
    <xf numFmtId="0" fontId="24" fillId="0" borderId="0" xfId="8" applyFont="1"/>
    <xf numFmtId="0" fontId="24" fillId="0" borderId="10" xfId="8" applyNumberFormat="1" applyFont="1" applyBorder="1" applyAlignment="1">
      <alignment horizontal="center" vertical="center" wrapText="1"/>
    </xf>
    <xf numFmtId="0" fontId="24" fillId="0" borderId="10" xfId="8" applyNumberFormat="1" applyFont="1" applyBorder="1" applyAlignment="1">
      <alignment horizontal="center" vertical="center"/>
    </xf>
    <xf numFmtId="0" fontId="24" fillId="0" borderId="11" xfId="8" applyNumberFormat="1" applyFont="1" applyBorder="1" applyAlignment="1">
      <alignment horizontal="left" vertical="center"/>
    </xf>
    <xf numFmtId="186" fontId="38" fillId="0" borderId="10" xfId="8" applyNumberFormat="1" applyFont="1" applyBorder="1" applyAlignment="1">
      <alignment horizontal="left" vertical="center"/>
    </xf>
    <xf numFmtId="187" fontId="24" fillId="0" borderId="11" xfId="8" applyNumberFormat="1" applyFont="1" applyBorder="1" applyAlignment="1">
      <alignment horizontal="left" vertical="center"/>
    </xf>
    <xf numFmtId="186" fontId="24" fillId="0" borderId="10" xfId="8" applyNumberFormat="1" applyFont="1" applyBorder="1" applyAlignment="1">
      <alignment horizontal="left" vertical="center"/>
    </xf>
    <xf numFmtId="186" fontId="28" fillId="0" borderId="10" xfId="8" applyNumberFormat="1" applyFont="1" applyBorder="1" applyAlignment="1">
      <alignment horizontal="left" vertical="center"/>
    </xf>
    <xf numFmtId="186" fontId="24" fillId="0" borderId="10" xfId="8" applyNumberFormat="1" applyFont="1" applyBorder="1" applyAlignment="1">
      <alignment horizontal="left" vertical="center" wrapText="1"/>
    </xf>
    <xf numFmtId="10" fontId="24" fillId="0" borderId="10" xfId="8" applyNumberFormat="1" applyFont="1" applyBorder="1" applyAlignment="1">
      <alignment horizontal="left" vertical="center" wrapText="1"/>
    </xf>
    <xf numFmtId="10" fontId="24" fillId="0" borderId="10" xfId="8" applyNumberFormat="1" applyFont="1" applyBorder="1" applyAlignment="1">
      <alignment horizontal="left" vertical="center"/>
    </xf>
    <xf numFmtId="10" fontId="24" fillId="9" borderId="10" xfId="8" applyNumberFormat="1" applyFont="1" applyFill="1" applyBorder="1" applyAlignment="1">
      <alignment horizontal="left" vertical="center"/>
    </xf>
    <xf numFmtId="187" fontId="24" fillId="0" borderId="12" xfId="8" applyNumberFormat="1" applyFont="1" applyBorder="1" applyAlignment="1">
      <alignment horizontal="left" vertical="center"/>
    </xf>
    <xf numFmtId="186" fontId="24" fillId="0" borderId="13" xfId="8" applyNumberFormat="1" applyFont="1" applyBorder="1" applyAlignment="1">
      <alignment horizontal="left" vertical="center"/>
    </xf>
    <xf numFmtId="10" fontId="24" fillId="0" borderId="13" xfId="8" applyNumberFormat="1" applyFont="1" applyBorder="1" applyAlignment="1">
      <alignment horizontal="left" vertical="center" wrapText="1"/>
    </xf>
    <xf numFmtId="10" fontId="24" fillId="0" borderId="13" xfId="8" applyNumberFormat="1" applyFont="1" applyBorder="1" applyAlignment="1">
      <alignment horizontal="left" vertical="center"/>
    </xf>
    <xf numFmtId="10" fontId="24" fillId="9" borderId="13" xfId="8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38" fillId="0" borderId="10" xfId="0" applyFont="1" applyBorder="1" applyAlignment="1">
      <alignment vertical="center"/>
    </xf>
    <xf numFmtId="4" fontId="24" fillId="11" borderId="10" xfId="0" applyNumberFormat="1" applyFont="1" applyFill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4" fontId="24" fillId="0" borderId="0" xfId="0" applyNumberFormat="1" applyFont="1" applyFill="1" applyBorder="1" applyAlignment="1">
      <alignment vertical="center"/>
    </xf>
    <xf numFmtId="4" fontId="24" fillId="0" borderId="10" xfId="0" applyNumberFormat="1" applyFont="1" applyFill="1" applyBorder="1" applyAlignment="1">
      <alignment vertical="center"/>
    </xf>
    <xf numFmtId="195" fontId="24" fillId="0" borderId="0" xfId="0" applyNumberFormat="1" applyFont="1" applyAlignment="1">
      <alignment vertical="center"/>
    </xf>
    <xf numFmtId="43" fontId="24" fillId="0" borderId="0" xfId="16" applyNumberFormat="1" applyFont="1" applyAlignment="1">
      <alignment vertical="center"/>
    </xf>
    <xf numFmtId="185" fontId="24" fillId="0" borderId="0" xfId="0" applyNumberFormat="1" applyFont="1" applyAlignment="1">
      <alignment vertical="center"/>
    </xf>
    <xf numFmtId="43" fontId="24" fillId="0" borderId="0" xfId="0" applyNumberFormat="1" applyFont="1" applyAlignment="1">
      <alignment vertical="center"/>
    </xf>
    <xf numFmtId="10" fontId="24" fillId="0" borderId="10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0" fontId="24" fillId="0" borderId="0" xfId="0" applyNumberFormat="1" applyFont="1" applyFill="1" applyBorder="1" applyAlignment="1">
      <alignment vertical="center"/>
    </xf>
    <xf numFmtId="186" fontId="29" fillId="0" borderId="0" xfId="0" applyNumberFormat="1" applyFont="1" applyFill="1" applyBorder="1" applyAlignment="1">
      <alignment vertical="center"/>
    </xf>
    <xf numFmtId="43" fontId="24" fillId="0" borderId="0" xfId="16" applyFont="1" applyAlignment="1">
      <alignment vertical="center"/>
    </xf>
    <xf numFmtId="0" fontId="24" fillId="0" borderId="10" xfId="0" applyFont="1" applyFill="1" applyBorder="1" applyAlignment="1">
      <alignment vertical="center"/>
    </xf>
    <xf numFmtId="200" fontId="24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vertical="center"/>
    </xf>
    <xf numFmtId="9" fontId="24" fillId="0" borderId="10" xfId="0" applyNumberFormat="1" applyFont="1" applyFill="1" applyBorder="1" applyAlignment="1">
      <alignment vertical="center"/>
    </xf>
    <xf numFmtId="10" fontId="24" fillId="11" borderId="10" xfId="0" applyNumberFormat="1" applyFont="1" applyFill="1" applyBorder="1" applyAlignment="1">
      <alignment vertical="center"/>
    </xf>
    <xf numFmtId="9" fontId="24" fillId="0" borderId="10" xfId="0" applyNumberFormat="1" applyFont="1" applyBorder="1" applyAlignment="1">
      <alignment vertical="center"/>
    </xf>
    <xf numFmtId="9" fontId="24" fillId="0" borderId="0" xfId="0" applyNumberFormat="1" applyFont="1" applyAlignment="1">
      <alignment vertical="center"/>
    </xf>
    <xf numFmtId="184" fontId="24" fillId="9" borderId="10" xfId="8" applyNumberFormat="1" applyFont="1" applyFill="1" applyBorder="1" applyAlignment="1">
      <alignment horizontal="left" vertical="center" wrapText="1"/>
    </xf>
    <xf numFmtId="184" fontId="24" fillId="9" borderId="10" xfId="8" applyNumberFormat="1" applyFont="1" applyFill="1" applyBorder="1" applyAlignment="1">
      <alignment horizontal="left" vertical="center"/>
    </xf>
    <xf numFmtId="184" fontId="24" fillId="0" borderId="10" xfId="8" applyNumberFormat="1" applyFont="1" applyBorder="1" applyAlignment="1">
      <alignment horizontal="left" vertical="center"/>
    </xf>
    <xf numFmtId="10" fontId="21" fillId="0" borderId="10" xfId="1" applyNumberFormat="1" applyFont="1" applyBorder="1" applyAlignment="1">
      <alignment horizontal="center" vertical="center" wrapText="1"/>
    </xf>
    <xf numFmtId="10" fontId="21" fillId="12" borderId="0" xfId="8" applyNumberFormat="1" applyFont="1" applyFill="1" applyAlignment="1">
      <alignment horizontal="left" vertical="center"/>
    </xf>
    <xf numFmtId="0" fontId="39" fillId="0" borderId="0" xfId="8" applyFont="1" applyAlignment="1">
      <alignment horizontal="left" vertical="center"/>
    </xf>
    <xf numFmtId="0" fontId="34" fillId="0" borderId="0" xfId="8" applyFont="1" applyAlignment="1">
      <alignment horizontal="left" vertical="center"/>
    </xf>
    <xf numFmtId="0" fontId="34" fillId="0" borderId="10" xfId="8" applyFont="1" applyBorder="1" applyAlignment="1">
      <alignment horizontal="left" vertical="center"/>
    </xf>
    <xf numFmtId="0" fontId="34" fillId="0" borderId="10" xfId="8" applyFont="1" applyBorder="1" applyAlignment="1">
      <alignment horizontal="center" vertical="center" wrapText="1"/>
    </xf>
    <xf numFmtId="0" fontId="34" fillId="0" borderId="10" xfId="8" applyFont="1" applyBorder="1" applyAlignment="1">
      <alignment horizontal="center" vertical="center"/>
    </xf>
    <xf numFmtId="0" fontId="34" fillId="13" borderId="10" xfId="8" applyFont="1" applyFill="1" applyBorder="1" applyAlignment="1">
      <alignment horizontal="left" vertical="center"/>
    </xf>
    <xf numFmtId="184" fontId="34" fillId="13" borderId="10" xfId="8" applyNumberFormat="1" applyFont="1" applyFill="1" applyBorder="1" applyAlignment="1">
      <alignment horizontal="center" vertical="center" wrapText="1"/>
    </xf>
    <xf numFmtId="184" fontId="34" fillId="9" borderId="10" xfId="8" applyNumberFormat="1" applyFont="1" applyFill="1" applyBorder="1" applyAlignment="1">
      <alignment horizontal="center" vertical="center" wrapText="1"/>
    </xf>
    <xf numFmtId="184" fontId="34" fillId="0" borderId="10" xfId="8" applyNumberFormat="1" applyFont="1" applyBorder="1" applyAlignment="1">
      <alignment horizontal="center" vertical="center" wrapText="1"/>
    </xf>
    <xf numFmtId="0" fontId="34" fillId="13" borderId="10" xfId="8" applyFont="1" applyFill="1" applyBorder="1" applyAlignment="1">
      <alignment horizontal="center" vertical="center"/>
    </xf>
    <xf numFmtId="10" fontId="34" fillId="12" borderId="0" xfId="8" applyNumberFormat="1" applyFont="1" applyFill="1" applyAlignment="1">
      <alignment horizontal="left" vertical="center"/>
    </xf>
    <xf numFmtId="8" fontId="34" fillId="0" borderId="0" xfId="8" applyNumberFormat="1" applyFont="1" applyAlignment="1">
      <alignment horizontal="left" vertical="center"/>
    </xf>
    <xf numFmtId="198" fontId="24" fillId="0" borderId="0" xfId="16" applyNumberFormat="1" applyFont="1" applyBorder="1" applyAlignment="1">
      <alignment vertical="center"/>
    </xf>
    <xf numFmtId="8" fontId="21" fillId="0" borderId="0" xfId="8" applyNumberFormat="1" applyFont="1" applyAlignment="1">
      <alignment horizontal="left" vertical="center"/>
    </xf>
    <xf numFmtId="189" fontId="0" fillId="0" borderId="0" xfId="1" applyNumberFormat="1" applyFont="1" applyBorder="1" applyAlignment="1">
      <alignment vertical="center" wrapText="1"/>
    </xf>
    <xf numFmtId="10" fontId="21" fillId="0" borderId="0" xfId="1" applyNumberFormat="1" applyFont="1" applyBorder="1" applyAlignment="1">
      <alignment horizontal="center" vertical="center" wrapText="1"/>
    </xf>
    <xf numFmtId="0" fontId="2" fillId="0" borderId="0" xfId="8" applyFont="1" applyBorder="1"/>
    <xf numFmtId="0" fontId="28" fillId="14" borderId="14" xfId="0" applyFont="1" applyFill="1" applyBorder="1" applyAlignment="1">
      <alignment horizontal="justify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14" borderId="16" xfId="0" applyFont="1" applyFill="1" applyBorder="1" applyAlignment="1">
      <alignment horizontal="justify" vertical="center" wrapText="1"/>
    </xf>
    <xf numFmtId="0" fontId="28" fillId="0" borderId="17" xfId="0" applyFont="1" applyBorder="1" applyAlignment="1">
      <alignment horizontal="left" vertical="center"/>
    </xf>
    <xf numFmtId="0" fontId="28" fillId="14" borderId="18" xfId="0" applyFont="1" applyFill="1" applyBorder="1" applyAlignment="1">
      <alignment horizontal="justify" vertical="center" wrapText="1"/>
    </xf>
    <xf numFmtId="0" fontId="28" fillId="0" borderId="19" xfId="0" applyFont="1" applyBorder="1" applyAlignment="1">
      <alignment horizontal="left" vertical="center" wrapText="1"/>
    </xf>
    <xf numFmtId="0" fontId="24" fillId="0" borderId="17" xfId="8" applyFont="1" applyBorder="1" applyAlignment="1">
      <alignment horizontal="center" vertical="center" wrapText="1"/>
    </xf>
    <xf numFmtId="0" fontId="24" fillId="0" borderId="16" xfId="8" applyFont="1" applyBorder="1" applyAlignment="1">
      <alignment horizontal="left" vertical="center"/>
    </xf>
    <xf numFmtId="184" fontId="24" fillId="9" borderId="17" xfId="8" applyNumberFormat="1" applyFont="1" applyFill="1" applyBorder="1" applyAlignment="1">
      <alignment horizontal="left" vertical="center" wrapText="1"/>
    </xf>
    <xf numFmtId="184" fontId="24" fillId="9" borderId="17" xfId="8" applyNumberFormat="1" applyFont="1" applyFill="1" applyBorder="1" applyAlignment="1">
      <alignment horizontal="left" vertical="center"/>
    </xf>
    <xf numFmtId="184" fontId="24" fillId="0" borderId="17" xfId="8" applyNumberFormat="1" applyFont="1" applyBorder="1" applyAlignment="1">
      <alignment horizontal="left" vertical="center" wrapText="1"/>
    </xf>
    <xf numFmtId="0" fontId="24" fillId="0" borderId="18" xfId="8" applyFont="1" applyBorder="1" applyAlignment="1">
      <alignment horizontal="left" vertical="center"/>
    </xf>
    <xf numFmtId="0" fontId="38" fillId="0" borderId="20" xfId="8" applyFont="1" applyBorder="1" applyAlignment="1">
      <alignment horizontal="left" vertical="center"/>
    </xf>
    <xf numFmtId="184" fontId="24" fillId="0" borderId="20" xfId="8" applyNumberFormat="1" applyFont="1" applyBorder="1" applyAlignment="1">
      <alignment horizontal="left" vertical="center" wrapText="1"/>
    </xf>
    <xf numFmtId="184" fontId="24" fillId="9" borderId="20" xfId="8" applyNumberFormat="1" applyFont="1" applyFill="1" applyBorder="1" applyAlignment="1">
      <alignment horizontal="left" vertical="center" wrapText="1"/>
    </xf>
    <xf numFmtId="184" fontId="24" fillId="9" borderId="20" xfId="8" applyNumberFormat="1" applyFont="1" applyFill="1" applyBorder="1" applyAlignment="1">
      <alignment horizontal="left" vertical="center"/>
    </xf>
    <xf numFmtId="184" fontId="24" fillId="9" borderId="19" xfId="8" applyNumberFormat="1" applyFont="1" applyFill="1" applyBorder="1" applyAlignment="1">
      <alignment horizontal="left" vertical="center"/>
    </xf>
    <xf numFmtId="0" fontId="21" fillId="0" borderId="21" xfId="8" applyFont="1" applyBorder="1" applyAlignment="1">
      <alignment horizontal="left" vertical="center"/>
    </xf>
    <xf numFmtId="0" fontId="21" fillId="0" borderId="22" xfId="8" applyFont="1" applyBorder="1" applyAlignment="1">
      <alignment horizontal="left" vertical="center"/>
    </xf>
    <xf numFmtId="0" fontId="21" fillId="0" borderId="16" xfId="8" applyFont="1" applyBorder="1" applyAlignment="1">
      <alignment horizontal="left" vertical="center"/>
    </xf>
    <xf numFmtId="0" fontId="21" fillId="0" borderId="17" xfId="8" applyFont="1" applyBorder="1" applyAlignment="1">
      <alignment horizontal="center" vertical="center" wrapText="1"/>
    </xf>
    <xf numFmtId="184" fontId="21" fillId="9" borderId="17" xfId="8" applyNumberFormat="1" applyFont="1" applyFill="1" applyBorder="1" applyAlignment="1">
      <alignment horizontal="left" vertical="center" wrapText="1"/>
    </xf>
    <xf numFmtId="184" fontId="21" fillId="9" borderId="17" xfId="8" applyNumberFormat="1" applyFont="1" applyFill="1" applyBorder="1" applyAlignment="1">
      <alignment horizontal="left" vertical="center"/>
    </xf>
    <xf numFmtId="184" fontId="21" fillId="0" borderId="17" xfId="8" applyNumberFormat="1" applyFont="1" applyBorder="1" applyAlignment="1">
      <alignment horizontal="left" vertical="center"/>
    </xf>
    <xf numFmtId="184" fontId="21" fillId="0" borderId="17" xfId="8" applyNumberFormat="1" applyFont="1" applyBorder="1" applyAlignment="1">
      <alignment horizontal="left" vertical="center" wrapText="1"/>
    </xf>
    <xf numFmtId="0" fontId="21" fillId="0" borderId="18" xfId="8" applyFont="1" applyBorder="1" applyAlignment="1">
      <alignment horizontal="left" vertical="center"/>
    </xf>
    <xf numFmtId="184" fontId="21" fillId="0" borderId="20" xfId="8" applyNumberFormat="1" applyFont="1" applyBorder="1" applyAlignment="1">
      <alignment horizontal="left" vertical="center" wrapText="1"/>
    </xf>
    <xf numFmtId="184" fontId="21" fillId="9" borderId="20" xfId="8" applyNumberFormat="1" applyFont="1" applyFill="1" applyBorder="1" applyAlignment="1">
      <alignment horizontal="left" vertical="center" wrapText="1"/>
    </xf>
    <xf numFmtId="184" fontId="21" fillId="9" borderId="20" xfId="8" applyNumberFormat="1" applyFont="1" applyFill="1" applyBorder="1" applyAlignment="1">
      <alignment horizontal="left" vertical="center"/>
    </xf>
    <xf numFmtId="184" fontId="21" fillId="9" borderId="19" xfId="8" applyNumberFormat="1" applyFont="1" applyFill="1" applyBorder="1" applyAlignment="1">
      <alignment horizontal="left" vertical="center"/>
    </xf>
    <xf numFmtId="0" fontId="34" fillId="0" borderId="16" xfId="8" applyFont="1" applyBorder="1" applyAlignment="1">
      <alignment horizontal="center" vertical="center"/>
    </xf>
    <xf numFmtId="0" fontId="34" fillId="0" borderId="17" xfId="8" applyFont="1" applyBorder="1" applyAlignment="1">
      <alignment horizontal="center" vertical="center" wrapText="1"/>
    </xf>
    <xf numFmtId="0" fontId="34" fillId="0" borderId="23" xfId="8" applyFont="1" applyBorder="1" applyAlignment="1">
      <alignment horizontal="left" vertical="center"/>
    </xf>
    <xf numFmtId="184" fontId="34" fillId="9" borderId="17" xfId="8" applyNumberFormat="1" applyFont="1" applyFill="1" applyBorder="1" applyAlignment="1">
      <alignment horizontal="center" vertical="center" wrapText="1"/>
    </xf>
    <xf numFmtId="0" fontId="34" fillId="13" borderId="16" xfId="8" applyFont="1" applyFill="1" applyBorder="1" applyAlignment="1">
      <alignment horizontal="left" vertical="center"/>
    </xf>
    <xf numFmtId="0" fontId="34" fillId="13" borderId="16" xfId="8" applyFont="1" applyFill="1" applyBorder="1" applyAlignment="1">
      <alignment horizontal="center" vertical="center"/>
    </xf>
    <xf numFmtId="184" fontId="34" fillId="13" borderId="17" xfId="8" applyNumberFormat="1" applyFont="1" applyFill="1" applyBorder="1" applyAlignment="1">
      <alignment horizontal="center" vertical="center" wrapText="1"/>
    </xf>
    <xf numFmtId="0" fontId="34" fillId="0" borderId="18" xfId="8" applyFont="1" applyBorder="1" applyAlignment="1">
      <alignment horizontal="center" vertical="center"/>
    </xf>
    <xf numFmtId="0" fontId="34" fillId="0" borderId="20" xfId="8" applyFont="1" applyBorder="1" applyAlignment="1">
      <alignment horizontal="left" vertical="center"/>
    </xf>
    <xf numFmtId="184" fontId="34" fillId="0" borderId="20" xfId="8" applyNumberFormat="1" applyFont="1" applyBorder="1" applyAlignment="1">
      <alignment horizontal="center" vertical="center" wrapText="1"/>
    </xf>
    <xf numFmtId="184" fontId="34" fillId="9" borderId="20" xfId="8" applyNumberFormat="1" applyFont="1" applyFill="1" applyBorder="1" applyAlignment="1">
      <alignment horizontal="center" vertical="center" wrapText="1"/>
    </xf>
    <xf numFmtId="184" fontId="34" fillId="9" borderId="20" xfId="8" applyNumberFormat="1" applyFont="1" applyFill="1" applyBorder="1" applyAlignment="1">
      <alignment horizontal="center" vertical="center"/>
    </xf>
    <xf numFmtId="184" fontId="34" fillId="9" borderId="19" xfId="8" applyNumberFormat="1" applyFont="1" applyFill="1" applyBorder="1" applyAlignment="1">
      <alignment horizontal="center" vertical="center"/>
    </xf>
    <xf numFmtId="4" fontId="24" fillId="15" borderId="10" xfId="0" applyNumberFormat="1" applyFont="1" applyFill="1" applyBorder="1" applyAlignment="1">
      <alignment vertical="center"/>
    </xf>
    <xf numFmtId="0" fontId="24" fillId="15" borderId="10" xfId="0" applyFont="1" applyFill="1" applyBorder="1" applyAlignment="1">
      <alignment vertical="center"/>
    </xf>
    <xf numFmtId="184" fontId="24" fillId="0" borderId="0" xfId="8" applyNumberFormat="1" applyFont="1"/>
    <xf numFmtId="4" fontId="24" fillId="0" borderId="0" xfId="8" applyNumberFormat="1" applyFont="1"/>
    <xf numFmtId="10" fontId="24" fillId="15" borderId="10" xfId="0" applyNumberFormat="1" applyFont="1" applyFill="1" applyBorder="1" applyAlignment="1">
      <alignment vertical="center"/>
    </xf>
    <xf numFmtId="3" fontId="24" fillId="16" borderId="10" xfId="0" applyNumberFormat="1" applyFont="1" applyFill="1" applyBorder="1" applyAlignment="1">
      <alignment vertical="center"/>
    </xf>
    <xf numFmtId="1" fontId="24" fillId="16" borderId="10" xfId="0" applyNumberFormat="1" applyFont="1" applyFill="1" applyBorder="1" applyAlignment="1">
      <alignment vertical="center"/>
    </xf>
    <xf numFmtId="0" fontId="24" fillId="16" borderId="10" xfId="0" applyFont="1" applyFill="1" applyBorder="1" applyAlignment="1">
      <alignment vertical="center"/>
    </xf>
    <xf numFmtId="0" fontId="28" fillId="0" borderId="17" xfId="0" applyFont="1" applyFill="1" applyBorder="1" applyAlignment="1">
      <alignment horizontal="left" vertical="center"/>
    </xf>
    <xf numFmtId="0" fontId="30" fillId="17" borderId="24" xfId="0" applyFont="1" applyFill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0" fillId="18" borderId="24" xfId="0" applyFont="1" applyFill="1" applyBorder="1" applyAlignment="1">
      <alignment vertical="center"/>
    </xf>
    <xf numFmtId="0" fontId="31" fillId="18" borderId="24" xfId="0" applyFont="1" applyFill="1" applyBorder="1" applyAlignment="1">
      <alignment vertical="center"/>
    </xf>
    <xf numFmtId="0" fontId="30" fillId="19" borderId="24" xfId="0" applyFont="1" applyFill="1" applyBorder="1" applyAlignment="1">
      <alignment vertical="center"/>
    </xf>
    <xf numFmtId="0" fontId="31" fillId="19" borderId="24" xfId="0" applyFont="1" applyFill="1" applyBorder="1" applyAlignment="1">
      <alignment vertical="center"/>
    </xf>
    <xf numFmtId="0" fontId="30" fillId="20" borderId="25" xfId="0" applyFont="1" applyFill="1" applyBorder="1" applyAlignment="1">
      <alignment vertical="center"/>
    </xf>
    <xf numFmtId="0" fontId="31" fillId="20" borderId="26" xfId="0" applyFont="1" applyFill="1" applyBorder="1" applyAlignment="1">
      <alignment vertical="center"/>
    </xf>
    <xf numFmtId="186" fontId="24" fillId="0" borderId="27" xfId="8" applyNumberFormat="1" applyFont="1" applyBorder="1" applyAlignment="1">
      <alignment horizontal="center" vertical="center"/>
    </xf>
    <xf numFmtId="186" fontId="24" fillId="0" borderId="11" xfId="8" applyNumberFormat="1" applyFont="1" applyBorder="1" applyAlignment="1">
      <alignment horizontal="center" vertical="center"/>
    </xf>
    <xf numFmtId="0" fontId="24" fillId="0" borderId="28" xfId="8" applyFont="1" applyBorder="1" applyAlignment="1">
      <alignment horizontal="left" vertical="center" wrapText="1"/>
    </xf>
    <xf numFmtId="0" fontId="24" fillId="0" borderId="10" xfId="8" applyFont="1" applyBorder="1" applyAlignment="1">
      <alignment horizontal="left" vertical="center"/>
    </xf>
    <xf numFmtId="186" fontId="38" fillId="0" borderId="28" xfId="8" applyNumberFormat="1" applyFont="1" applyBorder="1" applyAlignment="1">
      <alignment horizontal="center" vertical="center" wrapText="1"/>
    </xf>
    <xf numFmtId="186" fontId="24" fillId="0" borderId="10" xfId="8" applyNumberFormat="1" applyFont="1" applyBorder="1" applyAlignment="1">
      <alignment horizontal="center" vertical="center" wrapText="1"/>
    </xf>
    <xf numFmtId="186" fontId="24" fillId="0" borderId="28" xfId="8" applyNumberFormat="1" applyFont="1" applyBorder="1" applyAlignment="1">
      <alignment horizontal="center" vertical="center" wrapText="1"/>
    </xf>
    <xf numFmtId="0" fontId="24" fillId="0" borderId="27" xfId="8" applyFont="1" applyBorder="1" applyAlignment="1">
      <alignment horizontal="center" vertical="center"/>
    </xf>
    <xf numFmtId="0" fontId="24" fillId="0" borderId="11" xfId="8" applyFont="1" applyBorder="1" applyAlignment="1">
      <alignment horizontal="center" vertical="center"/>
    </xf>
    <xf numFmtId="0" fontId="38" fillId="0" borderId="28" xfId="8" applyFont="1" applyBorder="1" applyAlignment="1">
      <alignment horizontal="left" vertical="center" wrapText="1"/>
    </xf>
    <xf numFmtId="0" fontId="38" fillId="0" borderId="28" xfId="8" applyFont="1" applyBorder="1" applyAlignment="1">
      <alignment horizontal="center" vertical="center"/>
    </xf>
    <xf numFmtId="0" fontId="24" fillId="0" borderId="10" xfId="8" applyFont="1" applyBorder="1" applyAlignment="1">
      <alignment horizontal="center" vertical="center"/>
    </xf>
    <xf numFmtId="0" fontId="24" fillId="0" borderId="28" xfId="8" applyFont="1" applyBorder="1" applyAlignment="1">
      <alignment horizontal="center" vertical="center" wrapText="1"/>
    </xf>
    <xf numFmtId="0" fontId="38" fillId="0" borderId="27" xfId="8" applyFont="1" applyBorder="1" applyAlignment="1">
      <alignment horizontal="center" vertical="center"/>
    </xf>
    <xf numFmtId="0" fontId="34" fillId="0" borderId="14" xfId="8" applyFont="1" applyBorder="1" applyAlignment="1">
      <alignment horizontal="center" vertical="center"/>
    </xf>
    <xf numFmtId="0" fontId="34" fillId="0" borderId="16" xfId="8" applyFont="1" applyBorder="1" applyAlignment="1">
      <alignment horizontal="center" vertical="center"/>
    </xf>
    <xf numFmtId="0" fontId="34" fillId="0" borderId="29" xfId="8" applyFont="1" applyBorder="1" applyAlignment="1">
      <alignment horizontal="left" vertical="center" wrapText="1"/>
    </xf>
    <xf numFmtId="0" fontId="34" fillId="0" borderId="10" xfId="8" applyFont="1" applyBorder="1" applyAlignment="1">
      <alignment horizontal="left" vertical="center"/>
    </xf>
    <xf numFmtId="0" fontId="34" fillId="0" borderId="29" xfId="8" applyFont="1" applyBorder="1" applyAlignment="1">
      <alignment horizontal="center" vertical="center" wrapText="1"/>
    </xf>
    <xf numFmtId="0" fontId="34" fillId="0" borderId="10" xfId="8" applyFont="1" applyBorder="1" applyAlignment="1">
      <alignment horizontal="center" vertical="center" wrapText="1"/>
    </xf>
    <xf numFmtId="0" fontId="40" fillId="0" borderId="29" xfId="8" applyFont="1" applyBorder="1" applyAlignment="1">
      <alignment horizontal="center" vertical="center" wrapText="1"/>
    </xf>
    <xf numFmtId="0" fontId="34" fillId="0" borderId="15" xfId="8" applyFont="1" applyBorder="1" applyAlignment="1">
      <alignment horizontal="center" vertical="center" wrapText="1"/>
    </xf>
    <xf numFmtId="0" fontId="21" fillId="0" borderId="29" xfId="8" applyFont="1" applyBorder="1" applyAlignment="1">
      <alignment horizontal="center" vertical="center" wrapText="1"/>
    </xf>
    <xf numFmtId="0" fontId="21" fillId="0" borderId="10" xfId="8" applyFont="1" applyBorder="1" applyAlignment="1">
      <alignment horizontal="center" vertical="center" wrapText="1"/>
    </xf>
    <xf numFmtId="0" fontId="41" fillId="0" borderId="29" xfId="8" applyFont="1" applyBorder="1" applyAlignment="1">
      <alignment horizontal="center" vertical="center" wrapText="1"/>
    </xf>
    <xf numFmtId="0" fontId="21" fillId="0" borderId="15" xfId="8" applyFont="1" applyBorder="1" applyAlignment="1">
      <alignment horizontal="center" vertical="center" wrapText="1"/>
    </xf>
    <xf numFmtId="0" fontId="38" fillId="0" borderId="14" xfId="8" applyFont="1" applyBorder="1" applyAlignment="1">
      <alignment horizontal="center" vertical="center"/>
    </xf>
    <xf numFmtId="0" fontId="24" fillId="0" borderId="16" xfId="8" applyFont="1" applyBorder="1" applyAlignment="1">
      <alignment horizontal="center" vertical="center"/>
    </xf>
    <xf numFmtId="0" fontId="38" fillId="0" borderId="29" xfId="8" applyFont="1" applyBorder="1" applyAlignment="1">
      <alignment horizontal="left" vertical="center" wrapText="1"/>
    </xf>
    <xf numFmtId="0" fontId="38" fillId="0" borderId="29" xfId="8" applyFont="1" applyBorder="1" applyAlignment="1">
      <alignment horizontal="center" vertical="center" wrapText="1"/>
    </xf>
    <xf numFmtId="0" fontId="24" fillId="0" borderId="10" xfId="8" applyFont="1" applyBorder="1" applyAlignment="1">
      <alignment horizontal="center" vertical="center" wrapText="1"/>
    </xf>
    <xf numFmtId="0" fontId="24" fillId="0" borderId="29" xfId="8" applyFont="1" applyBorder="1" applyAlignment="1">
      <alignment horizontal="center" vertical="center" wrapText="1"/>
    </xf>
    <xf numFmtId="0" fontId="24" fillId="0" borderId="15" xfId="8" applyFont="1" applyBorder="1" applyAlignment="1">
      <alignment horizontal="center" vertical="center" wrapText="1"/>
    </xf>
    <xf numFmtId="0" fontId="21" fillId="0" borderId="30" xfId="8" applyFont="1" applyBorder="1" applyAlignment="1">
      <alignment horizontal="center" vertical="center"/>
    </xf>
    <xf numFmtId="0" fontId="21" fillId="0" borderId="21" xfId="8" applyFont="1" applyBorder="1" applyAlignment="1">
      <alignment horizontal="center" vertical="center"/>
    </xf>
    <xf numFmtId="0" fontId="21" fillId="0" borderId="14" xfId="8" applyFont="1" applyBorder="1" applyAlignment="1">
      <alignment horizontal="left" vertical="center" wrapText="1"/>
    </xf>
    <xf numFmtId="0" fontId="21" fillId="0" borderId="16" xfId="8" applyFont="1" applyBorder="1" applyAlignment="1">
      <alignment horizontal="left" vertical="center"/>
    </xf>
    <xf numFmtId="0" fontId="24" fillId="0" borderId="31" xfId="8" applyFont="1" applyBorder="1" applyAlignment="1">
      <alignment horizontal="justify" vertical="center" wrapText="1"/>
    </xf>
    <xf numFmtId="0" fontId="24" fillId="0" borderId="32" xfId="8" applyFont="1" applyBorder="1" applyAlignment="1">
      <alignment horizontal="justify" vertical="center" wrapText="1"/>
    </xf>
    <xf numFmtId="189" fontId="21" fillId="0" borderId="33" xfId="1" applyNumberFormat="1" applyFont="1" applyBorder="1" applyAlignment="1">
      <alignment horizontal="center" vertical="center" wrapText="1"/>
    </xf>
    <xf numFmtId="189" fontId="21" fillId="0" borderId="34" xfId="1" applyNumberFormat="1" applyFont="1" applyBorder="1" applyAlignment="1">
      <alignment horizontal="center" vertical="center" wrapText="1"/>
    </xf>
    <xf numFmtId="189" fontId="21" fillId="0" borderId="35" xfId="1" applyNumberFormat="1" applyFont="1" applyBorder="1" applyAlignment="1">
      <alignment horizontal="center" vertical="center" wrapText="1"/>
    </xf>
  </cellXfs>
  <cellStyles count="21">
    <cellStyle name="百分比" xfId="1" builtinId="5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7" builtinId="27" customBuiltin="1"/>
    <cellStyle name="常规" xfId="0" builtinId="0"/>
    <cellStyle name="常规_沙帽山-IRR计算表格-1(1)" xfId="8"/>
    <cellStyle name="好" xfId="9" builtinId="26" customBuiltin="1"/>
    <cellStyle name="汇总" xfId="10" builtinId="25" customBuiltin="1"/>
    <cellStyle name="计算" xfId="11" builtinId="22" customBuiltin="1"/>
    <cellStyle name="检查单元格" xfId="12" builtinId="23" customBuiltin="1"/>
    <cellStyle name="解释性文本" xfId="13" builtinId="53" customBuiltin="1"/>
    <cellStyle name="警告文本" xfId="14" builtinId="11" customBuiltin="1"/>
    <cellStyle name="链接单元格" xfId="15" builtinId="24" customBuiltin="1"/>
    <cellStyle name="千位分隔" xfId="16" builtinId="3"/>
    <cellStyle name="适中" xfId="17" builtinId="28" customBuiltin="1"/>
    <cellStyle name="输出" xfId="18" builtinId="21" customBuiltin="1"/>
    <cellStyle name="输入" xfId="19" builtinId="20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Times New Roman"/>
              </a:defRPr>
            </a:pPr>
            <a:r>
              <a:rPr lang="en-US" altLang="zh-CN" b="1" baseline="0">
                <a:latin typeface="Arial" panose="020B0604020202020204" pitchFamily="34" charset="0"/>
              </a:rPr>
              <a:t>Sensitivity</a:t>
            </a:r>
            <a:r>
              <a:rPr lang="zh-CN" altLang="en-US" b="1" baseline="0">
                <a:latin typeface="Arial" panose="020B0604020202020204" pitchFamily="34" charset="0"/>
              </a:rPr>
              <a:t> </a:t>
            </a:r>
            <a:r>
              <a:rPr lang="en-US" altLang="zh-CN" b="1" baseline="0">
                <a:latin typeface="Arial" panose="020B0604020202020204" pitchFamily="34" charset="0"/>
              </a:rPr>
              <a:t>analysis </a:t>
            </a:r>
            <a:endParaRPr lang="zh-CN" altLang="en-US" b="1" baseline="0"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3260238530535738"/>
          <c:y val="3.8023497062867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98671845240868E-2"/>
          <c:y val="0.15142911937678344"/>
          <c:w val="0.90655622893175181"/>
          <c:h val="0.62571654987765235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'sensitivity analysis'!$A$3</c:f>
              <c:strCache>
                <c:ptCount val="1"/>
                <c:pt idx="0">
                  <c:v>Total static investment</c:v>
                </c:pt>
              </c:strCache>
            </c:strRef>
          </c:tx>
          <c:xVal>
            <c:numRef>
              <c:f>'sensitivity analysis'!$B$1:$F$1</c:f>
              <c:numCache>
                <c:formatCode>0%</c:formatCode>
                <c:ptCount val="5"/>
                <c:pt idx="0">
                  <c:v>-0.1</c:v>
                </c:pt>
                <c:pt idx="1">
                  <c:v>-0.05</c:v>
                </c:pt>
                <c:pt idx="2" formatCode="General">
                  <c:v>0</c:v>
                </c:pt>
                <c:pt idx="3">
                  <c:v>0.05</c:v>
                </c:pt>
                <c:pt idx="4">
                  <c:v>0.1</c:v>
                </c:pt>
              </c:numCache>
            </c:numRef>
          </c:xVal>
          <c:yVal>
            <c:numRef>
              <c:f>'sensitivity analysis'!$B$3:$F$3</c:f>
              <c:numCache>
                <c:formatCode>0.00%</c:formatCode>
                <c:ptCount val="5"/>
                <c:pt idx="0">
                  <c:v>7.2400000000000006E-2</c:v>
                </c:pt>
                <c:pt idx="1">
                  <c:v>6.3799999999999996E-2</c:v>
                </c:pt>
                <c:pt idx="2">
                  <c:v>5.5776718126689495E-2</c:v>
                </c:pt>
                <c:pt idx="3">
                  <c:v>4.8399999999999999E-2</c:v>
                </c:pt>
                <c:pt idx="4">
                  <c:v>4.1500000000000002E-2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FE-42A3-B96C-8B2E1402E42B}"/>
            </c:ext>
          </c:extLst>
        </c:ser>
        <c:ser>
          <c:idx val="2"/>
          <c:order val="1"/>
          <c:tx>
            <c:strRef>
              <c:f>'sensitivity analysis'!$A$4</c:f>
              <c:strCache>
                <c:ptCount val="1"/>
                <c:pt idx="0">
                  <c:v>Annual organic fertilizers sales</c:v>
                </c:pt>
              </c:strCache>
            </c:strRef>
          </c:tx>
          <c:xVal>
            <c:numRef>
              <c:f>'sensitivity analysis'!$B$1:$F$1</c:f>
              <c:numCache>
                <c:formatCode>0%</c:formatCode>
                <c:ptCount val="5"/>
                <c:pt idx="0">
                  <c:v>-0.1</c:v>
                </c:pt>
                <c:pt idx="1">
                  <c:v>-0.05</c:v>
                </c:pt>
                <c:pt idx="2" formatCode="General">
                  <c:v>0</c:v>
                </c:pt>
                <c:pt idx="3">
                  <c:v>0.05</c:v>
                </c:pt>
                <c:pt idx="4">
                  <c:v>0.1</c:v>
                </c:pt>
              </c:numCache>
            </c:numRef>
          </c:xVal>
          <c:yVal>
            <c:numRef>
              <c:f>'sensitivity analysis'!$B$4:$F$4</c:f>
              <c:numCache>
                <c:formatCode>0.00%</c:formatCode>
                <c:ptCount val="5"/>
                <c:pt idx="0">
                  <c:v>3.5400000000000001E-2</c:v>
                </c:pt>
                <c:pt idx="1">
                  <c:v>4.5699999999999998E-2</c:v>
                </c:pt>
                <c:pt idx="2">
                  <c:v>5.5776718126689495E-2</c:v>
                </c:pt>
                <c:pt idx="3">
                  <c:v>6.5600000000000006E-2</c:v>
                </c:pt>
                <c:pt idx="4">
                  <c:v>7.51E-2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FE-42A3-B96C-8B2E1402E42B}"/>
            </c:ext>
          </c:extLst>
        </c:ser>
        <c:ser>
          <c:idx val="0"/>
          <c:order val="2"/>
          <c:tx>
            <c:strRef>
              <c:f>'sensitivity analysis'!$A$5</c:f>
              <c:strCache>
                <c:ptCount val="1"/>
                <c:pt idx="0">
                  <c:v>O&amp;M cost</c:v>
                </c:pt>
              </c:strCache>
            </c:strRef>
          </c:tx>
          <c:xVal>
            <c:numRef>
              <c:f>'sensitivity analysis'!$B$1:$F$1</c:f>
              <c:numCache>
                <c:formatCode>0%</c:formatCode>
                <c:ptCount val="5"/>
                <c:pt idx="0">
                  <c:v>-0.1</c:v>
                </c:pt>
                <c:pt idx="1">
                  <c:v>-0.05</c:v>
                </c:pt>
                <c:pt idx="2" formatCode="General">
                  <c:v>0</c:v>
                </c:pt>
                <c:pt idx="3">
                  <c:v>0.05</c:v>
                </c:pt>
                <c:pt idx="4">
                  <c:v>0.1</c:v>
                </c:pt>
              </c:numCache>
            </c:numRef>
          </c:xVal>
          <c:yVal>
            <c:numRef>
              <c:f>'sensitivity analysis'!$B$5:$F$5</c:f>
              <c:numCache>
                <c:formatCode>0.00%</c:formatCode>
                <c:ptCount val="5"/>
                <c:pt idx="0">
                  <c:v>6.4699999999999994E-2</c:v>
                </c:pt>
                <c:pt idx="1">
                  <c:v>6.0299999999999999E-2</c:v>
                </c:pt>
                <c:pt idx="2">
                  <c:v>5.5776718126689495E-2</c:v>
                </c:pt>
                <c:pt idx="3">
                  <c:v>5.1200000000000002E-2</c:v>
                </c:pt>
                <c:pt idx="4">
                  <c:v>4.6699999999999998E-2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FE-42A3-B96C-8B2E1402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092879"/>
        <c:axId val="1"/>
      </c:scatterChart>
      <c:valAx>
        <c:axId val="293092879"/>
        <c:scaling>
          <c:orientation val="minMax"/>
          <c:max val="0.1"/>
          <c:min val="-0.1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zh-CN"/>
          </a:p>
        </c:txPr>
        <c:crossAx val="1"/>
        <c:crossesAt val="0"/>
        <c:crossBetween val="midCat"/>
        <c:majorUnit val="0.05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zh-CN"/>
          </a:p>
        </c:txPr>
        <c:crossAx val="293092879"/>
        <c:crosses val="autoZero"/>
        <c:crossBetween val="midCat"/>
        <c:majorUnit val="1.0000000000000002E-2"/>
      </c:valAx>
      <c:spPr>
        <a:solidFill>
          <a:srgbClr val="C0C0C0"/>
        </a:solidFill>
        <a:ln w="12700">
          <a:noFill/>
          <a:prstDash val="solid"/>
        </a:ln>
        <a:effectLst>
          <a:outerShdw blurRad="50800" dist="50800" dir="5400000" algn="ctr" rotWithShape="0">
            <a:schemeClr val="bg1">
              <a:lumMod val="95000"/>
            </a:schemeClr>
          </a:outerShdw>
        </a:effectLst>
      </c:spPr>
    </c:plotArea>
    <c:legend>
      <c:legendPos val="r"/>
      <c:layout>
        <c:manualLayout>
          <c:xMode val="edge"/>
          <c:yMode val="edge"/>
          <c:wMode val="edge"/>
          <c:hMode val="edge"/>
          <c:x val="0.40152807386922401"/>
          <c:y val="0.80627671541057366"/>
          <c:w val="0.6624791599289821"/>
          <c:h val="0.957844269466316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Times New Roman"/>
              <a:cs typeface="Times New Roman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zh-CN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1358900</xdr:colOff>
      <xdr:row>7</xdr:row>
      <xdr:rowOff>431800</xdr:rowOff>
    </xdr:from>
    <xdr:to>
      <xdr:col>16</xdr:col>
      <xdr:colOff>1587500</xdr:colOff>
      <xdr:row>38</xdr:row>
      <xdr:rowOff>0</xdr:rowOff>
    </xdr:to>
    <xdr:graphicFrame macro="">
      <xdr:nvGraphicFramePr>
        <xdr:cNvPr id="5758" name="Chart 11">
          <a:extLst>
            <a:ext uri="{FF2B5EF4-FFF2-40B4-BE49-F238E27FC236}">
              <a16:creationId xmlns:a16="http://schemas.microsoft.com/office/drawing/2014/main" id="{3B6887E6-D6C3-C3FC-30E6-F5F7D32A5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34;&#28113;&#20848;/&#39033;&#30446;&#24320;&#21457;/&#20859;&#27542;&#22330;/Shuangbaotai/VCS2706-Shuangbaotai%20Jiangsu/2.%20VVB/a.%20Listing%20Final/03%20NPV&amp;IRR-Shuangbaotai%20Jiangsu-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basic parameters"/>
      <sheetName val="Loan repayment"/>
      <sheetName val="total cost"/>
      <sheetName val="cash flow"/>
      <sheetName val="cost and income table"/>
      <sheetName val="sensitivity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10"/>
  <sheetViews>
    <sheetView tabSelected="1" topLeftCell="A4" zoomScale="70" zoomScaleNormal="70" workbookViewId="0">
      <selection activeCell="G14" sqref="G14"/>
    </sheetView>
  </sheetViews>
  <sheetFormatPr defaultRowHeight="15" x14ac:dyDescent="0.25"/>
  <cols>
    <col min="3" max="3" width="26.9140625" customWidth="1"/>
    <col min="4" max="4" width="39.83203125" customWidth="1"/>
  </cols>
  <sheetData>
    <row r="5" spans="3:4" ht="15.5" thickBot="1" x14ac:dyDescent="0.3"/>
    <row r="6" spans="3:4" ht="65.5" customHeight="1" x14ac:dyDescent="0.25">
      <c r="C6" s="119" t="s">
        <v>156</v>
      </c>
      <c r="D6" s="120" t="s">
        <v>163</v>
      </c>
    </row>
    <row r="7" spans="3:4" ht="34.5" customHeight="1" x14ac:dyDescent="0.25">
      <c r="C7" s="121" t="s">
        <v>157</v>
      </c>
      <c r="D7" s="122" t="s">
        <v>164</v>
      </c>
    </row>
    <row r="8" spans="3:4" ht="39.5" customHeight="1" x14ac:dyDescent="0.25">
      <c r="C8" s="121" t="s">
        <v>158</v>
      </c>
      <c r="D8" s="122">
        <v>2</v>
      </c>
    </row>
    <row r="9" spans="3:4" x14ac:dyDescent="0.25">
      <c r="C9" s="121" t="s">
        <v>159</v>
      </c>
      <c r="D9" s="170" t="s">
        <v>166</v>
      </c>
    </row>
    <row r="10" spans="3:4" ht="40.5" customHeight="1" thickBot="1" x14ac:dyDescent="0.3">
      <c r="C10" s="123" t="s">
        <v>160</v>
      </c>
      <c r="D10" s="124" t="s">
        <v>165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6"/>
  <sheetViews>
    <sheetView zoomScaleNormal="100" workbookViewId="0">
      <selection activeCell="C34" sqref="C34"/>
    </sheetView>
  </sheetViews>
  <sheetFormatPr defaultColWidth="9" defaultRowHeight="11.5" x14ac:dyDescent="0.25"/>
  <cols>
    <col min="1" max="1" width="4.83203125" style="71" customWidth="1"/>
    <col min="2" max="2" width="23.9140625" style="71" customWidth="1"/>
    <col min="3" max="3" width="11" style="71" customWidth="1"/>
    <col min="4" max="4" width="17" style="71" customWidth="1"/>
    <col min="5" max="5" width="9" style="71"/>
    <col min="6" max="6" width="11.25" style="71" bestFit="1" customWidth="1"/>
    <col min="7" max="7" width="10.5" style="71" bestFit="1" customWidth="1"/>
    <col min="8" max="8" width="24.9140625" style="71" customWidth="1"/>
    <col min="9" max="9" width="9" style="71"/>
    <col min="10" max="10" width="4.75" style="71" customWidth="1"/>
    <col min="11" max="11" width="33.25" style="71" customWidth="1"/>
    <col min="12" max="12" width="12.83203125" style="72" customWidth="1"/>
    <col min="13" max="16384" width="9" style="71"/>
  </cols>
  <sheetData>
    <row r="3" spans="2:12" x14ac:dyDescent="0.25">
      <c r="B3" s="171" t="s">
        <v>99</v>
      </c>
      <c r="C3" s="172"/>
      <c r="D3" s="172"/>
    </row>
    <row r="4" spans="2:12" ht="13" x14ac:dyDescent="0.25">
      <c r="B4" s="73" t="s">
        <v>94</v>
      </c>
      <c r="C4" s="74">
        <f>(C8+C9+C11)</f>
        <v>12550.2</v>
      </c>
      <c r="D4" s="75" t="s">
        <v>133</v>
      </c>
      <c r="E4" s="76"/>
      <c r="J4" s="77"/>
      <c r="K4" s="77"/>
      <c r="L4" s="78"/>
    </row>
    <row r="5" spans="2:12" ht="13" x14ac:dyDescent="0.25">
      <c r="B5" s="75" t="s">
        <v>2</v>
      </c>
      <c r="C5" s="79">
        <f>(C4-C7)*(1+I37)</f>
        <v>12338.404850000001</v>
      </c>
      <c r="D5" s="75" t="s">
        <v>133</v>
      </c>
      <c r="E5" s="76"/>
      <c r="F5" s="80"/>
      <c r="J5" s="77"/>
      <c r="K5" s="77"/>
      <c r="L5" s="78"/>
    </row>
    <row r="6" spans="2:12" ht="13" x14ac:dyDescent="0.25">
      <c r="B6" s="75" t="s">
        <v>7</v>
      </c>
      <c r="C6" s="79">
        <f>C4</f>
        <v>12550.2</v>
      </c>
      <c r="D6" s="75" t="s">
        <v>133</v>
      </c>
      <c r="E6" s="76"/>
      <c r="J6" s="77"/>
      <c r="K6" s="77"/>
      <c r="L6" s="78"/>
    </row>
    <row r="7" spans="2:12" ht="13" x14ac:dyDescent="0.25">
      <c r="B7" s="75" t="s">
        <v>3</v>
      </c>
      <c r="C7" s="79">
        <f>C9*C15/2</f>
        <v>211.79515000000004</v>
      </c>
      <c r="D7" s="75" t="s">
        <v>133</v>
      </c>
      <c r="E7" s="76"/>
      <c r="J7" s="77"/>
      <c r="K7" s="77"/>
      <c r="L7" s="78"/>
    </row>
    <row r="8" spans="2:12" ht="13" x14ac:dyDescent="0.25">
      <c r="B8" s="75" t="s">
        <v>90</v>
      </c>
      <c r="C8" s="162">
        <v>3685.5</v>
      </c>
      <c r="D8" s="75" t="s">
        <v>133</v>
      </c>
      <c r="E8" s="76"/>
      <c r="G8" s="81"/>
      <c r="H8" s="83">
        <f>0.3*G8</f>
        <v>0</v>
      </c>
      <c r="J8" s="77"/>
      <c r="K8" s="77"/>
      <c r="L8" s="78"/>
    </row>
    <row r="9" spans="2:12" ht="13" x14ac:dyDescent="0.25">
      <c r="B9" s="75" t="s">
        <v>95</v>
      </c>
      <c r="C9" s="162">
        <v>8644.7000000000007</v>
      </c>
      <c r="D9" s="75" t="s">
        <v>133</v>
      </c>
      <c r="E9" s="76"/>
      <c r="F9" s="82"/>
      <c r="G9" s="83"/>
      <c r="J9" s="77"/>
      <c r="K9" s="77"/>
      <c r="L9" s="78"/>
    </row>
    <row r="10" spans="2:12" x14ac:dyDescent="0.25">
      <c r="B10" s="75"/>
      <c r="C10" s="79"/>
      <c r="D10" s="75"/>
      <c r="E10" s="77"/>
      <c r="F10" s="82"/>
      <c r="J10" s="77"/>
      <c r="K10" s="77"/>
      <c r="L10" s="78"/>
    </row>
    <row r="11" spans="2:12" ht="13" x14ac:dyDescent="0.25">
      <c r="B11" s="73" t="s">
        <v>5</v>
      </c>
      <c r="C11" s="162">
        <v>220</v>
      </c>
      <c r="D11" s="75" t="s">
        <v>133</v>
      </c>
      <c r="E11" s="76"/>
      <c r="J11" s="77"/>
      <c r="K11" s="77"/>
      <c r="L11" s="78"/>
    </row>
    <row r="12" spans="2:12" ht="13" x14ac:dyDescent="0.25">
      <c r="B12" s="75" t="s">
        <v>134</v>
      </c>
      <c r="C12" s="79">
        <f>C11*0.3</f>
        <v>66</v>
      </c>
      <c r="D12" s="75" t="s">
        <v>133</v>
      </c>
      <c r="E12" s="77"/>
      <c r="J12" s="77"/>
      <c r="K12" s="77"/>
      <c r="L12" s="78"/>
    </row>
    <row r="13" spans="2:12" ht="13" x14ac:dyDescent="0.25">
      <c r="B13" s="75" t="s">
        <v>62</v>
      </c>
      <c r="C13" s="79">
        <f>C11*0.7</f>
        <v>154</v>
      </c>
      <c r="D13" s="75" t="s">
        <v>133</v>
      </c>
      <c r="E13" s="77"/>
      <c r="J13" s="77"/>
      <c r="K13" s="77"/>
      <c r="L13" s="78"/>
    </row>
    <row r="14" spans="2:12" ht="13" x14ac:dyDescent="0.25">
      <c r="B14" s="73" t="s">
        <v>6</v>
      </c>
      <c r="C14" s="162">
        <v>8678.9</v>
      </c>
      <c r="D14" s="75" t="s">
        <v>133</v>
      </c>
      <c r="E14" s="77"/>
      <c r="J14" s="77"/>
      <c r="K14" s="77"/>
      <c r="L14" s="78"/>
    </row>
    <row r="15" spans="2:12" ht="12" x14ac:dyDescent="0.25">
      <c r="B15" s="75" t="s">
        <v>135</v>
      </c>
      <c r="C15" s="84">
        <v>4.9000000000000002E-2</v>
      </c>
      <c r="E15" s="85"/>
      <c r="F15" s="85"/>
      <c r="J15" s="77"/>
      <c r="K15" s="77"/>
      <c r="L15" s="78"/>
    </row>
    <row r="16" spans="2:12" ht="13" x14ac:dyDescent="0.25">
      <c r="B16" s="73" t="s">
        <v>136</v>
      </c>
      <c r="C16" s="84">
        <v>4.3499999999999997E-2</v>
      </c>
      <c r="E16" s="85"/>
      <c r="J16" s="77"/>
      <c r="K16" s="77"/>
      <c r="L16" s="86"/>
    </row>
    <row r="17" spans="2:12" x14ac:dyDescent="0.25">
      <c r="J17" s="77"/>
      <c r="K17" s="77"/>
      <c r="L17" s="87"/>
    </row>
    <row r="18" spans="2:12" x14ac:dyDescent="0.25">
      <c r="B18" s="173" t="s">
        <v>98</v>
      </c>
      <c r="C18" s="174"/>
      <c r="D18" s="174"/>
      <c r="J18" s="77"/>
      <c r="K18" s="77"/>
      <c r="L18" s="87"/>
    </row>
    <row r="19" spans="2:12" x14ac:dyDescent="0.25">
      <c r="B19" s="75" t="s">
        <v>161</v>
      </c>
      <c r="C19" s="168">
        <f>104890*(1+I38)</f>
        <v>104890</v>
      </c>
      <c r="D19" s="75" t="s">
        <v>143</v>
      </c>
      <c r="E19" s="85"/>
      <c r="G19" s="88"/>
      <c r="I19" s="83"/>
      <c r="J19" s="77"/>
      <c r="K19" s="77"/>
      <c r="L19" s="87"/>
    </row>
    <row r="20" spans="2:12" x14ac:dyDescent="0.25">
      <c r="B20" s="75" t="s">
        <v>91</v>
      </c>
      <c r="C20" s="163">
        <v>222</v>
      </c>
      <c r="D20" s="73" t="s">
        <v>92</v>
      </c>
      <c r="E20" s="85"/>
      <c r="J20" s="77"/>
      <c r="K20" s="77"/>
      <c r="L20" s="78"/>
    </row>
    <row r="21" spans="2:12" ht="12.5" x14ac:dyDescent="0.25">
      <c r="B21" s="73" t="s">
        <v>86</v>
      </c>
      <c r="C21" s="89">
        <v>17.75</v>
      </c>
      <c r="D21" s="75" t="s">
        <v>139</v>
      </c>
      <c r="F21" s="90"/>
      <c r="J21" s="77"/>
      <c r="K21" s="77"/>
      <c r="L21" s="86"/>
    </row>
    <row r="22" spans="2:12" ht="12.5" x14ac:dyDescent="0.25">
      <c r="B22" s="73" t="s">
        <v>100</v>
      </c>
      <c r="C22" s="167">
        <v>193673</v>
      </c>
      <c r="D22" s="73" t="s">
        <v>140</v>
      </c>
      <c r="J22" s="77"/>
      <c r="K22" s="77"/>
      <c r="L22" s="78"/>
    </row>
    <row r="23" spans="2:12" x14ac:dyDescent="0.25">
      <c r="B23" s="76"/>
      <c r="C23" s="114"/>
      <c r="D23" s="77"/>
      <c r="J23" s="77"/>
      <c r="K23" s="77"/>
      <c r="L23" s="86"/>
    </row>
    <row r="24" spans="2:12" x14ac:dyDescent="0.25">
      <c r="B24" s="76"/>
      <c r="C24" s="77"/>
      <c r="D24" s="76"/>
      <c r="J24" s="77"/>
      <c r="K24" s="77"/>
      <c r="L24" s="86"/>
    </row>
    <row r="25" spans="2:12" x14ac:dyDescent="0.25">
      <c r="J25" s="77"/>
      <c r="K25" s="77"/>
      <c r="L25" s="86"/>
    </row>
    <row r="26" spans="2:12" x14ac:dyDescent="0.25">
      <c r="J26" s="77"/>
      <c r="K26" s="77"/>
      <c r="L26" s="86"/>
    </row>
    <row r="27" spans="2:12" x14ac:dyDescent="0.25">
      <c r="E27" s="91"/>
      <c r="J27" s="77"/>
      <c r="K27" s="77"/>
      <c r="L27" s="92"/>
    </row>
    <row r="28" spans="2:12" x14ac:dyDescent="0.25">
      <c r="B28" s="175" t="s">
        <v>97</v>
      </c>
      <c r="C28" s="176"/>
      <c r="D28" s="176"/>
    </row>
    <row r="29" spans="2:12" x14ac:dyDescent="0.25">
      <c r="B29" s="73" t="s">
        <v>111</v>
      </c>
      <c r="C29" s="169">
        <v>15</v>
      </c>
      <c r="D29" s="75" t="s">
        <v>15</v>
      </c>
      <c r="E29" s="85"/>
    </row>
    <row r="30" spans="2:12" x14ac:dyDescent="0.25">
      <c r="B30" s="73" t="s">
        <v>8</v>
      </c>
      <c r="C30" s="93">
        <v>0.05</v>
      </c>
      <c r="D30" s="75"/>
      <c r="E30" s="85"/>
    </row>
    <row r="31" spans="2:12" x14ac:dyDescent="0.25">
      <c r="B31" s="73" t="s">
        <v>110</v>
      </c>
      <c r="C31" s="94">
        <f>(1-C30)/C29</f>
        <v>6.3333333333333325E-2</v>
      </c>
      <c r="D31" s="73" t="s">
        <v>16</v>
      </c>
      <c r="E31" s="85"/>
    </row>
    <row r="32" spans="2:12" x14ac:dyDescent="0.25">
      <c r="B32" s="73" t="s">
        <v>106</v>
      </c>
      <c r="C32" s="166">
        <f>4%*(1+I39)</f>
        <v>0.04</v>
      </c>
      <c r="D32" s="73" t="s">
        <v>16</v>
      </c>
    </row>
    <row r="33" spans="2:9" x14ac:dyDescent="0.25">
      <c r="B33" s="73" t="s">
        <v>107</v>
      </c>
      <c r="C33" s="89">
        <v>20</v>
      </c>
      <c r="D33" s="75" t="s">
        <v>17</v>
      </c>
      <c r="E33" s="85"/>
    </row>
    <row r="34" spans="2:9" x14ac:dyDescent="0.25">
      <c r="B34" s="73" t="s">
        <v>108</v>
      </c>
      <c r="C34" s="75">
        <f>60000*(1+I39)</f>
        <v>60000</v>
      </c>
      <c r="D34" s="75" t="s">
        <v>96</v>
      </c>
      <c r="E34" s="85"/>
    </row>
    <row r="35" spans="2:9" x14ac:dyDescent="0.25">
      <c r="B35" s="75" t="s">
        <v>109</v>
      </c>
      <c r="C35" s="84">
        <v>0.14000000000000001</v>
      </c>
      <c r="D35" s="75" t="s">
        <v>18</v>
      </c>
      <c r="E35" s="85"/>
      <c r="H35" s="77"/>
      <c r="I35" s="77"/>
    </row>
    <row r="36" spans="2:9" x14ac:dyDescent="0.25">
      <c r="B36" s="75" t="s">
        <v>11</v>
      </c>
      <c r="C36" s="84">
        <v>0.17</v>
      </c>
      <c r="D36" s="75" t="s">
        <v>18</v>
      </c>
      <c r="E36" s="85"/>
      <c r="H36" s="177" t="s">
        <v>105</v>
      </c>
      <c r="I36" s="178"/>
    </row>
    <row r="37" spans="2:9" x14ac:dyDescent="0.25">
      <c r="B37" s="75" t="s">
        <v>114</v>
      </c>
      <c r="C37" s="84">
        <v>0.1</v>
      </c>
      <c r="D37" s="75" t="s">
        <v>18</v>
      </c>
      <c r="E37" s="85"/>
      <c r="H37" s="73" t="s">
        <v>2</v>
      </c>
      <c r="I37" s="84">
        <v>0</v>
      </c>
    </row>
    <row r="38" spans="2:9" x14ac:dyDescent="0.25">
      <c r="B38" s="75" t="s">
        <v>113</v>
      </c>
      <c r="C38" s="166">
        <f>2.6%*(1+I39)</f>
        <v>2.6000000000000002E-2</v>
      </c>
      <c r="D38" s="75" t="s">
        <v>7</v>
      </c>
      <c r="H38" s="73" t="s">
        <v>154</v>
      </c>
      <c r="I38" s="84">
        <v>0</v>
      </c>
    </row>
    <row r="39" spans="2:9" ht="11.25" customHeight="1" x14ac:dyDescent="0.25">
      <c r="B39" s="73" t="s">
        <v>112</v>
      </c>
      <c r="C39" s="163">
        <v>9</v>
      </c>
      <c r="D39" s="89" t="s">
        <v>92</v>
      </c>
      <c r="E39" s="85"/>
      <c r="H39" s="73" t="s">
        <v>31</v>
      </c>
      <c r="I39" s="84">
        <v>0</v>
      </c>
    </row>
    <row r="40" spans="2:9" x14ac:dyDescent="0.25">
      <c r="B40" s="73" t="s">
        <v>13</v>
      </c>
      <c r="C40" s="95">
        <v>0.17</v>
      </c>
      <c r="D40" s="75"/>
      <c r="E40" s="85"/>
    </row>
    <row r="41" spans="2:9" x14ac:dyDescent="0.25">
      <c r="B41" s="73" t="s">
        <v>101</v>
      </c>
      <c r="C41" s="95">
        <v>7.0000000000000007E-2</v>
      </c>
      <c r="D41" s="75"/>
      <c r="E41" s="85"/>
      <c r="I41" s="96"/>
    </row>
    <row r="42" spans="2:9" x14ac:dyDescent="0.25">
      <c r="B42" s="75" t="s">
        <v>102</v>
      </c>
      <c r="C42" s="95">
        <v>0.05</v>
      </c>
      <c r="D42" s="75"/>
      <c r="E42" s="85"/>
      <c r="I42" s="91"/>
    </row>
    <row r="43" spans="2:9" x14ac:dyDescent="0.25">
      <c r="B43" s="73" t="s">
        <v>103</v>
      </c>
      <c r="C43" s="95">
        <v>0.25</v>
      </c>
      <c r="D43" s="75"/>
      <c r="E43" s="85"/>
    </row>
    <row r="44" spans="2:9" x14ac:dyDescent="0.25">
      <c r="B44" s="73" t="s">
        <v>104</v>
      </c>
      <c r="C44" s="95">
        <v>0.1</v>
      </c>
      <c r="D44" s="75"/>
      <c r="E44" s="85"/>
    </row>
    <row r="46" spans="2:9" x14ac:dyDescent="0.25">
      <c r="C46" s="72"/>
    </row>
  </sheetData>
  <mergeCells count="4">
    <mergeCell ref="B3:D3"/>
    <mergeCell ref="B18:D18"/>
    <mergeCell ref="B28:D28"/>
    <mergeCell ref="H36:I3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="70" zoomScaleNormal="70" workbookViewId="0">
      <selection activeCell="E31" sqref="E31"/>
    </sheetView>
  </sheetViews>
  <sheetFormatPr defaultColWidth="9" defaultRowHeight="11.5" x14ac:dyDescent="0.25"/>
  <cols>
    <col min="1" max="1" width="4.83203125" style="54" customWidth="1"/>
    <col min="2" max="2" width="37.08203125" style="54" bestFit="1" customWidth="1"/>
    <col min="3" max="3" width="9.58203125" style="54" bestFit="1" customWidth="1"/>
    <col min="4" max="4" width="9.1640625" style="54" bestFit="1" customWidth="1"/>
    <col min="5" max="5" width="12.33203125" style="54" bestFit="1" customWidth="1"/>
    <col min="6" max="18" width="11.25" style="54" bestFit="1" customWidth="1"/>
    <col min="19" max="19" width="11.1640625" style="54" customWidth="1"/>
    <col min="20" max="16384" width="9" style="54"/>
  </cols>
  <sheetData>
    <row r="1" spans="1:19" x14ac:dyDescent="0.25">
      <c r="A1" s="22" t="s">
        <v>74</v>
      </c>
      <c r="B1" s="23"/>
      <c r="C1" s="23"/>
      <c r="D1" s="23"/>
      <c r="E1" s="5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13.5" thickBot="1" x14ac:dyDescent="0.3">
      <c r="A2" s="24" t="s">
        <v>126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s="48" customFormat="1" ht="12" thickTop="1" x14ac:dyDescent="0.25">
      <c r="A3" s="179" t="s">
        <v>35</v>
      </c>
      <c r="B3" s="181" t="s">
        <v>75</v>
      </c>
      <c r="C3" s="183" t="s">
        <v>22</v>
      </c>
      <c r="D3" s="185" t="s">
        <v>23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19" s="48" customFormat="1" x14ac:dyDescent="0.25">
      <c r="A4" s="180"/>
      <c r="B4" s="182"/>
      <c r="C4" s="184"/>
      <c r="D4" s="55">
        <v>1</v>
      </c>
      <c r="E4" s="56">
        <v>2</v>
      </c>
      <c r="F4" s="55">
        <v>3</v>
      </c>
      <c r="G4" s="56">
        <v>4</v>
      </c>
      <c r="H4" s="55">
        <v>5</v>
      </c>
      <c r="I4" s="56">
        <v>6</v>
      </c>
      <c r="J4" s="55">
        <v>7</v>
      </c>
      <c r="K4" s="56">
        <v>8</v>
      </c>
      <c r="L4" s="55">
        <v>9</v>
      </c>
      <c r="M4" s="55">
        <v>10</v>
      </c>
      <c r="N4" s="55">
        <v>11</v>
      </c>
      <c r="O4" s="55">
        <v>12</v>
      </c>
      <c r="P4" s="55">
        <v>13</v>
      </c>
      <c r="Q4" s="55">
        <v>14</v>
      </c>
      <c r="R4" s="55">
        <v>15</v>
      </c>
      <c r="S4" s="55">
        <v>16</v>
      </c>
    </row>
    <row r="5" spans="1:19" x14ac:dyDescent="0.25">
      <c r="A5" s="57">
        <v>1</v>
      </c>
      <c r="B5" s="58" t="s">
        <v>76</v>
      </c>
      <c r="C5" s="33"/>
      <c r="D5" s="33"/>
      <c r="E5" s="43"/>
      <c r="F5" s="33"/>
      <c r="G5" s="43"/>
      <c r="H5" s="33"/>
      <c r="I5" s="43"/>
      <c r="J5" s="33"/>
      <c r="K5" s="43"/>
      <c r="L5" s="33"/>
      <c r="M5" s="33"/>
      <c r="N5" s="33"/>
      <c r="O5" s="33"/>
      <c r="P5" s="33"/>
      <c r="Q5" s="33"/>
      <c r="R5" s="33"/>
      <c r="S5" s="33"/>
    </row>
    <row r="6" spans="1:19" x14ac:dyDescent="0.25">
      <c r="A6" s="59">
        <v>1.1000000000000001</v>
      </c>
      <c r="B6" s="58" t="s">
        <v>130</v>
      </c>
      <c r="C6" s="33"/>
      <c r="D6" s="33">
        <v>0</v>
      </c>
      <c r="E6" s="32">
        <f>'basic parameters'!$C$9</f>
        <v>8644.7000000000007</v>
      </c>
      <c r="F6" s="40">
        <f>E10</f>
        <v>7606.9479756600003</v>
      </c>
      <c r="G6" s="40">
        <f t="shared" ref="G6:S6" si="0">F10</f>
        <v>6534.8723031149548</v>
      </c>
      <c r="H6" s="40">
        <f t="shared" si="0"/>
        <v>5427.337727700482</v>
      </c>
      <c r="I6" s="40">
        <f t="shared" si="0"/>
        <v>4500.7797605118676</v>
      </c>
      <c r="J6" s="40">
        <f t="shared" si="0"/>
        <v>3593.1696047507976</v>
      </c>
      <c r="K6" s="40">
        <f t="shared" si="0"/>
        <v>2655.5402430879303</v>
      </c>
      <c r="L6" s="40">
        <f t="shared" si="0"/>
        <v>1686.898790288064</v>
      </c>
      <c r="M6" s="40">
        <f t="shared" si="0"/>
        <v>686.21952143684189</v>
      </c>
      <c r="N6" s="40">
        <f t="shared" si="0"/>
        <v>0</v>
      </c>
      <c r="O6" s="40">
        <f t="shared" si="0"/>
        <v>0</v>
      </c>
      <c r="P6" s="40">
        <f t="shared" si="0"/>
        <v>0</v>
      </c>
      <c r="Q6" s="40">
        <f t="shared" si="0"/>
        <v>0</v>
      </c>
      <c r="R6" s="40">
        <f t="shared" si="0"/>
        <v>0</v>
      </c>
      <c r="S6" s="40">
        <f t="shared" si="0"/>
        <v>0</v>
      </c>
    </row>
    <row r="7" spans="1:19" x14ac:dyDescent="0.25">
      <c r="A7" s="59">
        <v>1.2</v>
      </c>
      <c r="B7" s="58" t="s">
        <v>77</v>
      </c>
      <c r="C7" s="40">
        <f>SUM(D7:S7)</f>
        <v>10670.186830400999</v>
      </c>
      <c r="D7" s="33">
        <v>0</v>
      </c>
      <c r="E7" s="32">
        <f>E8+E9</f>
        <v>1461.3423243400002</v>
      </c>
      <c r="F7" s="32">
        <f t="shared" ref="F7:S7" si="1">F8+F9</f>
        <v>1444.8161233523856</v>
      </c>
      <c r="G7" s="32">
        <f t="shared" si="1"/>
        <v>1427.7433182671057</v>
      </c>
      <c r="H7" s="32">
        <f t="shared" si="1"/>
        <v>1192.4975158459381</v>
      </c>
      <c r="I7" s="32">
        <f t="shared" si="1"/>
        <v>1128.1483640261513</v>
      </c>
      <c r="J7" s="32">
        <f t="shared" si="1"/>
        <v>1113.6946722956563</v>
      </c>
      <c r="K7" s="32">
        <f t="shared" si="1"/>
        <v>1098.7629247111749</v>
      </c>
      <c r="L7" s="32">
        <f t="shared" si="1"/>
        <v>1083.3373095753373</v>
      </c>
      <c r="M7" s="32">
        <f t="shared" si="1"/>
        <v>719.8442779872471</v>
      </c>
      <c r="N7" s="32">
        <f t="shared" si="1"/>
        <v>0</v>
      </c>
      <c r="O7" s="32">
        <f t="shared" si="1"/>
        <v>0</v>
      </c>
      <c r="P7" s="32">
        <f t="shared" si="1"/>
        <v>0</v>
      </c>
      <c r="Q7" s="32">
        <f t="shared" si="1"/>
        <v>0</v>
      </c>
      <c r="R7" s="32">
        <f t="shared" si="1"/>
        <v>0</v>
      </c>
      <c r="S7" s="32">
        <f t="shared" si="1"/>
        <v>0</v>
      </c>
    </row>
    <row r="8" spans="1:19" x14ac:dyDescent="0.25">
      <c r="A8" s="59"/>
      <c r="B8" s="60" t="s">
        <v>131</v>
      </c>
      <c r="C8" s="40">
        <f>SUM(D8:S8)</f>
        <v>8644.7000000000007</v>
      </c>
      <c r="D8" s="33">
        <v>0</v>
      </c>
      <c r="E8" s="32">
        <f>IF(E6&gt;'total cost'!E5+'cost and income table'!E27,'total cost'!E5+'cost and income table'!E27,E6)</f>
        <v>1037.7520243400002</v>
      </c>
      <c r="F8" s="32">
        <f>IF(F6&gt;'total cost'!F5+'cost and income table'!F27,'total cost'!F5+'cost and income table'!F27,F6)</f>
        <v>1072.0756725450456</v>
      </c>
      <c r="G8" s="32">
        <f>IF(G6&gt;'total cost'!G5+'cost and income table'!G27,'total cost'!G5+'cost and income table'!G27,G6)</f>
        <v>1107.5345754144728</v>
      </c>
      <c r="H8" s="32">
        <f>IF(H6&gt;'total cost'!H5+'cost and income table'!H27,'total cost'!H5+'cost and income table'!H27,H6)</f>
        <v>926.55796718861438</v>
      </c>
      <c r="I8" s="32">
        <f>IF(I6&gt;'total cost'!I5+'cost and income table'!I27,'total cost'!I5+'cost and income table'!I27,I6)</f>
        <v>907.61015576106979</v>
      </c>
      <c r="J8" s="32">
        <f>IF(J6&gt;'total cost'!J5+'cost and income table'!J27,'total cost'!J5+'cost and income table'!J27,J6)</f>
        <v>937.62936166286727</v>
      </c>
      <c r="K8" s="32">
        <f>IF(K6&gt;'total cost'!K5+'cost and income table'!K27,'total cost'!K5+'cost and income table'!K27,K6)</f>
        <v>968.64145279986644</v>
      </c>
      <c r="L8" s="32">
        <f>IF(L6&gt;'total cost'!L5+'cost and income table'!L27,'total cost'!L5+'cost and income table'!L27,L6)</f>
        <v>1000.6792688512221</v>
      </c>
      <c r="M8" s="32">
        <f>IF(M6&gt;'total cost'!M5+'cost and income table'!M27,'total cost'!M5+'cost and income table'!M27,M6)</f>
        <v>686.21952143684189</v>
      </c>
      <c r="N8" s="32">
        <f>IF(N6&gt;'total cost'!N5+'cost and income table'!N27,'total cost'!N5+'cost and income table'!N27,N6)</f>
        <v>0</v>
      </c>
      <c r="O8" s="32">
        <f>IF(O6&gt;'total cost'!O5+'cost and income table'!O27,'total cost'!O5+'cost and income table'!O27,O6)</f>
        <v>0</v>
      </c>
      <c r="P8" s="32">
        <f>IF(P6&gt;'total cost'!P5+'cost and income table'!P27,'total cost'!P5+'cost and income table'!P27,P6)</f>
        <v>0</v>
      </c>
      <c r="Q8" s="32">
        <f>IF(Q6&gt;'total cost'!Q5+'cost and income table'!Q27,'total cost'!Q5+'cost and income table'!Q27,Q6)</f>
        <v>0</v>
      </c>
      <c r="R8" s="32">
        <f>IF(R6&gt;'total cost'!R5+'cost and income table'!R27,'total cost'!R5+'cost and income table'!R27,R6)</f>
        <v>0</v>
      </c>
      <c r="S8" s="32">
        <f>IF(S6&gt;'total cost'!S5+'cost and income table'!S27,'total cost'!S5+'cost and income table'!S27,S6)</f>
        <v>0</v>
      </c>
    </row>
    <row r="9" spans="1:19" x14ac:dyDescent="0.25">
      <c r="A9" s="59"/>
      <c r="B9" s="58" t="s">
        <v>132</v>
      </c>
      <c r="C9" s="40">
        <f>SUM(D9:S9)</f>
        <v>2025.486830400996</v>
      </c>
      <c r="D9" s="33">
        <v>0</v>
      </c>
      <c r="E9" s="32">
        <f>E6*'basic parameters'!$C$15</f>
        <v>423.59030000000007</v>
      </c>
      <c r="F9" s="32">
        <f>F6*'basic parameters'!$C$15</f>
        <v>372.74045080734004</v>
      </c>
      <c r="G9" s="32">
        <f>G6*'basic parameters'!$C$15</f>
        <v>320.20874285263278</v>
      </c>
      <c r="H9" s="32">
        <f>H6*'basic parameters'!$C$15</f>
        <v>265.93954865732366</v>
      </c>
      <c r="I9" s="32">
        <f>I6*'basic parameters'!$C$15</f>
        <v>220.53820826508152</v>
      </c>
      <c r="J9" s="32">
        <f>J6*'basic parameters'!$C$15</f>
        <v>176.06531063278908</v>
      </c>
      <c r="K9" s="32">
        <f>K6*'basic parameters'!$C$15</f>
        <v>130.12147191130859</v>
      </c>
      <c r="L9" s="32">
        <f>L6*'basic parameters'!$C$15</f>
        <v>82.658040724115139</v>
      </c>
      <c r="M9" s="32">
        <f>M6*'basic parameters'!$C$15</f>
        <v>33.624756550405252</v>
      </c>
      <c r="N9" s="32">
        <f>N6*'basic parameters'!$C$15</f>
        <v>0</v>
      </c>
      <c r="O9" s="32">
        <f>O6*'basic parameters'!$C$15</f>
        <v>0</v>
      </c>
      <c r="P9" s="32">
        <f>P6*'basic parameters'!$C$15</f>
        <v>0</v>
      </c>
      <c r="Q9" s="32">
        <f>Q6*'basic parameters'!$C$15</f>
        <v>0</v>
      </c>
      <c r="R9" s="32">
        <f>R6*'basic parameters'!$C$15</f>
        <v>0</v>
      </c>
      <c r="S9" s="32">
        <f>S6*'basic parameters'!$C$15</f>
        <v>0</v>
      </c>
    </row>
    <row r="10" spans="1:19" x14ac:dyDescent="0.25">
      <c r="A10" s="59">
        <v>1.3</v>
      </c>
      <c r="B10" s="61" t="s">
        <v>78</v>
      </c>
      <c r="C10" s="33"/>
      <c r="D10" s="33">
        <v>0</v>
      </c>
      <c r="E10" s="32">
        <f>E6-E8</f>
        <v>7606.9479756600003</v>
      </c>
      <c r="F10" s="32">
        <f t="shared" ref="F10:S10" si="2">F6-F8</f>
        <v>6534.8723031149548</v>
      </c>
      <c r="G10" s="32">
        <f t="shared" si="2"/>
        <v>5427.337727700482</v>
      </c>
      <c r="H10" s="32">
        <f t="shared" si="2"/>
        <v>4500.7797605118676</v>
      </c>
      <c r="I10" s="32">
        <f t="shared" si="2"/>
        <v>3593.1696047507976</v>
      </c>
      <c r="J10" s="32">
        <f t="shared" si="2"/>
        <v>2655.5402430879303</v>
      </c>
      <c r="K10" s="32">
        <f t="shared" si="2"/>
        <v>1686.898790288064</v>
      </c>
      <c r="L10" s="32">
        <f t="shared" si="2"/>
        <v>686.21952143684189</v>
      </c>
      <c r="M10" s="32">
        <f t="shared" si="2"/>
        <v>0</v>
      </c>
      <c r="N10" s="32">
        <f t="shared" si="2"/>
        <v>0</v>
      </c>
      <c r="O10" s="32">
        <f t="shared" si="2"/>
        <v>0</v>
      </c>
      <c r="P10" s="32">
        <f t="shared" si="2"/>
        <v>0</v>
      </c>
      <c r="Q10" s="32">
        <f t="shared" si="2"/>
        <v>0</v>
      </c>
      <c r="R10" s="32">
        <f t="shared" si="2"/>
        <v>0</v>
      </c>
      <c r="S10" s="32">
        <f t="shared" si="2"/>
        <v>0</v>
      </c>
    </row>
    <row r="11" spans="1:19" x14ac:dyDescent="0.25">
      <c r="A11" s="59"/>
      <c r="B11" s="60"/>
      <c r="C11" s="33"/>
      <c r="D11" s="3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x14ac:dyDescent="0.25">
      <c r="A12" s="57">
        <v>2</v>
      </c>
      <c r="B12" s="58" t="s">
        <v>79</v>
      </c>
      <c r="C12" s="33"/>
      <c r="D12" s="33"/>
      <c r="E12" s="32"/>
      <c r="F12" s="33"/>
      <c r="G12" s="43"/>
      <c r="H12" s="33"/>
      <c r="I12" s="43"/>
      <c r="J12" s="33"/>
      <c r="K12" s="43"/>
      <c r="L12" s="33"/>
      <c r="M12" s="33"/>
      <c r="N12" s="33"/>
      <c r="O12" s="33"/>
      <c r="P12" s="43"/>
      <c r="Q12" s="33"/>
      <c r="R12" s="43"/>
      <c r="S12" s="33"/>
    </row>
    <row r="13" spans="1:19" x14ac:dyDescent="0.25">
      <c r="A13" s="59">
        <v>2.1</v>
      </c>
      <c r="B13" s="58" t="s">
        <v>80</v>
      </c>
      <c r="C13" s="33"/>
      <c r="D13" s="33">
        <v>0</v>
      </c>
      <c r="E13" s="32">
        <f>'basic parameters'!$C$13</f>
        <v>154</v>
      </c>
      <c r="F13" s="32">
        <f>'basic parameters'!$C$13</f>
        <v>154</v>
      </c>
      <c r="G13" s="32">
        <f>'basic parameters'!$C$13</f>
        <v>154</v>
      </c>
      <c r="H13" s="32">
        <f>'basic parameters'!$C$13</f>
        <v>154</v>
      </c>
      <c r="I13" s="32">
        <f>'basic parameters'!$C$13</f>
        <v>154</v>
      </c>
      <c r="J13" s="32">
        <f>'basic parameters'!$C$13</f>
        <v>154</v>
      </c>
      <c r="K13" s="32">
        <f>'basic parameters'!$C$13</f>
        <v>154</v>
      </c>
      <c r="L13" s="32">
        <f>'basic parameters'!$C$13</f>
        <v>154</v>
      </c>
      <c r="M13" s="32">
        <f>'basic parameters'!$C$13</f>
        <v>154</v>
      </c>
      <c r="N13" s="32">
        <f>'basic parameters'!$C$13</f>
        <v>154</v>
      </c>
      <c r="O13" s="32">
        <f>'basic parameters'!$C$13</f>
        <v>154</v>
      </c>
      <c r="P13" s="32">
        <f>'basic parameters'!$C$13</f>
        <v>154</v>
      </c>
      <c r="Q13" s="32">
        <f>'basic parameters'!$C$13</f>
        <v>154</v>
      </c>
      <c r="R13" s="32">
        <f>'basic parameters'!$C$13</f>
        <v>154</v>
      </c>
      <c r="S13" s="32">
        <f>'basic parameters'!$C$13</f>
        <v>154</v>
      </c>
    </row>
    <row r="14" spans="1:19" x14ac:dyDescent="0.25">
      <c r="A14" s="59">
        <v>2.2000000000000002</v>
      </c>
      <c r="B14" s="58" t="s">
        <v>81</v>
      </c>
      <c r="C14" s="33"/>
      <c r="D14" s="33">
        <v>0</v>
      </c>
      <c r="E14" s="32">
        <f>'basic parameters'!$C$13*'basic parameters'!$C$16</f>
        <v>6.6989999999999998</v>
      </c>
      <c r="F14" s="32">
        <f>'basic parameters'!$C$13*'basic parameters'!$C$16</f>
        <v>6.6989999999999998</v>
      </c>
      <c r="G14" s="32">
        <f>'basic parameters'!$C$13*'basic parameters'!$C$16</f>
        <v>6.6989999999999998</v>
      </c>
      <c r="H14" s="32">
        <f>'basic parameters'!$C$13*'basic parameters'!$C$16</f>
        <v>6.6989999999999998</v>
      </c>
      <c r="I14" s="32">
        <f>'basic parameters'!$C$13*'basic parameters'!$C$16</f>
        <v>6.6989999999999998</v>
      </c>
      <c r="J14" s="32">
        <f>'basic parameters'!$C$13*'basic parameters'!$C$16</f>
        <v>6.6989999999999998</v>
      </c>
      <c r="K14" s="32">
        <f>'basic parameters'!$C$13*'basic parameters'!$C$16</f>
        <v>6.6989999999999998</v>
      </c>
      <c r="L14" s="32">
        <f>'basic parameters'!$C$13*'basic parameters'!$C$16</f>
        <v>6.6989999999999998</v>
      </c>
      <c r="M14" s="32">
        <f>'basic parameters'!$C$13*'basic parameters'!$C$16</f>
        <v>6.6989999999999998</v>
      </c>
      <c r="N14" s="32">
        <f>'basic parameters'!$C$13*'basic parameters'!$C$16</f>
        <v>6.6989999999999998</v>
      </c>
      <c r="O14" s="32">
        <f>'basic parameters'!$C$13*'basic parameters'!$C$16</f>
        <v>6.6989999999999998</v>
      </c>
      <c r="P14" s="32">
        <f>'basic parameters'!$C$13*'basic parameters'!$C$16</f>
        <v>6.6989999999999998</v>
      </c>
      <c r="Q14" s="32">
        <f>'basic parameters'!$C$13*'basic parameters'!$C$16</f>
        <v>6.6989999999999998</v>
      </c>
      <c r="R14" s="32">
        <f>'basic parameters'!$C$13*'basic parameters'!$C$16</f>
        <v>6.6989999999999998</v>
      </c>
      <c r="S14" s="32">
        <f>'basic parameters'!$C$13*'basic parameters'!$C$16</f>
        <v>6.6989999999999998</v>
      </c>
    </row>
    <row r="15" spans="1:19" x14ac:dyDescent="0.25">
      <c r="A15" s="59">
        <v>2.2999999999999998</v>
      </c>
      <c r="B15" s="58" t="s">
        <v>82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2">
        <f>'basic parameters'!$C$13</f>
        <v>154</v>
      </c>
    </row>
    <row r="16" spans="1:19" x14ac:dyDescent="0.25">
      <c r="A16" s="59"/>
      <c r="B16" s="60"/>
      <c r="C16" s="33"/>
      <c r="D16" s="33"/>
      <c r="E16" s="43"/>
      <c r="F16" s="33"/>
      <c r="G16" s="43"/>
      <c r="H16" s="33"/>
      <c r="I16" s="43"/>
      <c r="J16" s="33"/>
      <c r="K16" s="43"/>
      <c r="L16" s="33"/>
      <c r="M16" s="33"/>
      <c r="N16" s="33"/>
      <c r="O16" s="33"/>
      <c r="P16" s="43"/>
      <c r="Q16" s="33"/>
      <c r="R16" s="43"/>
      <c r="S16" s="33"/>
    </row>
    <row r="17" spans="1:19" x14ac:dyDescent="0.25">
      <c r="A17" s="57">
        <v>3</v>
      </c>
      <c r="B17" s="60" t="s">
        <v>83</v>
      </c>
      <c r="C17" s="33"/>
      <c r="D17" s="33"/>
      <c r="E17" s="43"/>
      <c r="F17" s="33"/>
      <c r="G17" s="43"/>
      <c r="H17" s="33"/>
      <c r="I17" s="43"/>
      <c r="J17" s="33"/>
      <c r="K17" s="43"/>
      <c r="L17" s="33"/>
      <c r="M17" s="33"/>
      <c r="N17" s="33"/>
      <c r="O17" s="33"/>
      <c r="P17" s="43"/>
      <c r="Q17" s="33"/>
      <c r="R17" s="43"/>
      <c r="S17" s="33"/>
    </row>
    <row r="18" spans="1:19" x14ac:dyDescent="0.25">
      <c r="A18" s="59">
        <v>3.1</v>
      </c>
      <c r="B18" s="58" t="s">
        <v>84</v>
      </c>
      <c r="C18" s="33"/>
      <c r="D18" s="33"/>
      <c r="E18" s="43"/>
      <c r="F18" s="33"/>
      <c r="G18" s="43"/>
      <c r="H18" s="33"/>
      <c r="I18" s="43"/>
      <c r="J18" s="33"/>
      <c r="K18" s="43"/>
      <c r="L18" s="33"/>
      <c r="M18" s="33"/>
      <c r="N18" s="33"/>
      <c r="O18" s="33"/>
      <c r="P18" s="43"/>
      <c r="Q18" s="33"/>
      <c r="R18" s="43"/>
      <c r="S18" s="33"/>
    </row>
    <row r="19" spans="1:19" x14ac:dyDescent="0.25">
      <c r="A19" s="59">
        <v>3.2</v>
      </c>
      <c r="B19" s="60" t="s">
        <v>83</v>
      </c>
      <c r="C19" s="33"/>
      <c r="D19" s="33"/>
      <c r="E19" s="43"/>
      <c r="F19" s="33"/>
      <c r="G19" s="43"/>
      <c r="H19" s="33"/>
      <c r="I19" s="43"/>
      <c r="J19" s="33"/>
      <c r="K19" s="43"/>
      <c r="L19" s="33"/>
      <c r="M19" s="33"/>
      <c r="N19" s="33"/>
      <c r="O19" s="33"/>
      <c r="P19" s="43"/>
      <c r="Q19" s="33"/>
      <c r="R19" s="43"/>
      <c r="S19" s="33"/>
    </row>
    <row r="20" spans="1:19" x14ac:dyDescent="0.25">
      <c r="A20" s="59">
        <v>3.3</v>
      </c>
      <c r="B20" s="58" t="s">
        <v>85</v>
      </c>
      <c r="C20" s="62"/>
      <c r="D20" s="62"/>
      <c r="E20" s="60"/>
      <c r="F20" s="62"/>
      <c r="G20" s="60"/>
      <c r="H20" s="62"/>
      <c r="I20" s="60"/>
      <c r="J20" s="62"/>
      <c r="K20" s="60"/>
      <c r="L20" s="62"/>
      <c r="M20" s="62"/>
      <c r="N20" s="62"/>
      <c r="O20" s="62"/>
      <c r="P20" s="60"/>
      <c r="Q20" s="62"/>
      <c r="R20" s="60"/>
      <c r="S20" s="62"/>
    </row>
    <row r="21" spans="1:19" x14ac:dyDescent="0.25">
      <c r="A21" s="59"/>
      <c r="B21" s="60"/>
      <c r="C21" s="62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2"/>
      <c r="O21" s="60"/>
      <c r="P21" s="60"/>
      <c r="Q21" s="60"/>
      <c r="R21" s="60"/>
      <c r="S21" s="60"/>
    </row>
    <row r="22" spans="1:19" ht="12" x14ac:dyDescent="0.25">
      <c r="A22" s="59"/>
      <c r="B22" s="60" t="s">
        <v>128</v>
      </c>
      <c r="C22" s="63"/>
      <c r="D22" s="64">
        <v>0</v>
      </c>
      <c r="E22" s="65">
        <f>'cost and income table'!E29/('Loan repayment'!E9+'Loan repayment'!E14)</f>
        <v>1.8363228572032819</v>
      </c>
      <c r="F22" s="65">
        <f>'cost and income table'!F29/('Loan repayment'!F9+'Loan repayment'!F14)</f>
        <v>2.0824141377992818</v>
      </c>
      <c r="G22" s="65">
        <f>'cost and income table'!G29/('Loan repayment'!G9+'Loan repayment'!G14)</f>
        <v>2.4170430161887992</v>
      </c>
      <c r="H22" s="65">
        <f>'cost and income table'!H29/('Loan repayment'!H9+'Loan repayment'!H14)</f>
        <v>1.7157052487272593</v>
      </c>
      <c r="I22" s="65">
        <f>'cost and income table'!I29/('Loan repayment'!I9+'Loan repayment'!I14)</f>
        <v>1.73517013261331</v>
      </c>
      <c r="J22" s="65">
        <f>'cost and income table'!J29/('Loan repayment'!J9+'Loan repayment'!J14)</f>
        <v>2.1573972261587762</v>
      </c>
      <c r="K22" s="65">
        <f>'cost and income table'!K29/('Loan repayment'!K9+'Loan repayment'!K14)</f>
        <v>2.8818437130928376</v>
      </c>
      <c r="L22" s="65">
        <f>'cost and income table'!L29/('Loan repayment'!L9+'Loan repayment'!L14)</f>
        <v>4.4125814105389223</v>
      </c>
      <c r="M22" s="65">
        <f>'cost and income table'!M29/('Loan repayment'!M9+'Loan repayment'!M14)</f>
        <v>9.7782362193146728</v>
      </c>
      <c r="N22" s="65">
        <f>'cost and income table'!N29/('Loan repayment'!N9+'Loan repayment'!N14)</f>
        <v>58.858817256306892</v>
      </c>
      <c r="O22" s="65">
        <f>'cost and income table'!O29/('Loan repayment'!O9+'Loan repayment'!O14)</f>
        <v>58.858817256306892</v>
      </c>
      <c r="P22" s="65">
        <f>'cost and income table'!P29/('Loan repayment'!P9+'Loan repayment'!P14)</f>
        <v>58.858817256306892</v>
      </c>
      <c r="Q22" s="65">
        <f>'cost and income table'!Q29/('Loan repayment'!Q9+'Loan repayment'!Q14)</f>
        <v>58.858817256306892</v>
      </c>
      <c r="R22" s="65">
        <f>'cost and income table'!R29/('Loan repayment'!R9+'Loan repayment'!R14)</f>
        <v>58.858817256306892</v>
      </c>
      <c r="S22" s="65">
        <f>'cost and income table'!S29/('Loan repayment'!S9+'Loan repayment'!S14)</f>
        <v>58.858817256306892</v>
      </c>
    </row>
    <row r="23" spans="1:19" ht="12.5" thickBot="1" x14ac:dyDescent="0.3">
      <c r="A23" s="66"/>
      <c r="B23" s="67" t="s">
        <v>129</v>
      </c>
      <c r="C23" s="68"/>
      <c r="D23" s="69">
        <v>0</v>
      </c>
      <c r="E23" s="70">
        <f>'cost and income table'!E30/('Loan repayment'!E7+'Loan repayment'!E14)</f>
        <v>1.0796672072651499</v>
      </c>
      <c r="F23" s="70">
        <f>'cost and income table'!F30/('Loan repayment'!F7+'Loan repayment'!F14)</f>
        <v>1.0919597400675578</v>
      </c>
      <c r="G23" s="70">
        <f>'cost and income table'!G30/('Loan repayment'!G7+'Loan repayment'!G14)</f>
        <v>1.1049563001702098</v>
      </c>
      <c r="H23" s="70">
        <f>'cost and income table'!H30/('Loan repayment'!H7+'Loan repayment'!H14)</f>
        <v>1.052882802987531</v>
      </c>
      <c r="I23" s="70">
        <f>'cost and income table'!I30/('Loan repayment'!I7+'Loan repayment'!I14)</f>
        <v>1.0478424275324811</v>
      </c>
      <c r="J23" s="70">
        <f>'cost and income table'!J30/('Loan repayment'!J7+'Loan repayment'!J14)</f>
        <v>1.0613601684874583</v>
      </c>
      <c r="K23" s="70">
        <f>'cost and income table'!K30/('Loan repayment'!K7+'Loan repayment'!K14)</f>
        <v>1.075696222744793</v>
      </c>
      <c r="L23" s="70">
        <f>'cost and income table'!L30/('Loan repayment'!L7+'Loan repayment'!L14)</f>
        <v>1.0909189045851806</v>
      </c>
      <c r="M23" s="70">
        <f>'cost and income table'!M30/('Loan repayment'!M7+'Loan repayment'!M14)</f>
        <v>1.6367107821770703</v>
      </c>
      <c r="N23" s="70">
        <f>'cost and income table'!N30/('Loan repayment'!N7+'Loan repayment'!N14)</f>
        <v>177.51025776981635</v>
      </c>
      <c r="O23" s="70">
        <f>'cost and income table'!O30/('Loan repayment'!O7+'Loan repayment'!O14)</f>
        <v>177.51025776981635</v>
      </c>
      <c r="P23" s="70">
        <f>'cost and income table'!P30/('Loan repayment'!P7+'Loan repayment'!P14)</f>
        <v>177.51025776981635</v>
      </c>
      <c r="Q23" s="70">
        <f>'cost and income table'!Q30/('Loan repayment'!Q7+'Loan repayment'!Q14)</f>
        <v>177.51025776981635</v>
      </c>
      <c r="R23" s="70">
        <f>'cost and income table'!R30/('Loan repayment'!R7+'Loan repayment'!R14)</f>
        <v>177.51025776981635</v>
      </c>
      <c r="S23" s="70">
        <f>'cost and income table'!S30/('Loan repayment'!S7+'Loan repayment'!S14)</f>
        <v>177.51025776981635</v>
      </c>
    </row>
    <row r="24" spans="1:19" ht="12" thickTop="1" x14ac:dyDescent="0.25"/>
    <row r="26" spans="1:19" x14ac:dyDescent="0.25">
      <c r="E26" s="164">
        <f>'total cost'!E5+'cost and income table'!E27</f>
        <v>1037.7520243400002</v>
      </c>
      <c r="F26" s="164">
        <f>'total cost'!F5+'cost and income table'!F27</f>
        <v>1072.0756725450456</v>
      </c>
      <c r="G26" s="164">
        <f>'total cost'!G5+'cost and income table'!G27</f>
        <v>1107.5345754144728</v>
      </c>
      <c r="H26" s="164">
        <f>'total cost'!H5+'cost and income table'!H27</f>
        <v>926.55796718861438</v>
      </c>
      <c r="I26" s="164">
        <f>'total cost'!I5+'cost and income table'!I27</f>
        <v>907.61015576106979</v>
      </c>
      <c r="J26" s="164">
        <f>'total cost'!J5+'cost and income table'!J27</f>
        <v>937.62936166286727</v>
      </c>
      <c r="K26" s="164">
        <f>'total cost'!K5+'cost and income table'!K27</f>
        <v>968.64145279986644</v>
      </c>
      <c r="L26" s="164">
        <f>'total cost'!L5+'cost and income table'!L27</f>
        <v>1000.6792688512221</v>
      </c>
      <c r="M26" s="164">
        <f>'total cost'!M5+'cost and income table'!M27</f>
        <v>1033.7767356684762</v>
      </c>
      <c r="N26" s="164">
        <f>'total cost'!N5+'cost and income table'!N27</f>
        <v>1056.4734463399998</v>
      </c>
      <c r="O26" s="164">
        <f>'total cost'!O5+'cost and income table'!O27</f>
        <v>1056.4734463399998</v>
      </c>
      <c r="P26" s="164">
        <f>'total cost'!P5+'cost and income table'!P27</f>
        <v>1056.4734463399998</v>
      </c>
      <c r="Q26" s="164">
        <f>'total cost'!Q5+'cost and income table'!Q27</f>
        <v>1056.4734463399998</v>
      </c>
      <c r="R26" s="164">
        <f>'total cost'!R5+'cost and income table'!R27</f>
        <v>1056.4734463399998</v>
      </c>
    </row>
    <row r="27" spans="1:19" x14ac:dyDescent="0.25">
      <c r="E27" s="165">
        <f>'total cost'!E5</f>
        <v>794.84599999999989</v>
      </c>
    </row>
    <row r="28" spans="1:19" x14ac:dyDescent="0.25">
      <c r="E28" s="165">
        <f>'cost and income table'!E27</f>
        <v>242.90602434000022</v>
      </c>
    </row>
  </sheetData>
  <mergeCells count="4">
    <mergeCell ref="A3:A4"/>
    <mergeCell ref="B3:B4"/>
    <mergeCell ref="C3:C4"/>
    <mergeCell ref="D3:S3"/>
  </mergeCells>
  <phoneticPr fontId="3" type="noConversion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="85" zoomScaleNormal="85" workbookViewId="0">
      <selection activeCell="F22" sqref="F22"/>
    </sheetView>
  </sheetViews>
  <sheetFormatPr defaultColWidth="9" defaultRowHeight="11.5" x14ac:dyDescent="0.25"/>
  <cols>
    <col min="1" max="1" width="4.58203125" style="23" customWidth="1"/>
    <col min="2" max="2" width="22.08203125" style="23" customWidth="1"/>
    <col min="3" max="16384" width="9" style="23"/>
  </cols>
  <sheetData>
    <row r="1" spans="1:19" x14ac:dyDescent="0.25">
      <c r="A1" s="22" t="s">
        <v>19</v>
      </c>
    </row>
    <row r="2" spans="1:19" ht="13.5" thickBot="1" x14ac:dyDescent="0.3">
      <c r="A2" s="24" t="s">
        <v>126</v>
      </c>
    </row>
    <row r="3" spans="1:19" s="48" customFormat="1" ht="12" thickTop="1" x14ac:dyDescent="0.25">
      <c r="A3" s="186" t="s">
        <v>20</v>
      </c>
      <c r="B3" s="188" t="s">
        <v>21</v>
      </c>
      <c r="C3" s="189" t="s">
        <v>22</v>
      </c>
      <c r="D3" s="191" t="s">
        <v>23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s="48" customFormat="1" x14ac:dyDescent="0.25">
      <c r="A4" s="187"/>
      <c r="B4" s="182"/>
      <c r="C4" s="190"/>
      <c r="D4" s="28">
        <v>1</v>
      </c>
      <c r="E4" s="27">
        <v>2</v>
      </c>
      <c r="F4" s="28">
        <v>3</v>
      </c>
      <c r="G4" s="27">
        <v>4</v>
      </c>
      <c r="H4" s="28">
        <v>5</v>
      </c>
      <c r="I4" s="27">
        <v>6</v>
      </c>
      <c r="J4" s="28">
        <v>7</v>
      </c>
      <c r="K4" s="27">
        <v>8</v>
      </c>
      <c r="L4" s="28">
        <v>9</v>
      </c>
      <c r="M4" s="27">
        <v>10</v>
      </c>
      <c r="N4" s="28" t="s">
        <v>0</v>
      </c>
      <c r="O4" s="28">
        <v>12</v>
      </c>
      <c r="P4" s="27">
        <v>13</v>
      </c>
      <c r="Q4" s="28">
        <v>14</v>
      </c>
      <c r="R4" s="28">
        <v>15</v>
      </c>
      <c r="S4" s="28">
        <v>16</v>
      </c>
    </row>
    <row r="5" spans="1:19" x14ac:dyDescent="0.25">
      <c r="A5" s="30">
        <v>1</v>
      </c>
      <c r="B5" s="31" t="s">
        <v>127</v>
      </c>
      <c r="C5" s="32">
        <f t="shared" ref="C5:C16" si="0">SUM(D5:S5)</f>
        <v>11922.689999999995</v>
      </c>
      <c r="D5" s="33">
        <v>0</v>
      </c>
      <c r="E5" s="32">
        <f>'basic parameters'!$C$6*'basic parameters'!$C$31</f>
        <v>794.84599999999989</v>
      </c>
      <c r="F5" s="32">
        <f>'basic parameters'!$C$6*'basic parameters'!$C$31</f>
        <v>794.84599999999989</v>
      </c>
      <c r="G5" s="32">
        <f>'basic parameters'!$C$6*'basic parameters'!$C$31</f>
        <v>794.84599999999989</v>
      </c>
      <c r="H5" s="32">
        <f>'basic parameters'!$C$6*'basic parameters'!$C$31</f>
        <v>794.84599999999989</v>
      </c>
      <c r="I5" s="32">
        <f>'basic parameters'!$C$6*'basic parameters'!$C$31</f>
        <v>794.84599999999989</v>
      </c>
      <c r="J5" s="32">
        <f>'basic parameters'!$C$6*'basic parameters'!$C$31</f>
        <v>794.84599999999989</v>
      </c>
      <c r="K5" s="32">
        <f>'basic parameters'!$C$6*'basic parameters'!$C$31</f>
        <v>794.84599999999989</v>
      </c>
      <c r="L5" s="32">
        <f>'basic parameters'!$C$6*'basic parameters'!$C$31</f>
        <v>794.84599999999989</v>
      </c>
      <c r="M5" s="32">
        <f>'basic parameters'!$C$6*'basic parameters'!$C$31</f>
        <v>794.84599999999989</v>
      </c>
      <c r="N5" s="32">
        <f>'basic parameters'!$C$6*'basic parameters'!$C$31</f>
        <v>794.84599999999989</v>
      </c>
      <c r="O5" s="32">
        <f>'basic parameters'!$C$6*'basic parameters'!$C$31</f>
        <v>794.84599999999989</v>
      </c>
      <c r="P5" s="32">
        <f>'basic parameters'!$C$6*'basic parameters'!$C$31</f>
        <v>794.84599999999989</v>
      </c>
      <c r="Q5" s="32">
        <f>'basic parameters'!$C$6*'basic parameters'!$C$31</f>
        <v>794.84599999999989</v>
      </c>
      <c r="R5" s="32">
        <f>'basic parameters'!$C$6*'basic parameters'!$C$31</f>
        <v>794.84599999999989</v>
      </c>
      <c r="S5" s="32">
        <f>'basic parameters'!$C$6*'basic parameters'!$C$31</f>
        <v>794.84599999999989</v>
      </c>
    </row>
    <row r="6" spans="1:19" x14ac:dyDescent="0.25">
      <c r="A6" s="30">
        <v>2</v>
      </c>
      <c r="B6" s="31" t="s">
        <v>24</v>
      </c>
      <c r="C6" s="32">
        <f t="shared" si="0"/>
        <v>7530.1199999999981</v>
      </c>
      <c r="D6" s="33">
        <v>0</v>
      </c>
      <c r="E6" s="49">
        <f>'basic parameters'!$C$32*'basic parameters'!$C$6</f>
        <v>502.00800000000004</v>
      </c>
      <c r="F6" s="49">
        <f>'basic parameters'!$C$32*'basic parameters'!$C$6</f>
        <v>502.00800000000004</v>
      </c>
      <c r="G6" s="32">
        <f>'basic parameters'!$C$32*'basic parameters'!$C$6</f>
        <v>502.00800000000004</v>
      </c>
      <c r="H6" s="32">
        <f>'basic parameters'!$C$32*'basic parameters'!$C$6</f>
        <v>502.00800000000004</v>
      </c>
      <c r="I6" s="32">
        <f>'basic parameters'!$C$32*'basic parameters'!$C$6</f>
        <v>502.00800000000004</v>
      </c>
      <c r="J6" s="32">
        <f>'basic parameters'!$C$32*'basic parameters'!$C$6</f>
        <v>502.00800000000004</v>
      </c>
      <c r="K6" s="32">
        <f>'basic parameters'!$C$32*'basic parameters'!$C$6</f>
        <v>502.00800000000004</v>
      </c>
      <c r="L6" s="32">
        <f>'basic parameters'!$C$32*'basic parameters'!$C$6</f>
        <v>502.00800000000004</v>
      </c>
      <c r="M6" s="32">
        <f>'basic parameters'!$C$32*'basic parameters'!$C$6</f>
        <v>502.00800000000004</v>
      </c>
      <c r="N6" s="32">
        <f>'basic parameters'!$C$32*'basic parameters'!$C$6</f>
        <v>502.00800000000004</v>
      </c>
      <c r="O6" s="32">
        <f>'basic parameters'!$C$32*'basic parameters'!$C$6</f>
        <v>502.00800000000004</v>
      </c>
      <c r="P6" s="32">
        <f>'basic parameters'!$C$32*'basic parameters'!$C$6</f>
        <v>502.00800000000004</v>
      </c>
      <c r="Q6" s="32">
        <f>'basic parameters'!$C$32*'basic parameters'!$C$6</f>
        <v>502.00800000000004</v>
      </c>
      <c r="R6" s="32">
        <f>'basic parameters'!$C$32*'basic parameters'!$C$6</f>
        <v>502.00800000000004</v>
      </c>
      <c r="S6" s="32">
        <f>'basic parameters'!$C$32*'basic parameters'!$C$6</f>
        <v>502.00800000000004</v>
      </c>
    </row>
    <row r="7" spans="1:19" x14ac:dyDescent="0.25">
      <c r="A7" s="30">
        <v>3</v>
      </c>
      <c r="B7" s="26" t="s">
        <v>10</v>
      </c>
      <c r="C7" s="32">
        <f t="shared" si="0"/>
        <v>1800</v>
      </c>
      <c r="D7" s="33">
        <v>0</v>
      </c>
      <c r="E7" s="49">
        <f>'basic parameters'!$C$33*'basic parameters'!$C$34/10000</f>
        <v>120</v>
      </c>
      <c r="F7" s="49">
        <f>'basic parameters'!$C$33*'basic parameters'!$C$34/10000</f>
        <v>120</v>
      </c>
      <c r="G7" s="32">
        <f>'basic parameters'!$C$33*'basic parameters'!$C$34/10000</f>
        <v>120</v>
      </c>
      <c r="H7" s="32">
        <f>'basic parameters'!$C$33*'basic parameters'!$C$34/10000</f>
        <v>120</v>
      </c>
      <c r="I7" s="32">
        <f>'basic parameters'!$C$33*'basic parameters'!$C$34/10000</f>
        <v>120</v>
      </c>
      <c r="J7" s="32">
        <f>'basic parameters'!$C$33*'basic parameters'!$C$34/10000</f>
        <v>120</v>
      </c>
      <c r="K7" s="32">
        <f>'basic parameters'!$C$33*'basic parameters'!$C$34/10000</f>
        <v>120</v>
      </c>
      <c r="L7" s="32">
        <f>'basic parameters'!$C$33*'basic parameters'!$C$34/10000</f>
        <v>120</v>
      </c>
      <c r="M7" s="32">
        <f>'basic parameters'!$C$33*'basic parameters'!$C$34/10000</f>
        <v>120</v>
      </c>
      <c r="N7" s="32">
        <f>'basic parameters'!$C$33*'basic parameters'!$C$34/10000</f>
        <v>120</v>
      </c>
      <c r="O7" s="32">
        <f>'basic parameters'!$C$33*'basic parameters'!$C$34/10000</f>
        <v>120</v>
      </c>
      <c r="P7" s="32">
        <f>'basic parameters'!$C$33*'basic parameters'!$C$34/10000</f>
        <v>120</v>
      </c>
      <c r="Q7" s="32">
        <f>'basic parameters'!$C$33*'basic parameters'!$C$34/10000</f>
        <v>120</v>
      </c>
      <c r="R7" s="32">
        <f>'basic parameters'!$C$33*'basic parameters'!$C$34/10000</f>
        <v>120</v>
      </c>
      <c r="S7" s="32">
        <f>'basic parameters'!$C$33*'basic parameters'!$C$34/10000</f>
        <v>120</v>
      </c>
    </row>
    <row r="8" spans="1:19" x14ac:dyDescent="0.25">
      <c r="A8" s="30">
        <v>4</v>
      </c>
      <c r="B8" s="26" t="s">
        <v>9</v>
      </c>
      <c r="C8" s="32">
        <f t="shared" si="0"/>
        <v>252.00000000000014</v>
      </c>
      <c r="D8" s="33">
        <v>0</v>
      </c>
      <c r="E8" s="49">
        <f>'basic parameters'!$C$33*'basic parameters'!$C$34*'basic parameters'!$C$35/10000</f>
        <v>16.800000000000004</v>
      </c>
      <c r="F8" s="49">
        <f>'basic parameters'!$C$33*'basic parameters'!$C$34*'basic parameters'!$C$35/10000</f>
        <v>16.800000000000004</v>
      </c>
      <c r="G8" s="32">
        <f>'basic parameters'!$C$33*'basic parameters'!$C$34*'basic parameters'!$C$35/10000</f>
        <v>16.800000000000004</v>
      </c>
      <c r="H8" s="32">
        <f>'basic parameters'!$C$33*'basic parameters'!$C$34*'basic parameters'!$C$35/10000</f>
        <v>16.800000000000004</v>
      </c>
      <c r="I8" s="32">
        <f>'basic parameters'!$C$33*'basic parameters'!$C$34*'basic parameters'!$C$35/10000</f>
        <v>16.800000000000004</v>
      </c>
      <c r="J8" s="32">
        <f>'basic parameters'!$C$33*'basic parameters'!$C$34*'basic parameters'!$C$35/10000</f>
        <v>16.800000000000004</v>
      </c>
      <c r="K8" s="32">
        <f>'basic parameters'!$C$33*'basic parameters'!$C$34*'basic parameters'!$C$35/10000</f>
        <v>16.800000000000004</v>
      </c>
      <c r="L8" s="32">
        <f>'basic parameters'!$C$33*'basic parameters'!$C$34*'basic parameters'!$C$35/10000</f>
        <v>16.800000000000004</v>
      </c>
      <c r="M8" s="32">
        <f>'basic parameters'!$C$33*'basic parameters'!$C$34*'basic parameters'!$C$35/10000</f>
        <v>16.800000000000004</v>
      </c>
      <c r="N8" s="32">
        <f>'basic parameters'!$C$33*'basic parameters'!$C$34*'basic parameters'!$C$35/10000</f>
        <v>16.800000000000004</v>
      </c>
      <c r="O8" s="32">
        <f>'basic parameters'!$C$33*'basic parameters'!$C$34*'basic parameters'!$C$35/10000</f>
        <v>16.800000000000004</v>
      </c>
      <c r="P8" s="32">
        <f>'basic parameters'!$C$33*'basic parameters'!$C$34*'basic parameters'!$C$35/10000</f>
        <v>16.800000000000004</v>
      </c>
      <c r="Q8" s="32">
        <f>'basic parameters'!$C$33*'basic parameters'!$C$34*'basic parameters'!$C$35/10000</f>
        <v>16.800000000000004</v>
      </c>
      <c r="R8" s="32">
        <f>'basic parameters'!$C$33*'basic parameters'!$C$34*'basic parameters'!$C$35/10000</f>
        <v>16.800000000000004</v>
      </c>
      <c r="S8" s="32">
        <f>'basic parameters'!$C$33*'basic parameters'!$C$34*'basic parameters'!$C$35/10000</f>
        <v>16.800000000000004</v>
      </c>
    </row>
    <row r="9" spans="1:19" x14ac:dyDescent="0.25">
      <c r="A9" s="30">
        <v>5</v>
      </c>
      <c r="B9" s="26" t="s">
        <v>25</v>
      </c>
      <c r="C9" s="32">
        <f t="shared" si="0"/>
        <v>306</v>
      </c>
      <c r="D9" s="33">
        <v>0</v>
      </c>
      <c r="E9" s="49">
        <f>'basic parameters'!$C$33*'basic parameters'!$C$34*'basic parameters'!$C$36/10000</f>
        <v>20.400000000000002</v>
      </c>
      <c r="F9" s="49">
        <f>'basic parameters'!$C$33*'basic parameters'!$C$34*'basic parameters'!$C$36/10000</f>
        <v>20.400000000000002</v>
      </c>
      <c r="G9" s="32">
        <f>'basic parameters'!$C$33*'basic parameters'!$C$34*'basic parameters'!$C$36/10000</f>
        <v>20.400000000000002</v>
      </c>
      <c r="H9" s="32">
        <f>'basic parameters'!$C$33*'basic parameters'!$C$34*'basic parameters'!$C$36/10000</f>
        <v>20.400000000000002</v>
      </c>
      <c r="I9" s="32">
        <f>'basic parameters'!$C$33*'basic parameters'!$C$34*'basic parameters'!$C$36/10000</f>
        <v>20.400000000000002</v>
      </c>
      <c r="J9" s="32">
        <f>'basic parameters'!$C$33*'basic parameters'!$C$34*'basic parameters'!$C$36/10000</f>
        <v>20.400000000000002</v>
      </c>
      <c r="K9" s="32">
        <f>'basic parameters'!$C$33*'basic parameters'!$C$34*'basic parameters'!$C$36/10000</f>
        <v>20.400000000000002</v>
      </c>
      <c r="L9" s="32">
        <f>'basic parameters'!$C$33*'basic parameters'!$C$34*'basic parameters'!$C$36/10000</f>
        <v>20.400000000000002</v>
      </c>
      <c r="M9" s="32">
        <f>'basic parameters'!$C$33*'basic parameters'!$C$34*'basic parameters'!$C$36/10000</f>
        <v>20.400000000000002</v>
      </c>
      <c r="N9" s="32">
        <f>'basic parameters'!$C$33*'basic parameters'!$C$34*'basic parameters'!$C$36/10000</f>
        <v>20.400000000000002</v>
      </c>
      <c r="O9" s="32">
        <f>'basic parameters'!$C$33*'basic parameters'!$C$34*'basic parameters'!$C$36/10000</f>
        <v>20.400000000000002</v>
      </c>
      <c r="P9" s="32">
        <f>'basic parameters'!$C$33*'basic parameters'!$C$34*'basic parameters'!$C$36/10000</f>
        <v>20.400000000000002</v>
      </c>
      <c r="Q9" s="32">
        <f>'basic parameters'!$C$33*'basic parameters'!$C$34*'basic parameters'!$C$36/10000</f>
        <v>20.400000000000002</v>
      </c>
      <c r="R9" s="32">
        <f>'basic parameters'!$C$33*'basic parameters'!$C$34*'basic parameters'!$C$36/10000</f>
        <v>20.400000000000002</v>
      </c>
      <c r="S9" s="32">
        <f>'basic parameters'!$C$33*'basic parameters'!$C$34*'basic parameters'!$C$36/10000</f>
        <v>20.400000000000002</v>
      </c>
    </row>
    <row r="10" spans="1:19" x14ac:dyDescent="0.25">
      <c r="A10" s="30">
        <v>6</v>
      </c>
      <c r="B10" s="26" t="s">
        <v>26</v>
      </c>
      <c r="C10" s="32">
        <f t="shared" si="0"/>
        <v>180</v>
      </c>
      <c r="D10" s="33">
        <v>0</v>
      </c>
      <c r="E10" s="49">
        <f>'basic parameters'!$C$33*'basic parameters'!$C$34*'basic parameters'!$C$37/10000</f>
        <v>12</v>
      </c>
      <c r="F10" s="49">
        <f>'basic parameters'!$C$33*'basic parameters'!$C$34*'basic parameters'!$C$37/10000</f>
        <v>12</v>
      </c>
      <c r="G10" s="32">
        <f>'basic parameters'!$C$33*'basic parameters'!$C$34*'basic parameters'!$C$37/10000</f>
        <v>12</v>
      </c>
      <c r="H10" s="32">
        <f>'basic parameters'!$C$33*'basic parameters'!$C$34*'basic parameters'!$C$37/10000</f>
        <v>12</v>
      </c>
      <c r="I10" s="32">
        <f>'basic parameters'!$C$33*'basic parameters'!$C$34*'basic parameters'!$C$37/10000</f>
        <v>12</v>
      </c>
      <c r="J10" s="32">
        <f>'basic parameters'!$C$33*'basic parameters'!$C$34*'basic parameters'!$C$37/10000</f>
        <v>12</v>
      </c>
      <c r="K10" s="32">
        <f>'basic parameters'!$C$33*'basic parameters'!$C$34*'basic parameters'!$C$37/10000</f>
        <v>12</v>
      </c>
      <c r="L10" s="32">
        <f>'basic parameters'!$C$33*'basic parameters'!$C$34*'basic parameters'!$C$37/10000</f>
        <v>12</v>
      </c>
      <c r="M10" s="32">
        <f>'basic parameters'!$C$33*'basic parameters'!$C$34*'basic parameters'!$C$37/10000</f>
        <v>12</v>
      </c>
      <c r="N10" s="32">
        <f>'basic parameters'!$C$33*'basic parameters'!$C$34*'basic parameters'!$C$37/10000</f>
        <v>12</v>
      </c>
      <c r="O10" s="32">
        <f>'basic parameters'!$C$33*'basic parameters'!$C$34*'basic parameters'!$C$37/10000</f>
        <v>12</v>
      </c>
      <c r="P10" s="32">
        <f>'basic parameters'!$C$33*'basic parameters'!$C$34*'basic parameters'!$C$37/10000</f>
        <v>12</v>
      </c>
      <c r="Q10" s="32">
        <f>'basic parameters'!$C$33*'basic parameters'!$C$34*'basic parameters'!$C$37/10000</f>
        <v>12</v>
      </c>
      <c r="R10" s="32">
        <f>'basic parameters'!$C$33*'basic parameters'!$C$34*'basic parameters'!$C$37/10000</f>
        <v>12</v>
      </c>
      <c r="S10" s="32">
        <f>'basic parameters'!$C$33*'basic parameters'!$C$34*'basic parameters'!$C$37/10000</f>
        <v>12</v>
      </c>
    </row>
    <row r="11" spans="1:19" x14ac:dyDescent="0.25">
      <c r="A11" s="30">
        <v>7</v>
      </c>
      <c r="B11" s="31" t="s">
        <v>27</v>
      </c>
      <c r="C11" s="32">
        <f t="shared" si="0"/>
        <v>4894.5780000000013</v>
      </c>
      <c r="D11" s="33">
        <v>0</v>
      </c>
      <c r="E11" s="49">
        <f>'basic parameters'!$C$38*'basic parameters'!$C$6</f>
        <v>326.30520000000007</v>
      </c>
      <c r="F11" s="49">
        <f>'basic parameters'!$C$38*'basic parameters'!$C$6</f>
        <v>326.30520000000007</v>
      </c>
      <c r="G11" s="32">
        <f>'basic parameters'!$C$38*'basic parameters'!$C$6</f>
        <v>326.30520000000007</v>
      </c>
      <c r="H11" s="32">
        <f>'basic parameters'!$C$38*'basic parameters'!$C$6</f>
        <v>326.30520000000007</v>
      </c>
      <c r="I11" s="32">
        <f>'basic parameters'!$C$38*'basic parameters'!$C$6</f>
        <v>326.30520000000007</v>
      </c>
      <c r="J11" s="32">
        <f>'basic parameters'!$C$38*'basic parameters'!$C$6</f>
        <v>326.30520000000007</v>
      </c>
      <c r="K11" s="32">
        <f>'basic parameters'!$C$38*'basic parameters'!$C$6</f>
        <v>326.30520000000007</v>
      </c>
      <c r="L11" s="32">
        <f>'basic parameters'!$C$38*'basic parameters'!$C$6</f>
        <v>326.30520000000007</v>
      </c>
      <c r="M11" s="32">
        <f>'basic parameters'!$C$38*'basic parameters'!$C$6</f>
        <v>326.30520000000007</v>
      </c>
      <c r="N11" s="32">
        <f>'basic parameters'!$C$38*'basic parameters'!$C$6</f>
        <v>326.30520000000007</v>
      </c>
      <c r="O11" s="32">
        <f>'basic parameters'!$C$38*'basic parameters'!$C$6</f>
        <v>326.30520000000007</v>
      </c>
      <c r="P11" s="32">
        <f>'basic parameters'!$C$38*'basic parameters'!$C$6</f>
        <v>326.30520000000007</v>
      </c>
      <c r="Q11" s="32">
        <f>'basic parameters'!$C$38*'basic parameters'!$C$6</f>
        <v>326.30520000000007</v>
      </c>
      <c r="R11" s="32">
        <f>'basic parameters'!$C$38*'basic parameters'!$C$6</f>
        <v>326.30520000000007</v>
      </c>
      <c r="S11" s="32">
        <f>'basic parameters'!$C$38*'basic parameters'!$C$6</f>
        <v>326.30520000000007</v>
      </c>
    </row>
    <row r="12" spans="1:19" x14ac:dyDescent="0.25">
      <c r="A12" s="30">
        <v>8</v>
      </c>
      <c r="B12" s="31" t="s">
        <v>28</v>
      </c>
      <c r="C12" s="32">
        <f t="shared" si="0"/>
        <v>0</v>
      </c>
      <c r="D12" s="33">
        <v>0</v>
      </c>
      <c r="E12" s="50">
        <v>0</v>
      </c>
      <c r="F12" s="50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</row>
    <row r="13" spans="1:19" x14ac:dyDescent="0.25">
      <c r="A13" s="30">
        <v>9</v>
      </c>
      <c r="B13" s="31" t="s">
        <v>29</v>
      </c>
      <c r="C13" s="32">
        <f t="shared" si="0"/>
        <v>2125.9718304009966</v>
      </c>
      <c r="D13" s="33">
        <v>0</v>
      </c>
      <c r="E13" s="49">
        <f>'Loan repayment'!E9+'Loan repayment'!E14</f>
        <v>430.28930000000008</v>
      </c>
      <c r="F13" s="49">
        <f>'Loan repayment'!F9+'Loan repayment'!F14</f>
        <v>379.43945080734005</v>
      </c>
      <c r="G13" s="32">
        <f>'Loan repayment'!G9+'Loan repayment'!G14</f>
        <v>326.90774285263279</v>
      </c>
      <c r="H13" s="32">
        <f>'Loan repayment'!H9+'Loan repayment'!H14</f>
        <v>272.63854865732367</v>
      </c>
      <c r="I13" s="32">
        <f>'Loan repayment'!I9+'Loan repayment'!I14</f>
        <v>227.23720826508153</v>
      </c>
      <c r="J13" s="32">
        <f>'Loan repayment'!J9+'Loan repayment'!J14</f>
        <v>182.76431063278909</v>
      </c>
      <c r="K13" s="32">
        <f>'Loan repayment'!K9+'Loan repayment'!K14</f>
        <v>136.8204719113086</v>
      </c>
      <c r="L13" s="32">
        <f>'Loan repayment'!L9+'Loan repayment'!L14</f>
        <v>89.357040724115137</v>
      </c>
      <c r="M13" s="32">
        <f>'Loan repayment'!M9+'Loan repayment'!M14</f>
        <v>40.32375655040525</v>
      </c>
      <c r="N13" s="32">
        <f>'Loan repayment'!N9+'Loan repayment'!N14</f>
        <v>6.6989999999999998</v>
      </c>
      <c r="O13" s="32">
        <f>'Loan repayment'!O9+'Loan repayment'!O14</f>
        <v>6.6989999999999998</v>
      </c>
      <c r="P13" s="32">
        <f>'Loan repayment'!P9+'Loan repayment'!P14</f>
        <v>6.6989999999999998</v>
      </c>
      <c r="Q13" s="32">
        <f>'Loan repayment'!Q9+'Loan repayment'!Q14</f>
        <v>6.6989999999999998</v>
      </c>
      <c r="R13" s="32">
        <f>'Loan repayment'!R9+'Loan repayment'!R14</f>
        <v>6.6989999999999998</v>
      </c>
      <c r="S13" s="32">
        <f>'Loan repayment'!S9+'Loan repayment'!S14</f>
        <v>6.6989999999999998</v>
      </c>
    </row>
    <row r="14" spans="1:19" x14ac:dyDescent="0.25">
      <c r="A14" s="30">
        <v>10</v>
      </c>
      <c r="B14" s="31" t="s">
        <v>12</v>
      </c>
      <c r="C14" s="32">
        <f t="shared" si="0"/>
        <v>1416.0150000000001</v>
      </c>
      <c r="D14" s="33">
        <v>0</v>
      </c>
      <c r="E14" s="49">
        <f>'basic parameters'!$C$39*'basic parameters'!$C$19/10000</f>
        <v>94.400999999999996</v>
      </c>
      <c r="F14" s="49">
        <f>'basic parameters'!$C$39*'basic parameters'!$C$19/10000</f>
        <v>94.400999999999996</v>
      </c>
      <c r="G14" s="49">
        <f>'basic parameters'!$C$39*'basic parameters'!$C$19/10000</f>
        <v>94.400999999999996</v>
      </c>
      <c r="H14" s="49">
        <f>'basic parameters'!$C$39*'basic parameters'!$C$19/10000</f>
        <v>94.400999999999996</v>
      </c>
      <c r="I14" s="49">
        <f>'basic parameters'!$C$39*'basic parameters'!$C$19/10000</f>
        <v>94.400999999999996</v>
      </c>
      <c r="J14" s="49">
        <f>'basic parameters'!$C$39*'basic parameters'!$C$19/10000</f>
        <v>94.400999999999996</v>
      </c>
      <c r="K14" s="49">
        <f>'basic parameters'!$C$39*'basic parameters'!$C$19/10000</f>
        <v>94.400999999999996</v>
      </c>
      <c r="L14" s="49">
        <f>'basic parameters'!$C$39*'basic parameters'!$C$19/10000</f>
        <v>94.400999999999996</v>
      </c>
      <c r="M14" s="49">
        <f>'basic parameters'!$C$39*'basic parameters'!$C$19/10000</f>
        <v>94.400999999999996</v>
      </c>
      <c r="N14" s="49">
        <f>'basic parameters'!$C$39*'basic parameters'!$C$19/10000</f>
        <v>94.400999999999996</v>
      </c>
      <c r="O14" s="49">
        <f>'basic parameters'!$C$39*'basic parameters'!$C$19/10000</f>
        <v>94.400999999999996</v>
      </c>
      <c r="P14" s="49">
        <f>'basic parameters'!$C$39*'basic parameters'!$C$19/10000</f>
        <v>94.400999999999996</v>
      </c>
      <c r="Q14" s="49">
        <f>'basic parameters'!$C$39*'basic parameters'!$C$19/10000</f>
        <v>94.400999999999996</v>
      </c>
      <c r="R14" s="49">
        <f>'basic parameters'!$C$39*'basic parameters'!$C$19/10000</f>
        <v>94.400999999999996</v>
      </c>
      <c r="S14" s="49">
        <f>'basic parameters'!$C$39*'basic parameters'!$C$19/10000</f>
        <v>94.400999999999996</v>
      </c>
    </row>
    <row r="15" spans="1:19" x14ac:dyDescent="0.25">
      <c r="A15" s="30"/>
      <c r="B15" s="31" t="s">
        <v>32</v>
      </c>
      <c r="C15" s="32">
        <f t="shared" si="0"/>
        <v>30427.374830401004</v>
      </c>
      <c r="D15" s="33">
        <v>0</v>
      </c>
      <c r="E15" s="49">
        <f t="shared" ref="E15:S15" si="1">SUM(E5:E14)</f>
        <v>2317.0494999999996</v>
      </c>
      <c r="F15" s="49">
        <f t="shared" si="1"/>
        <v>2266.1996508073398</v>
      </c>
      <c r="G15" s="32">
        <f t="shared" si="1"/>
        <v>2213.6679428526327</v>
      </c>
      <c r="H15" s="32">
        <f t="shared" si="1"/>
        <v>2159.3987486573233</v>
      </c>
      <c r="I15" s="32">
        <f t="shared" si="1"/>
        <v>2113.9974082650815</v>
      </c>
      <c r="J15" s="32">
        <f t="shared" si="1"/>
        <v>2069.5245106327889</v>
      </c>
      <c r="K15" s="32">
        <f t="shared" si="1"/>
        <v>2023.5806719113086</v>
      </c>
      <c r="L15" s="32">
        <f t="shared" si="1"/>
        <v>1976.1172407241152</v>
      </c>
      <c r="M15" s="32">
        <f t="shared" si="1"/>
        <v>1927.0839565504052</v>
      </c>
      <c r="N15" s="32">
        <f t="shared" si="1"/>
        <v>1893.4592</v>
      </c>
      <c r="O15" s="32">
        <f t="shared" si="1"/>
        <v>1893.4592</v>
      </c>
      <c r="P15" s="32">
        <f t="shared" si="1"/>
        <v>1893.4592</v>
      </c>
      <c r="Q15" s="32">
        <f t="shared" si="1"/>
        <v>1893.4592</v>
      </c>
      <c r="R15" s="32">
        <f t="shared" si="1"/>
        <v>1893.4592</v>
      </c>
      <c r="S15" s="32">
        <f t="shared" si="1"/>
        <v>1893.4592</v>
      </c>
    </row>
    <row r="16" spans="1:19" ht="12" thickBot="1" x14ac:dyDescent="0.3">
      <c r="A16" s="44"/>
      <c r="B16" s="45" t="s">
        <v>31</v>
      </c>
      <c r="C16" s="46">
        <f t="shared" si="0"/>
        <v>16378.712999999996</v>
      </c>
      <c r="D16" s="47">
        <v>0</v>
      </c>
      <c r="E16" s="51">
        <f>E6+E7+E8+E9+E10+E11+E14</f>
        <v>1091.9142000000002</v>
      </c>
      <c r="F16" s="51">
        <f t="shared" ref="F16:S16" si="2">F6+F7+F8+F9+F10+F11+F14</f>
        <v>1091.9142000000002</v>
      </c>
      <c r="G16" s="51">
        <f t="shared" si="2"/>
        <v>1091.9142000000002</v>
      </c>
      <c r="H16" s="51">
        <f t="shared" si="2"/>
        <v>1091.9142000000002</v>
      </c>
      <c r="I16" s="51">
        <f t="shared" si="2"/>
        <v>1091.9142000000002</v>
      </c>
      <c r="J16" s="51">
        <f t="shared" si="2"/>
        <v>1091.9142000000002</v>
      </c>
      <c r="K16" s="51">
        <f t="shared" si="2"/>
        <v>1091.9142000000002</v>
      </c>
      <c r="L16" s="51">
        <f t="shared" si="2"/>
        <v>1091.9142000000002</v>
      </c>
      <c r="M16" s="51">
        <f t="shared" si="2"/>
        <v>1091.9142000000002</v>
      </c>
      <c r="N16" s="51">
        <f t="shared" si="2"/>
        <v>1091.9142000000002</v>
      </c>
      <c r="O16" s="51">
        <f t="shared" si="2"/>
        <v>1091.9142000000002</v>
      </c>
      <c r="P16" s="51">
        <f t="shared" si="2"/>
        <v>1091.9142000000002</v>
      </c>
      <c r="Q16" s="51">
        <f t="shared" si="2"/>
        <v>1091.9142000000002</v>
      </c>
      <c r="R16" s="51">
        <f t="shared" si="2"/>
        <v>1091.9142000000002</v>
      </c>
      <c r="S16" s="51">
        <f t="shared" si="2"/>
        <v>1091.9142000000002</v>
      </c>
    </row>
    <row r="17" spans="1:5" ht="12" thickTop="1" x14ac:dyDescent="0.25">
      <c r="A17" s="24"/>
    </row>
    <row r="19" spans="1:5" x14ac:dyDescent="0.25">
      <c r="E19" s="52"/>
    </row>
  </sheetData>
  <mergeCells count="4">
    <mergeCell ref="A3:A4"/>
    <mergeCell ref="B3:B4"/>
    <mergeCell ref="C3:C4"/>
    <mergeCell ref="D3:S3"/>
  </mergeCells>
  <phoneticPr fontId="3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B23" sqref="B23"/>
    </sheetView>
  </sheetViews>
  <sheetFormatPr defaultColWidth="9" defaultRowHeight="12.5" x14ac:dyDescent="0.25"/>
  <cols>
    <col min="1" max="1" width="3.58203125" style="1" customWidth="1"/>
    <col min="2" max="2" width="48.5" style="1" customWidth="1"/>
    <col min="3" max="3" width="9.33203125" style="1" bestFit="1" customWidth="1"/>
    <col min="4" max="4" width="8.75" style="1" customWidth="1"/>
    <col min="5" max="7" width="9.25" style="1" bestFit="1" customWidth="1"/>
    <col min="8" max="8" width="9.58203125" style="1" bestFit="1" customWidth="1"/>
    <col min="9" max="10" width="9.25" style="1" bestFit="1" customWidth="1"/>
    <col min="11" max="19" width="9.5" style="1" bestFit="1" customWidth="1"/>
    <col min="20" max="16384" width="9" style="1"/>
  </cols>
  <sheetData>
    <row r="1" spans="1:19" x14ac:dyDescent="0.25">
      <c r="A1" s="22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13.5" thickBot="1" x14ac:dyDescent="0.3">
      <c r="A2" s="24" t="s">
        <v>119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s="2" customFormat="1" ht="12" thickTop="1" x14ac:dyDescent="0.2">
      <c r="A3" s="192" t="s">
        <v>35</v>
      </c>
      <c r="B3" s="188" t="s">
        <v>37</v>
      </c>
      <c r="C3" s="189" t="s">
        <v>22</v>
      </c>
      <c r="D3" s="191" t="s">
        <v>23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s="2" customFormat="1" ht="11.5" x14ac:dyDescent="0.2">
      <c r="A4" s="187"/>
      <c r="B4" s="182"/>
      <c r="C4" s="190"/>
      <c r="D4" s="28">
        <v>1</v>
      </c>
      <c r="E4" s="27">
        <v>2</v>
      </c>
      <c r="F4" s="28">
        <v>3</v>
      </c>
      <c r="G4" s="27">
        <v>4</v>
      </c>
      <c r="H4" s="28">
        <v>5</v>
      </c>
      <c r="I4" s="27">
        <v>6</v>
      </c>
      <c r="J4" s="28">
        <v>7</v>
      </c>
      <c r="K4" s="27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8">
        <v>14</v>
      </c>
      <c r="R4" s="28">
        <v>15</v>
      </c>
      <c r="S4" s="28">
        <v>16</v>
      </c>
    </row>
    <row r="5" spans="1:19" s="2" customFormat="1" ht="11.5" x14ac:dyDescent="0.2">
      <c r="A5" s="25">
        <v>1</v>
      </c>
      <c r="B5" s="26" t="s">
        <v>162</v>
      </c>
      <c r="C5" s="27"/>
      <c r="D5" s="29">
        <f>D6</f>
        <v>0</v>
      </c>
      <c r="E5" s="29">
        <f>E6</f>
        <v>2328.558</v>
      </c>
      <c r="F5" s="29">
        <f t="shared" ref="F5:S5" si="0">F6</f>
        <v>2328.558</v>
      </c>
      <c r="G5" s="29">
        <f t="shared" si="0"/>
        <v>2328.558</v>
      </c>
      <c r="H5" s="29">
        <f t="shared" si="0"/>
        <v>2328.558</v>
      </c>
      <c r="I5" s="29">
        <f t="shared" si="0"/>
        <v>2328.558</v>
      </c>
      <c r="J5" s="29">
        <f t="shared" si="0"/>
        <v>2328.558</v>
      </c>
      <c r="K5" s="29">
        <f t="shared" si="0"/>
        <v>2328.558</v>
      </c>
      <c r="L5" s="29">
        <f t="shared" si="0"/>
        <v>2328.558</v>
      </c>
      <c r="M5" s="29">
        <f t="shared" si="0"/>
        <v>2328.558</v>
      </c>
      <c r="N5" s="29">
        <f t="shared" si="0"/>
        <v>2328.558</v>
      </c>
      <c r="O5" s="29">
        <f t="shared" si="0"/>
        <v>2328.558</v>
      </c>
      <c r="P5" s="29">
        <f t="shared" si="0"/>
        <v>2328.558</v>
      </c>
      <c r="Q5" s="29">
        <f t="shared" si="0"/>
        <v>2328.558</v>
      </c>
      <c r="R5" s="29">
        <f t="shared" si="0"/>
        <v>2328.558</v>
      </c>
      <c r="S5" s="29">
        <f t="shared" si="0"/>
        <v>2328.558</v>
      </c>
    </row>
    <row r="6" spans="1:19" s="4" customFormat="1" ht="11.5" x14ac:dyDescent="0.2">
      <c r="A6" s="30">
        <v>1.1000000000000001</v>
      </c>
      <c r="B6" s="31" t="s">
        <v>93</v>
      </c>
      <c r="C6" s="32">
        <f>SUM(D6:S6)</f>
        <v>34928.37000000001</v>
      </c>
      <c r="D6" s="33">
        <v>0</v>
      </c>
      <c r="E6" s="32">
        <f>'basic parameters'!$C$20*'basic parameters'!$C$19/10000</f>
        <v>2328.558</v>
      </c>
      <c r="F6" s="32">
        <f>'basic parameters'!$C$20*'basic parameters'!$C$19/10000</f>
        <v>2328.558</v>
      </c>
      <c r="G6" s="32">
        <f>'basic parameters'!$C$20*'basic parameters'!$C$19/10000</f>
        <v>2328.558</v>
      </c>
      <c r="H6" s="32">
        <f>'basic parameters'!$C$20*'basic parameters'!$C$19/10000</f>
        <v>2328.558</v>
      </c>
      <c r="I6" s="32">
        <f>'basic parameters'!$C$20*'basic parameters'!$C$19/10000</f>
        <v>2328.558</v>
      </c>
      <c r="J6" s="32">
        <f>'basic parameters'!$C$20*'basic parameters'!$C$19/10000</f>
        <v>2328.558</v>
      </c>
      <c r="K6" s="32">
        <f>'basic parameters'!$C$20*'basic parameters'!$C$19/10000</f>
        <v>2328.558</v>
      </c>
      <c r="L6" s="32">
        <f>'basic parameters'!$C$20*'basic parameters'!$C$19/10000</f>
        <v>2328.558</v>
      </c>
      <c r="M6" s="32">
        <f>'basic parameters'!$C$20*'basic parameters'!$C$19/10000</f>
        <v>2328.558</v>
      </c>
      <c r="N6" s="32">
        <f>'basic parameters'!$C$20*'basic parameters'!$C$19/10000</f>
        <v>2328.558</v>
      </c>
      <c r="O6" s="32">
        <f>'basic parameters'!$C$20*'basic parameters'!$C$19/10000</f>
        <v>2328.558</v>
      </c>
      <c r="P6" s="32">
        <f>'basic parameters'!$C$20*'basic parameters'!$C$19/10000</f>
        <v>2328.558</v>
      </c>
      <c r="Q6" s="32">
        <f>'basic parameters'!$C$20*'basic parameters'!$C$19/10000</f>
        <v>2328.558</v>
      </c>
      <c r="R6" s="32">
        <f>'basic parameters'!$C$20*'basic parameters'!$C$19/10000</f>
        <v>2328.558</v>
      </c>
      <c r="S6" s="32">
        <f>'basic parameters'!$C$20*'basic parameters'!$C$19/10000</f>
        <v>2328.558</v>
      </c>
    </row>
    <row r="7" spans="1:19" s="7" customFormat="1" ht="11.5" x14ac:dyDescent="0.2">
      <c r="A7" s="34">
        <v>2</v>
      </c>
      <c r="B7" s="35" t="s">
        <v>53</v>
      </c>
      <c r="C7" s="36">
        <f>SUM(D7:S7)</f>
        <v>712.53874800000017</v>
      </c>
      <c r="D7" s="37">
        <v>0</v>
      </c>
      <c r="E7" s="36">
        <f>E5*'basic parameters'!$C$40*('basic parameters'!$C$41+'basic parameters'!$C$42)</f>
        <v>47.502583200000011</v>
      </c>
      <c r="F7" s="36">
        <f>F5*'basic parameters'!$C$40*('basic parameters'!$C$41+'basic parameters'!$C$42)</f>
        <v>47.502583200000011</v>
      </c>
      <c r="G7" s="36">
        <f>G5*'basic parameters'!$C$40*('basic parameters'!$C$41+'basic parameters'!$C$42)</f>
        <v>47.502583200000011</v>
      </c>
      <c r="H7" s="36">
        <f>H5*'basic parameters'!$C$40*('basic parameters'!$C$41+'basic parameters'!$C$42)</f>
        <v>47.502583200000011</v>
      </c>
      <c r="I7" s="36">
        <f>I5*'basic parameters'!$C$40*('basic parameters'!$C$41+'basic parameters'!$C$42)</f>
        <v>47.502583200000011</v>
      </c>
      <c r="J7" s="36">
        <f>J5*'basic parameters'!$C$40*('basic parameters'!$C$41+'basic parameters'!$C$42)</f>
        <v>47.502583200000011</v>
      </c>
      <c r="K7" s="36">
        <f>K5*'basic parameters'!$C$40*('basic parameters'!$C$41+'basic parameters'!$C$42)</f>
        <v>47.502583200000011</v>
      </c>
      <c r="L7" s="36">
        <f>L5*'basic parameters'!$C$40*('basic parameters'!$C$41+'basic parameters'!$C$42)</f>
        <v>47.502583200000011</v>
      </c>
      <c r="M7" s="36">
        <f>M5*'basic parameters'!$C$40*('basic parameters'!$C$41+'basic parameters'!$C$42)</f>
        <v>47.502583200000011</v>
      </c>
      <c r="N7" s="36">
        <f>N5*'basic parameters'!$C$40*('basic parameters'!$C$41+'basic parameters'!$C$42)</f>
        <v>47.502583200000011</v>
      </c>
      <c r="O7" s="36">
        <f>O5*'basic parameters'!$C$40*('basic parameters'!$C$41+'basic parameters'!$C$42)</f>
        <v>47.502583200000011</v>
      </c>
      <c r="P7" s="36">
        <f>P5*'basic parameters'!$C$40*('basic parameters'!$C$41+'basic parameters'!$C$42)</f>
        <v>47.502583200000011</v>
      </c>
      <c r="Q7" s="36">
        <f>Q5*'basic parameters'!$C$40*('basic parameters'!$C$41+'basic parameters'!$C$42)</f>
        <v>47.502583200000011</v>
      </c>
      <c r="R7" s="36">
        <f>R5*'basic parameters'!$C$40*('basic parameters'!$C$41+'basic parameters'!$C$42)</f>
        <v>47.502583200000011</v>
      </c>
      <c r="S7" s="36">
        <f>S5*'basic parameters'!$C$40*('basic parameters'!$C$41+'basic parameters'!$C$42)</f>
        <v>47.502583200000011</v>
      </c>
    </row>
    <row r="8" spans="1:19" s="4" customFormat="1" ht="11.5" x14ac:dyDescent="0.2">
      <c r="A8" s="30">
        <v>3</v>
      </c>
      <c r="B8" s="26" t="s">
        <v>32</v>
      </c>
      <c r="C8" s="32">
        <f>SUM(D8:S8)</f>
        <v>30427.374830401004</v>
      </c>
      <c r="D8" s="33">
        <v>0</v>
      </c>
      <c r="E8" s="38">
        <f>'total cost'!E15</f>
        <v>2317.0494999999996</v>
      </c>
      <c r="F8" s="38">
        <f>'total cost'!F15</f>
        <v>2266.1996508073398</v>
      </c>
      <c r="G8" s="38">
        <f>'total cost'!G15</f>
        <v>2213.6679428526327</v>
      </c>
      <c r="H8" s="38">
        <f>'total cost'!H15</f>
        <v>2159.3987486573233</v>
      </c>
      <c r="I8" s="38">
        <f>'total cost'!I15</f>
        <v>2113.9974082650815</v>
      </c>
      <c r="J8" s="38">
        <f>'total cost'!J15</f>
        <v>2069.5245106327889</v>
      </c>
      <c r="K8" s="38">
        <f>'total cost'!K15</f>
        <v>2023.5806719113086</v>
      </c>
      <c r="L8" s="38">
        <f>'total cost'!L15</f>
        <v>1976.1172407241152</v>
      </c>
      <c r="M8" s="38">
        <f>'total cost'!M15</f>
        <v>1927.0839565504052</v>
      </c>
      <c r="N8" s="38">
        <f>'total cost'!N15</f>
        <v>1893.4592</v>
      </c>
      <c r="O8" s="38">
        <f>'total cost'!O15</f>
        <v>1893.4592</v>
      </c>
      <c r="P8" s="38">
        <f>'total cost'!P15</f>
        <v>1893.4592</v>
      </c>
      <c r="Q8" s="38">
        <f>'total cost'!Q15</f>
        <v>1893.4592</v>
      </c>
      <c r="R8" s="38">
        <f>'total cost'!R15</f>
        <v>1893.4592</v>
      </c>
      <c r="S8" s="38">
        <f>'total cost'!S15</f>
        <v>1893.4592</v>
      </c>
    </row>
    <row r="9" spans="1:19" s="4" customFormat="1" ht="11.5" x14ac:dyDescent="0.2">
      <c r="A9" s="30">
        <v>4</v>
      </c>
      <c r="B9" s="31" t="s">
        <v>44</v>
      </c>
      <c r="C9" s="32">
        <f>SUM(D9:S9)</f>
        <v>1261.0367521367525</v>
      </c>
      <c r="D9" s="33">
        <v>0</v>
      </c>
      <c r="E9" s="32">
        <f>E10+E12</f>
        <v>395.85486000000003</v>
      </c>
      <c r="F9" s="32">
        <f t="shared" ref="F9:S9" si="1">F10+F12</f>
        <v>395.85486000000003</v>
      </c>
      <c r="G9" s="32">
        <f t="shared" si="1"/>
        <v>395.85486000000003</v>
      </c>
      <c r="H9" s="32">
        <f t="shared" si="1"/>
        <v>73.472172136752192</v>
      </c>
      <c r="I9" s="32">
        <f t="shared" si="1"/>
        <v>0</v>
      </c>
      <c r="J9" s="32">
        <f t="shared" si="1"/>
        <v>0</v>
      </c>
      <c r="K9" s="32">
        <f t="shared" si="1"/>
        <v>0</v>
      </c>
      <c r="L9" s="32">
        <f t="shared" si="1"/>
        <v>0</v>
      </c>
      <c r="M9" s="32">
        <f t="shared" si="1"/>
        <v>0</v>
      </c>
      <c r="N9" s="32">
        <f t="shared" si="1"/>
        <v>0</v>
      </c>
      <c r="O9" s="32">
        <f t="shared" si="1"/>
        <v>0</v>
      </c>
      <c r="P9" s="32">
        <f t="shared" si="1"/>
        <v>0</v>
      </c>
      <c r="Q9" s="32">
        <f t="shared" si="1"/>
        <v>0</v>
      </c>
      <c r="R9" s="32">
        <f t="shared" si="1"/>
        <v>0</v>
      </c>
      <c r="S9" s="32">
        <f t="shared" si="1"/>
        <v>0</v>
      </c>
    </row>
    <row r="10" spans="1:19" s="4" customFormat="1" ht="16.75" customHeight="1" x14ac:dyDescent="0.2">
      <c r="A10" s="30">
        <v>4.0999999999999996</v>
      </c>
      <c r="B10" s="31" t="s">
        <v>123</v>
      </c>
      <c r="C10" s="32">
        <f>'basic parameters'!C14/1.17*0.17</f>
        <v>1261.0367521367523</v>
      </c>
      <c r="D10" s="33"/>
      <c r="E10" s="32">
        <f>IF(E5*'basic parameters'!$C$40&lt;'cost and income table'!D11,E5*'basic parameters'!$C$40,'cost and income table'!D11)</f>
        <v>395.85486000000003</v>
      </c>
      <c r="F10" s="32">
        <f>IF(F5*'basic parameters'!$C$40&lt;'cost and income table'!E11,F5*'basic parameters'!$C$40,'cost and income table'!E11)</f>
        <v>395.85486000000003</v>
      </c>
      <c r="G10" s="32">
        <f>IF(G5*'basic parameters'!$C$40&lt;'cost and income table'!F11,G5*'basic parameters'!$C$40,'cost and income table'!F11)</f>
        <v>395.85486000000003</v>
      </c>
      <c r="H10" s="32">
        <f>IF(H5*'basic parameters'!$C$40&lt;'cost and income table'!G11,H5*'basic parameters'!$C$40,'cost and income table'!G11)</f>
        <v>73.472172136752192</v>
      </c>
      <c r="I10" s="32">
        <f>IF(I5*'basic parameters'!$C$40&lt;'cost and income table'!H11,I5*'basic parameters'!$C$40,'cost and income table'!H11)</f>
        <v>0</v>
      </c>
      <c r="J10" s="32">
        <f>IF(J5*'basic parameters'!$C$40&lt;'cost and income table'!I11,J5*'basic parameters'!$C$40,'cost and income table'!I11)</f>
        <v>0</v>
      </c>
      <c r="K10" s="32">
        <f>IF(K5*'basic parameters'!$C$40&lt;'cost and income table'!J11,K5*'basic parameters'!$C$40,'cost and income table'!J11)</f>
        <v>0</v>
      </c>
      <c r="L10" s="32">
        <f>IF(L6*'basic parameters'!$C$40&lt;'cost and income table'!K11,L6*'basic parameters'!$C$40,'cost and income table'!K11)</f>
        <v>0</v>
      </c>
      <c r="M10" s="32">
        <f>IF(M6*'basic parameters'!$C$40&lt;'cost and income table'!L11,M6*'basic parameters'!$C$40,'cost and income table'!L11)</f>
        <v>0</v>
      </c>
      <c r="N10" s="32">
        <f>IF(N6*'basic parameters'!$C$40&lt;'cost and income table'!M11,N6*'basic parameters'!$C$40,'cost and income table'!M11)</f>
        <v>0</v>
      </c>
      <c r="O10" s="32">
        <f>IF(O6*'basic parameters'!$C$40&lt;'cost and income table'!N11,O6*'basic parameters'!$C$40,'cost and income table'!N11)</f>
        <v>0</v>
      </c>
      <c r="P10" s="32">
        <f>IF(P6*'basic parameters'!$C$40&lt;'cost and income table'!O11,P6*'basic parameters'!$C$40,'cost and income table'!O11)</f>
        <v>0</v>
      </c>
      <c r="Q10" s="32">
        <f>IF(Q6*'basic parameters'!$C$40&lt;'cost and income table'!P11,Q6*'basic parameters'!$C$40,'cost and income table'!P11)</f>
        <v>0</v>
      </c>
      <c r="R10" s="32">
        <f>IF(R6*'basic parameters'!$C$40&lt;'cost and income table'!Q11,R6*'basic parameters'!$C$40,'cost and income table'!Q11)</f>
        <v>0</v>
      </c>
      <c r="S10" s="32">
        <f>IF(S6*'basic parameters'!$C$40&lt;'cost and income table'!R11,S6*'basic parameters'!$C$40,'cost and income table'!R11)</f>
        <v>0</v>
      </c>
    </row>
    <row r="11" spans="1:19" s="4" customFormat="1" ht="16.75" customHeight="1" x14ac:dyDescent="0.2">
      <c r="A11" s="30"/>
      <c r="B11" s="26" t="s">
        <v>63</v>
      </c>
      <c r="C11" s="32"/>
      <c r="D11" s="39">
        <f>C10</f>
        <v>1261.0367521367523</v>
      </c>
      <c r="E11" s="32">
        <f>D11-E10</f>
        <v>865.18189213675225</v>
      </c>
      <c r="F11" s="32">
        <f t="shared" ref="F11:S11" si="2">E11-F10</f>
        <v>469.32703213675222</v>
      </c>
      <c r="G11" s="32">
        <f t="shared" si="2"/>
        <v>73.472172136752192</v>
      </c>
      <c r="H11" s="32">
        <f t="shared" si="2"/>
        <v>0</v>
      </c>
      <c r="I11" s="32">
        <f t="shared" si="2"/>
        <v>0</v>
      </c>
      <c r="J11" s="32">
        <f t="shared" si="2"/>
        <v>0</v>
      </c>
      <c r="K11" s="32">
        <f t="shared" si="2"/>
        <v>0</v>
      </c>
      <c r="L11" s="32">
        <f t="shared" si="2"/>
        <v>0</v>
      </c>
      <c r="M11" s="32">
        <f t="shared" si="2"/>
        <v>0</v>
      </c>
      <c r="N11" s="32">
        <f t="shared" si="2"/>
        <v>0</v>
      </c>
      <c r="O11" s="32">
        <f t="shared" si="2"/>
        <v>0</v>
      </c>
      <c r="P11" s="32">
        <f t="shared" si="2"/>
        <v>0</v>
      </c>
      <c r="Q11" s="32">
        <f t="shared" si="2"/>
        <v>0</v>
      </c>
      <c r="R11" s="32">
        <f t="shared" si="2"/>
        <v>0</v>
      </c>
      <c r="S11" s="32">
        <f t="shared" si="2"/>
        <v>0</v>
      </c>
    </row>
    <row r="12" spans="1:19" s="4" customFormat="1" ht="11.5" x14ac:dyDescent="0.2">
      <c r="A12" s="30"/>
      <c r="B12" s="26"/>
      <c r="C12" s="32">
        <f>SUM(D12:S12)</f>
        <v>0</v>
      </c>
      <c r="D12" s="33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s="4" customFormat="1" ht="21" customHeight="1" x14ac:dyDescent="0.2">
      <c r="A13" s="30">
        <v>5</v>
      </c>
      <c r="B13" s="26" t="s">
        <v>141</v>
      </c>
      <c r="C13" s="32">
        <f>SUM(D13:S13)</f>
        <v>5049.4931737357547</v>
      </c>
      <c r="D13" s="33">
        <v>0</v>
      </c>
      <c r="E13" s="32">
        <f t="shared" ref="E13:S13" si="3">E6-E7-E8+E9</f>
        <v>359.86077680000028</v>
      </c>
      <c r="F13" s="32">
        <f t="shared" si="3"/>
        <v>410.71062599266008</v>
      </c>
      <c r="G13" s="32">
        <f t="shared" si="3"/>
        <v>463.24233394736723</v>
      </c>
      <c r="H13" s="32">
        <f t="shared" si="3"/>
        <v>195.1288402794288</v>
      </c>
      <c r="I13" s="32">
        <f t="shared" si="3"/>
        <v>167.05800853491837</v>
      </c>
      <c r="J13" s="32">
        <f t="shared" si="3"/>
        <v>211.53090616721101</v>
      </c>
      <c r="K13" s="32">
        <f t="shared" si="3"/>
        <v>257.47474488869125</v>
      </c>
      <c r="L13" s="32">
        <f t="shared" si="3"/>
        <v>304.93817607588471</v>
      </c>
      <c r="M13" s="32">
        <f t="shared" si="3"/>
        <v>353.97146024959466</v>
      </c>
      <c r="N13" s="32">
        <f t="shared" si="3"/>
        <v>387.59621679999987</v>
      </c>
      <c r="O13" s="32">
        <f t="shared" si="3"/>
        <v>387.59621679999987</v>
      </c>
      <c r="P13" s="32">
        <f t="shared" si="3"/>
        <v>387.59621679999987</v>
      </c>
      <c r="Q13" s="32">
        <f t="shared" si="3"/>
        <v>387.59621679999987</v>
      </c>
      <c r="R13" s="32">
        <f t="shared" si="3"/>
        <v>387.59621679999987</v>
      </c>
      <c r="S13" s="32">
        <f t="shared" si="3"/>
        <v>387.59621679999987</v>
      </c>
    </row>
    <row r="14" spans="1:19" s="4" customFormat="1" ht="13" customHeight="1" x14ac:dyDescent="0.25">
      <c r="A14" s="30"/>
      <c r="B14" s="26" t="s">
        <v>69</v>
      </c>
      <c r="C14" s="32"/>
      <c r="D14" s="33"/>
      <c r="E14" s="41"/>
      <c r="F14" s="41"/>
      <c r="G14" s="41"/>
      <c r="H14" s="41"/>
      <c r="I14" s="41">
        <f>IF(H13&gt;0,IF(SUM(H13:H14)&gt;0,MIN(SUM(H13:H15),0),H15),H15)</f>
        <v>0</v>
      </c>
      <c r="J14" s="41">
        <f t="shared" ref="J14:S14" si="4">IF(I13&gt;0,IF(SUM(I13:I14)&gt;0,MIN(SUM(I13:I15),0),I15),I15)</f>
        <v>0</v>
      </c>
      <c r="K14" s="41">
        <f t="shared" si="4"/>
        <v>0</v>
      </c>
      <c r="L14" s="41">
        <f t="shared" si="4"/>
        <v>0</v>
      </c>
      <c r="M14" s="41">
        <f t="shared" si="4"/>
        <v>0</v>
      </c>
      <c r="N14" s="41">
        <f t="shared" si="4"/>
        <v>0</v>
      </c>
      <c r="O14" s="41">
        <f t="shared" si="4"/>
        <v>0</v>
      </c>
      <c r="P14" s="41">
        <f t="shared" si="4"/>
        <v>0</v>
      </c>
      <c r="Q14" s="41">
        <f t="shared" si="4"/>
        <v>0</v>
      </c>
      <c r="R14" s="41">
        <f t="shared" si="4"/>
        <v>0</v>
      </c>
      <c r="S14" s="41">
        <f t="shared" si="4"/>
        <v>0</v>
      </c>
    </row>
    <row r="15" spans="1:19" s="4" customFormat="1" ht="13" customHeight="1" x14ac:dyDescent="0.25">
      <c r="A15" s="30"/>
      <c r="B15" s="26" t="s">
        <v>70</v>
      </c>
      <c r="C15" s="32"/>
      <c r="D15" s="33"/>
      <c r="E15" s="41"/>
      <c r="F15" s="41"/>
      <c r="G15" s="41"/>
      <c r="H15" s="41">
        <f>IF(G13&gt;0,IF(SUM(G13:G15)&gt;0,MIN(SUM(G13:G16),0),G16),G16)</f>
        <v>0</v>
      </c>
      <c r="I15" s="41">
        <f t="shared" ref="I15:S15" si="5">IF(H13&gt;0,IF(SUM(H13:H15)&gt;0,MIN(SUM(H13:H16),0),H16),H16)</f>
        <v>0</v>
      </c>
      <c r="J15" s="41">
        <f t="shared" si="5"/>
        <v>0</v>
      </c>
      <c r="K15" s="41">
        <f t="shared" si="5"/>
        <v>0</v>
      </c>
      <c r="L15" s="41">
        <f t="shared" si="5"/>
        <v>0</v>
      </c>
      <c r="M15" s="41">
        <f t="shared" si="5"/>
        <v>0</v>
      </c>
      <c r="N15" s="41">
        <f t="shared" si="5"/>
        <v>0</v>
      </c>
      <c r="O15" s="41">
        <f t="shared" si="5"/>
        <v>0</v>
      </c>
      <c r="P15" s="41">
        <f t="shared" si="5"/>
        <v>0</v>
      </c>
      <c r="Q15" s="41">
        <f t="shared" si="5"/>
        <v>0</v>
      </c>
      <c r="R15" s="41">
        <f t="shared" si="5"/>
        <v>0</v>
      </c>
      <c r="S15" s="41">
        <f t="shared" si="5"/>
        <v>0</v>
      </c>
    </row>
    <row r="16" spans="1:19" s="4" customFormat="1" ht="11.25" customHeight="1" x14ac:dyDescent="0.25">
      <c r="A16" s="30"/>
      <c r="B16" s="26" t="s">
        <v>71</v>
      </c>
      <c r="C16" s="32"/>
      <c r="D16" s="33"/>
      <c r="E16" s="41"/>
      <c r="F16" s="41"/>
      <c r="G16" s="41">
        <f>IF(F13&gt;0,IF(SUM(F13:F16)&gt;0,MIN(SUM(F13:F17),0),F17),F17)</f>
        <v>0</v>
      </c>
      <c r="H16" s="41">
        <f t="shared" ref="H16:S16" si="6">IF(G13&gt;0,IF(SUM(G13:G16)&gt;0,MIN(SUM(G13:G17),0),G17),G17)</f>
        <v>0</v>
      </c>
      <c r="I16" s="41">
        <f t="shared" si="6"/>
        <v>0</v>
      </c>
      <c r="J16" s="41">
        <f t="shared" si="6"/>
        <v>0</v>
      </c>
      <c r="K16" s="41">
        <f t="shared" si="6"/>
        <v>0</v>
      </c>
      <c r="L16" s="41">
        <f t="shared" si="6"/>
        <v>0</v>
      </c>
      <c r="M16" s="41">
        <f t="shared" si="6"/>
        <v>0</v>
      </c>
      <c r="N16" s="41">
        <f t="shared" si="6"/>
        <v>0</v>
      </c>
      <c r="O16" s="41">
        <f t="shared" si="6"/>
        <v>0</v>
      </c>
      <c r="P16" s="41">
        <f t="shared" si="6"/>
        <v>0</v>
      </c>
      <c r="Q16" s="41">
        <f t="shared" si="6"/>
        <v>0</v>
      </c>
      <c r="R16" s="41">
        <f t="shared" si="6"/>
        <v>0</v>
      </c>
      <c r="S16" s="41">
        <f t="shared" si="6"/>
        <v>0</v>
      </c>
    </row>
    <row r="17" spans="1:19" s="4" customFormat="1" ht="13" customHeight="1" x14ac:dyDescent="0.25">
      <c r="A17" s="30"/>
      <c r="B17" s="31" t="s">
        <v>72</v>
      </c>
      <c r="C17" s="32"/>
      <c r="D17" s="33"/>
      <c r="E17" s="41"/>
      <c r="F17" s="41">
        <f>IF(E13&gt;0,IF(SUM(E13:E17)&gt;0,MIN(SUM(E13:E18),0),E18),E18)</f>
        <v>0</v>
      </c>
      <c r="G17" s="41">
        <f>IF(F13&gt;0,IF(SUM(F13:F17)&gt;0,MIN(SUM(F13:F18),0),F18),F18)</f>
        <v>0</v>
      </c>
      <c r="H17" s="41">
        <f t="shared" ref="H17:R17" si="7">IF(G13&gt;0,IF(SUM(G13:G17)&gt;0,MIN(SUM(G13:G18),0),G18),G18)</f>
        <v>0</v>
      </c>
      <c r="I17" s="41">
        <f t="shared" si="7"/>
        <v>0</v>
      </c>
      <c r="J17" s="41">
        <f t="shared" si="7"/>
        <v>0</v>
      </c>
      <c r="K17" s="41">
        <f t="shared" si="7"/>
        <v>0</v>
      </c>
      <c r="L17" s="41">
        <f t="shared" si="7"/>
        <v>0</v>
      </c>
      <c r="M17" s="41">
        <f t="shared" si="7"/>
        <v>0</v>
      </c>
      <c r="N17" s="41">
        <f>IF(M13&gt;0,IF(SUM(M13:M17)&gt;0,MIN(SUM(M13:M18),0),M18),M18)</f>
        <v>0</v>
      </c>
      <c r="O17" s="41">
        <f t="shared" si="7"/>
        <v>0</v>
      </c>
      <c r="P17" s="41">
        <f t="shared" si="7"/>
        <v>0</v>
      </c>
      <c r="Q17" s="41">
        <f t="shared" si="7"/>
        <v>0</v>
      </c>
      <c r="R17" s="41">
        <f t="shared" si="7"/>
        <v>0</v>
      </c>
      <c r="S17" s="41">
        <f>IF(R13&gt;0,IF(SUM(R13:R17)&gt;0,MIN(SUM(R13:R18),0),R18),R18)</f>
        <v>0</v>
      </c>
    </row>
    <row r="18" spans="1:19" s="4" customFormat="1" ht="12" customHeight="1" x14ac:dyDescent="0.25">
      <c r="A18" s="30"/>
      <c r="B18" s="26" t="s">
        <v>73</v>
      </c>
      <c r="C18" s="32"/>
      <c r="D18" s="33"/>
      <c r="E18" s="41">
        <f>MIN(D13,0)</f>
        <v>0</v>
      </c>
      <c r="F18" s="41">
        <f t="shared" ref="F18:S18" si="8">MIN(E13,0)</f>
        <v>0</v>
      </c>
      <c r="G18" s="41">
        <f t="shared" si="8"/>
        <v>0</v>
      </c>
      <c r="H18" s="41">
        <f t="shared" si="8"/>
        <v>0</v>
      </c>
      <c r="I18" s="41">
        <f t="shared" si="8"/>
        <v>0</v>
      </c>
      <c r="J18" s="41">
        <f t="shared" si="8"/>
        <v>0</v>
      </c>
      <c r="K18" s="41">
        <f t="shared" si="8"/>
        <v>0</v>
      </c>
      <c r="L18" s="41">
        <f t="shared" si="8"/>
        <v>0</v>
      </c>
      <c r="M18" s="41">
        <f t="shared" si="8"/>
        <v>0</v>
      </c>
      <c r="N18" s="41">
        <f t="shared" si="8"/>
        <v>0</v>
      </c>
      <c r="O18" s="41">
        <f t="shared" si="8"/>
        <v>0</v>
      </c>
      <c r="P18" s="41">
        <f t="shared" si="8"/>
        <v>0</v>
      </c>
      <c r="Q18" s="41">
        <f t="shared" si="8"/>
        <v>0</v>
      </c>
      <c r="R18" s="41">
        <f t="shared" si="8"/>
        <v>0</v>
      </c>
      <c r="S18" s="41">
        <f t="shared" si="8"/>
        <v>0</v>
      </c>
    </row>
    <row r="19" spans="1:19" s="4" customFormat="1" ht="17.25" customHeight="1" x14ac:dyDescent="0.25">
      <c r="A19" s="30">
        <v>6</v>
      </c>
      <c r="B19" s="31" t="s">
        <v>142</v>
      </c>
      <c r="C19" s="32">
        <f t="shared" ref="C19:C27" si="9">SUM(D19:S19)</f>
        <v>0</v>
      </c>
      <c r="D19" s="33">
        <v>0</v>
      </c>
      <c r="E19" s="42">
        <f>MIN(MAX(E13,0),-SUM(E14:E18))</f>
        <v>0</v>
      </c>
      <c r="F19" s="42">
        <f t="shared" ref="F19:M19" si="10">MIN(MAX(F13,0),-SUM(F14:F18))</f>
        <v>0</v>
      </c>
      <c r="G19" s="42">
        <f t="shared" si="10"/>
        <v>0</v>
      </c>
      <c r="H19" s="42">
        <f t="shared" si="10"/>
        <v>0</v>
      </c>
      <c r="I19" s="42">
        <f t="shared" si="10"/>
        <v>0</v>
      </c>
      <c r="J19" s="42">
        <f t="shared" si="10"/>
        <v>0</v>
      </c>
      <c r="K19" s="42">
        <f t="shared" si="10"/>
        <v>0</v>
      </c>
      <c r="L19" s="42">
        <f t="shared" si="10"/>
        <v>0</v>
      </c>
      <c r="M19" s="42">
        <f t="shared" si="10"/>
        <v>0</v>
      </c>
      <c r="N19" s="42">
        <f t="shared" ref="N19:S19" si="11">MIN(MAX(N13,0),-SUM(N14:N18))</f>
        <v>0</v>
      </c>
      <c r="O19" s="42">
        <f t="shared" si="11"/>
        <v>0</v>
      </c>
      <c r="P19" s="42">
        <f t="shared" si="11"/>
        <v>0</v>
      </c>
      <c r="Q19" s="42">
        <f t="shared" si="11"/>
        <v>0</v>
      </c>
      <c r="R19" s="42">
        <f t="shared" si="11"/>
        <v>0</v>
      </c>
      <c r="S19" s="42">
        <f t="shared" si="11"/>
        <v>0</v>
      </c>
    </row>
    <row r="20" spans="1:19" s="4" customFormat="1" ht="12" x14ac:dyDescent="0.2">
      <c r="A20" s="30">
        <v>7</v>
      </c>
      <c r="B20" s="26" t="s">
        <v>124</v>
      </c>
      <c r="C20" s="32">
        <f t="shared" si="9"/>
        <v>5049.4931737357547</v>
      </c>
      <c r="D20" s="33">
        <v>0</v>
      </c>
      <c r="E20" s="32">
        <f>IF(E13-E19&lt;0,0,E13-E19)</f>
        <v>359.86077680000028</v>
      </c>
      <c r="F20" s="32">
        <f t="shared" ref="F20:S20" si="12">IF(F13-F19&lt;0,0,F13-F19)</f>
        <v>410.71062599266008</v>
      </c>
      <c r="G20" s="32">
        <f t="shared" si="12"/>
        <v>463.24233394736723</v>
      </c>
      <c r="H20" s="32">
        <f t="shared" si="12"/>
        <v>195.1288402794288</v>
      </c>
      <c r="I20" s="32">
        <f t="shared" si="12"/>
        <v>167.05800853491837</v>
      </c>
      <c r="J20" s="32">
        <f t="shared" si="12"/>
        <v>211.53090616721101</v>
      </c>
      <c r="K20" s="32">
        <f t="shared" si="12"/>
        <v>257.47474488869125</v>
      </c>
      <c r="L20" s="32">
        <f t="shared" si="12"/>
        <v>304.93817607588471</v>
      </c>
      <c r="M20" s="32">
        <f t="shared" si="12"/>
        <v>353.97146024959466</v>
      </c>
      <c r="N20" s="32">
        <f t="shared" si="12"/>
        <v>387.59621679999987</v>
      </c>
      <c r="O20" s="32">
        <f t="shared" si="12"/>
        <v>387.59621679999987</v>
      </c>
      <c r="P20" s="32">
        <f t="shared" si="12"/>
        <v>387.59621679999987</v>
      </c>
      <c r="Q20" s="32">
        <f t="shared" si="12"/>
        <v>387.59621679999987</v>
      </c>
      <c r="R20" s="32">
        <f t="shared" si="12"/>
        <v>387.59621679999987</v>
      </c>
      <c r="S20" s="32">
        <f t="shared" si="12"/>
        <v>387.59621679999987</v>
      </c>
    </row>
    <row r="21" spans="1:19" s="4" customFormat="1" ht="11.5" x14ac:dyDescent="0.2">
      <c r="A21" s="30">
        <v>8</v>
      </c>
      <c r="B21" s="35" t="s">
        <v>14</v>
      </c>
      <c r="C21" s="32">
        <f t="shared" si="9"/>
        <v>1262.3732934339387</v>
      </c>
      <c r="D21" s="33">
        <v>0</v>
      </c>
      <c r="E21" s="32">
        <f>E20*'basic parameters'!$C$43</f>
        <v>89.96519420000007</v>
      </c>
      <c r="F21" s="32">
        <f>F20*'basic parameters'!$C$43</f>
        <v>102.67765649816502</v>
      </c>
      <c r="G21" s="32">
        <f>G20*'basic parameters'!$C$43</f>
        <v>115.81058348684181</v>
      </c>
      <c r="H21" s="32">
        <f>H20*'basic parameters'!$C$43</f>
        <v>48.7822100698572</v>
      </c>
      <c r="I21" s="32">
        <f>I20*'basic parameters'!$C$43</f>
        <v>41.764502133729593</v>
      </c>
      <c r="J21" s="32">
        <f>J20*'basic parameters'!$C$43</f>
        <v>52.882726541802754</v>
      </c>
      <c r="K21" s="32">
        <f>K20*'basic parameters'!$C$43</f>
        <v>64.368686222172812</v>
      </c>
      <c r="L21" s="32">
        <f>L20*'basic parameters'!$C$43</f>
        <v>76.234544018971178</v>
      </c>
      <c r="M21" s="32">
        <f>M20*'basic parameters'!$C$43</f>
        <v>88.492865062398664</v>
      </c>
      <c r="N21" s="32">
        <f>N20*'basic parameters'!$C$43</f>
        <v>96.899054199999966</v>
      </c>
      <c r="O21" s="32">
        <f>O20*'basic parameters'!$C$43</f>
        <v>96.899054199999966</v>
      </c>
      <c r="P21" s="32">
        <f>P20*'basic parameters'!$C$43</f>
        <v>96.899054199999966</v>
      </c>
      <c r="Q21" s="32">
        <f>Q20*'basic parameters'!$C$43</f>
        <v>96.899054199999966</v>
      </c>
      <c r="R21" s="32">
        <f>R20*'basic parameters'!$C$43</f>
        <v>96.899054199999966</v>
      </c>
      <c r="S21" s="32">
        <f>S20*'basic parameters'!$C$43</f>
        <v>96.899054199999966</v>
      </c>
    </row>
    <row r="22" spans="1:19" s="4" customFormat="1" ht="12" x14ac:dyDescent="0.2">
      <c r="A22" s="30">
        <v>9</v>
      </c>
      <c r="B22" s="26" t="s">
        <v>120</v>
      </c>
      <c r="C22" s="32">
        <f t="shared" si="9"/>
        <v>0</v>
      </c>
      <c r="D22" s="3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</row>
    <row r="23" spans="1:19" s="4" customFormat="1" ht="12" x14ac:dyDescent="0.2">
      <c r="A23" s="30">
        <v>10</v>
      </c>
      <c r="B23" s="26" t="s">
        <v>121</v>
      </c>
      <c r="C23" s="32">
        <f t="shared" si="9"/>
        <v>3787.1198803018174</v>
      </c>
      <c r="D23" s="33">
        <v>0</v>
      </c>
      <c r="E23" s="32">
        <f>E13-E21</f>
        <v>269.89558260000024</v>
      </c>
      <c r="F23" s="32">
        <f t="shared" ref="F23:S23" si="13">F13-F21</f>
        <v>308.03296949449509</v>
      </c>
      <c r="G23" s="32">
        <f t="shared" si="13"/>
        <v>347.43175046052545</v>
      </c>
      <c r="H23" s="32">
        <f t="shared" si="13"/>
        <v>146.3466302095716</v>
      </c>
      <c r="I23" s="32">
        <f t="shared" si="13"/>
        <v>125.29350640118878</v>
      </c>
      <c r="J23" s="32">
        <f t="shared" si="13"/>
        <v>158.64817962540826</v>
      </c>
      <c r="K23" s="32">
        <f t="shared" si="13"/>
        <v>193.10605866651844</v>
      </c>
      <c r="L23" s="32">
        <f t="shared" si="13"/>
        <v>228.70363205691353</v>
      </c>
      <c r="M23" s="32">
        <f t="shared" si="13"/>
        <v>265.47859518719599</v>
      </c>
      <c r="N23" s="32">
        <f t="shared" si="13"/>
        <v>290.6971625999999</v>
      </c>
      <c r="O23" s="32">
        <f t="shared" si="13"/>
        <v>290.6971625999999</v>
      </c>
      <c r="P23" s="32">
        <f t="shared" si="13"/>
        <v>290.6971625999999</v>
      </c>
      <c r="Q23" s="32">
        <f t="shared" si="13"/>
        <v>290.6971625999999</v>
      </c>
      <c r="R23" s="32">
        <f t="shared" si="13"/>
        <v>290.6971625999999</v>
      </c>
      <c r="S23" s="32">
        <f t="shared" si="13"/>
        <v>290.6971625999999</v>
      </c>
    </row>
    <row r="24" spans="1:19" s="4" customFormat="1" ht="11.5" x14ac:dyDescent="0.2">
      <c r="A24" s="30">
        <v>11</v>
      </c>
      <c r="B24" s="31" t="s">
        <v>64</v>
      </c>
      <c r="C24" s="32">
        <f t="shared" si="9"/>
        <v>378.71198803018177</v>
      </c>
      <c r="D24" s="33">
        <v>0</v>
      </c>
      <c r="E24" s="32">
        <f>IF(E23&lt;0,0,E23*'basic parameters'!$C$44)</f>
        <v>26.989558260000024</v>
      </c>
      <c r="F24" s="32">
        <f>IF(F23&lt;0,0,F23*'basic parameters'!$C$44)</f>
        <v>30.803296949449511</v>
      </c>
      <c r="G24" s="32">
        <f>IF(G23&lt;0,0,G23*'basic parameters'!$C$44)</f>
        <v>34.743175046052549</v>
      </c>
      <c r="H24" s="32">
        <f>IF(H23&lt;0,0,H23*'basic parameters'!$C$44)</f>
        <v>14.634663020957161</v>
      </c>
      <c r="I24" s="32">
        <f>IF(I23&lt;0,0,I23*'basic parameters'!$C$44)</f>
        <v>12.529350640118878</v>
      </c>
      <c r="J24" s="32">
        <f>IF(J23&lt;0,0,J23*'basic parameters'!$C$44)</f>
        <v>15.864817962540826</v>
      </c>
      <c r="K24" s="32">
        <f>IF(K23&lt;0,0,K23*'basic parameters'!$C$44)</f>
        <v>19.310605866651844</v>
      </c>
      <c r="L24" s="32">
        <f>IF(L23&lt;0,0,L23*'basic parameters'!$C$44)</f>
        <v>22.870363205691355</v>
      </c>
      <c r="M24" s="32">
        <f>IF(M23&lt;0,0,M23*'basic parameters'!$C$44)</f>
        <v>26.547859518719601</v>
      </c>
      <c r="N24" s="32">
        <f>IF(N23&lt;0,0,N23*'basic parameters'!$C$44)</f>
        <v>29.069716259999993</v>
      </c>
      <c r="O24" s="32">
        <f>IF(O23&lt;0,0,O23*'basic parameters'!$C$44)</f>
        <v>29.069716259999993</v>
      </c>
      <c r="P24" s="32">
        <f>IF(P23&lt;0,0,P23*'basic parameters'!$C$44)</f>
        <v>29.069716259999993</v>
      </c>
      <c r="Q24" s="32">
        <f>IF(Q23&lt;0,0,Q23*'basic parameters'!$C$44)</f>
        <v>29.069716259999993</v>
      </c>
      <c r="R24" s="32">
        <f>IF(R23&lt;0,0,R23*'basic parameters'!$C$44)</f>
        <v>29.069716259999993</v>
      </c>
      <c r="S24" s="32">
        <f>IF(S23&lt;0,0,S23*'basic parameters'!$C$44)</f>
        <v>29.069716259999993</v>
      </c>
    </row>
    <row r="25" spans="1:19" s="4" customFormat="1" ht="11.5" x14ac:dyDescent="0.2">
      <c r="A25" s="34">
        <v>12</v>
      </c>
      <c r="B25" s="26" t="s">
        <v>68</v>
      </c>
      <c r="C25" s="32">
        <f t="shared" si="9"/>
        <v>3408.4078922716358</v>
      </c>
      <c r="D25" s="33">
        <v>0</v>
      </c>
      <c r="E25" s="32">
        <f>E23-E24</f>
        <v>242.90602434000022</v>
      </c>
      <c r="F25" s="32">
        <f t="shared" ref="F25:S25" si="14">F23-F24</f>
        <v>277.22967254504556</v>
      </c>
      <c r="G25" s="32">
        <f t="shared" si="14"/>
        <v>312.68857541447289</v>
      </c>
      <c r="H25" s="32">
        <f t="shared" si="14"/>
        <v>131.71196718861444</v>
      </c>
      <c r="I25" s="32">
        <f t="shared" si="14"/>
        <v>112.7641557610699</v>
      </c>
      <c r="J25" s="32">
        <f t="shared" si="14"/>
        <v>142.78336166286743</v>
      </c>
      <c r="K25" s="32">
        <f t="shared" si="14"/>
        <v>173.79545279986658</v>
      </c>
      <c r="L25" s="32">
        <f t="shared" si="14"/>
        <v>205.83326885122219</v>
      </c>
      <c r="M25" s="32">
        <f t="shared" si="14"/>
        <v>238.93073566847639</v>
      </c>
      <c r="N25" s="32">
        <f t="shared" si="14"/>
        <v>261.62744633999989</v>
      </c>
      <c r="O25" s="32">
        <f t="shared" si="14"/>
        <v>261.62744633999989</v>
      </c>
      <c r="P25" s="32">
        <f t="shared" si="14"/>
        <v>261.62744633999989</v>
      </c>
      <c r="Q25" s="32">
        <f t="shared" si="14"/>
        <v>261.62744633999989</v>
      </c>
      <c r="R25" s="32">
        <f t="shared" si="14"/>
        <v>261.62744633999989</v>
      </c>
      <c r="S25" s="32">
        <f t="shared" si="14"/>
        <v>261.62744633999989</v>
      </c>
    </row>
    <row r="26" spans="1:19" s="4" customFormat="1" ht="11.5" x14ac:dyDescent="0.2">
      <c r="A26" s="30">
        <v>13</v>
      </c>
      <c r="B26" s="31" t="s">
        <v>65</v>
      </c>
      <c r="C26" s="32">
        <f t="shared" si="9"/>
        <v>0</v>
      </c>
      <c r="D26" s="33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</row>
    <row r="27" spans="1:19" s="4" customFormat="1" ht="11.5" x14ac:dyDescent="0.2">
      <c r="A27" s="30">
        <v>14</v>
      </c>
      <c r="B27" s="31" t="s">
        <v>125</v>
      </c>
      <c r="C27" s="32">
        <f t="shared" si="9"/>
        <v>3408.4078922716358</v>
      </c>
      <c r="D27" s="33">
        <v>0</v>
      </c>
      <c r="E27" s="32">
        <f>E25-E26</f>
        <v>242.90602434000022</v>
      </c>
      <c r="F27" s="32">
        <f t="shared" ref="F27:S27" si="15">F25-F26</f>
        <v>277.22967254504556</v>
      </c>
      <c r="G27" s="32">
        <f t="shared" si="15"/>
        <v>312.68857541447289</v>
      </c>
      <c r="H27" s="32">
        <f t="shared" si="15"/>
        <v>131.71196718861444</v>
      </c>
      <c r="I27" s="32">
        <f t="shared" si="15"/>
        <v>112.7641557610699</v>
      </c>
      <c r="J27" s="32">
        <f t="shared" si="15"/>
        <v>142.78336166286743</v>
      </c>
      <c r="K27" s="32">
        <f t="shared" si="15"/>
        <v>173.79545279986658</v>
      </c>
      <c r="L27" s="32">
        <f t="shared" si="15"/>
        <v>205.83326885122219</v>
      </c>
      <c r="M27" s="32">
        <f t="shared" si="15"/>
        <v>238.93073566847639</v>
      </c>
      <c r="N27" s="32">
        <f t="shared" si="15"/>
        <v>261.62744633999989</v>
      </c>
      <c r="O27" s="32">
        <f t="shared" si="15"/>
        <v>261.62744633999989</v>
      </c>
      <c r="P27" s="32">
        <f t="shared" si="15"/>
        <v>261.62744633999989</v>
      </c>
      <c r="Q27" s="32">
        <f t="shared" si="15"/>
        <v>261.62744633999989</v>
      </c>
      <c r="R27" s="32">
        <f t="shared" si="15"/>
        <v>261.62744633999989</v>
      </c>
      <c r="S27" s="32">
        <f t="shared" si="15"/>
        <v>261.62744633999989</v>
      </c>
    </row>
    <row r="28" spans="1:19" s="4" customFormat="1" ht="11.5" x14ac:dyDescent="0.2">
      <c r="A28" s="30">
        <v>15</v>
      </c>
      <c r="B28" s="31" t="s">
        <v>66</v>
      </c>
      <c r="C28" s="32"/>
      <c r="D28" s="33">
        <v>0</v>
      </c>
      <c r="E28" s="32">
        <f>D28+E27</f>
        <v>242.90602434000022</v>
      </c>
      <c r="F28" s="32">
        <f t="shared" ref="F28:S28" si="16">E28+F27</f>
        <v>520.13569688504572</v>
      </c>
      <c r="G28" s="32">
        <f t="shared" si="16"/>
        <v>832.82427229951861</v>
      </c>
      <c r="H28" s="32">
        <f t="shared" si="16"/>
        <v>964.53623948813311</v>
      </c>
      <c r="I28" s="32">
        <f t="shared" si="16"/>
        <v>1077.3003952492031</v>
      </c>
      <c r="J28" s="32">
        <f t="shared" si="16"/>
        <v>1220.0837569120706</v>
      </c>
      <c r="K28" s="32">
        <f t="shared" si="16"/>
        <v>1393.8792097119372</v>
      </c>
      <c r="L28" s="32">
        <f t="shared" si="16"/>
        <v>1599.7124785631593</v>
      </c>
      <c r="M28" s="32">
        <f t="shared" si="16"/>
        <v>1838.6432142316357</v>
      </c>
      <c r="N28" s="32">
        <f t="shared" si="16"/>
        <v>2100.2706605716357</v>
      </c>
      <c r="O28" s="32">
        <f t="shared" si="16"/>
        <v>2361.8981069116358</v>
      </c>
      <c r="P28" s="32">
        <f t="shared" si="16"/>
        <v>2623.5255532516358</v>
      </c>
      <c r="Q28" s="32">
        <f t="shared" si="16"/>
        <v>2885.1529995916358</v>
      </c>
      <c r="R28" s="32">
        <f t="shared" si="16"/>
        <v>3146.7804459316358</v>
      </c>
      <c r="S28" s="32">
        <f t="shared" si="16"/>
        <v>3408.4078922716358</v>
      </c>
    </row>
    <row r="29" spans="1:19" s="4" customFormat="1" ht="12" x14ac:dyDescent="0.2">
      <c r="A29" s="30">
        <v>16</v>
      </c>
      <c r="B29" s="26" t="s">
        <v>122</v>
      </c>
      <c r="C29" s="32">
        <f>SUM(D29:S29)</f>
        <v>7175.4650041367531</v>
      </c>
      <c r="D29" s="33">
        <v>0</v>
      </c>
      <c r="E29" s="32">
        <f>E13+'Loan repayment'!E9+'Loan repayment'!E14</f>
        <v>790.15007680000031</v>
      </c>
      <c r="F29" s="32">
        <f>F13+'Loan repayment'!F9+'Loan repayment'!F14</f>
        <v>790.15007680000008</v>
      </c>
      <c r="G29" s="32">
        <f>G13+'Loan repayment'!G9+'Loan repayment'!G14</f>
        <v>790.15007679999997</v>
      </c>
      <c r="H29" s="32">
        <f>H13+'Loan repayment'!H9+'Loan repayment'!H14</f>
        <v>467.76738893675247</v>
      </c>
      <c r="I29" s="32">
        <f>I13+'Loan repayment'!I9+'Loan repayment'!I14</f>
        <v>394.29521679999988</v>
      </c>
      <c r="J29" s="32">
        <f>J13+'Loan repayment'!J9+'Loan repayment'!J14</f>
        <v>394.29521680000011</v>
      </c>
      <c r="K29" s="32">
        <f>K13+'Loan repayment'!K9+'Loan repayment'!K14</f>
        <v>394.29521679999988</v>
      </c>
      <c r="L29" s="32">
        <f>L13+'Loan repayment'!L9+'Loan repayment'!L14</f>
        <v>394.29521679999988</v>
      </c>
      <c r="M29" s="32">
        <f>M13+'Loan repayment'!M9+'Loan repayment'!M14</f>
        <v>394.29521679999993</v>
      </c>
      <c r="N29" s="32">
        <f>N13+'Loan repayment'!N9+'Loan repayment'!N14</f>
        <v>394.29521679999988</v>
      </c>
      <c r="O29" s="32">
        <f>O13+'Loan repayment'!O9+'Loan repayment'!O14</f>
        <v>394.29521679999988</v>
      </c>
      <c r="P29" s="32">
        <f>P13+'Loan repayment'!P9+'Loan repayment'!P14</f>
        <v>394.29521679999988</v>
      </c>
      <c r="Q29" s="32">
        <f>Q13+'Loan repayment'!Q9+'Loan repayment'!Q14</f>
        <v>394.29521679999988</v>
      </c>
      <c r="R29" s="32">
        <f>R13+'Loan repayment'!R9+'Loan repayment'!R14</f>
        <v>394.29521679999988</v>
      </c>
      <c r="S29" s="32">
        <f>S13+'Loan repayment'!S9+'Loan repayment'!S14</f>
        <v>394.29521679999988</v>
      </c>
    </row>
    <row r="30" spans="1:19" s="4" customFormat="1" ht="12" thickBot="1" x14ac:dyDescent="0.25">
      <c r="A30" s="44">
        <v>17</v>
      </c>
      <c r="B30" s="45" t="s">
        <v>67</v>
      </c>
      <c r="C30" s="46">
        <f>SUM(D30:S30)</f>
        <v>19098.155004136741</v>
      </c>
      <c r="D30" s="47">
        <v>0</v>
      </c>
      <c r="E30" s="46">
        <f>E29+'total cost'!E5</f>
        <v>1584.9960768000001</v>
      </c>
      <c r="F30" s="46">
        <f>F29+'total cost'!F5</f>
        <v>1584.9960768000001</v>
      </c>
      <c r="G30" s="46">
        <f>G29+'total cost'!G5</f>
        <v>1584.9960767999999</v>
      </c>
      <c r="H30" s="46">
        <f>H29+'total cost'!H5</f>
        <v>1262.6133889367525</v>
      </c>
      <c r="I30" s="46">
        <f>I29+'total cost'!I5</f>
        <v>1189.1412167999997</v>
      </c>
      <c r="J30" s="46">
        <f>J29+'total cost'!J5</f>
        <v>1189.1412167999999</v>
      </c>
      <c r="K30" s="46">
        <f>K29+'total cost'!K5</f>
        <v>1189.1412167999997</v>
      </c>
      <c r="L30" s="46">
        <f>L29+'total cost'!L5</f>
        <v>1189.1412167999997</v>
      </c>
      <c r="M30" s="46">
        <f>M29+'total cost'!M5</f>
        <v>1189.1412167999997</v>
      </c>
      <c r="N30" s="46">
        <f>N29+'total cost'!N5</f>
        <v>1189.1412167999997</v>
      </c>
      <c r="O30" s="46">
        <f>O29+'total cost'!O5</f>
        <v>1189.1412167999997</v>
      </c>
      <c r="P30" s="46">
        <f>P29+'total cost'!P5</f>
        <v>1189.1412167999997</v>
      </c>
      <c r="Q30" s="46">
        <f>Q29+'total cost'!Q5</f>
        <v>1189.1412167999997</v>
      </c>
      <c r="R30" s="46">
        <f>R29+'total cost'!R5</f>
        <v>1189.1412167999997</v>
      </c>
      <c r="S30" s="46">
        <f>S29+'total cost'!S5</f>
        <v>1189.1412167999997</v>
      </c>
    </row>
    <row r="31" spans="1:19" ht="13" thickTop="1" x14ac:dyDescent="0.25"/>
    <row r="32" spans="1:19" x14ac:dyDescent="0.25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6:6" x14ac:dyDescent="0.25">
      <c r="F33" s="6"/>
    </row>
    <row r="34" spans="6:6" x14ac:dyDescent="0.25">
      <c r="F34" s="6"/>
    </row>
  </sheetData>
  <mergeCells count="4">
    <mergeCell ref="A3:A4"/>
    <mergeCell ref="B3:B4"/>
    <mergeCell ref="C3:C4"/>
    <mergeCell ref="D3:S3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zoomScale="70" zoomScaleNormal="70" workbookViewId="0">
      <selection activeCell="F16" sqref="F16"/>
    </sheetView>
  </sheetViews>
  <sheetFormatPr defaultColWidth="9" defaultRowHeight="13.5" x14ac:dyDescent="0.25"/>
  <cols>
    <col min="1" max="1" width="3.58203125" style="12" customWidth="1"/>
    <col min="2" max="2" width="30.9140625" style="12" customWidth="1"/>
    <col min="3" max="3" width="10.75" style="12" bestFit="1" customWidth="1"/>
    <col min="4" max="4" width="14.33203125" style="12" bestFit="1" customWidth="1"/>
    <col min="5" max="5" width="14.5" style="12" customWidth="1"/>
    <col min="6" max="6" width="16.33203125" style="12" bestFit="1" customWidth="1"/>
    <col min="7" max="7" width="13.33203125" style="12" customWidth="1"/>
    <col min="8" max="8" width="12.6640625" style="12" customWidth="1"/>
    <col min="9" max="9" width="13.33203125" style="12" customWidth="1"/>
    <col min="10" max="10" width="14.83203125" style="12" customWidth="1"/>
    <col min="11" max="11" width="10.33203125" style="12" bestFit="1" customWidth="1"/>
    <col min="12" max="12" width="13.58203125" style="12" customWidth="1"/>
    <col min="13" max="13" width="12.75" style="12" customWidth="1"/>
    <col min="14" max="14" width="14.75" style="12" customWidth="1"/>
    <col min="15" max="15" width="11.25" style="12" customWidth="1"/>
    <col min="16" max="16" width="11.33203125" style="12" customWidth="1"/>
    <col min="17" max="17" width="11.58203125" style="12" customWidth="1"/>
    <col min="18" max="18" width="15.75" style="12" customWidth="1"/>
    <col min="19" max="19" width="13.58203125" style="12" customWidth="1"/>
    <col min="20" max="16384" width="9" style="12"/>
  </cols>
  <sheetData>
    <row r="1" spans="1:19" x14ac:dyDescent="0.25">
      <c r="A1" s="22" t="s">
        <v>89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4" thickBot="1" x14ac:dyDescent="0.3">
      <c r="A2" s="24" t="s">
        <v>119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x14ac:dyDescent="0.25">
      <c r="A3" s="205" t="s">
        <v>35</v>
      </c>
      <c r="B3" s="207" t="s">
        <v>37</v>
      </c>
      <c r="C3" s="208" t="s">
        <v>40</v>
      </c>
      <c r="D3" s="208" t="s">
        <v>23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1"/>
    </row>
    <row r="4" spans="1:19" x14ac:dyDescent="0.25">
      <c r="A4" s="206"/>
      <c r="B4" s="182"/>
      <c r="C4" s="209"/>
      <c r="D4" s="28">
        <v>1</v>
      </c>
      <c r="E4" s="27">
        <v>2</v>
      </c>
      <c r="F4" s="28">
        <v>3</v>
      </c>
      <c r="G4" s="27">
        <v>4</v>
      </c>
      <c r="H4" s="28">
        <v>5</v>
      </c>
      <c r="I4" s="27">
        <v>6</v>
      </c>
      <c r="J4" s="28">
        <v>7</v>
      </c>
      <c r="K4" s="27">
        <v>8</v>
      </c>
      <c r="L4" s="28">
        <v>9</v>
      </c>
      <c r="M4" s="28">
        <v>10</v>
      </c>
      <c r="N4" s="28">
        <v>11</v>
      </c>
      <c r="O4" s="28">
        <v>12</v>
      </c>
      <c r="P4" s="27">
        <v>13</v>
      </c>
      <c r="Q4" s="28">
        <v>14</v>
      </c>
      <c r="R4" s="27">
        <v>15</v>
      </c>
      <c r="S4" s="125">
        <v>16</v>
      </c>
    </row>
    <row r="5" spans="1:19" x14ac:dyDescent="0.25">
      <c r="A5" s="126">
        <v>1</v>
      </c>
      <c r="B5" s="31" t="s">
        <v>42</v>
      </c>
      <c r="C5" s="97">
        <f>SUM(D5:S5)</f>
        <v>37036.916752136756</v>
      </c>
      <c r="D5" s="97">
        <f t="shared" ref="D5:S5" si="0">SUM(D6:D9)</f>
        <v>0</v>
      </c>
      <c r="E5" s="97">
        <f t="shared" si="0"/>
        <v>2724.4128599999999</v>
      </c>
      <c r="F5" s="97">
        <f t="shared" si="0"/>
        <v>2724.4128599999999</v>
      </c>
      <c r="G5" s="97">
        <f t="shared" si="0"/>
        <v>2724.4128599999999</v>
      </c>
      <c r="H5" s="97">
        <f t="shared" si="0"/>
        <v>2402.0301721367523</v>
      </c>
      <c r="I5" s="97">
        <f t="shared" si="0"/>
        <v>2328.558</v>
      </c>
      <c r="J5" s="97">
        <f t="shared" si="0"/>
        <v>2328.558</v>
      </c>
      <c r="K5" s="97">
        <f t="shared" si="0"/>
        <v>2328.558</v>
      </c>
      <c r="L5" s="97">
        <f t="shared" si="0"/>
        <v>2328.558</v>
      </c>
      <c r="M5" s="97">
        <f t="shared" si="0"/>
        <v>2328.558</v>
      </c>
      <c r="N5" s="97">
        <f t="shared" si="0"/>
        <v>2328.558</v>
      </c>
      <c r="O5" s="97">
        <f t="shared" si="0"/>
        <v>2328.558</v>
      </c>
      <c r="P5" s="97">
        <f t="shared" si="0"/>
        <v>2328.558</v>
      </c>
      <c r="Q5" s="97">
        <f t="shared" si="0"/>
        <v>2328.558</v>
      </c>
      <c r="R5" s="97">
        <f t="shared" si="0"/>
        <v>2328.558</v>
      </c>
      <c r="S5" s="127">
        <f t="shared" si="0"/>
        <v>3176.0680000000002</v>
      </c>
    </row>
    <row r="6" spans="1:19" x14ac:dyDescent="0.25">
      <c r="A6" s="126">
        <v>1.1000000000000001</v>
      </c>
      <c r="B6" s="31" t="s">
        <v>93</v>
      </c>
      <c r="C6" s="97">
        <f t="shared" ref="C6:C18" si="1">SUM(D6:S6)</f>
        <v>34928.37000000001</v>
      </c>
      <c r="D6" s="98">
        <f>'cost and income table'!D6</f>
        <v>0</v>
      </c>
      <c r="E6" s="98">
        <f>'cost and income table'!E6</f>
        <v>2328.558</v>
      </c>
      <c r="F6" s="98">
        <f>'cost and income table'!F6</f>
        <v>2328.558</v>
      </c>
      <c r="G6" s="98">
        <f>'cost and income table'!G6</f>
        <v>2328.558</v>
      </c>
      <c r="H6" s="98">
        <f>'cost and income table'!H6</f>
        <v>2328.558</v>
      </c>
      <c r="I6" s="98">
        <f>'cost and income table'!I6</f>
        <v>2328.558</v>
      </c>
      <c r="J6" s="98">
        <f>'cost and income table'!J6</f>
        <v>2328.558</v>
      </c>
      <c r="K6" s="98">
        <f>'cost and income table'!K6</f>
        <v>2328.558</v>
      </c>
      <c r="L6" s="98">
        <f>'cost and income table'!L6</f>
        <v>2328.558</v>
      </c>
      <c r="M6" s="98">
        <f>'cost and income table'!M6</f>
        <v>2328.558</v>
      </c>
      <c r="N6" s="98">
        <f>'cost and income table'!N6</f>
        <v>2328.558</v>
      </c>
      <c r="O6" s="98">
        <f>'cost and income table'!O6</f>
        <v>2328.558</v>
      </c>
      <c r="P6" s="98">
        <f>'cost and income table'!P6</f>
        <v>2328.558</v>
      </c>
      <c r="Q6" s="98">
        <f>'cost and income table'!Q6</f>
        <v>2328.558</v>
      </c>
      <c r="R6" s="98">
        <f>'cost and income table'!R6</f>
        <v>2328.558</v>
      </c>
      <c r="S6" s="128">
        <f>'cost and income table'!S6</f>
        <v>2328.558</v>
      </c>
    </row>
    <row r="7" spans="1:19" x14ac:dyDescent="0.25">
      <c r="A7" s="126">
        <v>1.2</v>
      </c>
      <c r="B7" s="31" t="s">
        <v>44</v>
      </c>
      <c r="C7" s="97">
        <f t="shared" si="1"/>
        <v>1261.0367521367525</v>
      </c>
      <c r="D7" s="97">
        <f>'cost and income table'!D9</f>
        <v>0</v>
      </c>
      <c r="E7" s="97">
        <f>'cost and income table'!E9</f>
        <v>395.85486000000003</v>
      </c>
      <c r="F7" s="97">
        <f>'cost and income table'!F9</f>
        <v>395.85486000000003</v>
      </c>
      <c r="G7" s="97">
        <f>'cost and income table'!G9</f>
        <v>395.85486000000003</v>
      </c>
      <c r="H7" s="97">
        <f>'cost and income table'!H9</f>
        <v>73.472172136752192</v>
      </c>
      <c r="I7" s="97">
        <f>'cost and income table'!I9</f>
        <v>0</v>
      </c>
      <c r="J7" s="97">
        <f>'cost and income table'!J9</f>
        <v>0</v>
      </c>
      <c r="K7" s="97">
        <f>'cost and income table'!K9</f>
        <v>0</v>
      </c>
      <c r="L7" s="97">
        <f>'cost and income table'!L9</f>
        <v>0</v>
      </c>
      <c r="M7" s="97">
        <f>'cost and income table'!M9</f>
        <v>0</v>
      </c>
      <c r="N7" s="97">
        <f>'cost and income table'!N9</f>
        <v>0</v>
      </c>
      <c r="O7" s="97">
        <f>'cost and income table'!O9</f>
        <v>0</v>
      </c>
      <c r="P7" s="97">
        <f>'cost and income table'!P9</f>
        <v>0</v>
      </c>
      <c r="Q7" s="97">
        <f>'cost and income table'!Q9</f>
        <v>0</v>
      </c>
      <c r="R7" s="97">
        <f>'cost and income table'!R9</f>
        <v>0</v>
      </c>
      <c r="S7" s="127">
        <f>'cost and income table'!S9</f>
        <v>0</v>
      </c>
    </row>
    <row r="8" spans="1:19" x14ac:dyDescent="0.25">
      <c r="A8" s="126">
        <v>1.3</v>
      </c>
      <c r="B8" s="31" t="s">
        <v>46</v>
      </c>
      <c r="C8" s="97">
        <f t="shared" si="1"/>
        <v>627.5100000000001</v>
      </c>
      <c r="D8" s="29"/>
      <c r="E8" s="99"/>
      <c r="F8" s="29"/>
      <c r="G8" s="99"/>
      <c r="H8" s="29"/>
      <c r="I8" s="99"/>
      <c r="J8" s="29"/>
      <c r="K8" s="99"/>
      <c r="L8" s="29"/>
      <c r="M8" s="29"/>
      <c r="N8" s="29"/>
      <c r="O8" s="29"/>
      <c r="P8" s="99"/>
      <c r="Q8" s="29"/>
      <c r="R8" s="99"/>
      <c r="S8" s="127">
        <f>'basic parameters'!C30*'basic parameters'!C6</f>
        <v>627.5100000000001</v>
      </c>
    </row>
    <row r="9" spans="1:19" x14ac:dyDescent="0.25">
      <c r="A9" s="126">
        <v>1.4</v>
      </c>
      <c r="B9" s="31" t="s">
        <v>48</v>
      </c>
      <c r="C9" s="97">
        <f t="shared" si="1"/>
        <v>220</v>
      </c>
      <c r="D9" s="29"/>
      <c r="E9" s="99"/>
      <c r="F9" s="29"/>
      <c r="G9" s="99"/>
      <c r="H9" s="29"/>
      <c r="I9" s="99"/>
      <c r="J9" s="29"/>
      <c r="K9" s="99"/>
      <c r="L9" s="29"/>
      <c r="M9" s="29"/>
      <c r="N9" s="29"/>
      <c r="O9" s="29"/>
      <c r="P9" s="99"/>
      <c r="Q9" s="29"/>
      <c r="R9" s="99"/>
      <c r="S9" s="127">
        <f>'basic parameters'!C11</f>
        <v>220</v>
      </c>
    </row>
    <row r="10" spans="1:19" x14ac:dyDescent="0.25">
      <c r="A10" s="126">
        <v>2</v>
      </c>
      <c r="B10" s="31" t="s">
        <v>50</v>
      </c>
      <c r="C10" s="97">
        <f t="shared" si="1"/>
        <v>29649.656598000023</v>
      </c>
      <c r="D10" s="97">
        <f>SUM(D11:D14)</f>
        <v>12338.404850000001</v>
      </c>
      <c r="E10" s="97">
        <f t="shared" ref="E10:S10" si="2">SUM(E11:E14)</f>
        <v>1359.4167832000003</v>
      </c>
      <c r="F10" s="97">
        <f t="shared" si="2"/>
        <v>1139.4167832000003</v>
      </c>
      <c r="G10" s="97">
        <f t="shared" si="2"/>
        <v>1139.4167832000003</v>
      </c>
      <c r="H10" s="97">
        <f t="shared" si="2"/>
        <v>1139.4167832000003</v>
      </c>
      <c r="I10" s="97">
        <f t="shared" si="2"/>
        <v>1139.4167832000003</v>
      </c>
      <c r="J10" s="97">
        <f t="shared" si="2"/>
        <v>1139.4167832000003</v>
      </c>
      <c r="K10" s="97">
        <f t="shared" si="2"/>
        <v>1139.4167832000003</v>
      </c>
      <c r="L10" s="97">
        <f t="shared" si="2"/>
        <v>1139.4167832000003</v>
      </c>
      <c r="M10" s="97">
        <f t="shared" si="2"/>
        <v>1139.4167832000003</v>
      </c>
      <c r="N10" s="97">
        <f t="shared" si="2"/>
        <v>1139.4167832000003</v>
      </c>
      <c r="O10" s="97">
        <f t="shared" si="2"/>
        <v>1139.4167832000003</v>
      </c>
      <c r="P10" s="97">
        <f t="shared" si="2"/>
        <v>1139.4167832000003</v>
      </c>
      <c r="Q10" s="97">
        <f t="shared" si="2"/>
        <v>1139.4167832000003</v>
      </c>
      <c r="R10" s="97">
        <f t="shared" si="2"/>
        <v>1139.4167832000003</v>
      </c>
      <c r="S10" s="127">
        <f t="shared" si="2"/>
        <v>1139.4167832000003</v>
      </c>
    </row>
    <row r="11" spans="1:19" x14ac:dyDescent="0.25">
      <c r="A11" s="126">
        <v>2.1</v>
      </c>
      <c r="B11" s="31" t="s">
        <v>52</v>
      </c>
      <c r="C11" s="97">
        <f t="shared" si="1"/>
        <v>12338.404850000001</v>
      </c>
      <c r="D11" s="97">
        <f>'basic parameters'!C5</f>
        <v>12338.404850000001</v>
      </c>
      <c r="E11" s="99"/>
      <c r="F11" s="29"/>
      <c r="G11" s="99"/>
      <c r="H11" s="29"/>
      <c r="I11" s="99"/>
      <c r="J11" s="29"/>
      <c r="K11" s="99"/>
      <c r="L11" s="29"/>
      <c r="M11" s="29"/>
      <c r="N11" s="29"/>
      <c r="O11" s="29"/>
      <c r="P11" s="99"/>
      <c r="Q11" s="29"/>
      <c r="R11" s="99"/>
      <c r="S11" s="129"/>
    </row>
    <row r="12" spans="1:19" x14ac:dyDescent="0.25">
      <c r="A12" s="126">
        <v>2.2000000000000002</v>
      </c>
      <c r="B12" s="31" t="s">
        <v>5</v>
      </c>
      <c r="C12" s="97">
        <f t="shared" si="1"/>
        <v>220</v>
      </c>
      <c r="D12" s="29"/>
      <c r="E12" s="98">
        <f>'basic parameters'!C11</f>
        <v>220</v>
      </c>
      <c r="F12" s="29"/>
      <c r="G12" s="99"/>
      <c r="H12" s="29"/>
      <c r="I12" s="99"/>
      <c r="J12" s="29"/>
      <c r="K12" s="99"/>
      <c r="L12" s="29"/>
      <c r="M12" s="29"/>
      <c r="N12" s="29"/>
      <c r="O12" s="29"/>
      <c r="P12" s="99"/>
      <c r="Q12" s="29"/>
      <c r="R12" s="99"/>
      <c r="S12" s="129"/>
    </row>
    <row r="13" spans="1:19" x14ac:dyDescent="0.25">
      <c r="A13" s="126">
        <v>2.2999999999999998</v>
      </c>
      <c r="B13" s="31" t="s">
        <v>31</v>
      </c>
      <c r="C13" s="97">
        <f t="shared" si="1"/>
        <v>16378.712999999996</v>
      </c>
      <c r="D13" s="97">
        <v>0</v>
      </c>
      <c r="E13" s="97">
        <f>'total cost'!E16</f>
        <v>1091.9142000000002</v>
      </c>
      <c r="F13" s="97">
        <f>'total cost'!F16</f>
        <v>1091.9142000000002</v>
      </c>
      <c r="G13" s="97">
        <f>'total cost'!G16</f>
        <v>1091.9142000000002</v>
      </c>
      <c r="H13" s="97">
        <f>'total cost'!H16</f>
        <v>1091.9142000000002</v>
      </c>
      <c r="I13" s="97">
        <f>'total cost'!I16</f>
        <v>1091.9142000000002</v>
      </c>
      <c r="J13" s="97">
        <f>'total cost'!J16</f>
        <v>1091.9142000000002</v>
      </c>
      <c r="K13" s="97">
        <f>'total cost'!K16</f>
        <v>1091.9142000000002</v>
      </c>
      <c r="L13" s="97">
        <f>'total cost'!L16</f>
        <v>1091.9142000000002</v>
      </c>
      <c r="M13" s="97">
        <f>'total cost'!M16</f>
        <v>1091.9142000000002</v>
      </c>
      <c r="N13" s="97">
        <f>'total cost'!N16</f>
        <v>1091.9142000000002</v>
      </c>
      <c r="O13" s="97">
        <f>'total cost'!O16</f>
        <v>1091.9142000000002</v>
      </c>
      <c r="P13" s="97">
        <f>'total cost'!P16</f>
        <v>1091.9142000000002</v>
      </c>
      <c r="Q13" s="97">
        <f>'total cost'!Q16</f>
        <v>1091.9142000000002</v>
      </c>
      <c r="R13" s="97">
        <f>'total cost'!R16</f>
        <v>1091.9142000000002</v>
      </c>
      <c r="S13" s="127">
        <f>'total cost'!S16</f>
        <v>1091.9142000000002</v>
      </c>
    </row>
    <row r="14" spans="1:19" x14ac:dyDescent="0.25">
      <c r="A14" s="126">
        <v>2.4</v>
      </c>
      <c r="B14" s="26" t="s">
        <v>53</v>
      </c>
      <c r="C14" s="97">
        <f t="shared" si="1"/>
        <v>712.53874800000017</v>
      </c>
      <c r="D14" s="97">
        <v>0</v>
      </c>
      <c r="E14" s="97">
        <f>'cost and income table'!E7</f>
        <v>47.502583200000011</v>
      </c>
      <c r="F14" s="97">
        <f>'cost and income table'!F7</f>
        <v>47.502583200000011</v>
      </c>
      <c r="G14" s="97">
        <f>'cost and income table'!G7</f>
        <v>47.502583200000011</v>
      </c>
      <c r="H14" s="97">
        <f>'cost and income table'!H7</f>
        <v>47.502583200000011</v>
      </c>
      <c r="I14" s="97">
        <f>'cost and income table'!I7</f>
        <v>47.502583200000011</v>
      </c>
      <c r="J14" s="97">
        <f>'cost and income table'!J7</f>
        <v>47.502583200000011</v>
      </c>
      <c r="K14" s="97">
        <f>'cost and income table'!K7</f>
        <v>47.502583200000011</v>
      </c>
      <c r="L14" s="97">
        <f>'cost and income table'!L7</f>
        <v>47.502583200000011</v>
      </c>
      <c r="M14" s="97">
        <f>'cost and income table'!M7</f>
        <v>47.502583200000011</v>
      </c>
      <c r="N14" s="97">
        <f>'cost and income table'!N7</f>
        <v>47.502583200000011</v>
      </c>
      <c r="O14" s="97">
        <f>'cost and income table'!O7</f>
        <v>47.502583200000011</v>
      </c>
      <c r="P14" s="97">
        <f>'cost and income table'!P7</f>
        <v>47.502583200000011</v>
      </c>
      <c r="Q14" s="97">
        <f>'cost and income table'!Q7</f>
        <v>47.502583200000011</v>
      </c>
      <c r="R14" s="97">
        <f>'cost and income table'!R7</f>
        <v>47.502583200000011</v>
      </c>
      <c r="S14" s="127">
        <f>'cost and income table'!S7</f>
        <v>47.502583200000011</v>
      </c>
    </row>
    <row r="15" spans="1:19" x14ac:dyDescent="0.25">
      <c r="A15" s="126">
        <v>3</v>
      </c>
      <c r="B15" s="26" t="s">
        <v>137</v>
      </c>
      <c r="C15" s="97">
        <f t="shared" si="1"/>
        <v>7387.2601541367485</v>
      </c>
      <c r="D15" s="97">
        <f t="shared" ref="D15:S15" si="3">D5-D10</f>
        <v>-12338.404850000001</v>
      </c>
      <c r="E15" s="97">
        <f t="shared" si="3"/>
        <v>1364.9960767999996</v>
      </c>
      <c r="F15" s="97">
        <f t="shared" si="3"/>
        <v>1584.9960767999996</v>
      </c>
      <c r="G15" s="97">
        <f t="shared" si="3"/>
        <v>1584.9960767999996</v>
      </c>
      <c r="H15" s="97">
        <f t="shared" si="3"/>
        <v>1262.613388936752</v>
      </c>
      <c r="I15" s="97">
        <f t="shared" si="3"/>
        <v>1189.1412167999997</v>
      </c>
      <c r="J15" s="97">
        <f t="shared" si="3"/>
        <v>1189.1412167999997</v>
      </c>
      <c r="K15" s="97">
        <f t="shared" si="3"/>
        <v>1189.1412167999997</v>
      </c>
      <c r="L15" s="97">
        <f t="shared" si="3"/>
        <v>1189.1412167999997</v>
      </c>
      <c r="M15" s="97">
        <f t="shared" si="3"/>
        <v>1189.1412167999997</v>
      </c>
      <c r="N15" s="97">
        <f t="shared" si="3"/>
        <v>1189.1412167999997</v>
      </c>
      <c r="O15" s="97">
        <f t="shared" si="3"/>
        <v>1189.1412167999997</v>
      </c>
      <c r="P15" s="97">
        <f t="shared" si="3"/>
        <v>1189.1412167999997</v>
      </c>
      <c r="Q15" s="97">
        <f t="shared" si="3"/>
        <v>1189.1412167999997</v>
      </c>
      <c r="R15" s="97">
        <f t="shared" si="3"/>
        <v>1189.1412167999997</v>
      </c>
      <c r="S15" s="127">
        <f t="shared" si="3"/>
        <v>2036.6512167999999</v>
      </c>
    </row>
    <row r="16" spans="1:19" x14ac:dyDescent="0.25">
      <c r="A16" s="126">
        <v>4</v>
      </c>
      <c r="B16" s="31" t="s">
        <v>59</v>
      </c>
      <c r="C16" s="29"/>
      <c r="D16" s="97">
        <f>D15</f>
        <v>-12338.404850000001</v>
      </c>
      <c r="E16" s="97">
        <f t="shared" ref="E16:J16" si="4">D16+E15</f>
        <v>-10973.408773200001</v>
      </c>
      <c r="F16" s="97">
        <f t="shared" si="4"/>
        <v>-9388.4126964000006</v>
      </c>
      <c r="G16" s="97">
        <f t="shared" si="4"/>
        <v>-7803.4166196000006</v>
      </c>
      <c r="H16" s="97">
        <f t="shared" si="4"/>
        <v>-6540.8032306632485</v>
      </c>
      <c r="I16" s="97">
        <f t="shared" si="4"/>
        <v>-5351.6620138632488</v>
      </c>
      <c r="J16" s="97">
        <f t="shared" si="4"/>
        <v>-4162.5207970632491</v>
      </c>
      <c r="K16" s="97">
        <f t="shared" ref="K16:R16" si="5">J16+K15</f>
        <v>-2973.3795802632494</v>
      </c>
      <c r="L16" s="97">
        <f t="shared" si="5"/>
        <v>-1784.2383634632497</v>
      </c>
      <c r="M16" s="97">
        <f t="shared" si="5"/>
        <v>-595.09714666324999</v>
      </c>
      <c r="N16" s="97">
        <f t="shared" si="5"/>
        <v>594.04407013674972</v>
      </c>
      <c r="O16" s="97">
        <f t="shared" si="5"/>
        <v>1783.1852869367494</v>
      </c>
      <c r="P16" s="97">
        <f t="shared" si="5"/>
        <v>2972.3265037367491</v>
      </c>
      <c r="Q16" s="97">
        <f t="shared" si="5"/>
        <v>4161.4677205367489</v>
      </c>
      <c r="R16" s="97">
        <f t="shared" si="5"/>
        <v>5350.6089373367486</v>
      </c>
      <c r="S16" s="127">
        <f>R16+S15</f>
        <v>7387.2601541367485</v>
      </c>
    </row>
    <row r="17" spans="1:19" x14ac:dyDescent="0.25">
      <c r="A17" s="126">
        <v>5</v>
      </c>
      <c r="B17" s="31" t="s">
        <v>57</v>
      </c>
      <c r="C17" s="97">
        <f t="shared" si="1"/>
        <v>1262.3732934339387</v>
      </c>
      <c r="D17" s="97">
        <f>'cost and income table'!D21</f>
        <v>0</v>
      </c>
      <c r="E17" s="97">
        <f>'cost and income table'!E21</f>
        <v>89.96519420000007</v>
      </c>
      <c r="F17" s="97">
        <f>'cost and income table'!F21</f>
        <v>102.67765649816502</v>
      </c>
      <c r="G17" s="97">
        <f>'cost and income table'!G21</f>
        <v>115.81058348684181</v>
      </c>
      <c r="H17" s="97">
        <f>'cost and income table'!H21</f>
        <v>48.7822100698572</v>
      </c>
      <c r="I17" s="97">
        <f>'cost and income table'!I21</f>
        <v>41.764502133729593</v>
      </c>
      <c r="J17" s="97">
        <f>'cost and income table'!J21</f>
        <v>52.882726541802754</v>
      </c>
      <c r="K17" s="97">
        <f>'cost and income table'!K21</f>
        <v>64.368686222172812</v>
      </c>
      <c r="L17" s="97">
        <f>'cost and income table'!L21</f>
        <v>76.234544018971178</v>
      </c>
      <c r="M17" s="97">
        <f>'cost and income table'!M21</f>
        <v>88.492865062398664</v>
      </c>
      <c r="N17" s="97">
        <f>'cost and income table'!N21</f>
        <v>96.899054199999966</v>
      </c>
      <c r="O17" s="97">
        <f>'cost and income table'!O21</f>
        <v>96.899054199999966</v>
      </c>
      <c r="P17" s="97">
        <f>'cost and income table'!P21</f>
        <v>96.899054199999966</v>
      </c>
      <c r="Q17" s="97">
        <f>'cost and income table'!Q21</f>
        <v>96.899054199999966</v>
      </c>
      <c r="R17" s="97">
        <f>'cost and income table'!R21</f>
        <v>96.899054199999966</v>
      </c>
      <c r="S17" s="127">
        <f>'cost and income table'!S21</f>
        <v>96.899054199999966</v>
      </c>
    </row>
    <row r="18" spans="1:19" x14ac:dyDescent="0.25">
      <c r="A18" s="126">
        <v>6</v>
      </c>
      <c r="B18" s="26" t="s">
        <v>138</v>
      </c>
      <c r="C18" s="97">
        <f t="shared" si="1"/>
        <v>6124.8868607028071</v>
      </c>
      <c r="D18" s="97">
        <f>D15-D17</f>
        <v>-12338.404850000001</v>
      </c>
      <c r="E18" s="97">
        <f t="shared" ref="E18:S18" si="6">E15-E17</f>
        <v>1275.0308825999996</v>
      </c>
      <c r="F18" s="97">
        <f t="shared" si="6"/>
        <v>1482.3184203018345</v>
      </c>
      <c r="G18" s="97">
        <f t="shared" si="6"/>
        <v>1469.1854933131578</v>
      </c>
      <c r="H18" s="97">
        <f t="shared" si="6"/>
        <v>1213.8311788668948</v>
      </c>
      <c r="I18" s="97">
        <f t="shared" si="6"/>
        <v>1147.3767146662701</v>
      </c>
      <c r="J18" s="97">
        <f t="shared" si="6"/>
        <v>1136.2584902581971</v>
      </c>
      <c r="K18" s="97">
        <f t="shared" si="6"/>
        <v>1124.772530577827</v>
      </c>
      <c r="L18" s="97">
        <f t="shared" si="6"/>
        <v>1112.9066727810286</v>
      </c>
      <c r="M18" s="97">
        <f t="shared" si="6"/>
        <v>1100.6483517376009</v>
      </c>
      <c r="N18" s="97">
        <f t="shared" si="6"/>
        <v>1092.2421625999998</v>
      </c>
      <c r="O18" s="97">
        <f t="shared" si="6"/>
        <v>1092.2421625999998</v>
      </c>
      <c r="P18" s="97">
        <f t="shared" si="6"/>
        <v>1092.2421625999998</v>
      </c>
      <c r="Q18" s="97">
        <f t="shared" si="6"/>
        <v>1092.2421625999998</v>
      </c>
      <c r="R18" s="97">
        <f t="shared" si="6"/>
        <v>1092.2421625999998</v>
      </c>
      <c r="S18" s="127">
        <f t="shared" si="6"/>
        <v>1939.7521626</v>
      </c>
    </row>
    <row r="19" spans="1:19" ht="14" thickBot="1" x14ac:dyDescent="0.3">
      <c r="A19" s="130">
        <v>7</v>
      </c>
      <c r="B19" s="131" t="s">
        <v>55</v>
      </c>
      <c r="C19" s="132"/>
      <c r="D19" s="133">
        <f>D18</f>
        <v>-12338.404850000001</v>
      </c>
      <c r="E19" s="134">
        <f>D19+E18</f>
        <v>-11063.373967400001</v>
      </c>
      <c r="F19" s="134">
        <f t="shared" ref="F19:R19" si="7">E19+F18</f>
        <v>-9581.0555470981672</v>
      </c>
      <c r="G19" s="134">
        <f t="shared" si="7"/>
        <v>-8111.8700537850091</v>
      </c>
      <c r="H19" s="134">
        <f t="shared" si="7"/>
        <v>-6898.0388749181147</v>
      </c>
      <c r="I19" s="134">
        <f t="shared" si="7"/>
        <v>-5750.6621602518444</v>
      </c>
      <c r="J19" s="134">
        <f t="shared" si="7"/>
        <v>-4614.4036699936478</v>
      </c>
      <c r="K19" s="134">
        <f t="shared" si="7"/>
        <v>-3489.6311394158211</v>
      </c>
      <c r="L19" s="134">
        <f t="shared" si="7"/>
        <v>-2376.7244666347924</v>
      </c>
      <c r="M19" s="134">
        <f t="shared" si="7"/>
        <v>-1276.0761148971915</v>
      </c>
      <c r="N19" s="134">
        <f t="shared" si="7"/>
        <v>-183.83395229719167</v>
      </c>
      <c r="O19" s="134">
        <f t="shared" si="7"/>
        <v>908.40821030280813</v>
      </c>
      <c r="P19" s="134">
        <f t="shared" si="7"/>
        <v>2000.6503729028079</v>
      </c>
      <c r="Q19" s="134">
        <f t="shared" si="7"/>
        <v>3092.8925355028077</v>
      </c>
      <c r="R19" s="134">
        <f t="shared" si="7"/>
        <v>4185.1346981028073</v>
      </c>
      <c r="S19" s="135">
        <f>R19+S18</f>
        <v>6124.8868607028071</v>
      </c>
    </row>
    <row r="21" spans="1:19" x14ac:dyDescent="0.25">
      <c r="C21" s="18"/>
      <c r="D21" s="12" t="s">
        <v>1</v>
      </c>
      <c r="E21" s="101">
        <f>IRR(D18:S18)</f>
        <v>5.5776718126689495E-2</v>
      </c>
      <c r="F21" s="12" t="s">
        <v>144</v>
      </c>
    </row>
    <row r="22" spans="1:19" x14ac:dyDescent="0.25">
      <c r="D22" s="12" t="s">
        <v>61</v>
      </c>
      <c r="E22" s="19">
        <f>11-N16/O15</f>
        <v>10.500442788674558</v>
      </c>
      <c r="F22" s="12" t="s">
        <v>145</v>
      </c>
    </row>
    <row r="23" spans="1:19" x14ac:dyDescent="0.25">
      <c r="E23" s="19">
        <f>11-N19/O18</f>
        <v>11.168308785901095</v>
      </c>
      <c r="F23" s="12" t="s">
        <v>146</v>
      </c>
    </row>
    <row r="24" spans="1:19" x14ac:dyDescent="0.25">
      <c r="D24" s="12" t="s">
        <v>153</v>
      </c>
      <c r="E24" s="115">
        <f>NPV(9%,D18:S18)</f>
        <v>-2141.4404551967941</v>
      </c>
    </row>
    <row r="25" spans="1:19" x14ac:dyDescent="0.25">
      <c r="A25" s="20" t="s">
        <v>87</v>
      </c>
      <c r="G25" s="21">
        <f>G30+G34</f>
        <v>2672.3275749999998</v>
      </c>
    </row>
    <row r="26" spans="1:19" ht="15" thickBot="1" x14ac:dyDescent="0.3">
      <c r="A26" s="12" t="s">
        <v>116</v>
      </c>
    </row>
    <row r="27" spans="1:19" ht="14" thickTop="1" x14ac:dyDescent="0.25">
      <c r="A27" s="212" t="s">
        <v>34</v>
      </c>
      <c r="B27" s="214" t="s">
        <v>36</v>
      </c>
      <c r="C27" s="201" t="s">
        <v>39</v>
      </c>
      <c r="D27" s="203" t="s">
        <v>60</v>
      </c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4"/>
    </row>
    <row r="28" spans="1:19" x14ac:dyDescent="0.25">
      <c r="A28" s="213"/>
      <c r="B28" s="215"/>
      <c r="C28" s="202"/>
      <c r="D28" s="9">
        <v>1</v>
      </c>
      <c r="E28" s="13">
        <v>2</v>
      </c>
      <c r="F28" s="9">
        <v>3</v>
      </c>
      <c r="G28" s="13">
        <v>4</v>
      </c>
      <c r="H28" s="9">
        <v>5</v>
      </c>
      <c r="I28" s="13">
        <v>6</v>
      </c>
      <c r="J28" s="9">
        <v>7</v>
      </c>
      <c r="K28" s="13">
        <v>8</v>
      </c>
      <c r="L28" s="9">
        <v>9</v>
      </c>
      <c r="M28" s="9">
        <v>10</v>
      </c>
      <c r="N28" s="9">
        <v>11</v>
      </c>
      <c r="O28" s="9">
        <v>12</v>
      </c>
      <c r="P28" s="13">
        <v>13</v>
      </c>
      <c r="Q28" s="9">
        <v>14</v>
      </c>
      <c r="R28" s="13">
        <v>15</v>
      </c>
      <c r="S28" s="139">
        <v>16</v>
      </c>
    </row>
    <row r="29" spans="1:19" x14ac:dyDescent="0.25">
      <c r="A29" s="136">
        <v>1</v>
      </c>
      <c r="B29" s="138" t="s">
        <v>41</v>
      </c>
      <c r="C29" s="14">
        <f>SUM(D29:S29)</f>
        <v>42193.460377136755</v>
      </c>
      <c r="D29" s="14">
        <f t="shared" ref="D29:S29" si="8">SUM(D30:D34)</f>
        <v>0</v>
      </c>
      <c r="E29" s="14">
        <f t="shared" si="8"/>
        <v>3068.1824349999997</v>
      </c>
      <c r="F29" s="14">
        <f t="shared" si="8"/>
        <v>3068.1824349999997</v>
      </c>
      <c r="G29" s="14">
        <f t="shared" si="8"/>
        <v>3068.1824349999997</v>
      </c>
      <c r="H29" s="14">
        <f t="shared" si="8"/>
        <v>2745.7997471367521</v>
      </c>
      <c r="I29" s="14">
        <f t="shared" si="8"/>
        <v>2672.3275749999998</v>
      </c>
      <c r="J29" s="14">
        <f t="shared" si="8"/>
        <v>2672.3275749999998</v>
      </c>
      <c r="K29" s="14">
        <f t="shared" si="8"/>
        <v>2672.3275749999998</v>
      </c>
      <c r="L29" s="14">
        <f t="shared" si="8"/>
        <v>2672.3275749999998</v>
      </c>
      <c r="M29" s="14">
        <f t="shared" si="8"/>
        <v>2672.3275749999998</v>
      </c>
      <c r="N29" s="14">
        <f t="shared" si="8"/>
        <v>2672.3275749999998</v>
      </c>
      <c r="O29" s="14">
        <f t="shared" si="8"/>
        <v>2672.3275749999998</v>
      </c>
      <c r="P29" s="14">
        <f t="shared" si="8"/>
        <v>2672.3275749999998</v>
      </c>
      <c r="Q29" s="14">
        <f t="shared" si="8"/>
        <v>2672.3275749999998</v>
      </c>
      <c r="R29" s="14">
        <f t="shared" si="8"/>
        <v>2672.3275749999998</v>
      </c>
      <c r="S29" s="140">
        <f t="shared" si="8"/>
        <v>3519.837575</v>
      </c>
    </row>
    <row r="30" spans="1:19" x14ac:dyDescent="0.25">
      <c r="A30" s="136">
        <v>1.1000000000000001</v>
      </c>
      <c r="B30" s="138" t="s">
        <v>93</v>
      </c>
      <c r="C30" s="14">
        <f t="shared" ref="C30:C39" si="9">SUM(D30:S30)</f>
        <v>34928.37000000001</v>
      </c>
      <c r="D30" s="15">
        <f>'cost and income table'!D27</f>
        <v>0</v>
      </c>
      <c r="E30" s="15">
        <f>'cost and income table'!E6</f>
        <v>2328.558</v>
      </c>
      <c r="F30" s="15">
        <f>'cost and income table'!F6</f>
        <v>2328.558</v>
      </c>
      <c r="G30" s="15">
        <f>'cost and income table'!G6</f>
        <v>2328.558</v>
      </c>
      <c r="H30" s="15">
        <f>'cost and income table'!H6</f>
        <v>2328.558</v>
      </c>
      <c r="I30" s="15">
        <f>'cost and income table'!I6</f>
        <v>2328.558</v>
      </c>
      <c r="J30" s="15">
        <f>'cost and income table'!J6</f>
        <v>2328.558</v>
      </c>
      <c r="K30" s="15">
        <f>'cost and income table'!K6</f>
        <v>2328.558</v>
      </c>
      <c r="L30" s="15">
        <f>'cost and income table'!L6</f>
        <v>2328.558</v>
      </c>
      <c r="M30" s="15">
        <f>'cost and income table'!M6</f>
        <v>2328.558</v>
      </c>
      <c r="N30" s="15">
        <f>'cost and income table'!N6</f>
        <v>2328.558</v>
      </c>
      <c r="O30" s="15">
        <f>'cost and income table'!O6</f>
        <v>2328.558</v>
      </c>
      <c r="P30" s="15">
        <f>'cost and income table'!P6</f>
        <v>2328.558</v>
      </c>
      <c r="Q30" s="15">
        <f>'cost and income table'!Q6</f>
        <v>2328.558</v>
      </c>
      <c r="R30" s="15">
        <f>'cost and income table'!R6</f>
        <v>2328.558</v>
      </c>
      <c r="S30" s="141">
        <f>'cost and income table'!S6</f>
        <v>2328.558</v>
      </c>
    </row>
    <row r="31" spans="1:19" x14ac:dyDescent="0.25">
      <c r="A31" s="136">
        <v>1.2</v>
      </c>
      <c r="B31" s="138" t="s">
        <v>43</v>
      </c>
      <c r="C31" s="14">
        <f t="shared" si="9"/>
        <v>1261.0367521367525</v>
      </c>
      <c r="D31" s="14">
        <f>'cost and income table'!D33</f>
        <v>0</v>
      </c>
      <c r="E31" s="14">
        <f>'cost and income table'!E9</f>
        <v>395.85486000000003</v>
      </c>
      <c r="F31" s="14">
        <f>'cost and income table'!F9</f>
        <v>395.85486000000003</v>
      </c>
      <c r="G31" s="14">
        <f>'cost and income table'!G9</f>
        <v>395.85486000000003</v>
      </c>
      <c r="H31" s="14">
        <f>'cost and income table'!H9</f>
        <v>73.472172136752192</v>
      </c>
      <c r="I31" s="14">
        <f>'cost and income table'!I9</f>
        <v>0</v>
      </c>
      <c r="J31" s="14">
        <f>'cost and income table'!J9</f>
        <v>0</v>
      </c>
      <c r="K31" s="14">
        <f>'cost and income table'!K9</f>
        <v>0</v>
      </c>
      <c r="L31" s="14">
        <f>'cost and income table'!L9</f>
        <v>0</v>
      </c>
      <c r="M31" s="14">
        <f>'cost and income table'!M9</f>
        <v>0</v>
      </c>
      <c r="N31" s="14">
        <f>'cost and income table'!N9</f>
        <v>0</v>
      </c>
      <c r="O31" s="14">
        <f>'cost and income table'!O9</f>
        <v>0</v>
      </c>
      <c r="P31" s="14">
        <f>'cost and income table'!P9</f>
        <v>0</v>
      </c>
      <c r="Q31" s="14">
        <f>'cost and income table'!Q9</f>
        <v>0</v>
      </c>
      <c r="R31" s="14">
        <f>'cost and income table'!R9</f>
        <v>0</v>
      </c>
      <c r="S31" s="140">
        <f>'cost and income table'!S9</f>
        <v>0</v>
      </c>
    </row>
    <row r="32" spans="1:19" x14ac:dyDescent="0.25">
      <c r="A32" s="136">
        <v>1.3</v>
      </c>
      <c r="B32" s="138" t="s">
        <v>45</v>
      </c>
      <c r="C32" s="14">
        <f t="shared" si="9"/>
        <v>627.5100000000001</v>
      </c>
      <c r="D32" s="16"/>
      <c r="E32" s="17"/>
      <c r="F32" s="16"/>
      <c r="G32" s="17"/>
      <c r="H32" s="16"/>
      <c r="I32" s="17"/>
      <c r="J32" s="16"/>
      <c r="K32" s="17"/>
      <c r="L32" s="16"/>
      <c r="M32" s="16"/>
      <c r="N32" s="16"/>
      <c r="O32" s="16"/>
      <c r="P32" s="17"/>
      <c r="Q32" s="16"/>
      <c r="R32" s="17"/>
      <c r="S32" s="140">
        <f>'basic parameters'!C30*'basic parameters'!C6</f>
        <v>627.5100000000001</v>
      </c>
    </row>
    <row r="33" spans="1:19" x14ac:dyDescent="0.25">
      <c r="A33" s="136">
        <v>1.4</v>
      </c>
      <c r="B33" s="138" t="s">
        <v>47</v>
      </c>
      <c r="C33" s="14">
        <f t="shared" si="9"/>
        <v>220</v>
      </c>
      <c r="D33" s="16"/>
      <c r="E33" s="17"/>
      <c r="F33" s="16"/>
      <c r="G33" s="17"/>
      <c r="H33" s="16"/>
      <c r="I33" s="17"/>
      <c r="J33" s="16"/>
      <c r="K33" s="17"/>
      <c r="L33" s="16"/>
      <c r="M33" s="16"/>
      <c r="N33" s="16"/>
      <c r="O33" s="16"/>
      <c r="P33" s="17"/>
      <c r="Q33" s="16"/>
      <c r="R33" s="17"/>
      <c r="S33" s="140">
        <f>'basic parameters'!C11</f>
        <v>220</v>
      </c>
    </row>
    <row r="34" spans="1:19" x14ac:dyDescent="0.25">
      <c r="A34" s="136">
        <v>1.5</v>
      </c>
      <c r="B34" s="138" t="s">
        <v>88</v>
      </c>
      <c r="C34" s="14">
        <f t="shared" si="9"/>
        <v>5156.5436249999993</v>
      </c>
      <c r="D34" s="16"/>
      <c r="E34" s="17">
        <f>'basic parameters'!$C$22*'basic parameters'!$C$21/10000</f>
        <v>343.76957499999997</v>
      </c>
      <c r="F34" s="17">
        <f>'basic parameters'!$C$22*'basic parameters'!$C$21/10000</f>
        <v>343.76957499999997</v>
      </c>
      <c r="G34" s="17">
        <f>'basic parameters'!$C$22*'basic parameters'!$C$21/10000</f>
        <v>343.76957499999997</v>
      </c>
      <c r="H34" s="17">
        <f>'basic parameters'!$C$22*'basic parameters'!$C$21/10000</f>
        <v>343.76957499999997</v>
      </c>
      <c r="I34" s="17">
        <f>'basic parameters'!$C$22*'basic parameters'!$C$21/10000</f>
        <v>343.76957499999997</v>
      </c>
      <c r="J34" s="17">
        <f>'basic parameters'!$C$22*'basic parameters'!$C$21/10000</f>
        <v>343.76957499999997</v>
      </c>
      <c r="K34" s="17">
        <f>'basic parameters'!$C$22*'basic parameters'!$C$21/10000</f>
        <v>343.76957499999997</v>
      </c>
      <c r="L34" s="17">
        <f>'basic parameters'!$C$22*'basic parameters'!$C$21/10000</f>
        <v>343.76957499999997</v>
      </c>
      <c r="M34" s="17">
        <f>'basic parameters'!$C$22*'basic parameters'!$C$21/10000</f>
        <v>343.76957499999997</v>
      </c>
      <c r="N34" s="17">
        <f>'basic parameters'!$C$22*'basic parameters'!$C$21/10000</f>
        <v>343.76957499999997</v>
      </c>
      <c r="O34" s="17">
        <f>'basic parameters'!$C$22*'basic parameters'!$C$21/10000</f>
        <v>343.76957499999997</v>
      </c>
      <c r="P34" s="17">
        <f>'basic parameters'!$C$22*'basic parameters'!$C$21/10000</f>
        <v>343.76957499999997</v>
      </c>
      <c r="Q34" s="17">
        <f>'basic parameters'!$C$22*'basic parameters'!$C$21/10000</f>
        <v>343.76957499999997</v>
      </c>
      <c r="R34" s="17">
        <f>'basic parameters'!$C$22*'basic parameters'!$C$21/10000</f>
        <v>343.76957499999997</v>
      </c>
      <c r="S34" s="142">
        <f>'basic parameters'!$C$22*'basic parameters'!$C$21/10000</f>
        <v>343.76957499999997</v>
      </c>
    </row>
    <row r="35" spans="1:19" x14ac:dyDescent="0.25">
      <c r="A35" s="136">
        <v>2</v>
      </c>
      <c r="B35" s="138" t="s">
        <v>49</v>
      </c>
      <c r="C35" s="14">
        <f t="shared" si="9"/>
        <v>29649.656598000023</v>
      </c>
      <c r="D35" s="14">
        <f>SUM(D36:D39)</f>
        <v>12338.404850000001</v>
      </c>
      <c r="E35" s="14">
        <f>SUM(E36:E39)</f>
        <v>1359.4167832000003</v>
      </c>
      <c r="F35" s="14">
        <f t="shared" ref="F35:S35" si="10">SUM(F36:F39)</f>
        <v>1139.4167832000003</v>
      </c>
      <c r="G35" s="14">
        <f t="shared" si="10"/>
        <v>1139.4167832000003</v>
      </c>
      <c r="H35" s="14">
        <f t="shared" si="10"/>
        <v>1139.4167832000003</v>
      </c>
      <c r="I35" s="14">
        <f t="shared" si="10"/>
        <v>1139.4167832000003</v>
      </c>
      <c r="J35" s="14">
        <f t="shared" si="10"/>
        <v>1139.4167832000003</v>
      </c>
      <c r="K35" s="14">
        <f t="shared" si="10"/>
        <v>1139.4167832000003</v>
      </c>
      <c r="L35" s="14">
        <f t="shared" si="10"/>
        <v>1139.4167832000003</v>
      </c>
      <c r="M35" s="14">
        <f t="shared" si="10"/>
        <v>1139.4167832000003</v>
      </c>
      <c r="N35" s="14">
        <f t="shared" si="10"/>
        <v>1139.4167832000003</v>
      </c>
      <c r="O35" s="14">
        <f t="shared" si="10"/>
        <v>1139.4167832000003</v>
      </c>
      <c r="P35" s="14">
        <f t="shared" si="10"/>
        <v>1139.4167832000003</v>
      </c>
      <c r="Q35" s="14">
        <f t="shared" si="10"/>
        <v>1139.4167832000003</v>
      </c>
      <c r="R35" s="14">
        <f t="shared" si="10"/>
        <v>1139.4167832000003</v>
      </c>
      <c r="S35" s="140">
        <f t="shared" si="10"/>
        <v>1139.4167832000003</v>
      </c>
    </row>
    <row r="36" spans="1:19" x14ac:dyDescent="0.25">
      <c r="A36" s="136">
        <v>2.1</v>
      </c>
      <c r="B36" s="138" t="s">
        <v>51</v>
      </c>
      <c r="C36" s="14">
        <f t="shared" si="9"/>
        <v>12338.404850000001</v>
      </c>
      <c r="D36" s="14">
        <f>'basic parameters'!C5</f>
        <v>12338.404850000001</v>
      </c>
      <c r="E36" s="17"/>
      <c r="F36" s="16"/>
      <c r="G36" s="17"/>
      <c r="H36" s="16"/>
      <c r="I36" s="17"/>
      <c r="J36" s="16"/>
      <c r="K36" s="17"/>
      <c r="L36" s="16"/>
      <c r="M36" s="16"/>
      <c r="N36" s="16"/>
      <c r="O36" s="16"/>
      <c r="P36" s="17"/>
      <c r="Q36" s="16"/>
      <c r="R36" s="17"/>
      <c r="S36" s="143"/>
    </row>
    <row r="37" spans="1:19" x14ac:dyDescent="0.25">
      <c r="A37" s="136">
        <v>2.2000000000000002</v>
      </c>
      <c r="B37" s="138" t="s">
        <v>4</v>
      </c>
      <c r="C37" s="14">
        <f t="shared" si="9"/>
        <v>220</v>
      </c>
      <c r="D37" s="14"/>
      <c r="E37" s="15">
        <f>'basic parameters'!C11</f>
        <v>220</v>
      </c>
      <c r="F37" s="16"/>
      <c r="G37" s="17"/>
      <c r="H37" s="16"/>
      <c r="I37" s="17"/>
      <c r="J37" s="16"/>
      <c r="K37" s="17"/>
      <c r="L37" s="16"/>
      <c r="M37" s="16"/>
      <c r="N37" s="16"/>
      <c r="O37" s="16"/>
      <c r="P37" s="17"/>
      <c r="Q37" s="16"/>
      <c r="R37" s="17"/>
      <c r="S37" s="143"/>
    </row>
    <row r="38" spans="1:19" x14ac:dyDescent="0.25">
      <c r="A38" s="136">
        <v>2.2999999999999998</v>
      </c>
      <c r="B38" s="138" t="s">
        <v>30</v>
      </c>
      <c r="C38" s="14">
        <f t="shared" si="9"/>
        <v>16378.712999999996</v>
      </c>
      <c r="D38" s="14">
        <v>0</v>
      </c>
      <c r="E38" s="14">
        <f>'total cost'!E16</f>
        <v>1091.9142000000002</v>
      </c>
      <c r="F38" s="14">
        <f>'total cost'!F16</f>
        <v>1091.9142000000002</v>
      </c>
      <c r="G38" s="14">
        <f>'total cost'!G16</f>
        <v>1091.9142000000002</v>
      </c>
      <c r="H38" s="14">
        <f>'total cost'!H16</f>
        <v>1091.9142000000002</v>
      </c>
      <c r="I38" s="14">
        <f>'total cost'!I16</f>
        <v>1091.9142000000002</v>
      </c>
      <c r="J38" s="14">
        <f>'total cost'!J16</f>
        <v>1091.9142000000002</v>
      </c>
      <c r="K38" s="14">
        <f>'total cost'!K16</f>
        <v>1091.9142000000002</v>
      </c>
      <c r="L38" s="14">
        <f>'total cost'!L16</f>
        <v>1091.9142000000002</v>
      </c>
      <c r="M38" s="14">
        <f>'total cost'!M16</f>
        <v>1091.9142000000002</v>
      </c>
      <c r="N38" s="14">
        <f>'total cost'!N16</f>
        <v>1091.9142000000002</v>
      </c>
      <c r="O38" s="14">
        <f>'total cost'!O16</f>
        <v>1091.9142000000002</v>
      </c>
      <c r="P38" s="14">
        <f>'total cost'!P16</f>
        <v>1091.9142000000002</v>
      </c>
      <c r="Q38" s="14">
        <f>'total cost'!Q16</f>
        <v>1091.9142000000002</v>
      </c>
      <c r="R38" s="14">
        <f>'total cost'!R16</f>
        <v>1091.9142000000002</v>
      </c>
      <c r="S38" s="140">
        <f>'total cost'!S16</f>
        <v>1091.9142000000002</v>
      </c>
    </row>
    <row r="39" spans="1:19" x14ac:dyDescent="0.25">
      <c r="A39" s="136">
        <v>2.4</v>
      </c>
      <c r="B39" s="138" t="s">
        <v>53</v>
      </c>
      <c r="C39" s="14">
        <f t="shared" si="9"/>
        <v>712.53874800000017</v>
      </c>
      <c r="D39" s="14">
        <v>0</v>
      </c>
      <c r="E39" s="14">
        <f>'cost and income table'!E7</f>
        <v>47.502583200000011</v>
      </c>
      <c r="F39" s="14">
        <f>'cost and income table'!F7</f>
        <v>47.502583200000011</v>
      </c>
      <c r="G39" s="14">
        <f>'cost and income table'!G7</f>
        <v>47.502583200000011</v>
      </c>
      <c r="H39" s="14">
        <f>'cost and income table'!H7</f>
        <v>47.502583200000011</v>
      </c>
      <c r="I39" s="14">
        <f>'cost and income table'!I7</f>
        <v>47.502583200000011</v>
      </c>
      <c r="J39" s="14">
        <f>'cost and income table'!J7</f>
        <v>47.502583200000011</v>
      </c>
      <c r="K39" s="14">
        <f>'cost and income table'!K7</f>
        <v>47.502583200000011</v>
      </c>
      <c r="L39" s="14">
        <f>'cost and income table'!L7</f>
        <v>47.502583200000011</v>
      </c>
      <c r="M39" s="14">
        <f>'cost and income table'!M7</f>
        <v>47.502583200000011</v>
      </c>
      <c r="N39" s="14">
        <f>'cost and income table'!N7</f>
        <v>47.502583200000011</v>
      </c>
      <c r="O39" s="14">
        <f>'cost and income table'!O7</f>
        <v>47.502583200000011</v>
      </c>
      <c r="P39" s="14">
        <f>'cost and income table'!P7</f>
        <v>47.502583200000011</v>
      </c>
      <c r="Q39" s="14">
        <f>'cost and income table'!Q7</f>
        <v>47.502583200000011</v>
      </c>
      <c r="R39" s="14">
        <f>'cost and income table'!R7</f>
        <v>47.502583200000011</v>
      </c>
      <c r="S39" s="140">
        <f>'cost and income table'!S7</f>
        <v>47.502583200000011</v>
      </c>
    </row>
    <row r="40" spans="1:19" x14ac:dyDescent="0.25">
      <c r="A40" s="136">
        <v>3</v>
      </c>
      <c r="B40" s="138" t="s">
        <v>117</v>
      </c>
      <c r="C40" s="14">
        <f>SUM(D40:S40)</f>
        <v>12543.803779136742</v>
      </c>
      <c r="D40" s="14">
        <f t="shared" ref="D40:S40" si="11">D29-D35</f>
        <v>-12338.404850000001</v>
      </c>
      <c r="E40" s="14">
        <f t="shared" si="11"/>
        <v>1708.7656517999994</v>
      </c>
      <c r="F40" s="14">
        <f t="shared" si="11"/>
        <v>1928.7656517999994</v>
      </c>
      <c r="G40" s="14">
        <f t="shared" si="11"/>
        <v>1928.7656517999994</v>
      </c>
      <c r="H40" s="14">
        <f t="shared" si="11"/>
        <v>1606.3829639367518</v>
      </c>
      <c r="I40" s="14">
        <f t="shared" si="11"/>
        <v>1532.9107917999995</v>
      </c>
      <c r="J40" s="14">
        <f t="shared" si="11"/>
        <v>1532.9107917999995</v>
      </c>
      <c r="K40" s="14">
        <f t="shared" si="11"/>
        <v>1532.9107917999995</v>
      </c>
      <c r="L40" s="14">
        <f t="shared" si="11"/>
        <v>1532.9107917999995</v>
      </c>
      <c r="M40" s="14">
        <f t="shared" si="11"/>
        <v>1532.9107917999995</v>
      </c>
      <c r="N40" s="14">
        <f t="shared" si="11"/>
        <v>1532.9107917999995</v>
      </c>
      <c r="O40" s="14">
        <f t="shared" si="11"/>
        <v>1532.9107917999995</v>
      </c>
      <c r="P40" s="14">
        <f t="shared" si="11"/>
        <v>1532.9107917999995</v>
      </c>
      <c r="Q40" s="14">
        <f t="shared" si="11"/>
        <v>1532.9107917999995</v>
      </c>
      <c r="R40" s="14">
        <f t="shared" si="11"/>
        <v>1532.9107917999995</v>
      </c>
      <c r="S40" s="140">
        <f t="shared" si="11"/>
        <v>2380.4207917999997</v>
      </c>
    </row>
    <row r="41" spans="1:19" x14ac:dyDescent="0.25">
      <c r="A41" s="136">
        <v>4</v>
      </c>
      <c r="B41" s="138" t="s">
        <v>58</v>
      </c>
      <c r="C41" s="16"/>
      <c r="D41" s="14">
        <f>D40</f>
        <v>-12338.404850000001</v>
      </c>
      <c r="E41" s="14">
        <f t="shared" ref="E41:S41" si="12">D41+E40</f>
        <v>-10629.639198200002</v>
      </c>
      <c r="F41" s="14">
        <f t="shared" si="12"/>
        <v>-8700.8735464000019</v>
      </c>
      <c r="G41" s="14">
        <f t="shared" si="12"/>
        <v>-6772.1078946000025</v>
      </c>
      <c r="H41" s="14">
        <f t="shared" si="12"/>
        <v>-5165.7249306632511</v>
      </c>
      <c r="I41" s="14">
        <f t="shared" si="12"/>
        <v>-3632.8141388632516</v>
      </c>
      <c r="J41" s="14">
        <f t="shared" si="12"/>
        <v>-2099.9033470632521</v>
      </c>
      <c r="K41" s="14">
        <f t="shared" si="12"/>
        <v>-566.9925552632526</v>
      </c>
      <c r="L41" s="14">
        <f t="shared" si="12"/>
        <v>965.91823653674692</v>
      </c>
      <c r="M41" s="14">
        <f t="shared" si="12"/>
        <v>2498.8290283367464</v>
      </c>
      <c r="N41" s="14">
        <f t="shared" si="12"/>
        <v>4031.7398201367459</v>
      </c>
      <c r="O41" s="14">
        <f t="shared" si="12"/>
        <v>5564.6506119367459</v>
      </c>
      <c r="P41" s="14">
        <f t="shared" si="12"/>
        <v>7097.561403736745</v>
      </c>
      <c r="Q41" s="14">
        <f t="shared" si="12"/>
        <v>8630.472195536744</v>
      </c>
      <c r="R41" s="14">
        <f t="shared" si="12"/>
        <v>10163.382987336743</v>
      </c>
      <c r="S41" s="140">
        <f t="shared" si="12"/>
        <v>12543.803779136742</v>
      </c>
    </row>
    <row r="42" spans="1:19" x14ac:dyDescent="0.25">
      <c r="A42" s="136">
        <v>5</v>
      </c>
      <c r="B42" s="138" t="s">
        <v>56</v>
      </c>
      <c r="C42" s="14">
        <f>SUM(D42:S42)</f>
        <v>1262.3732934339387</v>
      </c>
      <c r="D42" s="14">
        <f>'cost and income table'!D46</f>
        <v>0</v>
      </c>
      <c r="E42" s="14">
        <f>'cost and income table'!E21</f>
        <v>89.96519420000007</v>
      </c>
      <c r="F42" s="14">
        <f>'cost and income table'!F21</f>
        <v>102.67765649816502</v>
      </c>
      <c r="G42" s="14">
        <f>'cost and income table'!G21</f>
        <v>115.81058348684181</v>
      </c>
      <c r="H42" s="14">
        <f>'cost and income table'!H21</f>
        <v>48.7822100698572</v>
      </c>
      <c r="I42" s="14">
        <f>'cost and income table'!I21</f>
        <v>41.764502133729593</v>
      </c>
      <c r="J42" s="14">
        <f>'cost and income table'!J21</f>
        <v>52.882726541802754</v>
      </c>
      <c r="K42" s="14">
        <f>'cost and income table'!K21</f>
        <v>64.368686222172812</v>
      </c>
      <c r="L42" s="14">
        <f>'cost and income table'!L21</f>
        <v>76.234544018971178</v>
      </c>
      <c r="M42" s="14">
        <f>'cost and income table'!M21</f>
        <v>88.492865062398664</v>
      </c>
      <c r="N42" s="14">
        <f>'cost and income table'!N21</f>
        <v>96.899054199999966</v>
      </c>
      <c r="O42" s="14">
        <f>'cost and income table'!O21</f>
        <v>96.899054199999966</v>
      </c>
      <c r="P42" s="14">
        <f>'cost and income table'!P21</f>
        <v>96.899054199999966</v>
      </c>
      <c r="Q42" s="14">
        <f>'cost and income table'!Q21</f>
        <v>96.899054199999966</v>
      </c>
      <c r="R42" s="14">
        <f>'cost and income table'!R21</f>
        <v>96.899054199999966</v>
      </c>
      <c r="S42" s="140">
        <f>'cost and income table'!S21</f>
        <v>96.899054199999966</v>
      </c>
    </row>
    <row r="43" spans="1:19" x14ac:dyDescent="0.25">
      <c r="A43" s="136">
        <v>6</v>
      </c>
      <c r="B43" s="138" t="s">
        <v>118</v>
      </c>
      <c r="C43" s="14">
        <f>SUM(D43:S43)</f>
        <v>11281.430485702806</v>
      </c>
      <c r="D43" s="14">
        <f>D40-D42</f>
        <v>-12338.404850000001</v>
      </c>
      <c r="E43" s="14">
        <f t="shared" ref="E43:S43" si="13">E40-E42</f>
        <v>1618.8004575999994</v>
      </c>
      <c r="F43" s="14">
        <f t="shared" si="13"/>
        <v>1826.0879953018343</v>
      </c>
      <c r="G43" s="14">
        <f t="shared" si="13"/>
        <v>1812.9550683131577</v>
      </c>
      <c r="H43" s="14">
        <f t="shared" si="13"/>
        <v>1557.6007538668946</v>
      </c>
      <c r="I43" s="14">
        <f t="shared" si="13"/>
        <v>1491.1462896662699</v>
      </c>
      <c r="J43" s="14">
        <f t="shared" si="13"/>
        <v>1480.0280652581969</v>
      </c>
      <c r="K43" s="14">
        <f t="shared" si="13"/>
        <v>1468.5421055778268</v>
      </c>
      <c r="L43" s="14">
        <f t="shared" si="13"/>
        <v>1456.6762477810285</v>
      </c>
      <c r="M43" s="14">
        <f t="shared" si="13"/>
        <v>1444.4179267376007</v>
      </c>
      <c r="N43" s="14">
        <f t="shared" si="13"/>
        <v>1436.0117375999996</v>
      </c>
      <c r="O43" s="14">
        <f t="shared" si="13"/>
        <v>1436.0117375999996</v>
      </c>
      <c r="P43" s="14">
        <f t="shared" si="13"/>
        <v>1436.0117375999996</v>
      </c>
      <c r="Q43" s="14">
        <f t="shared" si="13"/>
        <v>1436.0117375999996</v>
      </c>
      <c r="R43" s="14">
        <f t="shared" si="13"/>
        <v>1436.0117375999996</v>
      </c>
      <c r="S43" s="140">
        <f t="shared" si="13"/>
        <v>2283.5217375999996</v>
      </c>
    </row>
    <row r="44" spans="1:19" ht="14" thickBot="1" x14ac:dyDescent="0.3">
      <c r="A44" s="137">
        <v>7</v>
      </c>
      <c r="B44" s="144" t="s">
        <v>54</v>
      </c>
      <c r="C44" s="145"/>
      <c r="D44" s="146">
        <f>D43</f>
        <v>-12338.404850000001</v>
      </c>
      <c r="E44" s="147">
        <f t="shared" ref="E44:S44" si="14">D44+E43</f>
        <v>-10719.604392400001</v>
      </c>
      <c r="F44" s="147">
        <f t="shared" si="14"/>
        <v>-8893.5163970981666</v>
      </c>
      <c r="G44" s="147">
        <f t="shared" si="14"/>
        <v>-7080.5613287850092</v>
      </c>
      <c r="H44" s="147">
        <f t="shared" si="14"/>
        <v>-5522.9605749181146</v>
      </c>
      <c r="I44" s="147">
        <f t="shared" si="14"/>
        <v>-4031.8142852518449</v>
      </c>
      <c r="J44" s="147">
        <f t="shared" si="14"/>
        <v>-2551.786219993648</v>
      </c>
      <c r="K44" s="147">
        <f t="shared" si="14"/>
        <v>-1083.2441144158213</v>
      </c>
      <c r="L44" s="147">
        <f t="shared" si="14"/>
        <v>373.43213336520716</v>
      </c>
      <c r="M44" s="147">
        <f t="shared" si="14"/>
        <v>1817.8500601028079</v>
      </c>
      <c r="N44" s="147">
        <f t="shared" si="14"/>
        <v>3253.8617977028075</v>
      </c>
      <c r="O44" s="147">
        <f t="shared" si="14"/>
        <v>4689.8735353028069</v>
      </c>
      <c r="P44" s="147">
        <f t="shared" si="14"/>
        <v>6125.8852729028067</v>
      </c>
      <c r="Q44" s="147">
        <f t="shared" si="14"/>
        <v>7561.8970105028066</v>
      </c>
      <c r="R44" s="147">
        <f t="shared" si="14"/>
        <v>8997.9087481028055</v>
      </c>
      <c r="S44" s="148">
        <f t="shared" si="14"/>
        <v>11281.430485702806</v>
      </c>
    </row>
    <row r="45" spans="1:19" ht="14" thickTop="1" x14ac:dyDescent="0.25"/>
    <row r="46" spans="1:19" x14ac:dyDescent="0.25">
      <c r="C46" s="18"/>
      <c r="D46" s="12" t="s">
        <v>1</v>
      </c>
      <c r="E46" s="101">
        <f>IRR(D43:S43)</f>
        <v>9.6076647764178347E-2</v>
      </c>
      <c r="F46" s="12" t="s">
        <v>144</v>
      </c>
    </row>
    <row r="47" spans="1:19" x14ac:dyDescent="0.25">
      <c r="D47" s="12" t="s">
        <v>61</v>
      </c>
      <c r="E47" s="19">
        <f>11-N41/O40</f>
        <v>8.3698796813854184</v>
      </c>
      <c r="F47" s="12" t="s">
        <v>145</v>
      </c>
    </row>
    <row r="48" spans="1:19" x14ac:dyDescent="0.25">
      <c r="E48" s="19">
        <f>11-N44/O43</f>
        <v>8.734098049128086</v>
      </c>
      <c r="F48" s="12" t="s">
        <v>146</v>
      </c>
      <c r="J48" s="21"/>
    </row>
    <row r="49" spans="1:19" x14ac:dyDescent="0.25">
      <c r="D49" s="12" t="s">
        <v>153</v>
      </c>
      <c r="E49" s="115">
        <f>NPV(9%,D43:S43)</f>
        <v>400.77921061825907</v>
      </c>
    </row>
    <row r="51" spans="1:19" x14ac:dyDescent="0.25">
      <c r="A51" s="102" t="s">
        <v>149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</row>
    <row r="52" spans="1:19" ht="16" thickBot="1" x14ac:dyDescent="0.3">
      <c r="A52" s="103" t="s">
        <v>150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</row>
    <row r="53" spans="1:19" x14ac:dyDescent="0.25">
      <c r="A53" s="193" t="s">
        <v>34</v>
      </c>
      <c r="B53" s="195" t="s">
        <v>36</v>
      </c>
      <c r="C53" s="197" t="s">
        <v>39</v>
      </c>
      <c r="D53" s="199" t="s">
        <v>60</v>
      </c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200"/>
    </row>
    <row r="54" spans="1:19" x14ac:dyDescent="0.25">
      <c r="A54" s="194"/>
      <c r="B54" s="196"/>
      <c r="C54" s="198"/>
      <c r="D54" s="105">
        <v>1</v>
      </c>
      <c r="E54" s="106">
        <v>2</v>
      </c>
      <c r="F54" s="105">
        <v>3</v>
      </c>
      <c r="G54" s="106">
        <v>4</v>
      </c>
      <c r="H54" s="105">
        <v>5</v>
      </c>
      <c r="I54" s="106">
        <v>6</v>
      </c>
      <c r="J54" s="105">
        <v>7</v>
      </c>
      <c r="K54" s="106">
        <v>8</v>
      </c>
      <c r="L54" s="105">
        <v>9</v>
      </c>
      <c r="M54" s="105">
        <v>10</v>
      </c>
      <c r="N54" s="105">
        <v>11</v>
      </c>
      <c r="O54" s="105">
        <v>12</v>
      </c>
      <c r="P54" s="106">
        <v>13</v>
      </c>
      <c r="Q54" s="105">
        <v>14</v>
      </c>
      <c r="R54" s="106">
        <v>15</v>
      </c>
      <c r="S54" s="150">
        <v>16</v>
      </c>
    </row>
    <row r="55" spans="1:19" x14ac:dyDescent="0.25">
      <c r="A55" s="151">
        <v>1</v>
      </c>
      <c r="B55" s="107" t="s">
        <v>41</v>
      </c>
      <c r="C55" s="108">
        <f t="shared" ref="C55:C65" si="15">SUM(D55:S55)</f>
        <v>0</v>
      </c>
      <c r="D55" s="109">
        <f>SUM(D56+D57+D58+D59)</f>
        <v>0</v>
      </c>
      <c r="E55" s="109">
        <f t="shared" ref="E55:S55" si="16">SUM(E56+E57+E58+E59)</f>
        <v>0</v>
      </c>
      <c r="F55" s="109">
        <f t="shared" si="16"/>
        <v>0</v>
      </c>
      <c r="G55" s="109">
        <f t="shared" si="16"/>
        <v>0</v>
      </c>
      <c r="H55" s="109">
        <f t="shared" si="16"/>
        <v>0</v>
      </c>
      <c r="I55" s="109">
        <f t="shared" si="16"/>
        <v>0</v>
      </c>
      <c r="J55" s="109">
        <f t="shared" si="16"/>
        <v>0</v>
      </c>
      <c r="K55" s="109">
        <f t="shared" si="16"/>
        <v>0</v>
      </c>
      <c r="L55" s="109">
        <f t="shared" si="16"/>
        <v>0</v>
      </c>
      <c r="M55" s="109">
        <f t="shared" si="16"/>
        <v>0</v>
      </c>
      <c r="N55" s="109">
        <f t="shared" si="16"/>
        <v>0</v>
      </c>
      <c r="O55" s="109">
        <f t="shared" si="16"/>
        <v>0</v>
      </c>
      <c r="P55" s="109">
        <f t="shared" si="16"/>
        <v>0</v>
      </c>
      <c r="Q55" s="109">
        <f t="shared" si="16"/>
        <v>0</v>
      </c>
      <c r="R55" s="109">
        <f t="shared" si="16"/>
        <v>0</v>
      </c>
      <c r="S55" s="152">
        <f t="shared" si="16"/>
        <v>0</v>
      </c>
    </row>
    <row r="56" spans="1:19" x14ac:dyDescent="0.25">
      <c r="A56" s="151">
        <v>1.1000000000000001</v>
      </c>
      <c r="B56" s="104" t="s">
        <v>93</v>
      </c>
      <c r="C56" s="109">
        <f t="shared" si="15"/>
        <v>0</v>
      </c>
      <c r="D56" s="109">
        <v>0</v>
      </c>
      <c r="E56" s="109">
        <v>0</v>
      </c>
      <c r="F56" s="109">
        <v>0</v>
      </c>
      <c r="G56" s="109">
        <v>0</v>
      </c>
      <c r="H56" s="109">
        <v>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9">
        <v>0</v>
      </c>
      <c r="P56" s="109">
        <v>0</v>
      </c>
      <c r="Q56" s="109">
        <v>0</v>
      </c>
      <c r="R56" s="109">
        <v>0</v>
      </c>
      <c r="S56" s="152">
        <v>0</v>
      </c>
    </row>
    <row r="57" spans="1:19" x14ac:dyDescent="0.25">
      <c r="A57" s="151">
        <v>1.3</v>
      </c>
      <c r="B57" s="104" t="s">
        <v>43</v>
      </c>
      <c r="C57" s="109">
        <f t="shared" si="15"/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>
        <v>0</v>
      </c>
      <c r="Q57" s="109">
        <v>0</v>
      </c>
      <c r="R57" s="109">
        <v>0</v>
      </c>
      <c r="S57" s="152">
        <v>0</v>
      </c>
    </row>
    <row r="58" spans="1:19" x14ac:dyDescent="0.25">
      <c r="A58" s="151">
        <v>1.4</v>
      </c>
      <c r="B58" s="104" t="s">
        <v>45</v>
      </c>
      <c r="C58" s="109">
        <f t="shared" si="15"/>
        <v>0</v>
      </c>
      <c r="D58" s="109">
        <v>0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0</v>
      </c>
      <c r="P58" s="109">
        <v>0</v>
      </c>
      <c r="Q58" s="109">
        <v>0</v>
      </c>
      <c r="R58" s="109">
        <v>0</v>
      </c>
      <c r="S58" s="152">
        <v>0</v>
      </c>
    </row>
    <row r="59" spans="1:19" x14ac:dyDescent="0.25">
      <c r="A59" s="151">
        <v>1.5</v>
      </c>
      <c r="B59" s="104" t="s">
        <v>47</v>
      </c>
      <c r="C59" s="109">
        <f t="shared" si="15"/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52">
        <v>0</v>
      </c>
    </row>
    <row r="60" spans="1:19" x14ac:dyDescent="0.25">
      <c r="A60" s="151">
        <v>2</v>
      </c>
      <c r="B60" s="107" t="s">
        <v>50</v>
      </c>
      <c r="C60" s="108">
        <f>SUM(D60:S60)</f>
        <v>160</v>
      </c>
      <c r="D60" s="109">
        <f>SUM(D61+D63)</f>
        <v>10</v>
      </c>
      <c r="E60" s="109">
        <f t="shared" ref="E60:S60" si="17">SUM(E61+E63)</f>
        <v>10</v>
      </c>
      <c r="F60" s="109">
        <f t="shared" si="17"/>
        <v>10</v>
      </c>
      <c r="G60" s="109">
        <f t="shared" si="17"/>
        <v>10</v>
      </c>
      <c r="H60" s="109">
        <f t="shared" si="17"/>
        <v>10</v>
      </c>
      <c r="I60" s="109">
        <f t="shared" si="17"/>
        <v>10</v>
      </c>
      <c r="J60" s="109">
        <f t="shared" si="17"/>
        <v>10</v>
      </c>
      <c r="K60" s="109">
        <f t="shared" si="17"/>
        <v>10</v>
      </c>
      <c r="L60" s="109">
        <f t="shared" si="17"/>
        <v>10</v>
      </c>
      <c r="M60" s="109">
        <f t="shared" si="17"/>
        <v>10</v>
      </c>
      <c r="N60" s="109">
        <f t="shared" si="17"/>
        <v>10</v>
      </c>
      <c r="O60" s="109">
        <f t="shared" si="17"/>
        <v>10</v>
      </c>
      <c r="P60" s="109">
        <f t="shared" si="17"/>
        <v>10</v>
      </c>
      <c r="Q60" s="109">
        <f t="shared" si="17"/>
        <v>10</v>
      </c>
      <c r="R60" s="109">
        <f t="shared" si="17"/>
        <v>10</v>
      </c>
      <c r="S60" s="152">
        <f t="shared" si="17"/>
        <v>10</v>
      </c>
    </row>
    <row r="61" spans="1:19" x14ac:dyDescent="0.25">
      <c r="A61" s="151"/>
      <c r="B61" s="104" t="s">
        <v>52</v>
      </c>
      <c r="C61" s="109">
        <f t="shared" si="15"/>
        <v>0</v>
      </c>
      <c r="D61" s="109">
        <v>0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09">
        <v>0</v>
      </c>
      <c r="Q61" s="109">
        <v>0</v>
      </c>
      <c r="R61" s="109">
        <v>0</v>
      </c>
      <c r="S61" s="152">
        <v>0</v>
      </c>
    </row>
    <row r="62" spans="1:19" x14ac:dyDescent="0.25">
      <c r="A62" s="151"/>
      <c r="B62" s="104" t="s">
        <v>4</v>
      </c>
      <c r="C62" s="109">
        <f t="shared" si="15"/>
        <v>0</v>
      </c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09">
        <v>0</v>
      </c>
      <c r="Q62" s="109">
        <v>0</v>
      </c>
      <c r="R62" s="109">
        <v>0</v>
      </c>
      <c r="S62" s="152">
        <v>0</v>
      </c>
    </row>
    <row r="63" spans="1:19" x14ac:dyDescent="0.25">
      <c r="A63" s="151"/>
      <c r="B63" s="104" t="s">
        <v>30</v>
      </c>
      <c r="C63" s="109">
        <f t="shared" si="15"/>
        <v>160</v>
      </c>
      <c r="D63" s="109">
        <v>10</v>
      </c>
      <c r="E63" s="109">
        <v>10</v>
      </c>
      <c r="F63" s="109">
        <v>10</v>
      </c>
      <c r="G63" s="109">
        <v>10</v>
      </c>
      <c r="H63" s="109">
        <v>10</v>
      </c>
      <c r="I63" s="109">
        <v>10</v>
      </c>
      <c r="J63" s="109">
        <v>10</v>
      </c>
      <c r="K63" s="109">
        <v>10</v>
      </c>
      <c r="L63" s="109">
        <v>10</v>
      </c>
      <c r="M63" s="109">
        <v>10</v>
      </c>
      <c r="N63" s="109">
        <v>10</v>
      </c>
      <c r="O63" s="109">
        <v>10</v>
      </c>
      <c r="P63" s="109">
        <v>10</v>
      </c>
      <c r="Q63" s="109">
        <v>10</v>
      </c>
      <c r="R63" s="109">
        <v>10</v>
      </c>
      <c r="S63" s="109">
        <v>10</v>
      </c>
    </row>
    <row r="64" spans="1:19" x14ac:dyDescent="0.25">
      <c r="A64" s="151"/>
      <c r="B64" s="104" t="s">
        <v>53</v>
      </c>
      <c r="C64" s="109">
        <f t="shared" si="15"/>
        <v>0</v>
      </c>
      <c r="D64" s="109">
        <v>0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0</v>
      </c>
      <c r="P64" s="109">
        <v>0</v>
      </c>
      <c r="Q64" s="109">
        <v>0</v>
      </c>
      <c r="R64" s="109">
        <v>0</v>
      </c>
      <c r="S64" s="152">
        <v>0</v>
      </c>
    </row>
    <row r="65" spans="1:19" x14ac:dyDescent="0.25">
      <c r="A65" s="153">
        <v>3</v>
      </c>
      <c r="B65" s="107" t="s">
        <v>151</v>
      </c>
      <c r="C65" s="108">
        <f t="shared" si="15"/>
        <v>-160</v>
      </c>
      <c r="D65" s="109">
        <f t="shared" ref="D65:S65" si="18">D55-D60</f>
        <v>-10</v>
      </c>
      <c r="E65" s="109">
        <f t="shared" si="18"/>
        <v>-10</v>
      </c>
      <c r="F65" s="109">
        <f t="shared" si="18"/>
        <v>-10</v>
      </c>
      <c r="G65" s="109">
        <f t="shared" si="18"/>
        <v>-10</v>
      </c>
      <c r="H65" s="109">
        <f t="shared" si="18"/>
        <v>-10</v>
      </c>
      <c r="I65" s="109">
        <f t="shared" si="18"/>
        <v>-10</v>
      </c>
      <c r="J65" s="109">
        <f t="shared" si="18"/>
        <v>-10</v>
      </c>
      <c r="K65" s="109">
        <f t="shared" si="18"/>
        <v>-10</v>
      </c>
      <c r="L65" s="109">
        <f t="shared" si="18"/>
        <v>-10</v>
      </c>
      <c r="M65" s="109">
        <f t="shared" si="18"/>
        <v>-10</v>
      </c>
      <c r="N65" s="109">
        <f t="shared" si="18"/>
        <v>-10</v>
      </c>
      <c r="O65" s="109">
        <f t="shared" si="18"/>
        <v>-10</v>
      </c>
      <c r="P65" s="109">
        <f t="shared" si="18"/>
        <v>-10</v>
      </c>
      <c r="Q65" s="109">
        <f t="shared" si="18"/>
        <v>-10</v>
      </c>
      <c r="R65" s="109">
        <f t="shared" si="18"/>
        <v>-10</v>
      </c>
      <c r="S65" s="152">
        <f t="shared" si="18"/>
        <v>-10</v>
      </c>
    </row>
    <row r="66" spans="1:19" x14ac:dyDescent="0.25">
      <c r="A66" s="149">
        <v>4</v>
      </c>
      <c r="B66" s="104" t="s">
        <v>58</v>
      </c>
      <c r="C66" s="110"/>
      <c r="D66" s="109">
        <f>D65</f>
        <v>-10</v>
      </c>
      <c r="E66" s="109">
        <f t="shared" ref="E66:S66" si="19">D66+E65</f>
        <v>-20</v>
      </c>
      <c r="F66" s="109">
        <f t="shared" si="19"/>
        <v>-30</v>
      </c>
      <c r="G66" s="109">
        <f t="shared" si="19"/>
        <v>-40</v>
      </c>
      <c r="H66" s="109">
        <f t="shared" si="19"/>
        <v>-50</v>
      </c>
      <c r="I66" s="109">
        <f t="shared" si="19"/>
        <v>-60</v>
      </c>
      <c r="J66" s="109">
        <f t="shared" si="19"/>
        <v>-70</v>
      </c>
      <c r="K66" s="109">
        <f t="shared" si="19"/>
        <v>-80</v>
      </c>
      <c r="L66" s="109">
        <f t="shared" si="19"/>
        <v>-90</v>
      </c>
      <c r="M66" s="109">
        <f t="shared" si="19"/>
        <v>-100</v>
      </c>
      <c r="N66" s="109">
        <f t="shared" si="19"/>
        <v>-110</v>
      </c>
      <c r="O66" s="109">
        <f t="shared" si="19"/>
        <v>-120</v>
      </c>
      <c r="P66" s="109">
        <f t="shared" si="19"/>
        <v>-130</v>
      </c>
      <c r="Q66" s="109">
        <f t="shared" si="19"/>
        <v>-140</v>
      </c>
      <c r="R66" s="109">
        <f t="shared" si="19"/>
        <v>-150</v>
      </c>
      <c r="S66" s="152">
        <f t="shared" si="19"/>
        <v>-160</v>
      </c>
    </row>
    <row r="67" spans="1:19" x14ac:dyDescent="0.25">
      <c r="A67" s="149">
        <v>5</v>
      </c>
      <c r="B67" s="104" t="s">
        <v>57</v>
      </c>
      <c r="C67" s="109">
        <f>SUM(D67:S67)</f>
        <v>0</v>
      </c>
      <c r="D67" s="109">
        <f>'[1]cost and income table'!D74</f>
        <v>0</v>
      </c>
      <c r="E67" s="109">
        <f>'[1]cost and income table'!E49</f>
        <v>0</v>
      </c>
      <c r="F67" s="109">
        <f>'[1]cost and income table'!F49</f>
        <v>0</v>
      </c>
      <c r="G67" s="109">
        <f>'[1]cost and income table'!G49</f>
        <v>0</v>
      </c>
      <c r="H67" s="109">
        <f>'[1]cost and income table'!H49</f>
        <v>0</v>
      </c>
      <c r="I67" s="109">
        <f>'[1]cost and income table'!I49</f>
        <v>0</v>
      </c>
      <c r="J67" s="109">
        <f>'[1]cost and income table'!J49</f>
        <v>0</v>
      </c>
      <c r="K67" s="109">
        <f>'[1]cost and income table'!K49</f>
        <v>0</v>
      </c>
      <c r="L67" s="109">
        <f>'[1]cost and income table'!L49</f>
        <v>0</v>
      </c>
      <c r="M67" s="109">
        <f>'[1]cost and income table'!M49</f>
        <v>0</v>
      </c>
      <c r="N67" s="109">
        <f>'[1]cost and income table'!N49</f>
        <v>0</v>
      </c>
      <c r="O67" s="109">
        <f>'[1]cost and income table'!O49</f>
        <v>0</v>
      </c>
      <c r="P67" s="109">
        <f>'[1]cost and income table'!P49</f>
        <v>0</v>
      </c>
      <c r="Q67" s="109">
        <f>'[1]cost and income table'!Q49</f>
        <v>0</v>
      </c>
      <c r="R67" s="109">
        <f>'[1]cost and income table'!R49</f>
        <v>0</v>
      </c>
      <c r="S67" s="152">
        <f>'[1]cost and income table'!S49</f>
        <v>0</v>
      </c>
    </row>
    <row r="68" spans="1:19" x14ac:dyDescent="0.25">
      <c r="A68" s="154">
        <v>6</v>
      </c>
      <c r="B68" s="111" t="s">
        <v>152</v>
      </c>
      <c r="C68" s="108">
        <f>SUM(D68:S68)</f>
        <v>-160</v>
      </c>
      <c r="D68" s="108">
        <f>D65-D67</f>
        <v>-10</v>
      </c>
      <c r="E68" s="108">
        <f t="shared" ref="E68:S68" si="20">E65-E67</f>
        <v>-10</v>
      </c>
      <c r="F68" s="108">
        <f t="shared" si="20"/>
        <v>-10</v>
      </c>
      <c r="G68" s="108">
        <f t="shared" si="20"/>
        <v>-10</v>
      </c>
      <c r="H68" s="108">
        <f t="shared" si="20"/>
        <v>-10</v>
      </c>
      <c r="I68" s="108">
        <f t="shared" si="20"/>
        <v>-10</v>
      </c>
      <c r="J68" s="108">
        <f t="shared" si="20"/>
        <v>-10</v>
      </c>
      <c r="K68" s="108">
        <f t="shared" si="20"/>
        <v>-10</v>
      </c>
      <c r="L68" s="108">
        <f t="shared" si="20"/>
        <v>-10</v>
      </c>
      <c r="M68" s="108">
        <f t="shared" si="20"/>
        <v>-10</v>
      </c>
      <c r="N68" s="108">
        <f t="shared" si="20"/>
        <v>-10</v>
      </c>
      <c r="O68" s="108">
        <f t="shared" si="20"/>
        <v>-10</v>
      </c>
      <c r="P68" s="108">
        <f t="shared" si="20"/>
        <v>-10</v>
      </c>
      <c r="Q68" s="108">
        <f t="shared" si="20"/>
        <v>-10</v>
      </c>
      <c r="R68" s="108">
        <f t="shared" si="20"/>
        <v>-10</v>
      </c>
      <c r="S68" s="155">
        <f t="shared" si="20"/>
        <v>-10</v>
      </c>
    </row>
    <row r="69" spans="1:19" ht="14" thickBot="1" x14ac:dyDescent="0.3">
      <c r="A69" s="156">
        <v>7</v>
      </c>
      <c r="B69" s="157" t="s">
        <v>54</v>
      </c>
      <c r="C69" s="158"/>
      <c r="D69" s="159">
        <f>D68</f>
        <v>-10</v>
      </c>
      <c r="E69" s="160">
        <f t="shared" ref="E69:S69" si="21">D69+E68</f>
        <v>-20</v>
      </c>
      <c r="F69" s="160">
        <f t="shared" si="21"/>
        <v>-30</v>
      </c>
      <c r="G69" s="160">
        <f t="shared" si="21"/>
        <v>-40</v>
      </c>
      <c r="H69" s="160">
        <f t="shared" si="21"/>
        <v>-50</v>
      </c>
      <c r="I69" s="160">
        <f t="shared" si="21"/>
        <v>-60</v>
      </c>
      <c r="J69" s="160">
        <f t="shared" si="21"/>
        <v>-70</v>
      </c>
      <c r="K69" s="160">
        <f t="shared" si="21"/>
        <v>-80</v>
      </c>
      <c r="L69" s="160">
        <f t="shared" si="21"/>
        <v>-90</v>
      </c>
      <c r="M69" s="160">
        <f t="shared" si="21"/>
        <v>-100</v>
      </c>
      <c r="N69" s="160">
        <f t="shared" si="21"/>
        <v>-110</v>
      </c>
      <c r="O69" s="160">
        <f t="shared" si="21"/>
        <v>-120</v>
      </c>
      <c r="P69" s="160">
        <f t="shared" si="21"/>
        <v>-130</v>
      </c>
      <c r="Q69" s="160">
        <f t="shared" si="21"/>
        <v>-140</v>
      </c>
      <c r="R69" s="160">
        <f t="shared" si="21"/>
        <v>-150</v>
      </c>
      <c r="S69" s="161">
        <f t="shared" si="21"/>
        <v>-160</v>
      </c>
    </row>
    <row r="70" spans="1:19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</row>
    <row r="71" spans="1:19" x14ac:dyDescent="0.25">
      <c r="A71" s="103"/>
      <c r="B71" s="103"/>
      <c r="C71" s="103"/>
      <c r="D71" s="103" t="s">
        <v>1</v>
      </c>
      <c r="E71" s="112" t="e">
        <f>IRR(D68:S68)</f>
        <v>#NUM!</v>
      </c>
      <c r="F71" s="103" t="s">
        <v>144</v>
      </c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</row>
    <row r="72" spans="1:19" x14ac:dyDescent="0.25">
      <c r="A72" s="103"/>
      <c r="B72" s="103"/>
      <c r="C72" s="103"/>
      <c r="D72" s="103" t="s">
        <v>153</v>
      </c>
      <c r="E72" s="113">
        <f>NPV(9%,D68:S68)</f>
        <v>-83.125581925268264</v>
      </c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</row>
  </sheetData>
  <mergeCells count="12">
    <mergeCell ref="A3:A4"/>
    <mergeCell ref="B3:B4"/>
    <mergeCell ref="C3:C4"/>
    <mergeCell ref="D3:S3"/>
    <mergeCell ref="A27:A28"/>
    <mergeCell ref="B27:B28"/>
    <mergeCell ref="A53:A54"/>
    <mergeCell ref="B53:B54"/>
    <mergeCell ref="C53:C54"/>
    <mergeCell ref="D53:S53"/>
    <mergeCell ref="C27:C28"/>
    <mergeCell ref="D27:S27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07" zoomScaleNormal="107" workbookViewId="0">
      <selection activeCell="D13" sqref="D13"/>
    </sheetView>
  </sheetViews>
  <sheetFormatPr defaultColWidth="9" defaultRowHeight="10" x14ac:dyDescent="0.2"/>
  <cols>
    <col min="1" max="1" width="32.9140625" style="3" customWidth="1"/>
    <col min="2" max="2" width="11.33203125" style="3" customWidth="1"/>
    <col min="3" max="3" width="17.75" style="3" customWidth="1"/>
    <col min="4" max="16384" width="9" style="3"/>
  </cols>
  <sheetData>
    <row r="1" spans="1:6" ht="22.5" customHeight="1" x14ac:dyDescent="0.2">
      <c r="A1" s="216" t="s">
        <v>147</v>
      </c>
      <c r="B1" s="8">
        <v>-0.1</v>
      </c>
      <c r="C1" s="8">
        <v>-0.05</v>
      </c>
      <c r="D1" s="9">
        <v>0</v>
      </c>
      <c r="E1" s="8">
        <v>0.05</v>
      </c>
      <c r="F1" s="8">
        <v>0.1</v>
      </c>
    </row>
    <row r="2" spans="1:6" ht="22.5" customHeight="1" thickBot="1" x14ac:dyDescent="0.25">
      <c r="A2" s="217"/>
      <c r="B2" s="202" t="s">
        <v>1</v>
      </c>
      <c r="C2" s="202"/>
      <c r="D2" s="202"/>
      <c r="E2" s="202"/>
      <c r="F2" s="202"/>
    </row>
    <row r="3" spans="1:6" ht="13.5" x14ac:dyDescent="0.2">
      <c r="A3" s="9" t="s">
        <v>115</v>
      </c>
      <c r="B3" s="10">
        <v>7.2400000000000006E-2</v>
      </c>
      <c r="C3" s="10">
        <v>6.3799999999999996E-2</v>
      </c>
      <c r="D3" s="10">
        <f>'cash flow'!$E$21</f>
        <v>5.5776718126689495E-2</v>
      </c>
      <c r="E3" s="10">
        <v>4.8399999999999999E-2</v>
      </c>
      <c r="F3" s="10">
        <v>4.1500000000000002E-2</v>
      </c>
    </row>
    <row r="4" spans="1:6" ht="13.5" x14ac:dyDescent="0.2">
      <c r="A4" s="9" t="s">
        <v>155</v>
      </c>
      <c r="B4" s="10">
        <v>3.5400000000000001E-2</v>
      </c>
      <c r="C4" s="10">
        <v>4.5699999999999998E-2</v>
      </c>
      <c r="D4" s="10">
        <f>'cash flow'!$E$21</f>
        <v>5.5776718126689495E-2</v>
      </c>
      <c r="E4" s="10">
        <v>6.5600000000000006E-2</v>
      </c>
      <c r="F4" s="10">
        <v>7.51E-2</v>
      </c>
    </row>
    <row r="5" spans="1:6" ht="13.5" x14ac:dyDescent="0.3">
      <c r="A5" s="11" t="s">
        <v>30</v>
      </c>
      <c r="B5" s="10">
        <v>6.4699999999999994E-2</v>
      </c>
      <c r="C5" s="10">
        <v>6.0299999999999999E-2</v>
      </c>
      <c r="D5" s="10">
        <f>'cash flow'!$E$21</f>
        <v>5.5776718126689495E-2</v>
      </c>
      <c r="E5" s="10">
        <v>5.1200000000000002E-2</v>
      </c>
      <c r="F5" s="10">
        <v>4.6699999999999998E-2</v>
      </c>
    </row>
    <row r="8" spans="1:6" ht="27" x14ac:dyDescent="0.2">
      <c r="A8" s="9" t="s">
        <v>21</v>
      </c>
      <c r="B8" s="9" t="s">
        <v>148</v>
      </c>
      <c r="C8" s="9" t="s">
        <v>38</v>
      </c>
    </row>
    <row r="9" spans="1:6" ht="16.5" customHeight="1" x14ac:dyDescent="0.2">
      <c r="A9" s="9" t="s">
        <v>115</v>
      </c>
      <c r="B9" s="218">
        <v>9.5000000000000001E-2</v>
      </c>
      <c r="C9" s="100">
        <v>-0.2122</v>
      </c>
    </row>
    <row r="10" spans="1:6" ht="13.5" customHeight="1" x14ac:dyDescent="0.2">
      <c r="A10" s="9" t="s">
        <v>155</v>
      </c>
      <c r="B10" s="219"/>
      <c r="C10" s="100">
        <v>0.2079</v>
      </c>
    </row>
    <row r="11" spans="1:6" ht="15" customHeight="1" x14ac:dyDescent="0.2">
      <c r="A11" s="9" t="s">
        <v>31</v>
      </c>
      <c r="B11" s="220"/>
      <c r="C11" s="100">
        <v>-0.45839999999999997</v>
      </c>
    </row>
    <row r="12" spans="1:6" ht="15" customHeight="1" x14ac:dyDescent="0.2">
      <c r="B12" s="116"/>
      <c r="C12" s="117"/>
    </row>
    <row r="13" spans="1:6" x14ac:dyDescent="0.2">
      <c r="B13" s="118"/>
      <c r="C13" s="118"/>
    </row>
  </sheetData>
  <mergeCells count="3">
    <mergeCell ref="A1:A2"/>
    <mergeCell ref="B2:F2"/>
    <mergeCell ref="B9:B11"/>
  </mergeCells>
  <phoneticPr fontId="3" type="noConversion"/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Cover page</vt:lpstr>
      <vt:lpstr>basic parameters</vt:lpstr>
      <vt:lpstr>Loan repayment</vt:lpstr>
      <vt:lpstr>total cost</vt:lpstr>
      <vt:lpstr>cost and income table</vt:lpstr>
      <vt:lpstr>cash flow</vt:lpstr>
      <vt:lpstr>sensitivity analysis</vt:lpstr>
      <vt:lpstr>'sensitivity analysis'!_Hlk325441994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user01</cp:lastModifiedBy>
  <dcterms:created xsi:type="dcterms:W3CDTF">2014-01-03T07:19:13Z</dcterms:created>
  <dcterms:modified xsi:type="dcterms:W3CDTF">2022-10-17T09:10:53Z</dcterms:modified>
</cp:coreProperties>
</file>