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D:\涂淑兰\项目开发\养殖场\Shuangbaotai\VCS2706-Shuangbaotai Jiangsu\3. Joint Review\b. Feedback Round I\"/>
    </mc:Choice>
  </mc:AlternateContent>
  <xr:revisionPtr revIDLastSave="0" documentId="13_ncr:1_{3B57F0B0-BEFE-4C6E-85CB-1A05B7F31A78}" xr6:coauthVersionLast="47" xr6:coauthVersionMax="47" xr10:uidLastSave="{00000000-0000-0000-0000-000000000000}"/>
  <bookViews>
    <workbookView xWindow="-110" yWindow="-110" windowWidth="19420" windowHeight="10420" tabRatio="583" firstSheet="1" activeTab="4" xr2:uid="{00000000-000D-0000-FFFF-FFFF00000000}"/>
  </bookViews>
  <sheets>
    <sheet name="Cover Page" sheetId="7" r:id="rId1"/>
    <sheet name="Baseline Emission" sheetId="1" r:id="rId2"/>
    <sheet name="PROJECT EMISSION" sheetId="2" r:id="rId3"/>
    <sheet name="LEAKAGE" sheetId="3" r:id="rId4"/>
    <sheet name="EMISSION REDUCTIONS" sheetId="4" r:id="rId5"/>
  </sheets>
  <externalReferences>
    <externalReference r:id="rId6"/>
  </externalReferences>
  <definedNames>
    <definedName name="_Toc147547213" localSheetId="2">'PROJECT EMISSION'!#REF!</definedName>
    <definedName name="_xlnm.Print_Area" localSheetId="4">'EMISSION REDUCTIONS'!$B$3:$F$17</definedName>
    <definedName name="Z_2C071143_29D6_4036_A926_BF7E54293313_.wvu.Rows" localSheetId="3" hidden="1">LEAKAGE!$23:$23,LEAKAGE!#REF!,LEAKAGE!#REF!,LEAKAGE!#REF!,LEAKAGE!#REF!,LEAKAGE!#REF!,LEAKAGE!#REF!</definedName>
    <definedName name="Z_2C071143_29D6_4036_A926_BF7E54293313_.wvu.Rows" localSheetId="2" hidden="1">'PROJECT EMISSION'!#REF!,'PROJECT EMISSION'!#REF!</definedName>
  </definedNames>
  <calcPr calcId="191029"/>
  <customWorkbookViews>
    <customWorkbookView name="HIEU - Personal View" guid="{2C071143-29D6-4036-A926-BF7E54293313}" personalView="1" maximized="1" windowWidth="1020" windowHeight="573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B20" i="1" s="1"/>
  <c r="B38" i="2"/>
  <c r="B40" i="2" s="1"/>
  <c r="C56" i="2"/>
  <c r="C51" i="2"/>
  <c r="B27" i="2"/>
  <c r="C11" i="1"/>
  <c r="B15" i="2"/>
  <c r="B17" i="2"/>
  <c r="E56" i="2"/>
  <c r="B44" i="1"/>
  <c r="C79" i="2"/>
  <c r="C99" i="2"/>
  <c r="B99" i="2"/>
  <c r="C57" i="3"/>
  <c r="B57" i="3"/>
  <c r="C22" i="3"/>
  <c r="B22" i="3"/>
  <c r="C91" i="2"/>
  <c r="C98" i="2" s="1"/>
  <c r="B91" i="2"/>
  <c r="B98" i="2" s="1"/>
  <c r="C73" i="2"/>
  <c r="C78" i="2" s="1"/>
  <c r="B73" i="2"/>
  <c r="B78" i="2" s="1"/>
  <c r="B38" i="1"/>
  <c r="B41" i="1" s="1"/>
  <c r="C38" i="1"/>
  <c r="C107" i="3"/>
  <c r="B107" i="3"/>
  <c r="C106" i="3"/>
  <c r="B106" i="3"/>
  <c r="C91" i="3"/>
  <c r="B91" i="3"/>
  <c r="C90" i="3"/>
  <c r="D90" i="3"/>
  <c r="E90" i="3"/>
  <c r="E106" i="3" s="1"/>
  <c r="B90" i="3"/>
  <c r="E86" i="3"/>
  <c r="B66" i="3"/>
  <c r="C66" i="3"/>
  <c r="D66" i="3"/>
  <c r="E66" i="3"/>
  <c r="D24" i="3"/>
  <c r="C23" i="3"/>
  <c r="E22" i="3"/>
  <c r="D22" i="3"/>
  <c r="D98" i="2"/>
  <c r="E98" i="2"/>
  <c r="E97" i="2"/>
  <c r="E71" i="2"/>
  <c r="C74" i="2"/>
  <c r="D78" i="2"/>
  <c r="D91" i="2" s="1"/>
  <c r="D77" i="2"/>
  <c r="D90" i="2" s="1"/>
  <c r="D97" i="2" s="1"/>
  <c r="D53" i="1"/>
  <c r="C52" i="2"/>
  <c r="B52" i="2"/>
  <c r="C54" i="2"/>
  <c r="B54" i="2"/>
  <c r="D55" i="2"/>
  <c r="E54" i="2"/>
  <c r="E73" i="2" s="1"/>
  <c r="D54" i="2"/>
  <c r="B53" i="2"/>
  <c r="C53" i="2"/>
  <c r="D53" i="2"/>
  <c r="E53" i="2"/>
  <c r="C49" i="2"/>
  <c r="D49" i="2"/>
  <c r="E49" i="2"/>
  <c r="B49" i="2"/>
  <c r="C48" i="2"/>
  <c r="E48" i="2"/>
  <c r="B48" i="2"/>
  <c r="C47" i="2"/>
  <c r="B47" i="2"/>
  <c r="D25" i="2"/>
  <c r="E93" i="2" s="1"/>
  <c r="C37" i="1"/>
  <c r="C41" i="1" s="1"/>
  <c r="D95" i="2"/>
  <c r="B15" i="1"/>
  <c r="B17" i="1"/>
  <c r="B55" i="2" s="1"/>
  <c r="B57" i="2" s="1"/>
  <c r="C15" i="1"/>
  <c r="C17" i="1" s="1"/>
  <c r="E16" i="1"/>
  <c r="E18" i="1"/>
  <c r="B34" i="1"/>
  <c r="B50" i="1" s="1"/>
  <c r="C34" i="1"/>
  <c r="C50" i="1"/>
  <c r="B36" i="1"/>
  <c r="B37" i="1" s="1"/>
  <c r="B42" i="1"/>
  <c r="C42" i="1"/>
  <c r="C44" i="1"/>
  <c r="D42" i="1"/>
  <c r="D54" i="1"/>
  <c r="B43" i="1"/>
  <c r="B55" i="1" s="1"/>
  <c r="C43" i="1"/>
  <c r="C55" i="1"/>
  <c r="D43" i="1"/>
  <c r="D55" i="1"/>
  <c r="B54" i="1"/>
  <c r="C54" i="1"/>
  <c r="B57" i="1"/>
  <c r="C57" i="1"/>
  <c r="B87" i="2"/>
  <c r="B85" i="3"/>
  <c r="B101" i="3"/>
  <c r="C87" i="2"/>
  <c r="C85" i="3"/>
  <c r="C101" i="3"/>
  <c r="C88" i="2"/>
  <c r="C95" i="2"/>
  <c r="C59" i="3"/>
  <c r="C102" i="3"/>
  <c r="C93" i="3"/>
  <c r="B102" i="3"/>
  <c r="C108" i="3"/>
  <c r="B21" i="3"/>
  <c r="C21" i="3"/>
  <c r="B144" i="3"/>
  <c r="B145" i="3"/>
  <c r="C144" i="3"/>
  <c r="B23" i="3"/>
  <c r="B28" i="2"/>
  <c r="B89" i="3" l="1"/>
  <c r="B105" i="3" s="1"/>
  <c r="B111" i="3" s="1"/>
  <c r="B41" i="2"/>
  <c r="D37" i="2"/>
  <c r="B24" i="3"/>
  <c r="B53" i="1"/>
  <c r="C53" i="1"/>
  <c r="C24" i="3"/>
  <c r="C55" i="2"/>
  <c r="C57" i="2" s="1"/>
  <c r="B58" i="2" s="1"/>
  <c r="C89" i="3"/>
  <c r="C20" i="1"/>
  <c r="B21" i="1" s="1"/>
  <c r="B94" i="3" l="1"/>
  <c r="C72" i="2"/>
  <c r="C58" i="1"/>
  <c r="B72" i="2"/>
  <c r="B58" i="1"/>
  <c r="B59" i="1" s="1"/>
  <c r="E61" i="1" s="1"/>
  <c r="E67" i="1" s="1"/>
  <c r="B32" i="3"/>
  <c r="B33" i="3" s="1"/>
  <c r="B58" i="3"/>
  <c r="B34" i="3"/>
  <c r="B36" i="3"/>
  <c r="C36" i="3"/>
  <c r="C34" i="3"/>
  <c r="C32" i="3"/>
  <c r="C58" i="3"/>
  <c r="C94" i="3"/>
  <c r="B95" i="3" s="1"/>
  <c r="B115" i="3" s="1"/>
  <c r="C105" i="3"/>
  <c r="C111" i="3" s="1"/>
  <c r="B112" i="3" s="1"/>
  <c r="B116" i="3" s="1"/>
  <c r="C10" i="4" l="1"/>
  <c r="C11" i="4"/>
  <c r="C13" i="4"/>
  <c r="C12" i="4"/>
  <c r="C14" i="4"/>
  <c r="C7" i="4"/>
  <c r="C15" i="4"/>
  <c r="C6" i="4"/>
  <c r="C9" i="4"/>
  <c r="C8" i="4"/>
  <c r="C16" i="4"/>
  <c r="B90" i="2"/>
  <c r="B77" i="2"/>
  <c r="B80" i="2" s="1"/>
  <c r="B75" i="2"/>
  <c r="C90" i="2"/>
  <c r="C75" i="2"/>
  <c r="C77" i="2"/>
  <c r="C80" i="2" s="1"/>
  <c r="B71" i="3"/>
  <c r="B69" i="3"/>
  <c r="B67" i="3"/>
  <c r="C67" i="3"/>
  <c r="C69" i="3"/>
  <c r="C71" i="3"/>
  <c r="B37" i="3"/>
  <c r="B35" i="3"/>
  <c r="B68" i="3" l="1"/>
  <c r="B38" i="3"/>
  <c r="B117" i="3" s="1"/>
  <c r="C17" i="4"/>
  <c r="C18" i="4" s="1"/>
  <c r="C97" i="2"/>
  <c r="C101" i="2" s="1"/>
  <c r="C94" i="2"/>
  <c r="B70" i="3"/>
  <c r="B72" i="3"/>
  <c r="B81" i="2"/>
  <c r="B94" i="2"/>
  <c r="B97" i="2"/>
  <c r="B101" i="2" s="1"/>
  <c r="B73" i="3" l="1"/>
  <c r="B118" i="3" s="1"/>
  <c r="B121" i="3" s="1"/>
  <c r="E11" i="4" s="1"/>
  <c r="E6" i="4"/>
  <c r="E15" i="4"/>
  <c r="E7" i="4"/>
  <c r="E10" i="4"/>
  <c r="E14" i="4"/>
  <c r="E13" i="4"/>
  <c r="E12" i="4"/>
  <c r="E16" i="4"/>
  <c r="E9" i="4"/>
  <c r="B102" i="2"/>
  <c r="C104" i="2" s="1"/>
  <c r="B114" i="2" s="1"/>
  <c r="E8" i="4" l="1"/>
  <c r="E17" i="4" s="1"/>
  <c r="E18" i="4" s="1"/>
  <c r="D9" i="4"/>
  <c r="F9" i="4" s="1"/>
  <c r="D15" i="4"/>
  <c r="F15" i="4" s="1"/>
  <c r="D8" i="4"/>
  <c r="D14" i="4"/>
  <c r="F14" i="4" s="1"/>
  <c r="D6" i="4"/>
  <c r="D12" i="4"/>
  <c r="F12" i="4" s="1"/>
  <c r="D11" i="4"/>
  <c r="F11" i="4" s="1"/>
  <c r="D13" i="4"/>
  <c r="F13" i="4" s="1"/>
  <c r="D10" i="4"/>
  <c r="F10" i="4" s="1"/>
  <c r="D7" i="4"/>
  <c r="F7" i="4" s="1"/>
  <c r="D16" i="4"/>
  <c r="F16" i="4" s="1"/>
  <c r="F8" i="4" l="1"/>
  <c r="D17" i="4"/>
  <c r="D18" i="4" s="1"/>
  <c r="F6" i="4"/>
  <c r="F17" i="4" l="1"/>
  <c r="F18" i="4" s="1"/>
</calcChain>
</file>

<file path=xl/sharedStrings.xml><?xml version="1.0" encoding="utf-8"?>
<sst xmlns="http://schemas.openxmlformats.org/spreadsheetml/2006/main" count="525" uniqueCount="277">
  <si>
    <t xml:space="preserve">BASELINE EMISSIONS </t>
  </si>
  <si>
    <t>i) CH4 emissions</t>
  </si>
  <si>
    <t>Parameter</t>
  </si>
  <si>
    <t xml:space="preserve">                              Value </t>
  </si>
  <si>
    <t>Unit</t>
  </si>
  <si>
    <t>Source</t>
  </si>
  <si>
    <t>Market Swine</t>
  </si>
  <si>
    <t>Breeding Swine</t>
  </si>
  <si>
    <t>%</t>
  </si>
  <si>
    <t>2006 IPCC guideline, volume 4, chapter 10, tbl. 10A-7</t>
  </si>
  <si>
    <t>Max methane producing potential of VS generated, by animal type LT</t>
  </si>
  <si>
    <t>No of heads</t>
  </si>
  <si>
    <t>Livestock of a defined population</t>
  </si>
  <si>
    <t>kg</t>
  </si>
  <si>
    <t>Mass of the animals</t>
  </si>
  <si>
    <t xml:space="preserve">Average market swine mass </t>
  </si>
  <si>
    <t>Volatile solid for type LT entering AWMS</t>
  </si>
  <si>
    <t>Fraction of manure handled in system j</t>
  </si>
  <si>
    <t>days</t>
  </si>
  <si>
    <t>Days per year farm is operational</t>
  </si>
  <si>
    <t>ii) N2O emissions</t>
  </si>
  <si>
    <t>Direct N2O Emissions</t>
  </si>
  <si>
    <t xml:space="preserve">                               Value</t>
  </si>
  <si>
    <t>kg N/1000kg animal mass/day</t>
  </si>
  <si>
    <t>2006 IPCC default value, vol. 4, ch. 10, tbl. 10.19</t>
  </si>
  <si>
    <t>Calulated</t>
  </si>
  <si>
    <t>kg N/animal/year</t>
  </si>
  <si>
    <t>Calculated</t>
  </si>
  <si>
    <t>Indirect N2O Emissions</t>
  </si>
  <si>
    <t>2006 IPCC default value, vol. 4, ch. 10, tbl. 11.3</t>
  </si>
  <si>
    <t xml:space="preserve">2006 IPCC default value, vol. 4, ch. 10, tbl.10.22 </t>
  </si>
  <si>
    <t>BASELINE EMISSIONS       BEy =</t>
  </si>
  <si>
    <t xml:space="preserve">PROJECT EMISSION </t>
  </si>
  <si>
    <t xml:space="preserve">A) Phase I: Anaerobic digester </t>
  </si>
  <si>
    <t xml:space="preserve">Value </t>
  </si>
  <si>
    <t>MWh/yr</t>
  </si>
  <si>
    <t xml:space="preserve">                                      Value </t>
  </si>
  <si>
    <t>t CH4</t>
  </si>
  <si>
    <t xml:space="preserve">calculated </t>
  </si>
  <si>
    <t>iii) N2O emissions from manure management</t>
  </si>
  <si>
    <t>2006 IPCC Guidelines, volume 4, chapter 10</t>
  </si>
  <si>
    <t>B) PHASE II: Aerobic treatment</t>
  </si>
  <si>
    <t>2006 IPCC Guidelines, volume 4, chapter 11, table 11.3</t>
  </si>
  <si>
    <t>2006 IPCC default value, vol. 4, ch. 10, tbl.10.22 (According to Chapter 8.2 in US-EPA (2001), "a covered lagoon will not lose NH3-N to the atmosphere")</t>
  </si>
  <si>
    <t>LEAKEAGE</t>
  </si>
  <si>
    <t xml:space="preserve">i) Estimation of N2O emissions: </t>
  </si>
  <si>
    <t>numbers</t>
  </si>
  <si>
    <t>calculated</t>
  </si>
  <si>
    <t>EF1</t>
  </si>
  <si>
    <t>kg N2O-N/kg N</t>
  </si>
  <si>
    <t>table 11.1, chapter 11, volume 4, 2006 IPCC</t>
  </si>
  <si>
    <t>EF5</t>
  </si>
  <si>
    <t>table 11.3, chapter 11, volume 4, 2006 IPCC</t>
  </si>
  <si>
    <t>EF4</t>
  </si>
  <si>
    <t xml:space="preserve">2006 IPCC default value, vol. 4, ch. 11, tbl.11.3 </t>
  </si>
  <si>
    <t>at the project site</t>
  </si>
  <si>
    <t>2006 IPCC default value, vol. 4, ch. 11, tbl.11.3 (According to Chapter 8.2 in US-EPA (2001), "a covered lagoon will not lose NH3-N to the atmosphere")</t>
  </si>
  <si>
    <t>ii)Methane emissions from disposal of treated manure</t>
  </si>
  <si>
    <t>MCFd</t>
  </si>
  <si>
    <t>kg/animal/day</t>
  </si>
  <si>
    <t>m3 CH4/kg-VS</t>
  </si>
  <si>
    <t xml:space="preserve">2006 IPCC guideline, volume 4, chapter 10 </t>
  </si>
  <si>
    <t>LEAKAGE LEy =</t>
  </si>
  <si>
    <t>Rvs,n</t>
  </si>
  <si>
    <t>Annex 1, ACM0010</t>
  </si>
  <si>
    <t xml:space="preserve">Total CH4 emissions </t>
  </si>
  <si>
    <t>from Land Application(tCO2e)</t>
  </si>
  <si>
    <t>Year</t>
  </si>
  <si>
    <t>Estimation of</t>
  </si>
  <si>
    <t>leakage</t>
  </si>
  <si>
    <t>overall emission reductions</t>
  </si>
  <si>
    <t>calculated</t>
    <phoneticPr fontId="5" type="noConversion"/>
  </si>
  <si>
    <t>-</t>
    <phoneticPr fontId="5" type="noConversion"/>
  </si>
  <si>
    <t>tCO2e</t>
    <phoneticPr fontId="5" type="noConversion"/>
  </si>
  <si>
    <t xml:space="preserve">2006 IPCC guideline, volume 4, chapter 10, tbl. 10.17 </t>
    <phoneticPr fontId="5" type="noConversion"/>
  </si>
  <si>
    <t>t/m3</t>
  </si>
  <si>
    <t>kg/hd/day</t>
    <phoneticPr fontId="5" type="noConversion"/>
  </si>
  <si>
    <t>ACM0010 Version 08.0, page 30</t>
    <phoneticPr fontId="5" type="noConversion"/>
  </si>
  <si>
    <t>Page 12 of tool 14: Project and leakage emissions from anaerobic digesters(Version 02.0)</t>
    <phoneticPr fontId="5" type="noConversion"/>
  </si>
  <si>
    <t>Calculated</t>
    <phoneticPr fontId="5" type="noConversion"/>
  </si>
  <si>
    <t xml:space="preserve">  Value </t>
    <phoneticPr fontId="5" type="noConversion"/>
  </si>
  <si>
    <t xml:space="preserve">Value </t>
    <phoneticPr fontId="5" type="noConversion"/>
  </si>
  <si>
    <t>MS%j</t>
    <phoneticPr fontId="5" type="noConversion"/>
  </si>
  <si>
    <t>2006 IPCC default value, vol. 4, ch. 10, tbl. 10.21,</t>
    <phoneticPr fontId="5" type="noConversion"/>
  </si>
  <si>
    <t>2006 IPCC default value, vol. 4, ch. 10, tbl.10.22 (According to Chapter 8.2 in US-EPA (2001), "a covered lagoon will not lose NH3-N to the atmosphere")</t>
    <phoneticPr fontId="5" type="noConversion"/>
  </si>
  <si>
    <t>Default value ACM0010,page 30</t>
    <phoneticPr fontId="5" type="noConversion"/>
  </si>
  <si>
    <t xml:space="preserve">Calculated  </t>
    <phoneticPr fontId="5" type="noConversion"/>
  </si>
  <si>
    <t>Title of the project activity</t>
  </si>
  <si>
    <t>Version number of this calculation sheet</t>
    <phoneticPr fontId="6" type="noConversion"/>
  </si>
  <si>
    <t>Date</t>
    <phoneticPr fontId="6" type="noConversion"/>
  </si>
  <si>
    <t>Duration of crediting period</t>
    <phoneticPr fontId="6" type="noConversion"/>
  </si>
  <si>
    <t>NLT</t>
  </si>
  <si>
    <t>VCS ID of the project activity</t>
    <phoneticPr fontId="6" type="noConversion"/>
  </si>
  <si>
    <t>Subtotal</t>
    <phoneticPr fontId="0" type="noConversion"/>
  </si>
  <si>
    <t>kg-dm/animal/yr</t>
    <phoneticPr fontId="9" type="noConversion"/>
  </si>
  <si>
    <t>IPCC AR5</t>
    <phoneticPr fontId="5" type="noConversion"/>
  </si>
  <si>
    <t>Project evaluation report</t>
    <phoneticPr fontId="9" type="noConversion"/>
  </si>
  <si>
    <t>/</t>
    <phoneticPr fontId="0" type="noConversion"/>
  </si>
  <si>
    <t>Clarification</t>
    <phoneticPr fontId="5" type="noConversion"/>
  </si>
  <si>
    <t>Aproved Global Warming Potential of CH4</t>
  </si>
  <si>
    <t>Density CH4 (20 oC, 1 atm)</t>
  </si>
  <si>
    <t>Annual volatile solid for livestock LT entering all AWMS [on a dry matter weight basis (kg-dm/animal/year)</t>
  </si>
  <si>
    <t>TAM</t>
  </si>
  <si>
    <t>2006 IPCC default value, vol. 4, ch. 10, tbl. 10.21</t>
  </si>
  <si>
    <t>Project evaluation report</t>
  </si>
  <si>
    <t>2006 IPCC default value, vol. 4, ch. 10, tbl. 10A-7,8</t>
  </si>
  <si>
    <t>IPCC AR5</t>
  </si>
  <si>
    <t>ACM0010 Version 08.0, page 14</t>
  </si>
  <si>
    <t>/</t>
    <phoneticPr fontId="5" type="noConversion"/>
  </si>
  <si>
    <t>Project evaluation report</t>
    <phoneticPr fontId="5" type="noConversion"/>
  </si>
  <si>
    <t>Project emissions from fossil fuel consumption associated with the anaerobic digester will not be taken into account</t>
    <phoneticPr fontId="5" type="noConversion"/>
  </si>
  <si>
    <t xml:space="preserve"> project evaluation report</t>
    <phoneticPr fontId="5" type="noConversion"/>
  </si>
  <si>
    <t xml:space="preserve"> Value </t>
    <phoneticPr fontId="5" type="noConversion"/>
  </si>
  <si>
    <t>Subtotal</t>
    <phoneticPr fontId="5" type="noConversion"/>
  </si>
  <si>
    <t>ACM0010 Version 08.0, page 17</t>
    <phoneticPr fontId="5" type="noConversion"/>
  </si>
  <si>
    <t>2006 IPCC Guidelines, volume 4, chapter 10</t>
    <phoneticPr fontId="5" type="noConversion"/>
  </si>
  <si>
    <t>kgN-N2O-N/kg NH3-N+NOX-N</t>
    <phoneticPr fontId="0" type="noConversion"/>
  </si>
  <si>
    <t>kg/hd/y</t>
  </si>
  <si>
    <t>Project Evaluation report</t>
    <phoneticPr fontId="0" type="noConversion"/>
  </si>
  <si>
    <t>IPCC AR5</t>
    <phoneticPr fontId="0" type="noConversion"/>
  </si>
  <si>
    <t>ACM0010 Version 08.0, page 30</t>
    <phoneticPr fontId="0" type="noConversion"/>
  </si>
  <si>
    <t>ACM0010 Version 08.0, page 25</t>
  </si>
  <si>
    <t xml:space="preserve">VS 2006 IPCC guidelines default </t>
  </si>
  <si>
    <t>Shuangbaotai AWMS GHG Mitigation Project in Jiangsu Province</t>
    <phoneticPr fontId="5" type="noConversion"/>
  </si>
  <si>
    <t>Methane Conversion Factor for the baseline AWMSj / T=15.3 degrees celcius</t>
    <phoneticPr fontId="5" type="noConversion"/>
  </si>
  <si>
    <r>
      <t>(tCO</t>
    </r>
    <r>
      <rPr>
        <b/>
        <vertAlign val="subscript"/>
        <sz val="9"/>
        <color indexed="8"/>
        <rFont val="Franklin Gothic Book"/>
        <family val="2"/>
      </rPr>
      <t>2</t>
    </r>
    <r>
      <rPr>
        <b/>
        <sz val="9"/>
        <color indexed="8"/>
        <rFont val="Franklin Gothic Book"/>
        <family val="2"/>
      </rPr>
      <t>e)</t>
    </r>
  </si>
  <si>
    <r>
      <t>Total(tCO</t>
    </r>
    <r>
      <rPr>
        <b/>
        <vertAlign val="subscript"/>
        <sz val="9"/>
        <color indexed="8"/>
        <rFont val="Franklin Gothic Book"/>
        <family val="2"/>
      </rPr>
      <t>2</t>
    </r>
    <r>
      <rPr>
        <b/>
        <sz val="9"/>
        <color indexed="8"/>
        <rFont val="Franklin Gothic Book"/>
        <family val="2"/>
      </rPr>
      <t>e)</t>
    </r>
    <phoneticPr fontId="5" type="noConversion"/>
  </si>
  <si>
    <r>
      <t>Average(tCO</t>
    </r>
    <r>
      <rPr>
        <b/>
        <vertAlign val="subscript"/>
        <sz val="9"/>
        <color indexed="8"/>
        <rFont val="Franklin Gothic Book"/>
        <family val="2"/>
      </rPr>
      <t>2</t>
    </r>
    <r>
      <rPr>
        <b/>
        <sz val="9"/>
        <color indexed="8"/>
        <rFont val="Franklin Gothic Book"/>
        <family val="2"/>
      </rPr>
      <t>e)</t>
    </r>
    <phoneticPr fontId="5" type="noConversion"/>
  </si>
  <si>
    <r>
      <t>GWP</t>
    </r>
    <r>
      <rPr>
        <vertAlign val="subscript"/>
        <sz val="9"/>
        <rFont val="Franklin Gothic Book"/>
        <family val="2"/>
      </rPr>
      <t>CH4</t>
    </r>
    <phoneticPr fontId="0" type="noConversion"/>
  </si>
  <si>
    <r>
      <t>tCO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/tCH</t>
    </r>
    <r>
      <rPr>
        <vertAlign val="subscript"/>
        <sz val="9"/>
        <rFont val="Franklin Gothic Book"/>
        <family val="2"/>
      </rPr>
      <t>4</t>
    </r>
    <phoneticPr fontId="0" type="noConversion"/>
  </si>
  <si>
    <r>
      <t>D</t>
    </r>
    <r>
      <rPr>
        <vertAlign val="subscript"/>
        <sz val="9"/>
        <rFont val="Franklin Gothic Book"/>
        <family val="2"/>
      </rPr>
      <t>CH4</t>
    </r>
    <phoneticPr fontId="0" type="noConversion"/>
  </si>
  <si>
    <r>
      <t>t/m</t>
    </r>
    <r>
      <rPr>
        <vertAlign val="superscript"/>
        <sz val="9"/>
        <rFont val="Franklin Gothic Book"/>
        <family val="2"/>
      </rPr>
      <t>3</t>
    </r>
    <phoneticPr fontId="0" type="noConversion"/>
  </si>
  <si>
    <r>
      <t>VS</t>
    </r>
    <r>
      <rPr>
        <vertAlign val="subscript"/>
        <sz val="9"/>
        <rFont val="Franklin Gothic Book"/>
        <family val="2"/>
      </rPr>
      <t>LT,y</t>
    </r>
    <phoneticPr fontId="0" type="noConversion"/>
  </si>
  <si>
    <r>
      <t>N</t>
    </r>
    <r>
      <rPr>
        <vertAlign val="subscript"/>
        <sz val="9"/>
        <rFont val="Franklin Gothic Book"/>
        <family val="2"/>
      </rPr>
      <t>LT</t>
    </r>
    <phoneticPr fontId="0" type="noConversion"/>
  </si>
  <si>
    <r>
      <t>B</t>
    </r>
    <r>
      <rPr>
        <vertAlign val="subscript"/>
        <sz val="9"/>
        <rFont val="Franklin Gothic Book"/>
        <family val="2"/>
      </rPr>
      <t>0,LT</t>
    </r>
    <phoneticPr fontId="0" type="noConversion"/>
  </si>
  <si>
    <r>
      <t>m</t>
    </r>
    <r>
      <rPr>
        <vertAlign val="superscript"/>
        <sz val="9"/>
        <rFont val="Franklin Gothic Book"/>
        <family val="2"/>
      </rPr>
      <t>3</t>
    </r>
    <r>
      <rPr>
        <sz val="9"/>
        <rFont val="Franklin Gothic Book"/>
        <family val="2"/>
      </rPr>
      <t xml:space="preserve"> CH</t>
    </r>
    <r>
      <rPr>
        <vertAlign val="subscript"/>
        <sz val="9"/>
        <rFont val="Franklin Gothic Book"/>
        <family val="2"/>
      </rPr>
      <t>4</t>
    </r>
    <r>
      <rPr>
        <sz val="9"/>
        <rFont val="Franklin Gothic Book"/>
        <family val="2"/>
      </rPr>
      <t>/kg-VS</t>
    </r>
    <phoneticPr fontId="0" type="noConversion"/>
  </si>
  <si>
    <r>
      <t>R</t>
    </r>
    <r>
      <rPr>
        <vertAlign val="subscript"/>
        <sz val="9"/>
        <rFont val="Franklin Gothic Book"/>
        <family val="2"/>
      </rPr>
      <t>VS</t>
    </r>
    <phoneticPr fontId="0" type="noConversion"/>
  </si>
  <si>
    <r>
      <t>MS%</t>
    </r>
    <r>
      <rPr>
        <vertAlign val="subscript"/>
        <sz val="9"/>
        <rFont val="Franklin Gothic Book"/>
        <family val="2"/>
      </rPr>
      <t>j</t>
    </r>
    <phoneticPr fontId="0" type="noConversion"/>
  </si>
  <si>
    <r>
      <t>LE</t>
    </r>
    <r>
      <rPr>
        <b/>
        <vertAlign val="subscript"/>
        <sz val="9"/>
        <rFont val="Franklin Gothic Book"/>
        <family val="2"/>
      </rPr>
      <t xml:space="preserve"> PJ</t>
    </r>
    <r>
      <rPr>
        <b/>
        <i/>
        <vertAlign val="subscript"/>
        <sz val="9"/>
        <rFont val="Franklin Gothic Book"/>
        <family val="2"/>
      </rPr>
      <t>,CH4</t>
    </r>
    <r>
      <rPr>
        <b/>
        <vertAlign val="subscript"/>
        <sz val="9"/>
        <rFont val="Franklin Gothic Book"/>
        <family val="2"/>
      </rPr>
      <t xml:space="preserve"> ,y</t>
    </r>
    <phoneticPr fontId="0" type="noConversion"/>
  </si>
  <si>
    <r>
      <t>tCO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e</t>
    </r>
    <phoneticPr fontId="0" type="noConversion"/>
  </si>
  <si>
    <r>
      <t>N</t>
    </r>
    <r>
      <rPr>
        <vertAlign val="subscript"/>
        <sz val="9"/>
        <rFont val="Franklin Gothic Book"/>
        <family val="2"/>
      </rPr>
      <t>rate</t>
    </r>
    <phoneticPr fontId="5" type="noConversion"/>
  </si>
  <si>
    <r>
      <t>NEX</t>
    </r>
    <r>
      <rPr>
        <vertAlign val="subscript"/>
        <sz val="9"/>
        <rFont val="Franklin Gothic Book"/>
        <family val="2"/>
      </rPr>
      <t>LT,y</t>
    </r>
    <phoneticPr fontId="0" type="noConversion"/>
  </si>
  <si>
    <r>
      <t>R</t>
    </r>
    <r>
      <rPr>
        <i/>
        <vertAlign val="subscript"/>
        <sz val="9"/>
        <rFont val="Franklin Gothic Book"/>
        <family val="2"/>
      </rPr>
      <t>N,n</t>
    </r>
    <phoneticPr fontId="0" type="noConversion"/>
  </si>
  <si>
    <r>
      <t>EF</t>
    </r>
    <r>
      <rPr>
        <vertAlign val="subscript"/>
        <sz val="9"/>
        <rFont val="Franklin Gothic Book"/>
        <family val="2"/>
      </rPr>
      <t>1</t>
    </r>
    <phoneticPr fontId="0" type="noConversion"/>
  </si>
  <si>
    <r>
      <t>EF</t>
    </r>
    <r>
      <rPr>
        <vertAlign val="subscript"/>
        <sz val="9"/>
        <rFont val="Franklin Gothic Book"/>
        <family val="2"/>
      </rPr>
      <t>5</t>
    </r>
    <phoneticPr fontId="0" type="noConversion"/>
  </si>
  <si>
    <r>
      <t>EF</t>
    </r>
    <r>
      <rPr>
        <vertAlign val="subscript"/>
        <sz val="9"/>
        <rFont val="Franklin Gothic Book"/>
        <family val="2"/>
      </rPr>
      <t>4</t>
    </r>
    <phoneticPr fontId="0" type="noConversion"/>
  </si>
  <si>
    <r>
      <t>F</t>
    </r>
    <r>
      <rPr>
        <vertAlign val="subscript"/>
        <sz val="9"/>
        <rFont val="Franklin Gothic Book"/>
        <family val="2"/>
      </rPr>
      <t>leach</t>
    </r>
    <phoneticPr fontId="0" type="noConversion"/>
  </si>
  <si>
    <r>
      <t>F</t>
    </r>
    <r>
      <rPr>
        <vertAlign val="subscript"/>
        <sz val="9"/>
        <rFont val="Franklin Gothic Book"/>
        <family val="2"/>
      </rPr>
      <t>gasm</t>
    </r>
    <phoneticPr fontId="0" type="noConversion"/>
  </si>
  <si>
    <r>
      <t>GWP</t>
    </r>
    <r>
      <rPr>
        <vertAlign val="subscript"/>
        <sz val="9"/>
        <rFont val="Franklin Gothic Book"/>
        <family val="2"/>
      </rPr>
      <t>N2O</t>
    </r>
    <phoneticPr fontId="0" type="noConversion"/>
  </si>
  <si>
    <r>
      <t>tCO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/tN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</t>
    </r>
    <phoneticPr fontId="0" type="noConversion"/>
  </si>
  <si>
    <r>
      <t>LE</t>
    </r>
    <r>
      <rPr>
        <vertAlign val="subscript"/>
        <sz val="9"/>
        <rFont val="Franklin Gothic Book"/>
        <family val="2"/>
      </rPr>
      <t>N2O,land,y</t>
    </r>
    <phoneticPr fontId="0" type="noConversion"/>
  </si>
  <si>
    <r>
      <t>kg 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O-N/year</t>
    </r>
    <phoneticPr fontId="0" type="noConversion"/>
  </si>
  <si>
    <r>
      <t>LE</t>
    </r>
    <r>
      <rPr>
        <vertAlign val="subscript"/>
        <sz val="9"/>
        <rFont val="Franklin Gothic Book"/>
        <family val="2"/>
      </rPr>
      <t>N2O,runoff,y</t>
    </r>
    <phoneticPr fontId="0" type="noConversion"/>
  </si>
  <si>
    <r>
      <t>LE</t>
    </r>
    <r>
      <rPr>
        <vertAlign val="subscript"/>
        <sz val="9"/>
        <rFont val="Franklin Gothic Book"/>
        <family val="2"/>
      </rPr>
      <t>N2O,vol,y</t>
    </r>
    <phoneticPr fontId="0" type="noConversion"/>
  </si>
  <si>
    <r>
      <t>LE</t>
    </r>
    <r>
      <rPr>
        <b/>
        <vertAlign val="subscript"/>
        <sz val="9"/>
        <rFont val="Franklin Gothic Book"/>
        <family val="2"/>
      </rPr>
      <t>BL,N2O,y</t>
    </r>
    <phoneticPr fontId="0" type="noConversion"/>
  </si>
  <si>
    <r>
      <t>NEX</t>
    </r>
    <r>
      <rPr>
        <vertAlign val="subscript"/>
        <sz val="9"/>
        <rFont val="Franklin Gothic Book"/>
        <family val="2"/>
      </rPr>
      <t>LT</t>
    </r>
    <phoneticPr fontId="5" type="noConversion"/>
  </si>
  <si>
    <r>
      <t>R</t>
    </r>
    <r>
      <rPr>
        <i/>
        <sz val="9"/>
        <rFont val="Franklin Gothic Book"/>
        <family val="2"/>
      </rPr>
      <t>N</t>
    </r>
  </si>
  <si>
    <r>
      <t>LE</t>
    </r>
    <r>
      <rPr>
        <i/>
        <vertAlign val="subscript"/>
        <sz val="9"/>
        <rFont val="Franklin Gothic Book"/>
        <family val="2"/>
      </rPr>
      <t>N2O,land</t>
    </r>
    <r>
      <rPr>
        <vertAlign val="subscript"/>
        <sz val="9"/>
        <rFont val="Franklin Gothic Book"/>
        <family val="2"/>
      </rPr>
      <t>,y</t>
    </r>
    <phoneticPr fontId="0" type="noConversion"/>
  </si>
  <si>
    <r>
      <t>LE</t>
    </r>
    <r>
      <rPr>
        <i/>
        <vertAlign val="subscript"/>
        <sz val="9"/>
        <rFont val="Franklin Gothic Book"/>
        <family val="2"/>
      </rPr>
      <t>N2O,runoff</t>
    </r>
    <r>
      <rPr>
        <vertAlign val="subscript"/>
        <sz val="9"/>
        <rFont val="Franklin Gothic Book"/>
        <family val="2"/>
      </rPr>
      <t>,y</t>
    </r>
    <phoneticPr fontId="0" type="noConversion"/>
  </si>
  <si>
    <r>
      <t>LE</t>
    </r>
    <r>
      <rPr>
        <i/>
        <vertAlign val="subscript"/>
        <sz val="9"/>
        <rFont val="Franklin Gothic Book"/>
        <family val="2"/>
      </rPr>
      <t>N2O,vol</t>
    </r>
    <phoneticPr fontId="0" type="noConversion"/>
  </si>
  <si>
    <r>
      <t>MCF</t>
    </r>
    <r>
      <rPr>
        <vertAlign val="subscript"/>
        <sz val="9"/>
        <rFont val="Franklin Gothic Book"/>
        <family val="2"/>
      </rPr>
      <t>d</t>
    </r>
    <phoneticPr fontId="0" type="noConversion"/>
  </si>
  <si>
    <r>
      <t>B</t>
    </r>
    <r>
      <rPr>
        <vertAlign val="subscript"/>
        <sz val="9"/>
        <rFont val="Franklin Gothic Book"/>
        <family val="2"/>
      </rPr>
      <t>o,LT</t>
    </r>
    <phoneticPr fontId="0" type="noConversion"/>
  </si>
  <si>
    <r>
      <t>R</t>
    </r>
    <r>
      <rPr>
        <vertAlign val="subscript"/>
        <sz val="9"/>
        <rFont val="Franklin Gothic Book"/>
        <family val="2"/>
      </rPr>
      <t xml:space="preserve">VS </t>
    </r>
    <phoneticPr fontId="0" type="noConversion"/>
  </si>
  <si>
    <r>
      <t>LE</t>
    </r>
    <r>
      <rPr>
        <b/>
        <vertAlign val="subscript"/>
        <sz val="9"/>
        <rFont val="Franklin Gothic Book"/>
        <family val="2"/>
      </rPr>
      <t>BL,CH4,y</t>
    </r>
    <phoneticPr fontId="0" type="noConversion"/>
  </si>
  <si>
    <r>
      <t>LE</t>
    </r>
    <r>
      <rPr>
        <b/>
        <vertAlign val="subscript"/>
        <sz val="9"/>
        <rFont val="Franklin Gothic Book"/>
        <family val="2"/>
      </rPr>
      <t>PJ,CH4,y</t>
    </r>
    <phoneticPr fontId="0" type="noConversion"/>
  </si>
  <si>
    <r>
      <t>a. LE</t>
    </r>
    <r>
      <rPr>
        <i/>
        <sz val="9"/>
        <color indexed="9"/>
        <rFont val="Franklin Gothic Book"/>
        <family val="2"/>
      </rPr>
      <t xml:space="preserve">B,CH4 </t>
    </r>
    <r>
      <rPr>
        <b/>
        <sz val="9"/>
        <color indexed="9"/>
        <rFont val="Franklin Gothic Book"/>
        <family val="2"/>
      </rPr>
      <t>CH4- land application</t>
    </r>
  </si>
  <si>
    <r>
      <t>VS</t>
    </r>
    <r>
      <rPr>
        <i/>
        <sz val="9"/>
        <color indexed="9"/>
        <rFont val="Franklin Gothic Book"/>
        <family val="2"/>
      </rPr>
      <t>LT,M</t>
    </r>
  </si>
  <si>
    <r>
      <t>N</t>
    </r>
    <r>
      <rPr>
        <i/>
        <vertAlign val="subscript"/>
        <sz val="9"/>
        <color indexed="9"/>
        <rFont val="Franklin Gothic Book"/>
        <family val="2"/>
      </rPr>
      <t>population(head, animal population)</t>
    </r>
  </si>
  <si>
    <r>
      <t>B</t>
    </r>
    <r>
      <rPr>
        <i/>
        <sz val="9"/>
        <color indexed="9"/>
        <rFont val="Franklin Gothic Book"/>
        <family val="2"/>
      </rPr>
      <t>0,LT</t>
    </r>
  </si>
  <si>
    <r>
      <t>i) Methane emissions from AWMS where gas is captured (PE</t>
    </r>
    <r>
      <rPr>
        <vertAlign val="subscript"/>
        <sz val="8"/>
        <rFont val="Franklin Gothic Book"/>
        <family val="2"/>
      </rPr>
      <t>AD</t>
    </r>
    <r>
      <rPr>
        <sz val="8"/>
        <rFont val="Franklin Gothic Book"/>
        <family val="2"/>
      </rPr>
      <t xml:space="preserve">, y): </t>
    </r>
    <phoneticPr fontId="5" type="noConversion"/>
  </si>
  <si>
    <r>
      <t>EC</t>
    </r>
    <r>
      <rPr>
        <vertAlign val="subscript"/>
        <sz val="8"/>
        <rFont val="Franklin Gothic Book"/>
        <family val="2"/>
      </rPr>
      <t>PJ,j,y</t>
    </r>
  </si>
  <si>
    <r>
      <t>EF</t>
    </r>
    <r>
      <rPr>
        <vertAlign val="subscript"/>
        <sz val="8"/>
        <rFont val="Franklin Gothic Book"/>
        <family val="2"/>
      </rPr>
      <t>EF,j,y</t>
    </r>
  </si>
  <si>
    <r>
      <t>tCO</t>
    </r>
    <r>
      <rPr>
        <vertAlign val="subscript"/>
        <sz val="8"/>
        <rFont val="Franklin Gothic Book"/>
        <family val="2"/>
      </rPr>
      <t>2</t>
    </r>
    <r>
      <rPr>
        <sz val="8"/>
        <rFont val="Franklin Gothic Book"/>
        <family val="2"/>
      </rPr>
      <t>/MWh</t>
    </r>
  </si>
  <si>
    <r>
      <t>TDL</t>
    </r>
    <r>
      <rPr>
        <vertAlign val="subscript"/>
        <sz val="8"/>
        <rFont val="Franklin Gothic Book"/>
        <family val="2"/>
      </rPr>
      <t>j,y</t>
    </r>
  </si>
  <si>
    <r>
      <t>PE</t>
    </r>
    <r>
      <rPr>
        <b/>
        <vertAlign val="subscript"/>
        <sz val="8"/>
        <rFont val="Franklin Gothic Book"/>
        <family val="2"/>
      </rPr>
      <t>EC,y</t>
    </r>
  </si>
  <si>
    <r>
      <t>tCO</t>
    </r>
    <r>
      <rPr>
        <vertAlign val="subscript"/>
        <sz val="8"/>
        <rFont val="Franklin Gothic Book"/>
        <family val="2"/>
      </rPr>
      <t>2</t>
    </r>
    <r>
      <rPr>
        <sz val="8"/>
        <rFont val="Franklin Gothic Book"/>
        <family val="2"/>
      </rPr>
      <t>e</t>
    </r>
  </si>
  <si>
    <r>
      <t>PE</t>
    </r>
    <r>
      <rPr>
        <b/>
        <vertAlign val="subscript"/>
        <sz val="8"/>
        <rFont val="Franklin Gothic Book"/>
        <family val="2"/>
      </rPr>
      <t>FC,y</t>
    </r>
  </si>
  <si>
    <r>
      <t>GWP</t>
    </r>
    <r>
      <rPr>
        <i/>
        <vertAlign val="subscript"/>
        <sz val="8"/>
        <color indexed="8"/>
        <rFont val="Franklin Gothic Book"/>
        <family val="2"/>
      </rPr>
      <t>CH4</t>
    </r>
  </si>
  <si>
    <r>
      <t>EF</t>
    </r>
    <r>
      <rPr>
        <i/>
        <vertAlign val="subscript"/>
        <sz val="8"/>
        <color indexed="8"/>
        <rFont val="Franklin Gothic Book"/>
        <family val="2"/>
      </rPr>
      <t>CH4,default</t>
    </r>
  </si>
  <si>
    <r>
      <t>tCH</t>
    </r>
    <r>
      <rPr>
        <vertAlign val="subscript"/>
        <sz val="8"/>
        <rFont val="Franklin Gothic Book"/>
        <family val="2"/>
      </rPr>
      <t xml:space="preserve">4 </t>
    </r>
    <r>
      <rPr>
        <sz val="8"/>
        <rFont val="Franklin Gothic Book"/>
        <family val="2"/>
      </rPr>
      <t>leaked / tCH</t>
    </r>
    <r>
      <rPr>
        <vertAlign val="subscript"/>
        <sz val="8"/>
        <rFont val="Franklin Gothic Book"/>
        <family val="2"/>
      </rPr>
      <t>4</t>
    </r>
    <r>
      <rPr>
        <sz val="8"/>
        <rFont val="Franklin Gothic Book"/>
        <family val="2"/>
      </rPr>
      <t xml:space="preserve"> produced</t>
    </r>
    <phoneticPr fontId="5" type="noConversion"/>
  </si>
  <si>
    <r>
      <t>Q</t>
    </r>
    <r>
      <rPr>
        <vertAlign val="subscript"/>
        <sz val="8"/>
        <rFont val="Franklin Gothic Book"/>
        <family val="2"/>
      </rPr>
      <t>CH4,y</t>
    </r>
    <phoneticPr fontId="5" type="noConversion"/>
  </si>
  <si>
    <r>
      <t>PE</t>
    </r>
    <r>
      <rPr>
        <b/>
        <vertAlign val="subscript"/>
        <sz val="8"/>
        <rFont val="Franklin Gothic Book"/>
        <family val="2"/>
      </rPr>
      <t>CH4,y</t>
    </r>
  </si>
  <si>
    <r>
      <t>GWP</t>
    </r>
    <r>
      <rPr>
        <vertAlign val="subscript"/>
        <sz val="8"/>
        <rFont val="Franklin Gothic Book"/>
        <family val="2"/>
      </rPr>
      <t>CH4</t>
    </r>
    <phoneticPr fontId="5" type="noConversion"/>
  </si>
  <si>
    <r>
      <t>F</t>
    </r>
    <r>
      <rPr>
        <vertAlign val="subscript"/>
        <sz val="8"/>
        <rFont val="Franklin Gothic Book"/>
        <family val="2"/>
      </rPr>
      <t>CH4,RG,m</t>
    </r>
    <phoneticPr fontId="5" type="noConversion"/>
  </si>
  <si>
    <r>
      <t>η</t>
    </r>
    <r>
      <rPr>
        <vertAlign val="subscript"/>
        <sz val="8"/>
        <rFont val="Franklin Gothic Book"/>
        <family val="2"/>
      </rPr>
      <t>flare,m</t>
    </r>
    <phoneticPr fontId="5" type="noConversion"/>
  </si>
  <si>
    <r>
      <t>PE</t>
    </r>
    <r>
      <rPr>
        <vertAlign val="subscript"/>
        <sz val="8"/>
        <rFont val="Franklin Gothic Book"/>
        <family val="2"/>
      </rPr>
      <t>flare,y</t>
    </r>
    <phoneticPr fontId="5" type="noConversion"/>
  </si>
  <si>
    <r>
      <t>tCO</t>
    </r>
    <r>
      <rPr>
        <vertAlign val="subscript"/>
        <sz val="8"/>
        <rFont val="Franklin Gothic Book"/>
        <family val="2"/>
      </rPr>
      <t>2</t>
    </r>
    <r>
      <rPr>
        <sz val="8"/>
        <rFont val="Franklin Gothic Book"/>
        <family val="2"/>
      </rPr>
      <t>e</t>
    </r>
    <phoneticPr fontId="5" type="noConversion"/>
  </si>
  <si>
    <r>
      <t>PE</t>
    </r>
    <r>
      <rPr>
        <b/>
        <vertAlign val="subscript"/>
        <sz val="8"/>
        <rFont val="Franklin Gothic Book"/>
        <family val="2"/>
      </rPr>
      <t>AD,y</t>
    </r>
    <phoneticPr fontId="5" type="noConversion"/>
  </si>
  <si>
    <r>
      <t>GWP</t>
    </r>
    <r>
      <rPr>
        <vertAlign val="subscript"/>
        <sz val="8"/>
        <color indexed="8"/>
        <rFont val="Franklin Gothic Book"/>
        <family val="2"/>
      </rPr>
      <t>CH4</t>
    </r>
    <phoneticPr fontId="5" type="noConversion"/>
  </si>
  <si>
    <r>
      <t>D</t>
    </r>
    <r>
      <rPr>
        <vertAlign val="subscript"/>
        <sz val="8"/>
        <rFont val="Franklin Gothic Book"/>
        <family val="2"/>
      </rPr>
      <t>CH4</t>
    </r>
    <phoneticPr fontId="5" type="noConversion"/>
  </si>
  <si>
    <r>
      <t>F</t>
    </r>
    <r>
      <rPr>
        <vertAlign val="subscript"/>
        <sz val="8"/>
        <rFont val="Franklin Gothic Book"/>
        <family val="2"/>
      </rPr>
      <t>Aer</t>
    </r>
    <phoneticPr fontId="5" type="noConversion"/>
  </si>
  <si>
    <r>
      <t>1-R</t>
    </r>
    <r>
      <rPr>
        <vertAlign val="subscript"/>
        <sz val="8"/>
        <rFont val="Franklin Gothic Book"/>
        <family val="2"/>
      </rPr>
      <t>VS,n</t>
    </r>
    <phoneticPr fontId="5" type="noConversion"/>
  </si>
  <si>
    <r>
      <t>B</t>
    </r>
    <r>
      <rPr>
        <vertAlign val="subscript"/>
        <sz val="8"/>
        <rFont val="Franklin Gothic Book"/>
        <family val="2"/>
      </rPr>
      <t>o,LT</t>
    </r>
    <phoneticPr fontId="5" type="noConversion"/>
  </si>
  <si>
    <r>
      <t>N</t>
    </r>
    <r>
      <rPr>
        <vertAlign val="subscript"/>
        <sz val="8"/>
        <rFont val="Franklin Gothic Book"/>
        <family val="2"/>
      </rPr>
      <t>LT</t>
    </r>
    <phoneticPr fontId="5" type="noConversion"/>
  </si>
  <si>
    <r>
      <t>VS</t>
    </r>
    <r>
      <rPr>
        <vertAlign val="subscript"/>
        <sz val="8"/>
        <rFont val="Franklin Gothic Book"/>
        <family val="2"/>
      </rPr>
      <t>LT,y</t>
    </r>
    <phoneticPr fontId="5" type="noConversion"/>
  </si>
  <si>
    <r>
      <t>PE</t>
    </r>
    <r>
      <rPr>
        <b/>
        <vertAlign val="subscript"/>
        <sz val="8"/>
        <rFont val="Franklin Gothic Book"/>
        <family val="2"/>
      </rPr>
      <t>Aer,y</t>
    </r>
    <r>
      <rPr>
        <b/>
        <sz val="8"/>
        <rFont val="Franklin Gothic Book"/>
        <family val="2"/>
      </rPr>
      <t>(tCO</t>
    </r>
    <r>
      <rPr>
        <b/>
        <vertAlign val="subscript"/>
        <sz val="8"/>
        <rFont val="Franklin Gothic Book"/>
        <family val="2"/>
      </rPr>
      <t>2</t>
    </r>
    <r>
      <rPr>
        <b/>
        <sz val="8"/>
        <rFont val="Franklin Gothic Book"/>
        <family val="2"/>
      </rPr>
      <t>e)</t>
    </r>
    <phoneticPr fontId="5" type="noConversion"/>
  </si>
  <si>
    <r>
      <t>PE</t>
    </r>
    <r>
      <rPr>
        <b/>
        <vertAlign val="subscript"/>
        <sz val="8"/>
        <color indexed="9"/>
        <rFont val="Franklin Gothic Book"/>
        <family val="2"/>
      </rPr>
      <t>N2O,Y</t>
    </r>
    <r>
      <rPr>
        <b/>
        <sz val="8"/>
        <color indexed="9"/>
        <rFont val="Franklin Gothic Book"/>
        <family val="2"/>
      </rPr>
      <t>=310*(44/28)*1/1000*EF</t>
    </r>
    <r>
      <rPr>
        <b/>
        <vertAlign val="subscript"/>
        <sz val="8"/>
        <color indexed="9"/>
        <rFont val="Franklin Gothic Book"/>
        <family val="2"/>
      </rPr>
      <t>N2O</t>
    </r>
    <r>
      <rPr>
        <b/>
        <sz val="8"/>
        <color indexed="9"/>
        <rFont val="Franklin Gothic Book"/>
        <family val="2"/>
      </rPr>
      <t>*NEX*N</t>
    </r>
  </si>
  <si>
    <r>
      <t>EF</t>
    </r>
    <r>
      <rPr>
        <vertAlign val="subscript"/>
        <sz val="9"/>
        <rFont val="Franklin Gothic Book"/>
        <family val="2"/>
      </rPr>
      <t xml:space="preserve">N2O,D,j </t>
    </r>
    <phoneticPr fontId="0" type="noConversion"/>
  </si>
  <si>
    <r>
      <t>kg 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O/kg N</t>
    </r>
    <phoneticPr fontId="10" type="noConversion"/>
  </si>
  <si>
    <r>
      <t>E</t>
    </r>
    <r>
      <rPr>
        <b/>
        <vertAlign val="subscript"/>
        <sz val="8"/>
        <rFont val="Franklin Gothic Book"/>
        <family val="2"/>
      </rPr>
      <t>N2O,D,y</t>
    </r>
    <phoneticPr fontId="5" type="noConversion"/>
  </si>
  <si>
    <r>
      <t>a) CH4 emissions: PE</t>
    </r>
    <r>
      <rPr>
        <i/>
        <sz val="8"/>
        <color indexed="9"/>
        <rFont val="Franklin Gothic Book"/>
        <family val="2"/>
      </rPr>
      <t>Aer,y</t>
    </r>
  </si>
  <si>
    <r>
      <t>F</t>
    </r>
    <r>
      <rPr>
        <vertAlign val="subscript"/>
        <sz val="9"/>
        <rFont val="Franklin Gothic Book"/>
        <family val="2"/>
      </rPr>
      <t>gasMS,j,LT</t>
    </r>
    <phoneticPr fontId="0" type="noConversion"/>
  </si>
  <si>
    <r>
      <t>E</t>
    </r>
    <r>
      <rPr>
        <b/>
        <vertAlign val="subscript"/>
        <sz val="9"/>
        <rFont val="Franklin Gothic Book"/>
        <family val="2"/>
      </rPr>
      <t>N2O,ID,j</t>
    </r>
    <phoneticPr fontId="0" type="noConversion"/>
  </si>
  <si>
    <r>
      <t>E</t>
    </r>
    <r>
      <rPr>
        <b/>
        <vertAlign val="subscript"/>
        <sz val="8"/>
        <rFont val="Franklin Gothic Book"/>
        <family val="2"/>
      </rPr>
      <t>N2O,ID,j</t>
    </r>
    <phoneticPr fontId="5" type="noConversion"/>
  </si>
  <si>
    <r>
      <t>PE</t>
    </r>
    <r>
      <rPr>
        <b/>
        <vertAlign val="subscript"/>
        <sz val="8"/>
        <rFont val="Franklin Gothic Book"/>
        <family val="2"/>
      </rPr>
      <t>N2O,Y</t>
    </r>
    <r>
      <rPr>
        <b/>
        <sz val="8"/>
        <rFont val="Franklin Gothic Book"/>
        <family val="2"/>
      </rPr>
      <t>=265*(44/28)*1/1000*(E</t>
    </r>
    <r>
      <rPr>
        <b/>
        <vertAlign val="subscript"/>
        <sz val="8"/>
        <rFont val="Franklin Gothic Book"/>
        <family val="2"/>
      </rPr>
      <t>N2O,D,y</t>
    </r>
    <r>
      <rPr>
        <b/>
        <sz val="8"/>
        <rFont val="Franklin Gothic Book"/>
        <family val="2"/>
      </rPr>
      <t>+E</t>
    </r>
    <r>
      <rPr>
        <b/>
        <vertAlign val="subscript"/>
        <sz val="8"/>
        <rFont val="Franklin Gothic Book"/>
        <family val="2"/>
      </rPr>
      <t>N2O,ID,y</t>
    </r>
    <r>
      <rPr>
        <b/>
        <sz val="8"/>
        <rFont val="Franklin Gothic Book"/>
        <family val="2"/>
      </rPr>
      <t>) =</t>
    </r>
    <phoneticPr fontId="5" type="noConversion"/>
  </si>
  <si>
    <r>
      <t>PROJECT EMISSIONS (tCO</t>
    </r>
    <r>
      <rPr>
        <b/>
        <vertAlign val="subscript"/>
        <sz val="8"/>
        <rFont val="Franklin Gothic Book"/>
        <family val="2"/>
      </rPr>
      <t>2</t>
    </r>
    <r>
      <rPr>
        <b/>
        <sz val="8"/>
        <rFont val="Franklin Gothic Book"/>
        <family val="2"/>
      </rPr>
      <t>e)</t>
    </r>
    <phoneticPr fontId="5" type="noConversion"/>
  </si>
  <si>
    <r>
      <t>GWP</t>
    </r>
    <r>
      <rPr>
        <i/>
        <vertAlign val="subscript"/>
        <sz val="9"/>
        <color indexed="8"/>
        <rFont val="Franklin Gothic Book"/>
        <family val="2"/>
      </rPr>
      <t>CH4</t>
    </r>
  </si>
  <si>
    <r>
      <t>tCO</t>
    </r>
    <r>
      <rPr>
        <vertAlign val="subscript"/>
        <sz val="9"/>
        <color indexed="8"/>
        <rFont val="Franklin Gothic Book"/>
        <family val="2"/>
      </rPr>
      <t>2</t>
    </r>
    <r>
      <rPr>
        <sz val="9"/>
        <color indexed="8"/>
        <rFont val="Franklin Gothic Book"/>
        <family val="2"/>
      </rPr>
      <t>/tCH</t>
    </r>
    <r>
      <rPr>
        <vertAlign val="subscript"/>
        <sz val="9"/>
        <color indexed="8"/>
        <rFont val="Franklin Gothic Book"/>
        <family val="2"/>
      </rPr>
      <t>4</t>
    </r>
    <phoneticPr fontId="5" type="noConversion"/>
  </si>
  <si>
    <r>
      <t>D</t>
    </r>
    <r>
      <rPr>
        <i/>
        <vertAlign val="subscript"/>
        <sz val="9"/>
        <color indexed="8"/>
        <rFont val="Franklin Gothic Book"/>
        <family val="2"/>
      </rPr>
      <t>CH4</t>
    </r>
  </si>
  <si>
    <r>
      <t>t/m</t>
    </r>
    <r>
      <rPr>
        <vertAlign val="superscript"/>
        <sz val="9"/>
        <color indexed="8"/>
        <rFont val="Franklin Gothic Book"/>
        <family val="2"/>
      </rPr>
      <t>3</t>
    </r>
  </si>
  <si>
    <r>
      <t>MCF</t>
    </r>
    <r>
      <rPr>
        <vertAlign val="subscript"/>
        <sz val="9"/>
        <color indexed="8"/>
        <rFont val="Franklin Gothic Book"/>
        <family val="2"/>
      </rPr>
      <t>j</t>
    </r>
    <phoneticPr fontId="0" type="noConversion"/>
  </si>
  <si>
    <r>
      <t>B</t>
    </r>
    <r>
      <rPr>
        <i/>
        <vertAlign val="subscript"/>
        <sz val="9"/>
        <color indexed="8"/>
        <rFont val="Franklin Gothic Book"/>
        <family val="2"/>
      </rPr>
      <t>o,LT</t>
    </r>
    <phoneticPr fontId="0" type="noConversion"/>
  </si>
  <si>
    <r>
      <t>m</t>
    </r>
    <r>
      <rPr>
        <vertAlign val="superscript"/>
        <sz val="9"/>
        <color indexed="8"/>
        <rFont val="Franklin Gothic Book"/>
        <family val="2"/>
      </rPr>
      <t>3</t>
    </r>
    <r>
      <rPr>
        <sz val="9"/>
        <color indexed="8"/>
        <rFont val="Franklin Gothic Book"/>
        <family val="2"/>
      </rPr>
      <t xml:space="preserve"> CH</t>
    </r>
    <r>
      <rPr>
        <vertAlign val="subscript"/>
        <sz val="9"/>
        <color indexed="8"/>
        <rFont val="Franklin Gothic Book"/>
        <family val="2"/>
      </rPr>
      <t>4</t>
    </r>
    <r>
      <rPr>
        <sz val="9"/>
        <color indexed="8"/>
        <rFont val="Franklin Gothic Book"/>
        <family val="2"/>
      </rPr>
      <t xml:space="preserve"> /kg VS</t>
    </r>
    <phoneticPr fontId="5" type="noConversion"/>
  </si>
  <si>
    <r>
      <t>N</t>
    </r>
    <r>
      <rPr>
        <vertAlign val="subscript"/>
        <sz val="9"/>
        <color indexed="8"/>
        <rFont val="Franklin Gothic Book"/>
        <family val="2"/>
      </rPr>
      <t>LT</t>
    </r>
    <phoneticPr fontId="0" type="noConversion"/>
  </si>
  <si>
    <r>
      <t>W</t>
    </r>
    <r>
      <rPr>
        <vertAlign val="subscript"/>
        <sz val="9"/>
        <color indexed="8"/>
        <rFont val="Franklin Gothic Book"/>
        <family val="2"/>
      </rPr>
      <t>site</t>
    </r>
    <phoneticPr fontId="0" type="noConversion"/>
  </si>
  <si>
    <r>
      <t>W</t>
    </r>
    <r>
      <rPr>
        <vertAlign val="subscript"/>
        <sz val="9"/>
        <color indexed="8"/>
        <rFont val="Franklin Gothic Book"/>
        <family val="2"/>
      </rPr>
      <t>default</t>
    </r>
    <phoneticPr fontId="0" type="noConversion"/>
  </si>
  <si>
    <r>
      <t>VS</t>
    </r>
    <r>
      <rPr>
        <vertAlign val="subscript"/>
        <sz val="9"/>
        <color indexed="8"/>
        <rFont val="Franklin Gothic Book"/>
        <family val="2"/>
      </rPr>
      <t>default</t>
    </r>
    <phoneticPr fontId="0" type="noConversion"/>
  </si>
  <si>
    <r>
      <t>VS</t>
    </r>
    <r>
      <rPr>
        <vertAlign val="subscript"/>
        <sz val="9"/>
        <color indexed="8"/>
        <rFont val="Franklin Gothic Book"/>
        <family val="2"/>
      </rPr>
      <t>LT,y</t>
    </r>
    <phoneticPr fontId="0" type="noConversion"/>
  </si>
  <si>
    <r>
      <t>n</t>
    </r>
    <r>
      <rPr>
        <vertAlign val="subscript"/>
        <sz val="9"/>
        <color indexed="8"/>
        <rFont val="Franklin Gothic Book"/>
        <family val="2"/>
      </rPr>
      <t>dy</t>
    </r>
    <phoneticPr fontId="0" type="noConversion"/>
  </si>
  <si>
    <r>
      <t>tCO</t>
    </r>
    <r>
      <rPr>
        <vertAlign val="subscript"/>
        <sz val="9"/>
        <color indexed="8"/>
        <rFont val="Franklin Gothic Book"/>
        <family val="2"/>
      </rPr>
      <t>2</t>
    </r>
    <r>
      <rPr>
        <sz val="9"/>
        <color indexed="8"/>
        <rFont val="Franklin Gothic Book"/>
        <family val="2"/>
      </rPr>
      <t>e</t>
    </r>
    <phoneticPr fontId="0" type="noConversion"/>
  </si>
  <si>
    <r>
      <t>BE</t>
    </r>
    <r>
      <rPr>
        <b/>
        <vertAlign val="subscript"/>
        <sz val="9"/>
        <color indexed="8"/>
        <rFont val="Franklin Gothic Book"/>
        <family val="2"/>
      </rPr>
      <t xml:space="preserve">CH4 </t>
    </r>
    <phoneticPr fontId="0" type="noConversion"/>
  </si>
  <si>
    <r>
      <t>EF</t>
    </r>
    <r>
      <rPr>
        <i/>
        <vertAlign val="subscript"/>
        <sz val="9"/>
        <rFont val="Franklin Gothic Book"/>
        <family val="2"/>
      </rPr>
      <t>N2O,D,j</t>
    </r>
  </si>
  <si>
    <r>
      <t>kg 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O-N/kg N</t>
    </r>
  </si>
  <si>
    <r>
      <t>N</t>
    </r>
    <r>
      <rPr>
        <i/>
        <vertAlign val="subscript"/>
        <sz val="9"/>
        <rFont val="Franklin Gothic Book"/>
        <family val="2"/>
      </rPr>
      <t>rate(T)</t>
    </r>
    <phoneticPr fontId="0" type="noConversion"/>
  </si>
  <si>
    <r>
      <t>NEX</t>
    </r>
    <r>
      <rPr>
        <i/>
        <vertAlign val="subscript"/>
        <sz val="9"/>
        <rFont val="Franklin Gothic Book"/>
        <family val="2"/>
      </rPr>
      <t>IPCCdefault</t>
    </r>
    <phoneticPr fontId="0" type="noConversion"/>
  </si>
  <si>
    <r>
      <t>W</t>
    </r>
    <r>
      <rPr>
        <i/>
        <vertAlign val="subscript"/>
        <sz val="9"/>
        <rFont val="Franklin Gothic Book"/>
        <family val="2"/>
      </rPr>
      <t>site</t>
    </r>
    <phoneticPr fontId="0" type="noConversion"/>
  </si>
  <si>
    <r>
      <t>W</t>
    </r>
    <r>
      <rPr>
        <i/>
        <vertAlign val="subscript"/>
        <sz val="9"/>
        <rFont val="Franklin Gothic Book"/>
        <family val="2"/>
      </rPr>
      <t>default</t>
    </r>
    <phoneticPr fontId="0" type="noConversion"/>
  </si>
  <si>
    <r>
      <t>NEX</t>
    </r>
    <r>
      <rPr>
        <i/>
        <vertAlign val="subscript"/>
        <sz val="9"/>
        <rFont val="Franklin Gothic Book"/>
        <family val="2"/>
      </rPr>
      <t>LT,y</t>
    </r>
    <phoneticPr fontId="0" type="noConversion"/>
  </si>
  <si>
    <r>
      <t>N</t>
    </r>
    <r>
      <rPr>
        <i/>
        <vertAlign val="subscript"/>
        <sz val="9"/>
        <rFont val="Franklin Gothic Book"/>
        <family val="2"/>
      </rPr>
      <t>LT</t>
    </r>
    <phoneticPr fontId="0" type="noConversion"/>
  </si>
  <si>
    <r>
      <t>MS%</t>
    </r>
    <r>
      <rPr>
        <vertAlign val="subscript"/>
        <sz val="9"/>
        <rFont val="Franklin Gothic Book"/>
        <family val="2"/>
      </rPr>
      <t>BL,j</t>
    </r>
    <phoneticPr fontId="0" type="noConversion"/>
  </si>
  <si>
    <r>
      <t>E</t>
    </r>
    <r>
      <rPr>
        <vertAlign val="subscript"/>
        <sz val="9"/>
        <rFont val="Franklin Gothic Book"/>
        <family val="2"/>
      </rPr>
      <t>N2O,D,y</t>
    </r>
    <phoneticPr fontId="0" type="noConversion"/>
  </si>
  <si>
    <r>
      <t>kg N</t>
    </r>
    <r>
      <rPr>
        <vertAlign val="subscript"/>
        <sz val="9"/>
        <color indexed="8"/>
        <rFont val="Franklin Gothic Book"/>
        <family val="2"/>
      </rPr>
      <t>2</t>
    </r>
    <r>
      <rPr>
        <sz val="9"/>
        <color indexed="8"/>
        <rFont val="Franklin Gothic Book"/>
        <family val="2"/>
      </rPr>
      <t>O-N/year</t>
    </r>
    <phoneticPr fontId="0" type="noConversion"/>
  </si>
  <si>
    <r>
      <t>EF</t>
    </r>
    <r>
      <rPr>
        <i/>
        <vertAlign val="subscript"/>
        <sz val="9"/>
        <rFont val="Franklin Gothic Book"/>
        <family val="2"/>
      </rPr>
      <t>N2O,ID</t>
    </r>
    <phoneticPr fontId="0" type="noConversion"/>
  </si>
  <si>
    <r>
      <t>kg 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O/kg N</t>
    </r>
  </si>
  <si>
    <r>
      <t>F</t>
    </r>
    <r>
      <rPr>
        <i/>
        <vertAlign val="subscript"/>
        <sz val="9"/>
        <rFont val="Franklin Gothic Book"/>
        <family val="2"/>
      </rPr>
      <t>gasMS,j,LT</t>
    </r>
    <phoneticPr fontId="0" type="noConversion"/>
  </si>
  <si>
    <r>
      <t>NEX</t>
    </r>
    <r>
      <rPr>
        <vertAlign val="subscript"/>
        <sz val="9"/>
        <rFont val="Franklin Gothic Book"/>
        <family val="2"/>
      </rPr>
      <t>LT</t>
    </r>
    <phoneticPr fontId="0" type="noConversion"/>
  </si>
  <si>
    <r>
      <t>CF</t>
    </r>
    <r>
      <rPr>
        <vertAlign val="subscript"/>
        <sz val="9"/>
        <rFont val="Franklin Gothic Book"/>
        <family val="2"/>
      </rPr>
      <t>N20-N,N</t>
    </r>
    <phoneticPr fontId="0" type="noConversion"/>
  </si>
  <si>
    <r>
      <t>Conversion Factor 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O-N to N</t>
    </r>
    <r>
      <rPr>
        <vertAlign val="subscript"/>
        <sz val="9"/>
        <rFont val="Franklin Gothic Book"/>
        <family val="2"/>
      </rPr>
      <t>2</t>
    </r>
    <r>
      <rPr>
        <sz val="9"/>
        <rFont val="Franklin Gothic Book"/>
        <family val="2"/>
      </rPr>
      <t>O</t>
    </r>
    <phoneticPr fontId="5" type="noConversion"/>
  </si>
  <si>
    <r>
      <t>E</t>
    </r>
    <r>
      <rPr>
        <vertAlign val="subscript"/>
        <sz val="9"/>
        <rFont val="Franklin Gothic Book"/>
        <family val="2"/>
      </rPr>
      <t>N2O,ID,y</t>
    </r>
    <phoneticPr fontId="0" type="noConversion"/>
  </si>
  <si>
    <r>
      <t>BE</t>
    </r>
    <r>
      <rPr>
        <i/>
        <vertAlign val="subscript"/>
        <sz val="9"/>
        <rFont val="Franklin Gothic Book"/>
        <family val="2"/>
      </rPr>
      <t>N2O,y</t>
    </r>
    <r>
      <rPr>
        <i/>
        <sz val="9"/>
        <rFont val="Franklin Gothic Book"/>
        <family val="2"/>
      </rPr>
      <t xml:space="preserve"> </t>
    </r>
    <r>
      <rPr>
        <b/>
        <sz val="9"/>
        <rFont val="Franklin Gothic Book"/>
        <family val="2"/>
      </rPr>
      <t>= GWP</t>
    </r>
    <r>
      <rPr>
        <b/>
        <vertAlign val="subscript"/>
        <sz val="9"/>
        <rFont val="Franklin Gothic Book"/>
        <family val="2"/>
      </rPr>
      <t>N2O</t>
    </r>
    <r>
      <rPr>
        <b/>
        <sz val="9"/>
        <rFont val="Franklin Gothic Book"/>
        <family val="2"/>
      </rPr>
      <t>*CF</t>
    </r>
    <r>
      <rPr>
        <b/>
        <vertAlign val="subscript"/>
        <sz val="9"/>
        <rFont val="Franklin Gothic Book"/>
        <family val="2"/>
      </rPr>
      <t>N2O-N,N</t>
    </r>
    <r>
      <rPr>
        <b/>
        <sz val="9"/>
        <rFont val="Franklin Gothic Book"/>
        <family val="2"/>
      </rPr>
      <t>* 1/1000*(E</t>
    </r>
    <r>
      <rPr>
        <b/>
        <vertAlign val="subscript"/>
        <sz val="9"/>
        <rFont val="Franklin Gothic Book"/>
        <family val="2"/>
      </rPr>
      <t>N2O,D,y</t>
    </r>
    <r>
      <rPr>
        <b/>
        <sz val="9"/>
        <rFont val="Franklin Gothic Book"/>
        <family val="2"/>
      </rPr>
      <t xml:space="preserve"> + E</t>
    </r>
    <r>
      <rPr>
        <b/>
        <vertAlign val="subscript"/>
        <sz val="9"/>
        <rFont val="Franklin Gothic Book"/>
        <family val="2"/>
      </rPr>
      <t>N2O,ID,y</t>
    </r>
    <r>
      <rPr>
        <b/>
        <sz val="9"/>
        <rFont val="Franklin Gothic Book"/>
        <family val="2"/>
      </rPr>
      <t>) =</t>
    </r>
    <phoneticPr fontId="0" type="noConversion"/>
  </si>
  <si>
    <r>
      <t>Not applicable as baseline CO</t>
    </r>
    <r>
      <rPr>
        <b/>
        <vertAlign val="subscript"/>
        <sz val="9"/>
        <rFont val="Franklin Gothic Book"/>
        <family val="2"/>
      </rPr>
      <t>2</t>
    </r>
    <r>
      <rPr>
        <b/>
        <sz val="9"/>
        <rFont val="Franklin Gothic Book"/>
        <family val="2"/>
      </rPr>
      <t xml:space="preserve"> emissions from electricity or heat will not be claimed as emission reduction.</t>
    </r>
    <phoneticPr fontId="5" type="noConversion"/>
  </si>
  <si>
    <r>
      <t xml:space="preserve"> BE</t>
    </r>
    <r>
      <rPr>
        <b/>
        <vertAlign val="subscript"/>
        <sz val="9"/>
        <rFont val="Franklin Gothic Book"/>
        <family val="2"/>
      </rPr>
      <t xml:space="preserve">CH4,y </t>
    </r>
    <r>
      <rPr>
        <b/>
        <sz val="9"/>
        <rFont val="Franklin Gothic Book"/>
        <family val="2"/>
      </rPr>
      <t>+ BE</t>
    </r>
    <r>
      <rPr>
        <b/>
        <vertAlign val="subscript"/>
        <sz val="9"/>
        <rFont val="Franklin Gothic Book"/>
        <family val="2"/>
      </rPr>
      <t>N2O,y</t>
    </r>
    <r>
      <rPr>
        <b/>
        <sz val="9"/>
        <rFont val="Franklin Gothic Book"/>
        <family val="2"/>
      </rPr>
      <t xml:space="preserve"> =</t>
    </r>
    <phoneticPr fontId="0" type="noConversion"/>
  </si>
  <si>
    <t>VCS 2706</t>
    <phoneticPr fontId="5" type="noConversion"/>
  </si>
  <si>
    <t>10-June-2020 to 09-June-2030  (both days included)</t>
    <phoneticPr fontId="5" type="noConversion"/>
  </si>
  <si>
    <r>
      <t>01</t>
    </r>
    <r>
      <rPr>
        <sz val="9"/>
        <color indexed="8"/>
        <rFont val="Franklin Gothic Book"/>
        <family val="2"/>
      </rPr>
      <t>-January-2021 to 31-December-2021</t>
    </r>
    <phoneticPr fontId="50" type="noConversion"/>
  </si>
  <si>
    <t>01-January-2022 to 31-December-2022</t>
    <phoneticPr fontId="50" type="noConversion"/>
  </si>
  <si>
    <t>01-January-2023 to 31-December-2023</t>
    <phoneticPr fontId="50" type="noConversion"/>
  </si>
  <si>
    <t>01-January-2024 to 31-December-2024</t>
    <phoneticPr fontId="50" type="noConversion"/>
  </si>
  <si>
    <t>01-January-2025 to 31-December-2025</t>
    <phoneticPr fontId="50" type="noConversion"/>
  </si>
  <si>
    <t>01-January-2026 to 31-December-2026</t>
    <phoneticPr fontId="50" type="noConversion"/>
  </si>
  <si>
    <t>01-January-2027 to 31-December-2027</t>
  </si>
  <si>
    <t>01-January-2028 to 31-December-2028</t>
  </si>
  <si>
    <t>01-January-2029 to 31-December-2029</t>
  </si>
  <si>
    <t>10-June-2020 to 31-December-2020</t>
    <phoneticPr fontId="50" type="noConversion"/>
  </si>
  <si>
    <t>01-January-2030 to 09-June-2030</t>
    <phoneticPr fontId="5" type="noConversion"/>
  </si>
  <si>
    <t>project evaluation report</t>
    <phoneticPr fontId="5" type="noConversion"/>
  </si>
  <si>
    <r>
      <t>BE</t>
    </r>
    <r>
      <rPr>
        <i/>
        <vertAlign val="subscript"/>
        <sz val="9"/>
        <rFont val="Franklin Gothic Book"/>
        <family val="2"/>
      </rPr>
      <t>CH4,y</t>
    </r>
    <r>
      <rPr>
        <b/>
        <sz val="9"/>
        <rFont val="Franklin Gothic Book"/>
        <family val="2"/>
      </rPr>
      <t xml:space="preserve"> = GWP</t>
    </r>
    <r>
      <rPr>
        <i/>
        <vertAlign val="subscript"/>
        <sz val="9"/>
        <rFont val="Franklin Gothic Book"/>
        <family val="2"/>
      </rPr>
      <t>CH4,y</t>
    </r>
    <r>
      <rPr>
        <b/>
        <sz val="9"/>
        <rFont val="Franklin Gothic Book"/>
        <family val="2"/>
      </rPr>
      <t xml:space="preserve"> * D</t>
    </r>
    <r>
      <rPr>
        <i/>
        <vertAlign val="subscript"/>
        <sz val="9"/>
        <rFont val="Franklin Gothic Book"/>
        <family val="2"/>
      </rPr>
      <t>CH4</t>
    </r>
    <r>
      <rPr>
        <b/>
        <sz val="9"/>
        <rFont val="Franklin Gothic Book"/>
        <family val="2"/>
      </rPr>
      <t xml:space="preserve"> * MCF</t>
    </r>
    <r>
      <rPr>
        <i/>
        <sz val="9"/>
        <rFont val="Franklin Gothic Book"/>
        <family val="2"/>
      </rPr>
      <t>j</t>
    </r>
    <r>
      <rPr>
        <b/>
        <sz val="9"/>
        <rFont val="Franklin Gothic Book"/>
        <family val="2"/>
      </rPr>
      <t xml:space="preserve"> * B</t>
    </r>
    <r>
      <rPr>
        <vertAlign val="subscript"/>
        <sz val="9"/>
        <rFont val="Franklin Gothic Book"/>
        <family val="2"/>
      </rPr>
      <t>o,LT</t>
    </r>
    <r>
      <rPr>
        <b/>
        <sz val="9"/>
        <rFont val="Franklin Gothic Book"/>
        <family val="2"/>
      </rPr>
      <t xml:space="preserve"> * N</t>
    </r>
    <r>
      <rPr>
        <b/>
        <vertAlign val="subscript"/>
        <sz val="9"/>
        <rFont val="Franklin Gothic Book"/>
        <family val="2"/>
      </rPr>
      <t>LT</t>
    </r>
    <r>
      <rPr>
        <b/>
        <sz val="9"/>
        <rFont val="Franklin Gothic Book"/>
        <family val="2"/>
      </rPr>
      <t xml:space="preserve"> * VS</t>
    </r>
    <r>
      <rPr>
        <i/>
        <vertAlign val="subscript"/>
        <sz val="9"/>
        <rFont val="Franklin Gothic Book"/>
        <family val="2"/>
      </rPr>
      <t>LT,y</t>
    </r>
    <r>
      <rPr>
        <b/>
        <sz val="9"/>
        <rFont val="Franklin Gothic Book"/>
        <family val="2"/>
      </rPr>
      <t xml:space="preserve"> * MS%</t>
    </r>
    <r>
      <rPr>
        <i/>
        <vertAlign val="subscript"/>
        <sz val="9"/>
        <rFont val="Franklin Gothic Book"/>
        <family val="2"/>
      </rPr>
      <t>Bl,j</t>
    </r>
    <phoneticPr fontId="5" type="noConversion"/>
  </si>
  <si>
    <r>
      <t>BE</t>
    </r>
    <r>
      <rPr>
        <i/>
        <vertAlign val="subscript"/>
        <sz val="9"/>
        <rFont val="Franklin Gothic Book"/>
        <family val="2"/>
      </rPr>
      <t>N2O,y</t>
    </r>
    <r>
      <rPr>
        <i/>
        <sz val="9"/>
        <rFont val="Franklin Gothic Book"/>
        <family val="2"/>
      </rPr>
      <t xml:space="preserve"> </t>
    </r>
    <r>
      <rPr>
        <b/>
        <sz val="9"/>
        <rFont val="Franklin Gothic Book"/>
        <family val="2"/>
      </rPr>
      <t>= GWP</t>
    </r>
    <r>
      <rPr>
        <b/>
        <vertAlign val="subscript"/>
        <sz val="9"/>
        <rFont val="Franklin Gothic Book"/>
        <family val="2"/>
      </rPr>
      <t>N2O</t>
    </r>
    <r>
      <rPr>
        <b/>
        <sz val="9"/>
        <rFont val="Franklin Gothic Book"/>
        <family val="2"/>
      </rPr>
      <t>*CF</t>
    </r>
    <r>
      <rPr>
        <b/>
        <vertAlign val="subscript"/>
        <sz val="9"/>
        <rFont val="Franklin Gothic Book"/>
        <family val="2"/>
      </rPr>
      <t>N2O-N,N</t>
    </r>
    <r>
      <rPr>
        <b/>
        <sz val="9"/>
        <rFont val="Franklin Gothic Book"/>
        <family val="2"/>
      </rPr>
      <t>* 1/1000*(E</t>
    </r>
    <r>
      <rPr>
        <b/>
        <vertAlign val="subscript"/>
        <sz val="9"/>
        <rFont val="Franklin Gothic Book"/>
        <family val="2"/>
      </rPr>
      <t>N2O,D,y</t>
    </r>
    <r>
      <rPr>
        <b/>
        <sz val="9"/>
        <rFont val="Franklin Gothic Book"/>
        <family val="2"/>
      </rPr>
      <t xml:space="preserve"> + E</t>
    </r>
    <r>
      <rPr>
        <b/>
        <vertAlign val="subscript"/>
        <sz val="9"/>
        <rFont val="Franklin Gothic Book"/>
        <family val="2"/>
      </rPr>
      <t>N2O,ID,y</t>
    </r>
    <r>
      <rPr>
        <b/>
        <sz val="9"/>
        <rFont val="Franklin Gothic Book"/>
        <family val="2"/>
      </rPr>
      <t>)</t>
    </r>
    <phoneticPr fontId="5" type="noConversion"/>
  </si>
  <si>
    <r>
      <t>E</t>
    </r>
    <r>
      <rPr>
        <b/>
        <i/>
        <vertAlign val="subscript"/>
        <sz val="9"/>
        <rFont val="Franklin Gothic Book"/>
        <family val="2"/>
      </rPr>
      <t>N2O,D,y</t>
    </r>
    <r>
      <rPr>
        <b/>
        <i/>
        <sz val="9"/>
        <rFont val="Franklin Gothic Book"/>
        <family val="2"/>
      </rPr>
      <t xml:space="preserve"> = EF</t>
    </r>
    <r>
      <rPr>
        <b/>
        <i/>
        <vertAlign val="subscript"/>
        <sz val="9"/>
        <rFont val="Franklin Gothic Book"/>
        <family val="2"/>
      </rPr>
      <t>N2O,D,j</t>
    </r>
    <r>
      <rPr>
        <b/>
        <i/>
        <sz val="9"/>
        <rFont val="Franklin Gothic Book"/>
        <family val="2"/>
      </rPr>
      <t xml:space="preserve"> * NEX</t>
    </r>
    <r>
      <rPr>
        <b/>
        <i/>
        <vertAlign val="subscript"/>
        <sz val="9"/>
        <rFont val="Franklin Gothic Book"/>
        <family val="2"/>
      </rPr>
      <t>LT,y</t>
    </r>
    <r>
      <rPr>
        <b/>
        <i/>
        <sz val="9"/>
        <rFont val="Franklin Gothic Book"/>
        <family val="2"/>
      </rPr>
      <t xml:space="preserve"> * N</t>
    </r>
    <r>
      <rPr>
        <b/>
        <i/>
        <vertAlign val="subscript"/>
        <sz val="9"/>
        <rFont val="Franklin Gothic Book"/>
        <family val="2"/>
      </rPr>
      <t>LT</t>
    </r>
    <r>
      <rPr>
        <b/>
        <i/>
        <sz val="9"/>
        <rFont val="Franklin Gothic Book"/>
        <family val="2"/>
      </rPr>
      <t xml:space="preserve"> * MS%</t>
    </r>
    <r>
      <rPr>
        <b/>
        <i/>
        <vertAlign val="subscript"/>
        <sz val="9"/>
        <rFont val="Franklin Gothic Book"/>
        <family val="2"/>
      </rPr>
      <t>BL,j</t>
    </r>
    <phoneticPr fontId="5" type="noConversion"/>
  </si>
  <si>
    <r>
      <t>NEX</t>
    </r>
    <r>
      <rPr>
        <b/>
        <i/>
        <vertAlign val="subscript"/>
        <sz val="9"/>
        <rFont val="Franklin Gothic Book"/>
        <family val="2"/>
      </rPr>
      <t>IPCC default</t>
    </r>
    <r>
      <rPr>
        <b/>
        <i/>
        <sz val="9"/>
        <rFont val="Franklin Gothic Book"/>
        <family val="2"/>
      </rPr>
      <t>=N</t>
    </r>
    <r>
      <rPr>
        <b/>
        <i/>
        <vertAlign val="subscript"/>
        <sz val="9"/>
        <rFont val="Franklin Gothic Book"/>
        <family val="2"/>
      </rPr>
      <t>rate(T)</t>
    </r>
    <r>
      <rPr>
        <b/>
        <i/>
        <sz val="9"/>
        <rFont val="Franklin Gothic Book"/>
        <family val="2"/>
      </rPr>
      <t>*TAM/1000*365</t>
    </r>
    <phoneticPr fontId="5" type="noConversion"/>
  </si>
  <si>
    <r>
      <t>E</t>
    </r>
    <r>
      <rPr>
        <b/>
        <i/>
        <vertAlign val="subscript"/>
        <sz val="9"/>
        <rFont val="Franklin Gothic Book"/>
        <family val="2"/>
      </rPr>
      <t>N2O,ID,y</t>
    </r>
    <r>
      <rPr>
        <b/>
        <i/>
        <sz val="9"/>
        <rFont val="Franklin Gothic Book"/>
        <family val="2"/>
      </rPr>
      <t xml:space="preserve"> = EF</t>
    </r>
    <r>
      <rPr>
        <b/>
        <i/>
        <vertAlign val="subscript"/>
        <sz val="9"/>
        <rFont val="Franklin Gothic Book"/>
        <family val="2"/>
      </rPr>
      <t>N2O,ID,j</t>
    </r>
    <r>
      <rPr>
        <b/>
        <i/>
        <sz val="9"/>
        <rFont val="Franklin Gothic Book"/>
        <family val="2"/>
      </rPr>
      <t>* F</t>
    </r>
    <r>
      <rPr>
        <b/>
        <i/>
        <vertAlign val="subscript"/>
        <sz val="9"/>
        <rFont val="Franklin Gothic Book"/>
        <family val="2"/>
      </rPr>
      <t xml:space="preserve">gasm </t>
    </r>
    <r>
      <rPr>
        <b/>
        <i/>
        <sz val="9"/>
        <rFont val="Franklin Gothic Book"/>
        <family val="2"/>
      </rPr>
      <t>* NEX</t>
    </r>
    <r>
      <rPr>
        <b/>
        <i/>
        <vertAlign val="subscript"/>
        <sz val="9"/>
        <rFont val="Franklin Gothic Book"/>
        <family val="2"/>
      </rPr>
      <t>LT,y</t>
    </r>
    <r>
      <rPr>
        <b/>
        <i/>
        <sz val="9"/>
        <rFont val="Franklin Gothic Book"/>
        <family val="2"/>
      </rPr>
      <t xml:space="preserve"> * N</t>
    </r>
    <r>
      <rPr>
        <b/>
        <i/>
        <vertAlign val="subscript"/>
        <sz val="9"/>
        <rFont val="Franklin Gothic Book"/>
        <family val="2"/>
      </rPr>
      <t>LT</t>
    </r>
    <r>
      <rPr>
        <b/>
        <i/>
        <sz val="9"/>
        <rFont val="Franklin Gothic Book"/>
        <family val="2"/>
      </rPr>
      <t xml:space="preserve"> * MS%</t>
    </r>
    <r>
      <rPr>
        <b/>
        <i/>
        <vertAlign val="subscript"/>
        <sz val="9"/>
        <rFont val="Franklin Gothic Book"/>
        <family val="2"/>
      </rPr>
      <t>BL,j</t>
    </r>
    <phoneticPr fontId="5" type="noConversion"/>
  </si>
  <si>
    <t>Default value of Tool 06-project emission from flaring(Version 04.0)</t>
    <phoneticPr fontId="5" type="noConversion"/>
  </si>
  <si>
    <t>Baseline, project and/or leakage emissions from electricity consumption and monitoring of electricity generation (version 3.0)</t>
    <phoneticPr fontId="5" type="noConversion"/>
  </si>
  <si>
    <t>Published by DNA for ECPG</t>
    <phoneticPr fontId="5" type="noConversion"/>
  </si>
  <si>
    <t>11-May-2022</t>
    <phoneticPr fontId="6" type="noConversion"/>
  </si>
  <si>
    <r>
      <t>MS%</t>
    </r>
    <r>
      <rPr>
        <vertAlign val="subscript"/>
        <sz val="9"/>
        <color indexed="8"/>
        <rFont val="Franklin Gothic Book"/>
        <family val="2"/>
      </rPr>
      <t>Bl,j</t>
    </r>
    <phoneticPr fontId="5" type="noConversion"/>
  </si>
  <si>
    <r>
      <t>iii) CO</t>
    </r>
    <r>
      <rPr>
        <b/>
        <vertAlign val="subscript"/>
        <sz val="9"/>
        <rFont val="Franklin Gothic Book"/>
        <family val="2"/>
      </rPr>
      <t>2</t>
    </r>
    <r>
      <rPr>
        <b/>
        <sz val="9"/>
        <rFont val="Franklin Gothic Book"/>
        <family val="2"/>
      </rPr>
      <t xml:space="preserve"> emission from electricity and heat </t>
    </r>
    <phoneticPr fontId="5" type="noConversion"/>
  </si>
  <si>
    <t>Appendix 1 ACM0010 Version08.0</t>
    <phoneticPr fontId="5" type="noConversion"/>
  </si>
  <si>
    <t>Estimated from Table provided in Annex 1 (anaerobic digester as "covered first cell of 2 cell lagoon") of ACM0010  Version 08.0</t>
    <phoneticPr fontId="5" type="noConversion"/>
  </si>
  <si>
    <t>Estimated from Table provided in Annex 1 (anaerobic digester as "covered first cell of 2 cell lagoon") of ACM0010 Version 08.0</t>
    <phoneticPr fontId="5" type="noConversion"/>
  </si>
  <si>
    <t>Estimated from Table provided in Appendix 1 (uncovered anaerobic lagoon as "one cell lagoon") of ACM0010 Version 08.0</t>
    <phoneticPr fontId="0" type="noConversion"/>
  </si>
  <si>
    <t xml:space="preserve">baseline </t>
    <phoneticPr fontId="5" type="noConversion"/>
  </si>
  <si>
    <t xml:space="preserve">Project activity </t>
    <phoneticPr fontId="5" type="noConversion"/>
  </si>
  <si>
    <r>
      <t>EF</t>
    </r>
    <r>
      <rPr>
        <vertAlign val="subscript"/>
        <sz val="9"/>
        <rFont val="Franklin Gothic Book"/>
        <family val="2"/>
      </rPr>
      <t>N2O,ID,j</t>
    </r>
    <phoneticPr fontId="0" type="noConversion"/>
  </si>
  <si>
    <r>
      <t>PE</t>
    </r>
    <r>
      <rPr>
        <vertAlign val="subscript"/>
        <sz val="8"/>
        <rFont val="Franklin Gothic Book"/>
        <family val="2"/>
      </rPr>
      <t>EC/FC,y</t>
    </r>
    <phoneticPr fontId="5" type="noConversion"/>
  </si>
  <si>
    <r>
      <t>LE</t>
    </r>
    <r>
      <rPr>
        <b/>
        <vertAlign val="subscript"/>
        <sz val="9"/>
        <rFont val="Franklin Gothic Book"/>
        <family val="2"/>
      </rPr>
      <t>PJ,N2O,y</t>
    </r>
    <phoneticPr fontId="0" type="noConversion"/>
  </si>
  <si>
    <r>
      <t>LE</t>
    </r>
    <r>
      <rPr>
        <b/>
        <vertAlign val="subscript"/>
        <sz val="9"/>
        <rFont val="Franklin Gothic Book"/>
        <family val="2"/>
      </rPr>
      <t>PJ</t>
    </r>
    <r>
      <rPr>
        <i/>
        <vertAlign val="subscript"/>
        <sz val="9"/>
        <rFont val="Franklin Gothic Book"/>
        <family val="2"/>
      </rPr>
      <t>,N2O</t>
    </r>
    <r>
      <rPr>
        <b/>
        <vertAlign val="subscript"/>
        <sz val="9"/>
        <rFont val="Franklin Gothic Book"/>
        <family val="2"/>
      </rPr>
      <t>,y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</si>
</sst>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-* #,##0.00\ [$€]_-;\-* #,##0.00\ [$€]_-;_-* &quot;-&quot;??\ [$€]_-;_-@_-"/>
    <numFmt numFmtId="178" formatCode="_(* #,##0_);_(* \(#,##0\);_(* &quot;-&quot;??_);_(@_)"/>
    <numFmt numFmtId="179" formatCode="0.0%"/>
    <numFmt numFmtId="180" formatCode="_ * #,##0_ ;_ * \-#,##0_ ;_ * &quot;-&quot;??_ ;_ @_ "/>
    <numFmt numFmtId="181" formatCode="0_ "/>
    <numFmt numFmtId="182" formatCode="0.00_);[Red]\(0.00\)"/>
    <numFmt numFmtId="183" formatCode="0.00_ "/>
    <numFmt numFmtId="184" formatCode="#,##0.000"/>
    <numFmt numFmtId="185" formatCode="0.0_ "/>
    <numFmt numFmtId="186" formatCode="#,##0_);\(#,##0\)"/>
    <numFmt numFmtId="187" formatCode="#,##0.00_);\(#,##0.00\)"/>
    <numFmt numFmtId="188" formatCode="#,##0.0000_ "/>
  </numFmts>
  <fonts count="54" x14ac:knownFonts="1">
    <font>
      <sz val="10"/>
      <name val="Arial"/>
      <family val="2"/>
    </font>
    <font>
      <sz val="12"/>
      <name val="宋体"/>
      <charset val="134"/>
    </font>
    <font>
      <u/>
      <sz val="10"/>
      <color indexed="12"/>
      <name val="Arial"/>
      <family val="2"/>
    </font>
    <font>
      <sz val="12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9"/>
      <name val="Verdana"/>
      <family val="2"/>
    </font>
    <font>
      <sz val="9"/>
      <color indexed="8"/>
      <name val="Verdana"/>
      <family val="2"/>
    </font>
    <font>
      <sz val="9"/>
      <name val="宋体"/>
      <charset val="134"/>
    </font>
    <font>
      <sz val="9"/>
      <name val="宋体"/>
      <charset val="134"/>
    </font>
    <font>
      <b/>
      <sz val="9"/>
      <color indexed="8"/>
      <name val="Franklin Gothic Book"/>
      <family val="2"/>
    </font>
    <font>
      <b/>
      <vertAlign val="subscript"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sz val="9"/>
      <name val="Franklin Gothic Book"/>
      <family val="2"/>
    </font>
    <font>
      <b/>
      <sz val="9"/>
      <name val="Franklin Gothic Book"/>
      <family val="2"/>
    </font>
    <font>
      <vertAlign val="subscript"/>
      <sz val="9"/>
      <name val="Franklin Gothic Book"/>
      <family val="2"/>
    </font>
    <font>
      <vertAlign val="superscript"/>
      <sz val="9"/>
      <name val="Franklin Gothic Book"/>
      <family val="2"/>
    </font>
    <font>
      <b/>
      <vertAlign val="subscript"/>
      <sz val="9"/>
      <name val="Franklin Gothic Book"/>
      <family val="2"/>
    </font>
    <font>
      <b/>
      <i/>
      <vertAlign val="subscript"/>
      <sz val="9"/>
      <name val="Franklin Gothic Book"/>
      <family val="2"/>
    </font>
    <font>
      <sz val="9"/>
      <color indexed="46"/>
      <name val="Franklin Gothic Book"/>
      <family val="2"/>
    </font>
    <font>
      <sz val="9"/>
      <color indexed="10"/>
      <name val="Franklin Gothic Book"/>
      <family val="2"/>
    </font>
    <font>
      <i/>
      <vertAlign val="subscript"/>
      <sz val="9"/>
      <name val="Franklin Gothic Book"/>
      <family val="2"/>
    </font>
    <font>
      <b/>
      <sz val="9"/>
      <color indexed="12"/>
      <name val="Franklin Gothic Book"/>
      <family val="2"/>
    </font>
    <font>
      <i/>
      <sz val="9"/>
      <name val="Franklin Gothic Book"/>
      <family val="2"/>
    </font>
    <font>
      <b/>
      <sz val="9"/>
      <color indexed="46"/>
      <name val="Franklin Gothic Book"/>
      <family val="2"/>
    </font>
    <font>
      <b/>
      <sz val="9"/>
      <color indexed="9"/>
      <name val="Franklin Gothic Book"/>
      <family val="2"/>
    </font>
    <font>
      <i/>
      <sz val="9"/>
      <color indexed="9"/>
      <name val="Franklin Gothic Book"/>
      <family val="2"/>
    </font>
    <font>
      <sz val="9"/>
      <color indexed="9"/>
      <name val="Franklin Gothic Book"/>
      <family val="2"/>
    </font>
    <font>
      <i/>
      <vertAlign val="subscript"/>
      <sz val="9"/>
      <color indexed="9"/>
      <name val="Franklin Gothic Book"/>
      <family val="2"/>
    </font>
    <font>
      <b/>
      <sz val="8"/>
      <name val="Franklin Gothic Book"/>
      <family val="2"/>
    </font>
    <font>
      <sz val="8"/>
      <name val="Franklin Gothic Book"/>
      <family val="2"/>
    </font>
    <font>
      <sz val="8"/>
      <color indexed="46"/>
      <name val="Franklin Gothic Book"/>
      <family val="2"/>
    </font>
    <font>
      <b/>
      <sz val="8"/>
      <color indexed="9"/>
      <name val="Franklin Gothic Book"/>
      <family val="2"/>
    </font>
    <font>
      <vertAlign val="subscript"/>
      <sz val="8"/>
      <name val="Franklin Gothic Book"/>
      <family val="2"/>
    </font>
    <font>
      <b/>
      <vertAlign val="subscript"/>
      <sz val="8"/>
      <name val="Franklin Gothic Book"/>
      <family val="2"/>
    </font>
    <font>
      <sz val="8"/>
      <color indexed="8"/>
      <name val="Franklin Gothic Book"/>
      <family val="2"/>
    </font>
    <font>
      <i/>
      <vertAlign val="subscript"/>
      <sz val="8"/>
      <color indexed="8"/>
      <name val="Franklin Gothic Book"/>
      <family val="2"/>
    </font>
    <font>
      <b/>
      <sz val="8"/>
      <color indexed="8"/>
      <name val="Franklin Gothic Book"/>
      <family val="2"/>
    </font>
    <font>
      <vertAlign val="subscript"/>
      <sz val="8"/>
      <color indexed="8"/>
      <name val="Franklin Gothic Book"/>
      <family val="2"/>
    </font>
    <font>
      <b/>
      <vertAlign val="subscript"/>
      <sz val="8"/>
      <color indexed="9"/>
      <name val="Franklin Gothic Book"/>
      <family val="2"/>
    </font>
    <font>
      <sz val="8"/>
      <color indexed="9"/>
      <name val="Franklin Gothic Book"/>
      <family val="2"/>
    </font>
    <font>
      <sz val="8"/>
      <color indexed="10"/>
      <name val="Franklin Gothic Book"/>
      <family val="2"/>
    </font>
    <font>
      <sz val="10"/>
      <name val="Franklin Gothic Book"/>
      <family val="2"/>
    </font>
    <font>
      <i/>
      <sz val="8"/>
      <color indexed="9"/>
      <name val="Franklin Gothic Book"/>
      <family val="2"/>
    </font>
    <font>
      <i/>
      <vertAlign val="subscript"/>
      <sz val="9"/>
      <color indexed="8"/>
      <name val="Franklin Gothic Book"/>
      <family val="2"/>
    </font>
    <font>
      <vertAlign val="subscript"/>
      <sz val="9"/>
      <color indexed="8"/>
      <name val="Franklin Gothic Book"/>
      <family val="2"/>
    </font>
    <font>
      <vertAlign val="superscript"/>
      <sz val="9"/>
      <color indexed="8"/>
      <name val="Franklin Gothic Book"/>
      <family val="2"/>
    </font>
    <font>
      <u/>
      <sz val="9"/>
      <color indexed="10"/>
      <name val="Franklin Gothic Book"/>
      <family val="2"/>
    </font>
    <font>
      <b/>
      <i/>
      <sz val="9"/>
      <name val="Franklin Gothic Book"/>
      <family val="2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Franklin Gothic Book"/>
      <family val="2"/>
    </font>
    <font>
      <sz val="9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77" fontId="4" fillId="0" borderId="0" applyFont="0" applyFill="0" applyBorder="0" applyAlignment="0" applyProtection="0"/>
    <xf numFmtId="0" fontId="5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176" fontId="4" fillId="0" borderId="0" applyFont="0" applyFill="0" applyBorder="0" applyAlignment="0" applyProtection="0"/>
  </cellStyleXfs>
  <cellXfs count="395">
    <xf numFmtId="0" fontId="0" fillId="0" borderId="0" xfId="0"/>
    <xf numFmtId="0" fontId="7" fillId="0" borderId="0" xfId="0" applyFont="1"/>
    <xf numFmtId="3" fontId="7" fillId="0" borderId="0" xfId="0" applyNumberFormat="1" applyFont="1"/>
    <xf numFmtId="184" fontId="8" fillId="0" borderId="0" xfId="0" applyNumberFormat="1" applyFont="1" applyFill="1" applyBorder="1" applyAlignment="1">
      <alignment horizontal="center" wrapText="1"/>
    </xf>
    <xf numFmtId="14" fontId="7" fillId="0" borderId="0" xfId="0" applyNumberFormat="1" applyFont="1"/>
    <xf numFmtId="176" fontId="7" fillId="0" borderId="0" xfId="11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3" fontId="13" fillId="0" borderId="3" xfId="0" applyNumberFormat="1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0" fontId="52" fillId="0" borderId="5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15" fillId="0" borderId="2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3" fontId="13" fillId="0" borderId="8" xfId="0" applyNumberFormat="1" applyFont="1" applyBorder="1" applyAlignment="1">
      <alignment horizontal="center" wrapText="1"/>
    </xf>
    <xf numFmtId="3" fontId="15" fillId="0" borderId="9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3" xfId="0" applyFont="1" applyFill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5" xfId="9" applyFont="1" applyBorder="1">
      <alignment vertical="center"/>
    </xf>
    <xf numFmtId="0" fontId="14" fillId="0" borderId="3" xfId="5" applyFont="1" applyFill="1" applyBorder="1" applyAlignment="1">
      <alignment horizontal="right" vertical="center"/>
    </xf>
    <xf numFmtId="0" fontId="14" fillId="0" borderId="5" xfId="5" applyFont="1" applyBorder="1">
      <alignment vertical="center"/>
    </xf>
    <xf numFmtId="4" fontId="14" fillId="0" borderId="3" xfId="8" applyNumberFormat="1" applyFont="1" applyFill="1" applyBorder="1" applyAlignment="1">
      <alignment horizontal="right"/>
    </xf>
    <xf numFmtId="0" fontId="14" fillId="0" borderId="4" xfId="5" applyFont="1" applyBorder="1">
      <alignment vertical="center"/>
    </xf>
    <xf numFmtId="3" fontId="14" fillId="0" borderId="3" xfId="11" applyNumberFormat="1" applyFont="1" applyFill="1" applyBorder="1" applyAlignment="1">
      <alignment horizontal="right" vertical="center"/>
    </xf>
    <xf numFmtId="0" fontId="14" fillId="0" borderId="3" xfId="9" applyFont="1" applyFill="1" applyBorder="1" applyAlignment="1">
      <alignment horizontal="right" vertical="center"/>
    </xf>
    <xf numFmtId="0" fontId="14" fillId="4" borderId="5" xfId="9" applyFont="1" applyFill="1" applyBorder="1">
      <alignment vertical="center"/>
    </xf>
    <xf numFmtId="9" fontId="14" fillId="0" borderId="3" xfId="9" applyNumberFormat="1" applyFont="1" applyFill="1" applyBorder="1" applyAlignment="1">
      <alignment horizontal="right" vertical="center"/>
    </xf>
    <xf numFmtId="9" fontId="14" fillId="0" borderId="3" xfId="5" applyNumberFormat="1" applyFont="1" applyFill="1" applyBorder="1" applyAlignment="1">
      <alignment horizontal="right" vertical="center"/>
    </xf>
    <xf numFmtId="0" fontId="14" fillId="0" borderId="3" xfId="5" applyFont="1" applyBorder="1" applyAlignment="1">
      <alignment horizontal="center" vertical="center"/>
    </xf>
    <xf numFmtId="0" fontId="15" fillId="4" borderId="5" xfId="0" applyFont="1" applyFill="1" applyBorder="1"/>
    <xf numFmtId="178" fontId="15" fillId="0" borderId="3" xfId="11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/>
    </xf>
    <xf numFmtId="0" fontId="14" fillId="0" borderId="4" xfId="0" applyFont="1" applyFill="1" applyBorder="1"/>
    <xf numFmtId="0" fontId="15" fillId="0" borderId="7" xfId="5" applyFont="1" applyFill="1" applyBorder="1">
      <alignment vertical="center"/>
    </xf>
    <xf numFmtId="0" fontId="14" fillId="4" borderId="8" xfId="0" applyFont="1" applyFill="1" applyBorder="1" applyAlignment="1">
      <alignment horizontal="center"/>
    </xf>
    <xf numFmtId="0" fontId="14" fillId="0" borderId="9" xfId="0" applyFont="1" applyFill="1" applyBorder="1"/>
    <xf numFmtId="0" fontId="15" fillId="0" borderId="0" xfId="0" applyFont="1" applyFill="1"/>
    <xf numFmtId="0" fontId="14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/>
    </xf>
    <xf numFmtId="0" fontId="21" fillId="0" borderId="0" xfId="0" applyFont="1" applyFill="1"/>
    <xf numFmtId="0" fontId="14" fillId="0" borderId="5" xfId="5" applyFont="1" applyFill="1" applyBorder="1">
      <alignment vertical="center"/>
    </xf>
    <xf numFmtId="2" fontId="14" fillId="0" borderId="3" xfId="5" applyNumberFormat="1" applyFont="1" applyFill="1" applyBorder="1" applyAlignment="1">
      <alignment horizontal="right" vertical="center"/>
    </xf>
    <xf numFmtId="0" fontId="14" fillId="4" borderId="5" xfId="5" applyFont="1" applyFill="1" applyBorder="1">
      <alignment vertical="center"/>
    </xf>
    <xf numFmtId="4" fontId="14" fillId="0" borderId="3" xfId="5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wrapText="1"/>
    </xf>
    <xf numFmtId="0" fontId="14" fillId="4" borderId="5" xfId="4" applyFont="1" applyFill="1" applyBorder="1">
      <alignment vertical="center"/>
    </xf>
    <xf numFmtId="0" fontId="14" fillId="0" borderId="4" xfId="0" applyFont="1" applyBorder="1" applyAlignment="1">
      <alignment vertical="center" wrapText="1"/>
    </xf>
    <xf numFmtId="0" fontId="15" fillId="0" borderId="5" xfId="5" applyFont="1" applyBorder="1">
      <alignment vertical="center"/>
    </xf>
    <xf numFmtId="178" fontId="14" fillId="0" borderId="3" xfId="5" applyNumberFormat="1" applyFont="1" applyFill="1" applyBorder="1" applyAlignment="1">
      <alignment horizontal="right" vertical="center"/>
    </xf>
    <xf numFmtId="0" fontId="15" fillId="0" borderId="5" xfId="5" applyFont="1" applyFill="1" applyBorder="1">
      <alignment vertical="center"/>
    </xf>
    <xf numFmtId="0" fontId="15" fillId="4" borderId="7" xfId="5" applyFont="1" applyFill="1" applyBorder="1">
      <alignment vertical="center"/>
    </xf>
    <xf numFmtId="0" fontId="14" fillId="0" borderId="0" xfId="5" applyFont="1" applyFill="1" applyBorder="1">
      <alignment vertical="center"/>
    </xf>
    <xf numFmtId="178" fontId="23" fillId="0" borderId="0" xfId="5" applyNumberFormat="1" applyFont="1" applyFill="1" applyBorder="1" applyAlignment="1">
      <alignment vertical="center"/>
    </xf>
    <xf numFmtId="0" fontId="14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4" fontId="14" fillId="0" borderId="3" xfId="5" applyNumberFormat="1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3" xfId="5" applyFont="1" applyFill="1" applyBorder="1">
      <alignment vertical="center"/>
    </xf>
    <xf numFmtId="178" fontId="14" fillId="0" borderId="3" xfId="5" applyNumberFormat="1" applyFont="1" applyFill="1" applyBorder="1">
      <alignment vertical="center"/>
    </xf>
    <xf numFmtId="178" fontId="14" fillId="0" borderId="3" xfId="11" applyNumberFormat="1" applyFont="1" applyFill="1" applyBorder="1" applyAlignment="1">
      <alignment vertical="center"/>
    </xf>
    <xf numFmtId="0" fontId="14" fillId="0" borderId="8" xfId="0" applyFont="1" applyBorder="1" applyAlignment="1">
      <alignment horizontal="center"/>
    </xf>
    <xf numFmtId="0" fontId="14" fillId="0" borderId="4" xfId="0" applyFont="1" applyFill="1" applyBorder="1" applyAlignment="1">
      <alignment horizontal="left" wrapText="1"/>
    </xf>
    <xf numFmtId="0" fontId="14" fillId="0" borderId="4" xfId="5" applyFont="1" applyFill="1" applyBorder="1">
      <alignment vertical="center"/>
    </xf>
    <xf numFmtId="3" fontId="14" fillId="0" borderId="4" xfId="11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wrapText="1"/>
    </xf>
    <xf numFmtId="9" fontId="14" fillId="0" borderId="3" xfId="5" applyNumberFormat="1" applyFont="1" applyFill="1" applyBorder="1">
      <alignment vertical="center"/>
    </xf>
    <xf numFmtId="0" fontId="13" fillId="0" borderId="4" xfId="0" applyFont="1" applyFill="1" applyBorder="1"/>
    <xf numFmtId="179" fontId="14" fillId="0" borderId="0" xfId="0" applyNumberFormat="1" applyFont="1" applyFill="1"/>
    <xf numFmtId="0" fontId="15" fillId="0" borderId="3" xfId="0" applyFont="1" applyBorder="1"/>
    <xf numFmtId="3" fontId="15" fillId="0" borderId="3" xfId="0" applyNumberFormat="1" applyFont="1" applyFill="1" applyBorder="1"/>
    <xf numFmtId="0" fontId="14" fillId="0" borderId="0" xfId="0" applyFont="1"/>
    <xf numFmtId="180" fontId="14" fillId="0" borderId="0" xfId="0" applyNumberFormat="1" applyFont="1" applyFill="1"/>
    <xf numFmtId="181" fontId="14" fillId="0" borderId="0" xfId="0" applyNumberFormat="1" applyFont="1" applyFill="1"/>
    <xf numFmtId="0" fontId="15" fillId="0" borderId="0" xfId="0" applyFont="1" applyFill="1" applyBorder="1"/>
    <xf numFmtId="3" fontId="15" fillId="0" borderId="0" xfId="0" applyNumberFormat="1" applyFont="1" applyFill="1" applyBorder="1"/>
    <xf numFmtId="178" fontId="15" fillId="5" borderId="0" xfId="11" applyNumberFormat="1" applyFont="1" applyFill="1" applyBorder="1" applyAlignment="1">
      <alignment vertical="center"/>
    </xf>
    <xf numFmtId="178" fontId="15" fillId="0" borderId="0" xfId="0" applyNumberFormat="1" applyFont="1" applyFill="1"/>
    <xf numFmtId="3" fontId="14" fillId="0" borderId="0" xfId="0" applyNumberFormat="1" applyFont="1" applyFill="1"/>
    <xf numFmtId="0" fontId="25" fillId="0" borderId="0" xfId="0" applyNumberFormat="1" applyFont="1" applyFill="1" applyAlignment="1">
      <alignment horizontal="left"/>
    </xf>
    <xf numFmtId="44" fontId="14" fillId="0" borderId="0" xfId="0" applyNumberFormat="1" applyFont="1" applyFill="1"/>
    <xf numFmtId="178" fontId="14" fillId="0" borderId="0" xfId="0" applyNumberFormat="1" applyFont="1" applyFill="1"/>
    <xf numFmtId="0" fontId="26" fillId="0" borderId="0" xfId="0" applyFont="1" applyFill="1" applyBorder="1"/>
    <xf numFmtId="0" fontId="28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8" fillId="0" borderId="0" xfId="4" applyFont="1" applyFill="1" applyBorder="1">
      <alignment vertical="center"/>
    </xf>
    <xf numFmtId="0" fontId="28" fillId="0" borderId="0" xfId="8" applyFont="1" applyFill="1" applyBorder="1" applyAlignment="1">
      <alignment horizontal="center"/>
    </xf>
    <xf numFmtId="0" fontId="28" fillId="0" borderId="0" xfId="4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178" fontId="28" fillId="0" borderId="0" xfId="11" applyNumberFormat="1" applyFont="1" applyFill="1" applyBorder="1" applyAlignment="1">
      <alignment horizontal="center" vertical="center"/>
    </xf>
    <xf numFmtId="0" fontId="28" fillId="0" borderId="0" xfId="9" applyFont="1" applyFill="1" applyBorder="1">
      <alignment vertical="center"/>
    </xf>
    <xf numFmtId="178" fontId="28" fillId="0" borderId="0" xfId="11" applyNumberFormat="1" applyFont="1" applyFill="1" applyBorder="1" applyAlignment="1">
      <alignment horizontal="left" vertical="center"/>
    </xf>
    <xf numFmtId="0" fontId="28" fillId="0" borderId="0" xfId="9" applyFont="1" applyFill="1" applyBorder="1" applyAlignment="1">
      <alignment horizontal="center" vertical="center"/>
    </xf>
    <xf numFmtId="9" fontId="28" fillId="0" borderId="0" xfId="9" applyNumberFormat="1" applyFont="1" applyFill="1" applyBorder="1" applyAlignment="1">
      <alignment horizontal="center" vertical="center"/>
    </xf>
    <xf numFmtId="0" fontId="26" fillId="0" borderId="0" xfId="4" applyFont="1" applyFill="1" applyBorder="1">
      <alignment vertical="center"/>
    </xf>
    <xf numFmtId="176" fontId="26" fillId="0" borderId="0" xfId="4" applyNumberFormat="1" applyFont="1" applyFill="1" applyBorder="1" applyAlignment="1">
      <alignment horizontal="center" vertical="center"/>
    </xf>
    <xf numFmtId="178" fontId="26" fillId="0" borderId="0" xfId="0" applyNumberFormat="1" applyFont="1" applyFill="1" applyBorder="1"/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/>
    </xf>
    <xf numFmtId="0" fontId="30" fillId="0" borderId="0" xfId="4" applyFont="1" applyFill="1" applyAlignment="1">
      <alignment vertical="center"/>
    </xf>
    <xf numFmtId="0" fontId="31" fillId="0" borderId="0" xfId="4" applyFont="1" applyAlignment="1">
      <alignment horizontal="center" vertical="center"/>
    </xf>
    <xf numFmtId="0" fontId="32" fillId="0" borderId="0" xfId="9" applyFont="1" applyFill="1" applyAlignment="1">
      <alignment horizontal="left" vertical="center"/>
    </xf>
    <xf numFmtId="0" fontId="31" fillId="0" borderId="0" xfId="9" applyFont="1" applyFill="1" applyAlignment="1">
      <alignment vertical="center"/>
    </xf>
    <xf numFmtId="0" fontId="30" fillId="0" borderId="6" xfId="4" applyFont="1" applyFill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1" fillId="0" borderId="5" xfId="4" applyFont="1" applyFill="1" applyBorder="1" applyAlignment="1">
      <alignment vertical="center"/>
    </xf>
    <xf numFmtId="1" fontId="31" fillId="0" borderId="3" xfId="0" applyNumberFormat="1" applyFont="1" applyFill="1" applyBorder="1" applyAlignment="1">
      <alignment horizontal="center" vertical="center"/>
    </xf>
    <xf numFmtId="0" fontId="31" fillId="0" borderId="3" xfId="9" applyFont="1" applyFill="1" applyBorder="1" applyAlignment="1">
      <alignment horizontal="center" vertical="center"/>
    </xf>
    <xf numFmtId="0" fontId="31" fillId="0" borderId="3" xfId="4" applyFont="1" applyFill="1" applyBorder="1" applyAlignment="1">
      <alignment horizontal="center" vertical="center"/>
    </xf>
    <xf numFmtId="9" fontId="31" fillId="0" borderId="3" xfId="4" applyNumberFormat="1" applyFont="1" applyBorder="1" applyAlignment="1">
      <alignment horizontal="center" vertical="center"/>
    </xf>
    <xf numFmtId="0" fontId="30" fillId="0" borderId="5" xfId="4" applyFont="1" applyFill="1" applyBorder="1" applyAlignment="1">
      <alignment vertical="center"/>
    </xf>
    <xf numFmtId="186" fontId="30" fillId="0" borderId="3" xfId="0" applyNumberFormat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7" xfId="4" applyFont="1" applyFill="1" applyBorder="1" applyAlignment="1">
      <alignment vertical="center"/>
    </xf>
    <xf numFmtId="186" fontId="30" fillId="0" borderId="8" xfId="0" applyNumberFormat="1" applyFont="1" applyFill="1" applyBorder="1" applyAlignment="1">
      <alignment horizontal="center" vertical="center"/>
    </xf>
    <xf numFmtId="0" fontId="31" fillId="0" borderId="8" xfId="9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vertical="center"/>
    </xf>
    <xf numFmtId="0" fontId="31" fillId="0" borderId="0" xfId="4" applyFont="1" applyBorder="1" applyAlignment="1">
      <alignment horizontal="center" vertical="center"/>
    </xf>
    <xf numFmtId="0" fontId="31" fillId="0" borderId="0" xfId="9" applyFont="1" applyFill="1" applyBorder="1" applyAlignment="1">
      <alignment vertical="center"/>
    </xf>
    <xf numFmtId="176" fontId="31" fillId="0" borderId="0" xfId="0" applyNumberFormat="1" applyFont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182" fontId="31" fillId="0" borderId="3" xfId="4" applyNumberFormat="1" applyFont="1" applyFill="1" applyBorder="1" applyAlignment="1">
      <alignment horizontal="center" vertical="center"/>
    </xf>
    <xf numFmtId="9" fontId="31" fillId="0" borderId="3" xfId="4" applyNumberFormat="1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3" fontId="30" fillId="0" borderId="0" xfId="9" applyNumberFormat="1" applyFont="1" applyFill="1" applyBorder="1" applyAlignment="1">
      <alignment horizontal="center" vertical="center"/>
    </xf>
    <xf numFmtId="3" fontId="30" fillId="0" borderId="0" xfId="9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3" fontId="30" fillId="0" borderId="0" xfId="0" applyNumberFormat="1" applyFont="1" applyFill="1" applyBorder="1" applyAlignment="1">
      <alignment vertical="center"/>
    </xf>
    <xf numFmtId="3" fontId="30" fillId="0" borderId="1" xfId="9" applyNumberFormat="1" applyFont="1" applyFill="1" applyBorder="1" applyAlignment="1">
      <alignment horizontal="center" vertical="center"/>
    </xf>
    <xf numFmtId="3" fontId="30" fillId="0" borderId="1" xfId="9" applyNumberFormat="1" applyFont="1" applyFill="1" applyBorder="1" applyAlignment="1">
      <alignment horizontal="right" vertical="center"/>
    </xf>
    <xf numFmtId="3" fontId="31" fillId="0" borderId="3" xfId="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187" fontId="31" fillId="0" borderId="3" xfId="0" applyNumberFormat="1" applyFont="1" applyFill="1" applyBorder="1" applyAlignment="1">
      <alignment horizontal="center" vertical="center"/>
    </xf>
    <xf numFmtId="9" fontId="31" fillId="0" borderId="3" xfId="7" applyFont="1" applyFill="1" applyBorder="1" applyAlignment="1">
      <alignment horizontal="center" vertical="center"/>
    </xf>
    <xf numFmtId="0" fontId="31" fillId="4" borderId="5" xfId="4" applyFont="1" applyFill="1" applyBorder="1" applyAlignment="1">
      <alignment vertical="center"/>
    </xf>
    <xf numFmtId="186" fontId="31" fillId="0" borderId="3" xfId="0" applyNumberFormat="1" applyFont="1" applyFill="1" applyBorder="1" applyAlignment="1">
      <alignment horizontal="center" vertical="center"/>
    </xf>
    <xf numFmtId="0" fontId="30" fillId="4" borderId="7" xfId="4" applyFont="1" applyFill="1" applyBorder="1" applyAlignment="1">
      <alignment vertical="center"/>
    </xf>
    <xf numFmtId="178" fontId="30" fillId="5" borderId="8" xfId="11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4" borderId="0" xfId="4" applyFont="1" applyFill="1" applyBorder="1" applyAlignment="1">
      <alignment vertical="center"/>
    </xf>
    <xf numFmtId="0" fontId="31" fillId="4" borderId="0" xfId="0" applyFont="1" applyFill="1" applyAlignment="1">
      <alignment horizontal="center" vertical="center"/>
    </xf>
    <xf numFmtId="0" fontId="31" fillId="0" borderId="0" xfId="4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4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20" xfId="4" applyFont="1" applyFill="1" applyBorder="1" applyAlignment="1">
      <alignment horizontal="center" vertical="center"/>
    </xf>
    <xf numFmtId="9" fontId="31" fillId="0" borderId="3" xfId="0" applyNumberFormat="1" applyFont="1" applyFill="1" applyBorder="1" applyAlignment="1">
      <alignment horizontal="center" vertical="center"/>
    </xf>
    <xf numFmtId="179" fontId="31" fillId="0" borderId="3" xfId="0" applyNumberFormat="1" applyFont="1" applyBorder="1" applyAlignment="1">
      <alignment horizontal="center" vertical="center"/>
    </xf>
    <xf numFmtId="0" fontId="31" fillId="0" borderId="4" xfId="4" applyFont="1" applyFill="1" applyBorder="1" applyAlignment="1">
      <alignment horizontal="left" vertical="center"/>
    </xf>
    <xf numFmtId="178" fontId="31" fillId="0" borderId="3" xfId="11" applyNumberFormat="1" applyFont="1" applyFill="1" applyBorder="1" applyAlignment="1">
      <alignment horizontal="center" vertical="center"/>
    </xf>
    <xf numFmtId="2" fontId="31" fillId="0" borderId="3" xfId="4" applyNumberFormat="1" applyFont="1" applyFill="1" applyBorder="1" applyAlignment="1">
      <alignment horizontal="center" vertical="center"/>
    </xf>
    <xf numFmtId="186" fontId="30" fillId="0" borderId="21" xfId="0" applyNumberFormat="1" applyFont="1" applyFill="1" applyBorder="1" applyAlignment="1">
      <alignment horizontal="center" vertical="center"/>
    </xf>
    <xf numFmtId="0" fontId="31" fillId="0" borderId="21" xfId="4" applyFont="1" applyFill="1" applyBorder="1" applyAlignment="1">
      <alignment horizontal="center" vertical="center"/>
    </xf>
    <xf numFmtId="0" fontId="31" fillId="0" borderId="22" xfId="4" applyFont="1" applyFill="1" applyBorder="1" applyAlignment="1">
      <alignment horizontal="left" vertical="center"/>
    </xf>
    <xf numFmtId="0" fontId="30" fillId="0" borderId="7" xfId="4" applyFont="1" applyFill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3" borderId="0" xfId="4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3" fillId="0" borderId="0" xfId="4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4" fillId="0" borderId="5" xfId="4" applyFont="1" applyBorder="1">
      <alignment vertical="center"/>
    </xf>
    <xf numFmtId="0" fontId="31" fillId="4" borderId="3" xfId="4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2" fontId="31" fillId="4" borderId="3" xfId="4" applyNumberFormat="1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3" fontId="31" fillId="0" borderId="3" xfId="11" applyNumberFormat="1" applyFont="1" applyFill="1" applyBorder="1" applyAlignment="1">
      <alignment horizontal="center" vertical="center"/>
    </xf>
    <xf numFmtId="0" fontId="15" fillId="4" borderId="5" xfId="4" applyFont="1" applyFill="1" applyBorder="1">
      <alignment vertical="center"/>
    </xf>
    <xf numFmtId="4" fontId="30" fillId="0" borderId="3" xfId="9" applyNumberFormat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184" fontId="31" fillId="0" borderId="3" xfId="9" applyNumberFormat="1" applyFont="1" applyFill="1" applyBorder="1" applyAlignment="1">
      <alignment horizontal="center" vertical="center"/>
    </xf>
    <xf numFmtId="4" fontId="31" fillId="0" borderId="3" xfId="9" applyNumberFormat="1" applyFont="1" applyFill="1" applyBorder="1" applyAlignment="1">
      <alignment horizontal="center" vertical="center"/>
    </xf>
    <xf numFmtId="3" fontId="30" fillId="0" borderId="3" xfId="9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vertical="center"/>
    </xf>
    <xf numFmtId="188" fontId="31" fillId="0" borderId="0" xfId="0" applyNumberFormat="1" applyFont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0" fillId="4" borderId="14" xfId="0" applyFont="1" applyFill="1" applyBorder="1" applyAlignment="1">
      <alignment horizontal="center" vertical="center"/>
    </xf>
    <xf numFmtId="9" fontId="31" fillId="0" borderId="3" xfId="7" applyNumberFormat="1" applyFont="1" applyFill="1" applyBorder="1" applyAlignment="1">
      <alignment horizontal="center" vertical="center"/>
    </xf>
    <xf numFmtId="4" fontId="31" fillId="0" borderId="3" xfId="4" applyNumberFormat="1" applyFont="1" applyFill="1" applyBorder="1" applyAlignment="1">
      <alignment horizontal="center" vertical="center"/>
    </xf>
    <xf numFmtId="9" fontId="31" fillId="4" borderId="3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15" fillId="0" borderId="5" xfId="4" applyFont="1" applyBorder="1">
      <alignment vertical="center"/>
    </xf>
    <xf numFmtId="9" fontId="31" fillId="0" borderId="3" xfId="0" applyNumberFormat="1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30" fillId="5" borderId="0" xfId="4" applyFont="1" applyFill="1" applyAlignment="1">
      <alignment vertical="center"/>
    </xf>
    <xf numFmtId="0" fontId="31" fillId="5" borderId="0" xfId="0" applyFont="1" applyFill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83" fontId="31" fillId="0" borderId="0" xfId="9" applyNumberFormat="1" applyFont="1" applyFill="1" applyBorder="1" applyAlignment="1">
      <alignment horizontal="center" vertical="center"/>
    </xf>
    <xf numFmtId="185" fontId="30" fillId="0" borderId="0" xfId="9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0" fillId="0" borderId="0" xfId="9" applyFont="1" applyFill="1" applyBorder="1" applyAlignment="1">
      <alignment vertical="center"/>
    </xf>
    <xf numFmtId="181" fontId="30" fillId="0" borderId="0" xfId="9" applyNumberFormat="1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5" borderId="0" xfId="0" applyFont="1" applyFill="1" applyBorder="1" applyAlignment="1">
      <alignment vertical="center"/>
    </xf>
    <xf numFmtId="178" fontId="30" fillId="5" borderId="0" xfId="11" applyNumberFormat="1" applyFont="1" applyFill="1" applyBorder="1" applyAlignment="1">
      <alignment horizontal="center" vertical="center"/>
    </xf>
    <xf numFmtId="44" fontId="31" fillId="0" borderId="0" xfId="0" applyNumberFormat="1" applyFont="1" applyBorder="1" applyAlignment="1">
      <alignment vertical="center"/>
    </xf>
    <xf numFmtId="178" fontId="31" fillId="0" borderId="0" xfId="0" applyNumberFormat="1" applyFont="1" applyAlignment="1">
      <alignment horizontal="left" vertical="center"/>
    </xf>
    <xf numFmtId="178" fontId="31" fillId="0" borderId="0" xfId="0" applyNumberFormat="1" applyFont="1" applyAlignment="1">
      <alignment horizontal="center" vertical="center"/>
    </xf>
    <xf numFmtId="0" fontId="15" fillId="0" borderId="0" xfId="0" applyFont="1"/>
    <xf numFmtId="0" fontId="20" fillId="0" borderId="0" xfId="0" applyFont="1"/>
    <xf numFmtId="0" fontId="15" fillId="3" borderId="0" xfId="0" applyFont="1" applyFill="1"/>
    <xf numFmtId="0" fontId="15" fillId="0" borderId="0" xfId="0" applyFont="1" applyBorder="1"/>
    <xf numFmtId="0" fontId="14" fillId="0" borderId="0" xfId="0" applyFont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1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9" fontId="14" fillId="0" borderId="3" xfId="0" applyNumberFormat="1" applyFont="1" applyBorder="1" applyAlignment="1">
      <alignment horizontal="center" vertical="center"/>
    </xf>
    <xf numFmtId="9" fontId="14" fillId="0" borderId="3" xfId="0" applyNumberFormat="1" applyFont="1" applyFill="1" applyBorder="1" applyAlignment="1">
      <alignment horizontal="center" vertical="center"/>
    </xf>
    <xf numFmtId="0" fontId="48" fillId="0" borderId="0" xfId="10" applyFont="1" applyAlignment="1" applyProtection="1"/>
    <xf numFmtId="3" fontId="14" fillId="0" borderId="3" xfId="11" applyNumberFormat="1" applyFont="1" applyFill="1" applyBorder="1" applyAlignment="1">
      <alignment horizontal="center" vertical="center"/>
    </xf>
    <xf numFmtId="4" fontId="14" fillId="0" borderId="3" xfId="11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3" fontId="15" fillId="2" borderId="8" xfId="0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85" fontId="14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4" fillId="0" borderId="0" xfId="0" applyFont="1" applyAlignment="1"/>
    <xf numFmtId="0" fontId="49" fillId="0" borderId="0" xfId="0" applyFont="1" applyAlignment="1"/>
    <xf numFmtId="0" fontId="14" fillId="0" borderId="0" xfId="0" applyFont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24" fillId="4" borderId="5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3" fillId="4" borderId="8" xfId="0" applyFont="1" applyFill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24" fillId="0" borderId="5" xfId="0" applyFont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2" fontId="14" fillId="0" borderId="3" xfId="11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2" fontId="14" fillId="0" borderId="3" xfId="11" applyNumberFormat="1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178" fontId="15" fillId="0" borderId="0" xfId="0" applyNumberFormat="1" applyFont="1" applyFill="1" applyBorder="1"/>
    <xf numFmtId="3" fontId="15" fillId="2" borderId="0" xfId="0" applyNumberFormat="1" applyFont="1" applyFill="1" applyAlignment="1">
      <alignment horizontal="left" vertical="center" wrapText="1"/>
    </xf>
    <xf numFmtId="3" fontId="14" fillId="0" borderId="0" xfId="0" applyNumberFormat="1" applyFont="1"/>
    <xf numFmtId="0" fontId="14" fillId="3" borderId="0" xfId="0" applyFont="1" applyFill="1"/>
    <xf numFmtId="0" fontId="14" fillId="0" borderId="0" xfId="9" applyFont="1" applyFill="1" applyBorder="1">
      <alignment vertical="center"/>
    </xf>
    <xf numFmtId="178" fontId="14" fillId="0" borderId="0" xfId="9" applyNumberFormat="1" applyFont="1" applyFill="1" applyBorder="1">
      <alignment vertical="center"/>
    </xf>
    <xf numFmtId="181" fontId="14" fillId="0" borderId="0" xfId="9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5" fillId="2" borderId="0" xfId="0" applyFont="1" applyFill="1" applyBorder="1"/>
    <xf numFmtId="0" fontId="14" fillId="2" borderId="0" xfId="0" applyFont="1" applyFill="1"/>
    <xf numFmtId="0" fontId="15" fillId="5" borderId="0" xfId="11" applyNumberFormat="1" applyFont="1" applyFill="1" applyBorder="1"/>
    <xf numFmtId="0" fontId="14" fillId="2" borderId="0" xfId="11" applyNumberFormat="1" applyFont="1" applyFill="1" applyBorder="1"/>
    <xf numFmtId="3" fontId="15" fillId="5" borderId="0" xfId="0" applyNumberFormat="1" applyFont="1" applyFill="1" applyBorder="1" applyAlignment="1">
      <alignment horizontal="left"/>
    </xf>
    <xf numFmtId="176" fontId="14" fillId="0" borderId="0" xfId="0" applyNumberFormat="1" applyFont="1" applyBorder="1"/>
    <xf numFmtId="178" fontId="14" fillId="0" borderId="0" xfId="0" applyNumberFormat="1" applyFont="1"/>
    <xf numFmtId="178" fontId="14" fillId="0" borderId="0" xfId="0" applyNumberFormat="1" applyFont="1" applyAlignment="1">
      <alignment horizontal="center"/>
    </xf>
    <xf numFmtId="0" fontId="14" fillId="6" borderId="3" xfId="0" applyFont="1" applyFill="1" applyBorder="1" applyAlignment="1">
      <alignment horizontal="justify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14" fontId="14" fillId="0" borderId="0" xfId="0" applyNumberFormat="1" applyFont="1"/>
    <xf numFmtId="0" fontId="5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left" vertical="center"/>
    </xf>
    <xf numFmtId="17" fontId="7" fillId="0" borderId="0" xfId="0" applyNumberFormat="1" applyFont="1"/>
    <xf numFmtId="178" fontId="30" fillId="0" borderId="0" xfId="0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0" fontId="49" fillId="0" borderId="0" xfId="0" applyFont="1" applyFill="1" applyAlignment="1"/>
    <xf numFmtId="0" fontId="49" fillId="0" borderId="0" xfId="0" applyFont="1" applyFill="1"/>
    <xf numFmtId="0" fontId="14" fillId="0" borderId="4" xfId="5" applyFont="1" applyFill="1" applyBorder="1" applyAlignment="1">
      <alignment vertical="center" wrapText="1"/>
    </xf>
    <xf numFmtId="3" fontId="14" fillId="0" borderId="4" xfId="5" applyNumberFormat="1" applyFont="1" applyBorder="1">
      <alignment vertical="center"/>
    </xf>
    <xf numFmtId="0" fontId="13" fillId="7" borderId="5" xfId="0" applyFont="1" applyFill="1" applyBorder="1" applyAlignment="1">
      <alignment horizontal="center" vertical="center"/>
    </xf>
    <xf numFmtId="10" fontId="14" fillId="7" borderId="3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wrapText="1"/>
    </xf>
    <xf numFmtId="0" fontId="14" fillId="0" borderId="0" xfId="0" applyFont="1" applyFill="1" applyAlignment="1"/>
    <xf numFmtId="3" fontId="15" fillId="2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3" fontId="30" fillId="5" borderId="27" xfId="9" applyNumberFormat="1" applyFont="1" applyFill="1" applyBorder="1" applyAlignment="1">
      <alignment horizontal="center" vertical="center"/>
    </xf>
    <xf numFmtId="3" fontId="43" fillId="5" borderId="28" xfId="0" applyNumberFormat="1" applyFont="1" applyFill="1" applyBorder="1" applyAlignment="1">
      <alignment horizontal="center" vertical="center"/>
    </xf>
    <xf numFmtId="3" fontId="30" fillId="2" borderId="27" xfId="0" applyNumberFormat="1" applyFont="1" applyFill="1" applyBorder="1" applyAlignment="1">
      <alignment horizontal="center" vertical="center"/>
    </xf>
    <xf numFmtId="3" fontId="30" fillId="2" borderId="28" xfId="0" applyNumberFormat="1" applyFont="1" applyFill="1" applyBorder="1" applyAlignment="1">
      <alignment horizontal="center" vertical="center"/>
    </xf>
    <xf numFmtId="0" fontId="31" fillId="0" borderId="3" xfId="0" applyFont="1" applyBorder="1" applyAlignment="1">
      <alignment vertical="center"/>
    </xf>
    <xf numFmtId="0" fontId="31" fillId="0" borderId="27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3" fontId="30" fillId="0" borderId="8" xfId="0" applyNumberFormat="1" applyFont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5" fillId="2" borderId="28" xfId="0" applyNumberFormat="1" applyFont="1" applyFill="1" applyBorder="1" applyAlignment="1">
      <alignment horizontal="right" vertical="center"/>
    </xf>
    <xf numFmtId="3" fontId="15" fillId="2" borderId="8" xfId="0" applyNumberFormat="1" applyFont="1" applyFill="1" applyBorder="1" applyAlignment="1">
      <alignment horizontal="right" vertical="center"/>
    </xf>
    <xf numFmtId="178" fontId="15" fillId="0" borderId="3" xfId="5" applyNumberFormat="1" applyFont="1" applyFill="1" applyBorder="1" applyAlignment="1">
      <alignment horizontal="right" vertical="center"/>
    </xf>
    <xf numFmtId="178" fontId="15" fillId="0" borderId="3" xfId="5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2">
    <cellStyle name="Euro" xfId="1" xr:uid="{00000000-0005-0000-0000-000000000000}"/>
    <cellStyle name="Normal 2" xfId="2" xr:uid="{00000000-0005-0000-0000-000001000000}"/>
    <cellStyle name="Normal_AMIGO AGRO (HOGS INVTY 06)" xfId="3" xr:uid="{00000000-0005-0000-0000-000002000000}"/>
    <cellStyle name="Normal_Sheet2" xfId="4" xr:uid="{00000000-0005-0000-0000-000003000000}"/>
    <cellStyle name="Normal_Sheet3" xfId="5" xr:uid="{00000000-0005-0000-0000-000004000000}"/>
    <cellStyle name="Percent 2" xfId="6" xr:uid="{00000000-0005-0000-0000-000005000000}"/>
    <cellStyle name="百分比" xfId="7" builtinId="5"/>
    <cellStyle name="常规" xfId="0" builtinId="0"/>
    <cellStyle name="常规_Sheet2" xfId="8" xr:uid="{00000000-0005-0000-0000-000008000000}"/>
    <cellStyle name="常规_范霍夫数－计算结果" xfId="9" xr:uid="{00000000-0005-0000-0000-000009000000}"/>
    <cellStyle name="超链接" xfId="10" builtinId="8"/>
    <cellStyle name="千位分隔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3</xdr:row>
      <xdr:rowOff>0</xdr:rowOff>
    </xdr:to>
    <xdr:pic>
      <xdr:nvPicPr>
        <xdr:cNvPr id="58614" name="Picture 3">
          <a:extLst>
            <a:ext uri="{FF2B5EF4-FFF2-40B4-BE49-F238E27FC236}">
              <a16:creationId xmlns:a16="http://schemas.microsoft.com/office/drawing/2014/main" id="{702095BA-DEB7-A2F4-8532-6D0D410D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28575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4006850</xdr:colOff>
      <xdr:row>1</xdr:row>
      <xdr:rowOff>38100</xdr:rowOff>
    </xdr:from>
    <xdr:to>
      <xdr:col>5</xdr:col>
      <xdr:colOff>0</xdr:colOff>
      <xdr:row>5</xdr:row>
      <xdr:rowOff>0</xdr:rowOff>
    </xdr:to>
    <xdr:pic>
      <xdr:nvPicPr>
        <xdr:cNvPr id="58615" name="Picture 4">
          <a:extLst>
            <a:ext uri="{FF2B5EF4-FFF2-40B4-BE49-F238E27FC236}">
              <a16:creationId xmlns:a16="http://schemas.microsoft.com/office/drawing/2014/main" id="{30913AD8-73F2-EF11-EAEA-59FF7B4E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96850"/>
          <a:ext cx="3651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27</xdr:row>
      <xdr:rowOff>38100</xdr:rowOff>
    </xdr:from>
    <xdr:to>
      <xdr:col>2</xdr:col>
      <xdr:colOff>44450</xdr:colOff>
      <xdr:row>30</xdr:row>
      <xdr:rowOff>38100</xdr:rowOff>
    </xdr:to>
    <xdr:pic>
      <xdr:nvPicPr>
        <xdr:cNvPr id="58616" name="Picture 5">
          <a:extLst>
            <a:ext uri="{FF2B5EF4-FFF2-40B4-BE49-F238E27FC236}">
              <a16:creationId xmlns:a16="http://schemas.microsoft.com/office/drawing/2014/main" id="{637EA7D3-9DA2-0807-459A-38D8DE4F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29300"/>
          <a:ext cx="2444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</xdr:colOff>
      <xdr:row>29</xdr:row>
      <xdr:rowOff>133350</xdr:rowOff>
    </xdr:from>
    <xdr:to>
      <xdr:col>4</xdr:col>
      <xdr:colOff>0</xdr:colOff>
      <xdr:row>31</xdr:row>
      <xdr:rowOff>133350</xdr:rowOff>
    </xdr:to>
    <xdr:pic>
      <xdr:nvPicPr>
        <xdr:cNvPr id="58617" name="Picture 6">
          <a:extLst>
            <a:ext uri="{FF2B5EF4-FFF2-40B4-BE49-F238E27FC236}">
              <a16:creationId xmlns:a16="http://schemas.microsoft.com/office/drawing/2014/main" id="{77F0AED5-9353-2355-C24D-F52640F3A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6242050"/>
          <a:ext cx="2190750" cy="31750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57150</xdr:rowOff>
    </xdr:from>
    <xdr:to>
      <xdr:col>2</xdr:col>
      <xdr:colOff>711200</xdr:colOff>
      <xdr:row>44</xdr:row>
      <xdr:rowOff>82550</xdr:rowOff>
    </xdr:to>
    <xdr:pic>
      <xdr:nvPicPr>
        <xdr:cNvPr id="58153" name="Picture 4">
          <a:extLst>
            <a:ext uri="{FF2B5EF4-FFF2-40B4-BE49-F238E27FC236}">
              <a16:creationId xmlns:a16="http://schemas.microsoft.com/office/drawing/2014/main" id="{25755022-8B6E-890D-EED0-EED47DCD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3100"/>
          <a:ext cx="4622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60</xdr:row>
      <xdr:rowOff>228600</xdr:rowOff>
    </xdr:from>
    <xdr:to>
      <xdr:col>2</xdr:col>
      <xdr:colOff>6350</xdr:colOff>
      <xdr:row>64</xdr:row>
      <xdr:rowOff>0</xdr:rowOff>
    </xdr:to>
    <xdr:pic>
      <xdr:nvPicPr>
        <xdr:cNvPr id="58154" name="Picture 5">
          <a:extLst>
            <a:ext uri="{FF2B5EF4-FFF2-40B4-BE49-F238E27FC236}">
              <a16:creationId xmlns:a16="http://schemas.microsoft.com/office/drawing/2014/main" id="{561FC8CF-10F6-3771-5434-EABEC9C00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747250"/>
          <a:ext cx="3803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228600</xdr:rowOff>
    </xdr:from>
    <xdr:to>
      <xdr:col>2</xdr:col>
      <xdr:colOff>6350</xdr:colOff>
      <xdr:row>67</xdr:row>
      <xdr:rowOff>6350</xdr:rowOff>
    </xdr:to>
    <xdr:pic>
      <xdr:nvPicPr>
        <xdr:cNvPr id="58155" name="Picture 6">
          <a:extLst>
            <a:ext uri="{FF2B5EF4-FFF2-40B4-BE49-F238E27FC236}">
              <a16:creationId xmlns:a16="http://schemas.microsoft.com/office/drawing/2014/main" id="{C21577DE-E6C9-16E8-C012-542467AD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6350"/>
          <a:ext cx="3917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768350</xdr:colOff>
      <xdr:row>5</xdr:row>
      <xdr:rowOff>0</xdr:rowOff>
    </xdr:to>
    <xdr:pic>
      <xdr:nvPicPr>
        <xdr:cNvPr id="58157" name="图片 3">
          <a:extLst>
            <a:ext uri="{FF2B5EF4-FFF2-40B4-BE49-F238E27FC236}">
              <a16:creationId xmlns:a16="http://schemas.microsoft.com/office/drawing/2014/main" id="{C29C63B7-0C5F-D187-387F-8610A735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700"/>
          <a:ext cx="3225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6</xdr:row>
      <xdr:rowOff>38100</xdr:rowOff>
    </xdr:from>
    <xdr:to>
      <xdr:col>2</xdr:col>
      <xdr:colOff>1054100</xdr:colOff>
      <xdr:row>10</xdr:row>
      <xdr:rowOff>31750</xdr:rowOff>
    </xdr:to>
    <xdr:pic>
      <xdr:nvPicPr>
        <xdr:cNvPr id="58158" name="图片 4">
          <a:extLst>
            <a:ext uri="{FF2B5EF4-FFF2-40B4-BE49-F238E27FC236}">
              <a16:creationId xmlns:a16="http://schemas.microsoft.com/office/drawing/2014/main" id="{E29FF0F2-20FC-A4C2-FB17-DF09DC43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89000"/>
          <a:ext cx="4800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234950</xdr:colOff>
      <xdr:row>19</xdr:row>
      <xdr:rowOff>266700</xdr:rowOff>
    </xdr:from>
    <xdr:to>
      <xdr:col>2</xdr:col>
      <xdr:colOff>0</xdr:colOff>
      <xdr:row>22</xdr:row>
      <xdr:rowOff>0</xdr:rowOff>
    </xdr:to>
    <xdr:pic>
      <xdr:nvPicPr>
        <xdr:cNvPr id="58159" name="图片 5">
          <a:extLst>
            <a:ext uri="{FF2B5EF4-FFF2-40B4-BE49-F238E27FC236}">
              <a16:creationId xmlns:a16="http://schemas.microsoft.com/office/drawing/2014/main" id="{AAD3D061-B25C-7F18-452A-9E1DD4D1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3295650"/>
          <a:ext cx="3676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1238250</xdr:colOff>
      <xdr:row>6</xdr:row>
      <xdr:rowOff>127000</xdr:rowOff>
    </xdr:from>
    <xdr:to>
      <xdr:col>4</xdr:col>
      <xdr:colOff>3282950</xdr:colOff>
      <xdr:row>10</xdr:row>
      <xdr:rowOff>0</xdr:rowOff>
    </xdr:to>
    <xdr:pic>
      <xdr:nvPicPr>
        <xdr:cNvPr id="58160" name="图片 8">
          <a:extLst>
            <a:ext uri="{FF2B5EF4-FFF2-40B4-BE49-F238E27FC236}">
              <a16:creationId xmlns:a16="http://schemas.microsoft.com/office/drawing/2014/main" id="{B7DA44E4-BC8E-E76A-2238-8B3FC151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850" y="977900"/>
          <a:ext cx="46863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234950</xdr:colOff>
      <xdr:row>29</xdr:row>
      <xdr:rowOff>336550</xdr:rowOff>
    </xdr:from>
    <xdr:to>
      <xdr:col>2</xdr:col>
      <xdr:colOff>6350</xdr:colOff>
      <xdr:row>34</xdr:row>
      <xdr:rowOff>0</xdr:rowOff>
    </xdr:to>
    <xdr:pic>
      <xdr:nvPicPr>
        <xdr:cNvPr id="58161" name="图片 1">
          <a:extLst>
            <a:ext uri="{FF2B5EF4-FFF2-40B4-BE49-F238E27FC236}">
              <a16:creationId xmlns:a16="http://schemas.microsoft.com/office/drawing/2014/main" id="{C2BB2A96-857D-7063-081F-252B6C03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4965700"/>
          <a:ext cx="3683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69850</xdr:colOff>
      <xdr:row>81</xdr:row>
      <xdr:rowOff>95250</xdr:rowOff>
    </xdr:from>
    <xdr:to>
      <xdr:col>1</xdr:col>
      <xdr:colOff>1003380</xdr:colOff>
      <xdr:row>84</xdr:row>
      <xdr:rowOff>107893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AFCAFBF-CB2E-545A-9FD1-42175969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850" y="13328650"/>
          <a:ext cx="3390980" cy="43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152400</xdr:colOff>
      <xdr:row>2</xdr:row>
      <xdr:rowOff>127000</xdr:rowOff>
    </xdr:to>
    <xdr:pic>
      <xdr:nvPicPr>
        <xdr:cNvPr id="56883" name="Picture 1">
          <a:extLst>
            <a:ext uri="{FF2B5EF4-FFF2-40B4-BE49-F238E27FC236}">
              <a16:creationId xmlns:a16="http://schemas.microsoft.com/office/drawing/2014/main" id="{8EA0FD0C-567A-4E3A-6CC1-839453CF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3136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</xdr:colOff>
      <xdr:row>4</xdr:row>
      <xdr:rowOff>12700</xdr:rowOff>
    </xdr:from>
    <xdr:to>
      <xdr:col>2</xdr:col>
      <xdr:colOff>6350</xdr:colOff>
      <xdr:row>16</xdr:row>
      <xdr:rowOff>38100</xdr:rowOff>
    </xdr:to>
    <xdr:pic>
      <xdr:nvPicPr>
        <xdr:cNvPr id="56884" name="Picture 2">
          <a:extLst>
            <a:ext uri="{FF2B5EF4-FFF2-40B4-BE49-F238E27FC236}">
              <a16:creationId xmlns:a16="http://schemas.microsoft.com/office/drawing/2014/main" id="{B6A5D6FD-55F9-FD41-47A0-782EAF2EE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647700"/>
          <a:ext cx="4324350" cy="193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127000</xdr:rowOff>
    </xdr:from>
    <xdr:to>
      <xdr:col>2</xdr:col>
      <xdr:colOff>6350</xdr:colOff>
      <xdr:row>52</xdr:row>
      <xdr:rowOff>0</xdr:rowOff>
    </xdr:to>
    <xdr:pic>
      <xdr:nvPicPr>
        <xdr:cNvPr id="56885" name="Picture 4">
          <a:extLst>
            <a:ext uri="{FF2B5EF4-FFF2-40B4-BE49-F238E27FC236}">
              <a16:creationId xmlns:a16="http://schemas.microsoft.com/office/drawing/2014/main" id="{29E88606-0B52-FCB3-53BA-1BABB4A5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9250"/>
          <a:ext cx="4330700" cy="193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78</xdr:row>
      <xdr:rowOff>82550</xdr:rowOff>
    </xdr:from>
    <xdr:to>
      <xdr:col>3</xdr:col>
      <xdr:colOff>1231900</xdr:colOff>
      <xdr:row>82</xdr:row>
      <xdr:rowOff>0</xdr:rowOff>
    </xdr:to>
    <xdr:pic>
      <xdr:nvPicPr>
        <xdr:cNvPr id="56886" name="图片 1">
          <a:extLst>
            <a:ext uri="{FF2B5EF4-FFF2-40B4-BE49-F238E27FC236}">
              <a16:creationId xmlns:a16="http://schemas.microsoft.com/office/drawing/2014/main" id="{BE0511B5-A778-E102-238E-85676157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671550"/>
          <a:ext cx="6610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82550</xdr:colOff>
      <xdr:row>95</xdr:row>
      <xdr:rowOff>260350</xdr:rowOff>
    </xdr:from>
    <xdr:to>
      <xdr:col>2</xdr:col>
      <xdr:colOff>742950</xdr:colOff>
      <xdr:row>98</xdr:row>
      <xdr:rowOff>114300</xdr:rowOff>
    </xdr:to>
    <xdr:pic>
      <xdr:nvPicPr>
        <xdr:cNvPr id="56887" name="图片 2">
          <a:extLst>
            <a:ext uri="{FF2B5EF4-FFF2-40B4-BE49-F238E27FC236}">
              <a16:creationId xmlns:a16="http://schemas.microsoft.com/office/drawing/2014/main" id="{E3CD0B67-3887-06F1-D982-1B84D246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6744950"/>
          <a:ext cx="4984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chat/WeChat%20Files/wxid_3465844658711/FileStorage/File/2022-02/1st%20ER-Aonong%20Jiangxi-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Baseline Emission"/>
      <sheetName val="Project Emission"/>
      <sheetName val="Leakage"/>
      <sheetName val="monitoring results"/>
      <sheetName val="Reliability Check"/>
      <sheetName val="2020-4"/>
      <sheetName val="2020-5"/>
      <sheetName val="2020-6"/>
      <sheetName val="2020-7"/>
      <sheetName val="2020-8"/>
      <sheetName val="2020-9"/>
      <sheetName val="2020-10"/>
      <sheetName val="2020-11"/>
      <sheetName val="2020-12"/>
      <sheetName val="2021-1"/>
      <sheetName val="2021-2"/>
      <sheetName val="2021-3"/>
      <sheetName val="2021-4"/>
      <sheetName val="2021-5"/>
      <sheetName val="2021-6"/>
      <sheetName val="2021-7"/>
      <sheetName val="2021-8"/>
      <sheetName val="2021-9"/>
      <sheetName val="2021-10"/>
      <sheetName val="2021-11"/>
      <sheetName val="2021-12"/>
    </sheetNames>
    <sheetDataSet>
      <sheetData sheetId="0" refreshError="1"/>
      <sheetData sheetId="1" refreshError="1">
        <row r="241">
          <cell r="B24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D17"/>
  <sheetViews>
    <sheetView workbookViewId="0">
      <selection activeCell="G7" sqref="G7"/>
    </sheetView>
  </sheetViews>
  <sheetFormatPr defaultRowHeight="12.5" x14ac:dyDescent="0.35"/>
  <cols>
    <col min="1" max="2" width="8.7265625" style="99"/>
    <col min="3" max="3" width="42.26953125" style="99" customWidth="1"/>
    <col min="4" max="4" width="59.54296875" style="99" customWidth="1"/>
    <col min="5" max="16384" width="8.7265625" style="99"/>
  </cols>
  <sheetData>
    <row r="3" spans="3:4" x14ac:dyDescent="0.35">
      <c r="C3" s="348" t="s">
        <v>87</v>
      </c>
      <c r="D3" s="349" t="s">
        <v>123</v>
      </c>
    </row>
    <row r="4" spans="3:4" x14ac:dyDescent="0.35">
      <c r="C4" s="348" t="s">
        <v>92</v>
      </c>
      <c r="D4" s="350" t="s">
        <v>242</v>
      </c>
    </row>
    <row r="5" spans="3:4" x14ac:dyDescent="0.35">
      <c r="C5" s="348" t="s">
        <v>88</v>
      </c>
      <c r="D5" s="350">
        <v>2</v>
      </c>
    </row>
    <row r="6" spans="3:4" x14ac:dyDescent="0.35">
      <c r="C6" s="348" t="s">
        <v>89</v>
      </c>
      <c r="D6" s="354" t="s">
        <v>264</v>
      </c>
    </row>
    <row r="7" spans="3:4" ht="26.25" customHeight="1" x14ac:dyDescent="0.35">
      <c r="C7" s="348" t="s">
        <v>90</v>
      </c>
      <c r="D7" s="349" t="s">
        <v>243</v>
      </c>
    </row>
    <row r="13" spans="3:4" x14ac:dyDescent="0.35">
      <c r="D13" s="351"/>
    </row>
    <row r="14" spans="3:4" x14ac:dyDescent="0.35">
      <c r="D14" s="351"/>
    </row>
    <row r="16" spans="3:4" x14ac:dyDescent="0.35">
      <c r="D16" s="351"/>
    </row>
    <row r="17" spans="4:4" x14ac:dyDescent="0.35">
      <c r="D17" s="351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0"/>
  <sheetViews>
    <sheetView topLeftCell="A58" zoomScaleNormal="100" workbookViewId="0">
      <selection activeCell="D23" sqref="D23"/>
    </sheetView>
  </sheetViews>
  <sheetFormatPr defaultColWidth="9" defaultRowHeight="12.5" x14ac:dyDescent="0.35"/>
  <cols>
    <col min="1" max="1" width="25.7265625" style="99" customWidth="1"/>
    <col min="2" max="3" width="15.1796875" style="99" customWidth="1"/>
    <col min="4" max="4" width="31.453125" style="99" customWidth="1"/>
    <col min="5" max="5" width="52.26953125" style="99" customWidth="1"/>
    <col min="6" max="6" width="58" style="99" customWidth="1"/>
    <col min="7" max="16384" width="9" style="99"/>
  </cols>
  <sheetData>
    <row r="1" spans="1:7" x14ac:dyDescent="0.35">
      <c r="A1" s="258" t="s">
        <v>0</v>
      </c>
      <c r="B1" s="258"/>
      <c r="C1" s="258"/>
    </row>
    <row r="2" spans="1:7" x14ac:dyDescent="0.35">
      <c r="A2" s="258"/>
      <c r="B2" s="258"/>
      <c r="C2" s="258"/>
      <c r="D2" s="259"/>
    </row>
    <row r="3" spans="1:7" x14ac:dyDescent="0.35">
      <c r="A3" s="258"/>
      <c r="B3" s="258"/>
      <c r="C3" s="258"/>
    </row>
    <row r="4" spans="1:7" x14ac:dyDescent="0.35">
      <c r="A4" s="260" t="s">
        <v>1</v>
      </c>
      <c r="B4" s="258"/>
      <c r="C4" s="258"/>
    </row>
    <row r="5" spans="1:7" ht="13.5" x14ac:dyDescent="0.4">
      <c r="A5" s="261" t="s">
        <v>256</v>
      </c>
      <c r="B5" s="261"/>
      <c r="C5" s="262"/>
      <c r="D5" s="262"/>
      <c r="E5" s="263"/>
      <c r="F5" s="264"/>
    </row>
    <row r="6" spans="1:7" ht="13" thickBot="1" x14ac:dyDescent="0.4"/>
    <row r="7" spans="1:7" x14ac:dyDescent="0.35">
      <c r="A7" s="265" t="s">
        <v>2</v>
      </c>
      <c r="B7" s="266" t="s">
        <v>3</v>
      </c>
      <c r="C7" s="266"/>
      <c r="D7" s="266" t="s">
        <v>4</v>
      </c>
      <c r="E7" s="266" t="s">
        <v>5</v>
      </c>
      <c r="F7" s="267" t="s">
        <v>98</v>
      </c>
      <c r="G7" s="268"/>
    </row>
    <row r="8" spans="1:7" x14ac:dyDescent="0.35">
      <c r="A8" s="269"/>
      <c r="B8" s="270" t="s">
        <v>6</v>
      </c>
      <c r="C8" s="270" t="s">
        <v>7</v>
      </c>
      <c r="D8" s="270"/>
      <c r="E8" s="271"/>
      <c r="F8" s="272"/>
      <c r="G8" s="268"/>
    </row>
    <row r="9" spans="1:7" ht="13.5" x14ac:dyDescent="0.35">
      <c r="A9" s="273" t="s">
        <v>206</v>
      </c>
      <c r="B9" s="59">
        <v>28</v>
      </c>
      <c r="C9" s="59">
        <v>28</v>
      </c>
      <c r="D9" s="274" t="s">
        <v>207</v>
      </c>
      <c r="E9" s="275" t="s">
        <v>95</v>
      </c>
      <c r="F9" s="276" t="s">
        <v>99</v>
      </c>
      <c r="G9" s="268"/>
    </row>
    <row r="10" spans="1:7" ht="14.5" x14ac:dyDescent="0.35">
      <c r="A10" s="273" t="s">
        <v>208</v>
      </c>
      <c r="B10" s="59">
        <v>6.7000000000000002E-4</v>
      </c>
      <c r="C10" s="59">
        <v>6.7000000000000002E-4</v>
      </c>
      <c r="D10" s="274" t="s">
        <v>209</v>
      </c>
      <c r="E10" s="275" t="s">
        <v>77</v>
      </c>
      <c r="F10" s="276" t="s">
        <v>100</v>
      </c>
      <c r="G10" s="268"/>
    </row>
    <row r="11" spans="1:7" ht="13.5" x14ac:dyDescent="0.35">
      <c r="A11" s="362" t="s">
        <v>210</v>
      </c>
      <c r="B11" s="363">
        <f>74%*0.94</f>
        <v>0.6956</v>
      </c>
      <c r="C11" s="363">
        <f>B11</f>
        <v>0.6956</v>
      </c>
      <c r="D11" s="274" t="s">
        <v>8</v>
      </c>
      <c r="E11" s="275" t="s">
        <v>74</v>
      </c>
      <c r="F11" s="276" t="s">
        <v>124</v>
      </c>
      <c r="G11" s="279"/>
    </row>
    <row r="12" spans="1:7" ht="24.75" customHeight="1" x14ac:dyDescent="0.35">
      <c r="A12" s="273" t="s">
        <v>211</v>
      </c>
      <c r="B12" s="59">
        <v>0.28999999999999998</v>
      </c>
      <c r="C12" s="59">
        <v>0.28999999999999998</v>
      </c>
      <c r="D12" s="274" t="s">
        <v>212</v>
      </c>
      <c r="E12" s="275" t="s">
        <v>9</v>
      </c>
      <c r="F12" s="276" t="s">
        <v>10</v>
      </c>
      <c r="G12" s="268"/>
    </row>
    <row r="13" spans="1:7" ht="15" customHeight="1" x14ac:dyDescent="0.35">
      <c r="A13" s="273" t="s">
        <v>213</v>
      </c>
      <c r="B13" s="280">
        <v>99450</v>
      </c>
      <c r="C13" s="280">
        <v>54252</v>
      </c>
      <c r="D13" s="274" t="s">
        <v>11</v>
      </c>
      <c r="E13" s="275" t="s">
        <v>96</v>
      </c>
      <c r="F13" s="276" t="s">
        <v>12</v>
      </c>
      <c r="G13" s="268"/>
    </row>
    <row r="14" spans="1:7" ht="15" customHeight="1" x14ac:dyDescent="0.35">
      <c r="A14" s="273" t="s">
        <v>214</v>
      </c>
      <c r="B14" s="281">
        <v>68.5</v>
      </c>
      <c r="C14" s="281">
        <v>103.6</v>
      </c>
      <c r="D14" s="274" t="s">
        <v>13</v>
      </c>
      <c r="E14" s="275" t="s">
        <v>96</v>
      </c>
      <c r="F14" s="276" t="s">
        <v>14</v>
      </c>
      <c r="G14" s="268"/>
    </row>
    <row r="15" spans="1:7" ht="15" customHeight="1" x14ac:dyDescent="0.35">
      <c r="A15" s="282" t="s">
        <v>215</v>
      </c>
      <c r="B15" s="280">
        <f>B40</f>
        <v>28</v>
      </c>
      <c r="C15" s="280">
        <f>C40</f>
        <v>28</v>
      </c>
      <c r="D15" s="274" t="s">
        <v>13</v>
      </c>
      <c r="E15" s="275" t="s">
        <v>9</v>
      </c>
      <c r="F15" s="276" t="s">
        <v>15</v>
      </c>
      <c r="G15" s="268"/>
    </row>
    <row r="16" spans="1:7" ht="13.5" x14ac:dyDescent="0.35">
      <c r="A16" s="282" t="s">
        <v>216</v>
      </c>
      <c r="B16" s="214">
        <v>0.3</v>
      </c>
      <c r="C16" s="214">
        <v>0.3</v>
      </c>
      <c r="D16" s="274" t="s">
        <v>76</v>
      </c>
      <c r="E16" s="275" t="str">
        <f>E12</f>
        <v>2006 IPCC guideline, volume 4, chapter 10, tbl. 10A-7</v>
      </c>
      <c r="F16" s="283" t="s">
        <v>16</v>
      </c>
      <c r="G16" s="268"/>
    </row>
    <row r="17" spans="1:7" ht="25" customHeight="1" x14ac:dyDescent="0.35">
      <c r="A17" s="282" t="s">
        <v>217</v>
      </c>
      <c r="B17" s="284">
        <f>(B14/B15)*B16*B19</f>
        <v>267.88392857142861</v>
      </c>
      <c r="C17" s="284">
        <f>(C14/C15)*C16*C19</f>
        <v>405.15</v>
      </c>
      <c r="D17" s="274" t="s">
        <v>94</v>
      </c>
      <c r="E17" s="275" t="s">
        <v>86</v>
      </c>
      <c r="F17" s="283" t="s">
        <v>101</v>
      </c>
      <c r="G17" s="268"/>
    </row>
    <row r="18" spans="1:7" ht="13.5" x14ac:dyDescent="0.35">
      <c r="A18" s="282" t="s">
        <v>265</v>
      </c>
      <c r="B18" s="278">
        <v>1</v>
      </c>
      <c r="C18" s="278">
        <v>1</v>
      </c>
      <c r="D18" s="274" t="s">
        <v>8</v>
      </c>
      <c r="E18" s="275" t="str">
        <f>E13</f>
        <v>Project evaluation report</v>
      </c>
      <c r="F18" s="276" t="s">
        <v>17</v>
      </c>
      <c r="G18" s="268"/>
    </row>
    <row r="19" spans="1:7" ht="13.5" x14ac:dyDescent="0.35">
      <c r="A19" s="282" t="s">
        <v>218</v>
      </c>
      <c r="B19" s="214">
        <v>365</v>
      </c>
      <c r="C19" s="214">
        <v>365</v>
      </c>
      <c r="D19" s="274" t="s">
        <v>18</v>
      </c>
      <c r="E19" s="275" t="s">
        <v>19</v>
      </c>
      <c r="F19" s="276"/>
      <c r="G19" s="268"/>
    </row>
    <row r="20" spans="1:7" ht="13.5" x14ac:dyDescent="0.4">
      <c r="A20" s="285" t="s">
        <v>93</v>
      </c>
      <c r="B20" s="286">
        <f>ROUNDDOWN(B9*B10*B11*B12*B13*B17*B18,0)</f>
        <v>100818</v>
      </c>
      <c r="C20" s="286">
        <f>ROUNDDOWN(C9*C10*C11*C12*C13*C17*C18,0)</f>
        <v>83180</v>
      </c>
      <c r="D20" s="287" t="s">
        <v>219</v>
      </c>
      <c r="E20" s="288" t="s">
        <v>86</v>
      </c>
      <c r="F20" s="289"/>
      <c r="G20" s="268"/>
    </row>
    <row r="21" spans="1:7" ht="14" thickBot="1" x14ac:dyDescent="0.4">
      <c r="A21" s="290" t="s">
        <v>220</v>
      </c>
      <c r="B21" s="291">
        <f>ROUNDDOWN(B20+C20,0)</f>
        <v>183998</v>
      </c>
      <c r="C21" s="291"/>
      <c r="D21" s="292" t="s">
        <v>73</v>
      </c>
      <c r="E21" s="293" t="s">
        <v>86</v>
      </c>
      <c r="F21" s="294"/>
      <c r="G21" s="268"/>
    </row>
    <row r="22" spans="1:7" x14ac:dyDescent="0.35">
      <c r="D22" s="295"/>
    </row>
    <row r="23" spans="1:7" x14ac:dyDescent="0.35">
      <c r="A23" s="260" t="s">
        <v>20</v>
      </c>
      <c r="B23" s="258"/>
      <c r="E23" s="296"/>
    </row>
    <row r="24" spans="1:7" ht="13" x14ac:dyDescent="0.4">
      <c r="A24" s="365" t="s">
        <v>257</v>
      </c>
      <c r="B24" s="366"/>
      <c r="C24" s="366"/>
      <c r="D24" s="366"/>
      <c r="E24" s="263"/>
    </row>
    <row r="25" spans="1:7" x14ac:dyDescent="0.35">
      <c r="A25" s="297"/>
      <c r="B25" s="298"/>
      <c r="C25" s="298"/>
      <c r="D25" s="298"/>
      <c r="E25" s="296"/>
    </row>
    <row r="26" spans="1:7" x14ac:dyDescent="0.35">
      <c r="A26" s="258" t="s">
        <v>21</v>
      </c>
      <c r="B26" s="258"/>
    </row>
    <row r="27" spans="1:7" ht="12.75" customHeight="1" x14ac:dyDescent="0.4">
      <c r="A27" s="297"/>
      <c r="B27" s="358" t="s">
        <v>258</v>
      </c>
      <c r="C27" s="358"/>
      <c r="D27" s="358"/>
      <c r="E27" s="264"/>
    </row>
    <row r="28" spans="1:7" ht="12.75" customHeight="1" x14ac:dyDescent="0.35">
      <c r="A28" s="297"/>
      <c r="B28" s="299"/>
      <c r="C28" s="299"/>
      <c r="D28" s="299"/>
      <c r="E28" s="264"/>
    </row>
    <row r="29" spans="1:7" ht="12.75" customHeight="1" x14ac:dyDescent="0.4">
      <c r="A29" s="297"/>
      <c r="B29" s="299"/>
      <c r="C29" s="299"/>
      <c r="D29" s="358" t="s">
        <v>259</v>
      </c>
      <c r="E29" s="300"/>
      <c r="F29" s="268"/>
    </row>
    <row r="30" spans="1:7" ht="12.75" customHeight="1" x14ac:dyDescent="0.35">
      <c r="A30" s="297"/>
      <c r="B30" s="299"/>
      <c r="C30" s="299"/>
      <c r="D30" s="299"/>
      <c r="E30" s="264"/>
    </row>
    <row r="31" spans="1:7" ht="12.75" customHeight="1" x14ac:dyDescent="0.35">
      <c r="A31" s="297"/>
      <c r="B31" s="299"/>
      <c r="C31" s="299"/>
      <c r="D31" s="299"/>
      <c r="E31" s="264"/>
    </row>
    <row r="32" spans="1:7" ht="13" thickBot="1" x14ac:dyDescent="0.4"/>
    <row r="33" spans="1:5" x14ac:dyDescent="0.35">
      <c r="A33" s="301" t="s">
        <v>2</v>
      </c>
      <c r="B33" s="302" t="s">
        <v>22</v>
      </c>
      <c r="C33" s="302"/>
      <c r="D33" s="302" t="s">
        <v>4</v>
      </c>
      <c r="E33" s="303" t="s">
        <v>5</v>
      </c>
    </row>
    <row r="34" spans="1:5" x14ac:dyDescent="0.35">
      <c r="A34" s="304"/>
      <c r="B34" s="305" t="str">
        <f>B8</f>
        <v>Market Swine</v>
      </c>
      <c r="C34" s="305" t="str">
        <f>C8</f>
        <v>Breeding Swine</v>
      </c>
      <c r="D34" s="305"/>
      <c r="E34" s="306"/>
    </row>
    <row r="35" spans="1:5" ht="13.5" x14ac:dyDescent="0.4">
      <c r="A35" s="307" t="s">
        <v>221</v>
      </c>
      <c r="B35" s="214">
        <v>0</v>
      </c>
      <c r="C35" s="308">
        <v>0</v>
      </c>
      <c r="D35" s="214" t="s">
        <v>222</v>
      </c>
      <c r="E35" s="309" t="s">
        <v>103</v>
      </c>
    </row>
    <row r="36" spans="1:5" ht="13.5" x14ac:dyDescent="0.4">
      <c r="A36" s="310" t="s">
        <v>223</v>
      </c>
      <c r="B36" s="311">
        <f>0.42</f>
        <v>0.42</v>
      </c>
      <c r="C36" s="312">
        <v>0.24</v>
      </c>
      <c r="D36" s="214" t="s">
        <v>23</v>
      </c>
      <c r="E36" s="309" t="s">
        <v>24</v>
      </c>
    </row>
    <row r="37" spans="1:5" ht="13.5" x14ac:dyDescent="0.4">
      <c r="A37" s="307" t="s">
        <v>224</v>
      </c>
      <c r="B37" s="313">
        <f>B36*B40/1000*365</f>
        <v>4.2923999999999998</v>
      </c>
      <c r="C37" s="313">
        <f>C36*C40/1000*365</f>
        <v>2.4527999999999999</v>
      </c>
      <c r="D37" s="214" t="s">
        <v>26</v>
      </c>
      <c r="E37" s="309" t="s">
        <v>25</v>
      </c>
    </row>
    <row r="38" spans="1:5" ht="13.5" x14ac:dyDescent="0.4">
      <c r="A38" s="307" t="s">
        <v>225</v>
      </c>
      <c r="B38" s="281">
        <f>B14</f>
        <v>68.5</v>
      </c>
      <c r="C38" s="281">
        <f>C14</f>
        <v>103.6</v>
      </c>
      <c r="D38" s="214" t="s">
        <v>13</v>
      </c>
      <c r="E38" s="309" t="s">
        <v>104</v>
      </c>
    </row>
    <row r="39" spans="1:5" x14ac:dyDescent="0.35">
      <c r="A39" s="314" t="s">
        <v>102</v>
      </c>
      <c r="B39" s="281">
        <v>28</v>
      </c>
      <c r="C39" s="281">
        <v>28</v>
      </c>
      <c r="D39" s="83" t="s">
        <v>13</v>
      </c>
      <c r="E39" s="60" t="s">
        <v>9</v>
      </c>
    </row>
    <row r="40" spans="1:5" ht="13.5" x14ac:dyDescent="0.4">
      <c r="A40" s="307" t="s">
        <v>226</v>
      </c>
      <c r="B40" s="59">
        <v>28</v>
      </c>
      <c r="C40" s="308">
        <v>28</v>
      </c>
      <c r="D40" s="214" t="s">
        <v>13</v>
      </c>
      <c r="E40" s="289" t="s">
        <v>105</v>
      </c>
    </row>
    <row r="41" spans="1:5" ht="13.5" x14ac:dyDescent="0.4">
      <c r="A41" s="310" t="s">
        <v>227</v>
      </c>
      <c r="B41" s="315">
        <f>(B38/B40)*B37</f>
        <v>10.501050000000001</v>
      </c>
      <c r="C41" s="315">
        <f>(C38/C40)*C37</f>
        <v>9.0753599999999981</v>
      </c>
      <c r="D41" s="214" t="s">
        <v>26</v>
      </c>
      <c r="E41" s="309" t="s">
        <v>27</v>
      </c>
    </row>
    <row r="42" spans="1:5" ht="13.5" x14ac:dyDescent="0.4">
      <c r="A42" s="316" t="s">
        <v>228</v>
      </c>
      <c r="B42" s="280">
        <f>B13</f>
        <v>99450</v>
      </c>
      <c r="C42" s="280">
        <f>C13</f>
        <v>54252</v>
      </c>
      <c r="D42" s="214" t="str">
        <f>D13</f>
        <v>No of heads</v>
      </c>
      <c r="E42" s="309" t="s">
        <v>104</v>
      </c>
    </row>
    <row r="43" spans="1:5" ht="13.5" x14ac:dyDescent="0.4">
      <c r="A43" s="316" t="s">
        <v>229</v>
      </c>
      <c r="B43" s="278">
        <f>B18</f>
        <v>1</v>
      </c>
      <c r="C43" s="278">
        <f>C18</f>
        <v>1</v>
      </c>
      <c r="D43" s="214" t="str">
        <f>D18</f>
        <v>%</v>
      </c>
      <c r="E43" s="289" t="s">
        <v>17</v>
      </c>
    </row>
    <row r="44" spans="1:5" ht="14" thickBot="1" x14ac:dyDescent="0.45">
      <c r="A44" s="317" t="s">
        <v>230</v>
      </c>
      <c r="B44" s="318">
        <f>'[1]Baseline Emission'!$B$241</f>
        <v>0</v>
      </c>
      <c r="C44" s="318">
        <f>C35*C37*C42*C43</f>
        <v>0</v>
      </c>
      <c r="D44" s="319" t="s">
        <v>231</v>
      </c>
      <c r="E44" s="320" t="s">
        <v>27</v>
      </c>
    </row>
    <row r="46" spans="1:5" x14ac:dyDescent="0.35">
      <c r="A46" s="258" t="s">
        <v>28</v>
      </c>
    </row>
    <row r="47" spans="1:5" ht="13.5" x14ac:dyDescent="0.4">
      <c r="B47" s="359" t="s">
        <v>260</v>
      </c>
      <c r="C47" s="50"/>
      <c r="D47" s="50"/>
      <c r="E47" s="259"/>
    </row>
    <row r="48" spans="1:5" ht="13" thickBot="1" x14ac:dyDescent="0.4">
      <c r="B48" s="258"/>
      <c r="C48" s="258"/>
    </row>
    <row r="49" spans="1:6" x14ac:dyDescent="0.35">
      <c r="A49" s="301" t="s">
        <v>2</v>
      </c>
      <c r="B49" s="302" t="s">
        <v>22</v>
      </c>
      <c r="C49" s="302"/>
      <c r="D49" s="302" t="s">
        <v>4</v>
      </c>
      <c r="E49" s="303" t="s">
        <v>5</v>
      </c>
    </row>
    <row r="50" spans="1:6" x14ac:dyDescent="0.35">
      <c r="A50" s="304"/>
      <c r="B50" s="305" t="str">
        <f>B34</f>
        <v>Market Swine</v>
      </c>
      <c r="C50" s="305" t="str">
        <f>C34</f>
        <v>Breeding Swine</v>
      </c>
      <c r="D50" s="305"/>
      <c r="E50" s="306"/>
    </row>
    <row r="51" spans="1:6" ht="13.5" x14ac:dyDescent="0.35">
      <c r="A51" s="321" t="s">
        <v>232</v>
      </c>
      <c r="B51" s="214">
        <v>0.01</v>
      </c>
      <c r="C51" s="322">
        <v>0.01</v>
      </c>
      <c r="D51" s="214" t="s">
        <v>233</v>
      </c>
      <c r="E51" s="309" t="s">
        <v>29</v>
      </c>
    </row>
    <row r="52" spans="1:6" ht="13.5" x14ac:dyDescent="0.35">
      <c r="A52" s="321" t="s">
        <v>234</v>
      </c>
      <c r="B52" s="277">
        <v>0.4</v>
      </c>
      <c r="C52" s="278">
        <v>0.4</v>
      </c>
      <c r="D52" s="214" t="s">
        <v>8</v>
      </c>
      <c r="E52" s="309" t="s">
        <v>30</v>
      </c>
    </row>
    <row r="53" spans="1:6" ht="13.5" x14ac:dyDescent="0.35">
      <c r="A53" s="323" t="s">
        <v>235</v>
      </c>
      <c r="B53" s="324">
        <f>B41</f>
        <v>10.501050000000001</v>
      </c>
      <c r="C53" s="324">
        <f>C41</f>
        <v>9.0753599999999981</v>
      </c>
      <c r="D53" s="214" t="str">
        <f>D41</f>
        <v>kg N/animal/year</v>
      </c>
      <c r="E53" s="309" t="s">
        <v>27</v>
      </c>
    </row>
    <row r="54" spans="1:6" ht="13.5" x14ac:dyDescent="0.35">
      <c r="A54" s="323" t="s">
        <v>228</v>
      </c>
      <c r="B54" s="280">
        <f>B13</f>
        <v>99450</v>
      </c>
      <c r="C54" s="280">
        <f>C13</f>
        <v>54252</v>
      </c>
      <c r="D54" s="214" t="str">
        <f>D42</f>
        <v>No of heads</v>
      </c>
      <c r="E54" s="309" t="s">
        <v>104</v>
      </c>
    </row>
    <row r="55" spans="1:6" ht="13.5" x14ac:dyDescent="0.35">
      <c r="A55" s="325" t="s">
        <v>229</v>
      </c>
      <c r="B55" s="277">
        <f>B43</f>
        <v>1</v>
      </c>
      <c r="C55" s="277">
        <f>C43</f>
        <v>1</v>
      </c>
      <c r="D55" s="214" t="str">
        <f>D43</f>
        <v>%</v>
      </c>
      <c r="E55" s="289" t="s">
        <v>17</v>
      </c>
    </row>
    <row r="56" spans="1:6" ht="13.5" x14ac:dyDescent="0.35">
      <c r="A56" s="325" t="s">
        <v>148</v>
      </c>
      <c r="B56" s="324">
        <v>265</v>
      </c>
      <c r="C56" s="324">
        <v>265</v>
      </c>
      <c r="D56" s="214" t="s">
        <v>72</v>
      </c>
      <c r="E56" s="276" t="s">
        <v>106</v>
      </c>
    </row>
    <row r="57" spans="1:6" ht="13.5" x14ac:dyDescent="0.35">
      <c r="A57" s="325" t="s">
        <v>236</v>
      </c>
      <c r="B57" s="326">
        <f>44/28</f>
        <v>1.5714285714285714</v>
      </c>
      <c r="C57" s="326">
        <f>44/28</f>
        <v>1.5714285714285714</v>
      </c>
      <c r="D57" s="214" t="s">
        <v>237</v>
      </c>
      <c r="E57" s="289" t="s">
        <v>107</v>
      </c>
    </row>
    <row r="58" spans="1:6" ht="13.5" x14ac:dyDescent="0.35">
      <c r="A58" s="327" t="s">
        <v>238</v>
      </c>
      <c r="B58" s="286">
        <f>ROUNDDOWN(B51*B52*B53*B54*B55,0)</f>
        <v>4177</v>
      </c>
      <c r="C58" s="286">
        <f>ROUNDDOWN(C51*C52*C53*C54*C55,0)</f>
        <v>1969</v>
      </c>
      <c r="D58" s="59"/>
      <c r="E58" s="328" t="s">
        <v>27</v>
      </c>
    </row>
    <row r="59" spans="1:6" ht="13" thickBot="1" x14ac:dyDescent="0.4">
      <c r="A59" s="329"/>
      <c r="B59" s="367">
        <f>B58+C58</f>
        <v>6146</v>
      </c>
      <c r="C59" s="367"/>
      <c r="D59" s="330"/>
      <c r="E59" s="331"/>
    </row>
    <row r="60" spans="1:6" x14ac:dyDescent="0.35">
      <c r="A60" s="102"/>
      <c r="B60" s="332"/>
      <c r="C60" s="332"/>
      <c r="D60" s="75"/>
      <c r="E60" s="75"/>
    </row>
    <row r="61" spans="1:6" ht="21.75" customHeight="1" x14ac:dyDescent="0.35">
      <c r="A61" s="368" t="s">
        <v>239</v>
      </c>
      <c r="B61" s="369"/>
      <c r="C61" s="369"/>
      <c r="D61" s="369"/>
      <c r="E61" s="333">
        <f>ROUNDDOWN(B56*B57/1000*(B59+B44),0)</f>
        <v>2559</v>
      </c>
      <c r="F61" s="264"/>
    </row>
    <row r="62" spans="1:6" x14ac:dyDescent="0.35">
      <c r="B62" s="298"/>
      <c r="C62" s="298"/>
      <c r="D62" s="298"/>
      <c r="E62" s="75"/>
      <c r="F62" s="334"/>
    </row>
    <row r="64" spans="1:6" ht="13.5" x14ac:dyDescent="0.4">
      <c r="A64" s="260" t="s">
        <v>266</v>
      </c>
      <c r="B64" s="335"/>
      <c r="C64" s="335"/>
    </row>
    <row r="65" spans="1:5" s="51" customFormat="1" ht="13.5" x14ac:dyDescent="0.4">
      <c r="A65" s="50" t="s">
        <v>240</v>
      </c>
    </row>
    <row r="66" spans="1:5" x14ac:dyDescent="0.35">
      <c r="A66" s="336"/>
      <c r="B66" s="337"/>
      <c r="C66" s="338"/>
      <c r="D66" s="339"/>
      <c r="E66" s="262"/>
    </row>
    <row r="67" spans="1:5" ht="13.5" x14ac:dyDescent="0.4">
      <c r="A67" s="340" t="s">
        <v>31</v>
      </c>
      <c r="B67" s="341"/>
      <c r="C67" s="342" t="s">
        <v>241</v>
      </c>
      <c r="D67" s="343"/>
      <c r="E67" s="344">
        <f>ROUNDDOWN(B21+E61,0)</f>
        <v>186557</v>
      </c>
    </row>
    <row r="68" spans="1:5" x14ac:dyDescent="0.35">
      <c r="A68" s="262"/>
      <c r="B68" s="345"/>
      <c r="C68" s="262"/>
      <c r="D68" s="262"/>
      <c r="E68" s="262"/>
    </row>
    <row r="69" spans="1:5" x14ac:dyDescent="0.35">
      <c r="B69" s="296"/>
      <c r="C69" s="296"/>
      <c r="D69" s="296"/>
    </row>
    <row r="70" spans="1:5" x14ac:dyDescent="0.35">
      <c r="A70" s="346"/>
      <c r="B70" s="347"/>
      <c r="C70" s="347"/>
      <c r="D70" s="347"/>
    </row>
  </sheetData>
  <sheetProtection selectLockedCells="1" selectUnlockedCells="1"/>
  <customSheetViews>
    <customSheetView guid="{2C071143-29D6-4036-A926-BF7E54293313}" showRuler="0">
      <selection activeCell="E28" sqref="E28"/>
      <pageMargins left="0.75" right="0.75" top="1" bottom="1" header="0.5" footer="0.5"/>
      <pageSetup orientation="portrait"/>
      <headerFooter alignWithMargins="0"/>
    </customSheetView>
  </customSheetViews>
  <mergeCells count="3">
    <mergeCell ref="A24:D24"/>
    <mergeCell ref="B59:C59"/>
    <mergeCell ref="A61:D61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B54:C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"/>
  <sheetViews>
    <sheetView topLeftCell="A76" zoomScaleNormal="100" workbookViewId="0">
      <selection activeCell="C84" sqref="C84"/>
    </sheetView>
  </sheetViews>
  <sheetFormatPr defaultColWidth="9" defaultRowHeight="11" x14ac:dyDescent="0.25"/>
  <cols>
    <col min="1" max="1" width="35.1796875" style="128" customWidth="1"/>
    <col min="2" max="2" width="20.81640625" style="127" customWidth="1"/>
    <col min="3" max="3" width="20.81640625" style="128" customWidth="1"/>
    <col min="4" max="4" width="17" style="128" customWidth="1"/>
    <col min="5" max="5" width="58.90625" style="128" customWidth="1"/>
    <col min="6" max="6" width="9" style="128"/>
    <col min="7" max="7" width="12.1796875" style="128" bestFit="1" customWidth="1"/>
    <col min="8" max="16384" width="9" style="128"/>
  </cols>
  <sheetData>
    <row r="1" spans="1:5" x14ac:dyDescent="0.25">
      <c r="A1" s="126" t="s">
        <v>32</v>
      </c>
    </row>
    <row r="3" spans="1:5" x14ac:dyDescent="0.25">
      <c r="E3" s="129"/>
    </row>
    <row r="4" spans="1:5" x14ac:dyDescent="0.25">
      <c r="A4" s="130" t="s">
        <v>33</v>
      </c>
    </row>
    <row r="5" spans="1:5" x14ac:dyDescent="0.25">
      <c r="A5" s="130"/>
    </row>
    <row r="6" spans="1:5" ht="12" x14ac:dyDescent="0.25">
      <c r="A6" s="131" t="s">
        <v>169</v>
      </c>
      <c r="B6" s="132"/>
    </row>
    <row r="7" spans="1:5" x14ac:dyDescent="0.25">
      <c r="A7" s="126"/>
    </row>
    <row r="8" spans="1:5" x14ac:dyDescent="0.25">
      <c r="A8" s="133"/>
      <c r="B8" s="134"/>
      <c r="D8" s="135"/>
      <c r="E8" s="129"/>
    </row>
    <row r="9" spans="1:5" x14ac:dyDescent="0.25">
      <c r="A9" s="133"/>
      <c r="B9" s="134"/>
      <c r="C9" s="136"/>
      <c r="D9" s="136"/>
      <c r="E9" s="129"/>
    </row>
    <row r="10" spans="1:5" x14ac:dyDescent="0.25">
      <c r="A10" s="133"/>
      <c r="B10" s="134"/>
      <c r="C10" s="136"/>
      <c r="D10" s="136"/>
      <c r="E10" s="129"/>
    </row>
    <row r="11" spans="1:5" x14ac:dyDescent="0.25">
      <c r="B11" s="134"/>
      <c r="C11" s="136"/>
      <c r="D11" s="136"/>
      <c r="E11" s="129"/>
    </row>
    <row r="12" spans="1:5" ht="11.5" thickBot="1" x14ac:dyDescent="0.3">
      <c r="A12" s="133"/>
      <c r="B12" s="134"/>
      <c r="C12" s="136"/>
      <c r="D12" s="136"/>
    </row>
    <row r="13" spans="1:5" x14ac:dyDescent="0.25">
      <c r="A13" s="137" t="s">
        <v>2</v>
      </c>
      <c r="B13" s="138" t="s">
        <v>34</v>
      </c>
      <c r="C13" s="138" t="s">
        <v>4</v>
      </c>
      <c r="D13" s="370" t="s">
        <v>5</v>
      </c>
      <c r="E13" s="371"/>
    </row>
    <row r="14" spans="1:5" ht="15" customHeight="1" x14ac:dyDescent="0.25">
      <c r="A14" s="139" t="s">
        <v>170</v>
      </c>
      <c r="B14" s="140">
        <v>0</v>
      </c>
      <c r="C14" s="141" t="s">
        <v>35</v>
      </c>
      <c r="D14" s="380" t="s">
        <v>109</v>
      </c>
      <c r="E14" s="380"/>
    </row>
    <row r="15" spans="1:5" ht="15" customHeight="1" x14ac:dyDescent="0.25">
      <c r="A15" s="139" t="s">
        <v>171</v>
      </c>
      <c r="B15" s="142">
        <f>(0.7921*0.5+0.387*0.5)</f>
        <v>0.58955000000000002</v>
      </c>
      <c r="C15" s="141" t="s">
        <v>172</v>
      </c>
      <c r="D15" s="380" t="s">
        <v>263</v>
      </c>
      <c r="E15" s="380"/>
    </row>
    <row r="16" spans="1:5" ht="25" customHeight="1" x14ac:dyDescent="0.25">
      <c r="A16" s="139" t="s">
        <v>173</v>
      </c>
      <c r="B16" s="143">
        <v>0.2</v>
      </c>
      <c r="C16" s="141" t="s">
        <v>108</v>
      </c>
      <c r="D16" s="383" t="s">
        <v>262</v>
      </c>
      <c r="E16" s="383"/>
    </row>
    <row r="17" spans="1:6" ht="15" customHeight="1" x14ac:dyDescent="0.25">
      <c r="A17" s="144" t="s">
        <v>174</v>
      </c>
      <c r="B17" s="145">
        <f>B14*B15*(1+B16)</f>
        <v>0</v>
      </c>
      <c r="C17" s="146" t="s">
        <v>175</v>
      </c>
      <c r="D17" s="380" t="s">
        <v>79</v>
      </c>
      <c r="E17" s="380"/>
    </row>
    <row r="18" spans="1:6" ht="15" customHeight="1" thickBot="1" x14ac:dyDescent="0.3">
      <c r="A18" s="147" t="s">
        <v>176</v>
      </c>
      <c r="B18" s="148">
        <v>0</v>
      </c>
      <c r="C18" s="149" t="s">
        <v>175</v>
      </c>
      <c r="D18" s="385" t="s">
        <v>110</v>
      </c>
      <c r="E18" s="385"/>
    </row>
    <row r="19" spans="1:6" ht="15" customHeight="1" x14ac:dyDescent="0.25">
      <c r="A19" s="150"/>
      <c r="B19" s="151"/>
      <c r="C19" s="152"/>
      <c r="D19" s="152"/>
    </row>
    <row r="20" spans="1:6" ht="15" customHeight="1" x14ac:dyDescent="0.25">
      <c r="A20" s="150"/>
      <c r="B20" s="151"/>
      <c r="C20" s="152"/>
      <c r="D20" s="152"/>
    </row>
    <row r="21" spans="1:6" ht="15" customHeight="1" x14ac:dyDescent="0.25">
      <c r="A21" s="150"/>
      <c r="B21" s="151"/>
      <c r="C21" s="152"/>
      <c r="D21" s="152"/>
      <c r="E21" s="129"/>
    </row>
    <row r="22" spans="1:6" ht="15" customHeight="1" x14ac:dyDescent="0.25">
      <c r="A22" s="150"/>
      <c r="B22" s="151"/>
      <c r="C22" s="152"/>
      <c r="D22" s="152"/>
      <c r="E22" s="153"/>
    </row>
    <row r="23" spans="1:6" ht="11.5" thickBot="1" x14ac:dyDescent="0.3">
      <c r="A23" s="133"/>
      <c r="B23" s="134"/>
      <c r="C23" s="136"/>
      <c r="D23" s="136"/>
    </row>
    <row r="24" spans="1:6" x14ac:dyDescent="0.25">
      <c r="A24" s="154" t="s">
        <v>2</v>
      </c>
      <c r="B24" s="138" t="s">
        <v>80</v>
      </c>
      <c r="C24" s="138" t="s">
        <v>4</v>
      </c>
      <c r="D24" s="372" t="s">
        <v>5</v>
      </c>
      <c r="E24" s="373"/>
    </row>
    <row r="25" spans="1:6" ht="12" x14ac:dyDescent="0.25">
      <c r="A25" s="155" t="s">
        <v>177</v>
      </c>
      <c r="B25" s="146">
        <v>28</v>
      </c>
      <c r="C25" s="146" t="s">
        <v>72</v>
      </c>
      <c r="D25" s="374" t="str">
        <f>'Baseline Emission'!E9</f>
        <v>IPCC AR5</v>
      </c>
      <c r="E25" s="375"/>
    </row>
    <row r="26" spans="1:6" ht="12" x14ac:dyDescent="0.25">
      <c r="A26" s="155" t="s">
        <v>178</v>
      </c>
      <c r="B26" s="156">
        <v>0.05</v>
      </c>
      <c r="C26" s="146" t="s">
        <v>179</v>
      </c>
      <c r="D26" s="374" t="s">
        <v>78</v>
      </c>
      <c r="E26" s="375"/>
      <c r="F26" s="157"/>
    </row>
    <row r="27" spans="1:6" ht="12" x14ac:dyDescent="0.25">
      <c r="A27" s="139" t="s">
        <v>180</v>
      </c>
      <c r="B27" s="158">
        <f>14810724.72*60%*0.00067</f>
        <v>5953.9113374400004</v>
      </c>
      <c r="C27" s="159" t="s">
        <v>37</v>
      </c>
      <c r="D27" s="374" t="s">
        <v>111</v>
      </c>
      <c r="E27" s="375"/>
    </row>
    <row r="28" spans="1:6" ht="15" customHeight="1" thickBot="1" x14ac:dyDescent="0.3">
      <c r="A28" s="147" t="s">
        <v>181</v>
      </c>
      <c r="B28" s="148">
        <f>ROUNDUP(B25*B26*B27,0)</f>
        <v>8336</v>
      </c>
      <c r="C28" s="160" t="s">
        <v>175</v>
      </c>
      <c r="D28" s="381" t="s">
        <v>79</v>
      </c>
      <c r="E28" s="382"/>
    </row>
    <row r="29" spans="1:6" s="164" customFormat="1" ht="14.25" customHeight="1" x14ac:dyDescent="0.25">
      <c r="A29" s="150"/>
      <c r="B29" s="161"/>
      <c r="C29" s="162"/>
      <c r="D29" s="163"/>
      <c r="E29" s="163"/>
    </row>
    <row r="30" spans="1:6" s="164" customFormat="1" ht="14.25" customHeight="1" x14ac:dyDescent="0.25">
      <c r="A30" s="150"/>
      <c r="B30" s="161"/>
      <c r="C30" s="162"/>
      <c r="D30" s="163"/>
      <c r="E30" s="163"/>
    </row>
    <row r="31" spans="1:6" s="164" customFormat="1" ht="14.25" customHeight="1" x14ac:dyDescent="0.25">
      <c r="A31" s="150"/>
      <c r="B31" s="161"/>
      <c r="C31" s="162"/>
      <c r="D31" s="356"/>
      <c r="E31" s="163"/>
    </row>
    <row r="32" spans="1:6" s="164" customFormat="1" ht="14.25" customHeight="1" x14ac:dyDescent="0.25">
      <c r="A32" s="150"/>
      <c r="B32" s="161"/>
      <c r="C32" s="162"/>
      <c r="D32" s="163"/>
      <c r="E32" s="165"/>
    </row>
    <row r="33" spans="1:5" s="164" customFormat="1" ht="14.25" customHeight="1" x14ac:dyDescent="0.25">
      <c r="A33" s="150"/>
      <c r="B33" s="161"/>
      <c r="C33" s="162"/>
      <c r="D33" s="163"/>
      <c r="E33" s="163"/>
    </row>
    <row r="34" spans="1:5" s="164" customFormat="1" ht="14.25" customHeight="1" x14ac:dyDescent="0.25">
      <c r="A34" s="150"/>
      <c r="B34" s="161"/>
      <c r="C34" s="162"/>
      <c r="D34" s="163"/>
      <c r="E34" s="163"/>
    </row>
    <row r="35" spans="1:5" s="164" customFormat="1" ht="14.25" customHeight="1" thickBot="1" x14ac:dyDescent="0.3">
      <c r="A35" s="150"/>
      <c r="B35" s="161"/>
      <c r="C35" s="162"/>
      <c r="D35" s="163"/>
      <c r="E35" s="163"/>
    </row>
    <row r="36" spans="1:5" s="164" customFormat="1" ht="14.25" customHeight="1" x14ac:dyDescent="0.25">
      <c r="A36" s="137" t="s">
        <v>2</v>
      </c>
      <c r="B36" s="166" t="s">
        <v>112</v>
      </c>
      <c r="C36" s="167" t="s">
        <v>4</v>
      </c>
      <c r="D36" s="372" t="s">
        <v>5</v>
      </c>
      <c r="E36" s="373"/>
    </row>
    <row r="37" spans="1:5" s="164" customFormat="1" ht="14.25" customHeight="1" x14ac:dyDescent="0.25">
      <c r="A37" s="139" t="s">
        <v>182</v>
      </c>
      <c r="B37" s="168">
        <v>28</v>
      </c>
      <c r="C37" s="168" t="s">
        <v>108</v>
      </c>
      <c r="D37" s="374" t="str">
        <f>D25</f>
        <v>IPCC AR5</v>
      </c>
      <c r="E37" s="375"/>
    </row>
    <row r="38" spans="1:5" s="164" customFormat="1" ht="12" x14ac:dyDescent="0.25">
      <c r="A38" s="169" t="s">
        <v>183</v>
      </c>
      <c r="B38" s="170">
        <f>133.29*10000*0.6*0.00067</f>
        <v>535.82580000000007</v>
      </c>
      <c r="C38" s="156" t="s">
        <v>37</v>
      </c>
      <c r="D38" s="374" t="s">
        <v>255</v>
      </c>
      <c r="E38" s="375"/>
    </row>
    <row r="39" spans="1:5" ht="12" x14ac:dyDescent="0.25">
      <c r="A39" s="169" t="s">
        <v>184</v>
      </c>
      <c r="B39" s="171">
        <v>0</v>
      </c>
      <c r="C39" s="156" t="s">
        <v>108</v>
      </c>
      <c r="D39" s="374" t="s">
        <v>261</v>
      </c>
      <c r="E39" s="375"/>
    </row>
    <row r="40" spans="1:5" ht="12" x14ac:dyDescent="0.25">
      <c r="A40" s="172" t="s">
        <v>185</v>
      </c>
      <c r="B40" s="173">
        <f>ROUNDUP(B37*B38*(1-B39),0)</f>
        <v>15004</v>
      </c>
      <c r="C40" s="156" t="s">
        <v>186</v>
      </c>
      <c r="D40" s="374" t="s">
        <v>71</v>
      </c>
      <c r="E40" s="375"/>
    </row>
    <row r="41" spans="1:5" ht="12.5" thickBot="1" x14ac:dyDescent="0.3">
      <c r="A41" s="174" t="s">
        <v>187</v>
      </c>
      <c r="B41" s="175">
        <f>ROUNDUP(B17+B18+B28+B40,0)</f>
        <v>23340</v>
      </c>
      <c r="C41" s="176" t="s">
        <v>186</v>
      </c>
      <c r="D41" s="381" t="s">
        <v>79</v>
      </c>
      <c r="E41" s="382"/>
    </row>
    <row r="42" spans="1:5" x14ac:dyDescent="0.25">
      <c r="A42" s="177"/>
      <c r="B42" s="178"/>
    </row>
    <row r="43" spans="1:5" x14ac:dyDescent="0.25">
      <c r="A43" s="179"/>
      <c r="E43" s="180"/>
    </row>
    <row r="44" spans="1:5" x14ac:dyDescent="0.25">
      <c r="A44" s="179"/>
    </row>
    <row r="45" spans="1:5" ht="11.5" thickBot="1" x14ac:dyDescent="0.3">
      <c r="A45" s="179"/>
    </row>
    <row r="46" spans="1:5" x14ac:dyDescent="0.25">
      <c r="A46" s="154" t="s">
        <v>2</v>
      </c>
      <c r="B46" s="370" t="s">
        <v>81</v>
      </c>
      <c r="C46" s="384"/>
      <c r="D46" s="181" t="s">
        <v>4</v>
      </c>
      <c r="E46" s="182" t="s">
        <v>5</v>
      </c>
    </row>
    <row r="47" spans="1:5" x14ac:dyDescent="0.25">
      <c r="A47" s="183"/>
      <c r="B47" s="184" t="str">
        <f>'Baseline Emission'!B8</f>
        <v>Market Swine</v>
      </c>
      <c r="C47" s="184" t="str">
        <f>'Baseline Emission'!C8</f>
        <v>Breeding Swine</v>
      </c>
      <c r="D47" s="146"/>
      <c r="E47" s="185"/>
    </row>
    <row r="48" spans="1:5" ht="12" x14ac:dyDescent="0.25">
      <c r="A48" s="186" t="s">
        <v>188</v>
      </c>
      <c r="B48" s="146">
        <f>'Baseline Emission'!B9</f>
        <v>28</v>
      </c>
      <c r="C48" s="146">
        <f>'Baseline Emission'!C9</f>
        <v>28</v>
      </c>
      <c r="D48" s="146" t="s">
        <v>108</v>
      </c>
      <c r="E48" s="187" t="str">
        <f>'Baseline Emission'!E9</f>
        <v>IPCC AR5</v>
      </c>
    </row>
    <row r="49" spans="1:5" ht="12" x14ac:dyDescent="0.25">
      <c r="A49" s="188" t="s">
        <v>189</v>
      </c>
      <c r="B49" s="146">
        <f>'Baseline Emission'!B10</f>
        <v>6.7000000000000002E-4</v>
      </c>
      <c r="C49" s="146">
        <f>'Baseline Emission'!C10</f>
        <v>6.7000000000000002E-4</v>
      </c>
      <c r="D49" s="146" t="str">
        <f>'Baseline Emission'!D10</f>
        <v>t/m3</v>
      </c>
      <c r="E49" s="185" t="str">
        <f>'Baseline Emission'!E10</f>
        <v>ACM0010 Version 08.0, page 30</v>
      </c>
    </row>
    <row r="50" spans="1:5" x14ac:dyDescent="0.25">
      <c r="A50" s="189"/>
      <c r="B50" s="142">
        <v>1E-3</v>
      </c>
      <c r="C50" s="190">
        <v>1E-3</v>
      </c>
      <c r="D50" s="146" t="s">
        <v>108</v>
      </c>
      <c r="E50" s="185" t="s">
        <v>114</v>
      </c>
    </row>
    <row r="51" spans="1:5" ht="12" x14ac:dyDescent="0.25">
      <c r="A51" s="188" t="s">
        <v>190</v>
      </c>
      <c r="B51" s="191">
        <v>0.65</v>
      </c>
      <c r="C51" s="191">
        <f>B51</f>
        <v>0.65</v>
      </c>
      <c r="D51" s="146" t="s">
        <v>108</v>
      </c>
      <c r="E51" s="185" t="s">
        <v>109</v>
      </c>
    </row>
    <row r="52" spans="1:5" ht="12" x14ac:dyDescent="0.25">
      <c r="A52" s="188" t="s">
        <v>191</v>
      </c>
      <c r="B52" s="192">
        <f>(1-0%)*(1-80%)</f>
        <v>0.19999999999999996</v>
      </c>
      <c r="C52" s="192">
        <f>(1-0%)*(1-80%)</f>
        <v>0.19999999999999996</v>
      </c>
      <c r="D52" s="146" t="s">
        <v>108</v>
      </c>
      <c r="E52" s="187" t="s">
        <v>267</v>
      </c>
    </row>
    <row r="53" spans="1:5" ht="12" x14ac:dyDescent="0.25">
      <c r="A53" s="188" t="s">
        <v>192</v>
      </c>
      <c r="B53" s="142">
        <f>'Baseline Emission'!B12</f>
        <v>0.28999999999999998</v>
      </c>
      <c r="C53" s="142">
        <f>'Baseline Emission'!C12</f>
        <v>0.28999999999999998</v>
      </c>
      <c r="D53" s="142" t="str">
        <f>'Baseline Emission'!D12</f>
        <v>m3 CH4 /kg VS</v>
      </c>
      <c r="E53" s="193" t="str">
        <f>'Baseline Emission'!E12</f>
        <v>2006 IPCC guideline, volume 4, chapter 10, tbl. 10A-7</v>
      </c>
    </row>
    <row r="54" spans="1:5" ht="12" x14ac:dyDescent="0.25">
      <c r="A54" s="188" t="s">
        <v>193</v>
      </c>
      <c r="B54" s="194">
        <f>'Baseline Emission'!B13</f>
        <v>99450</v>
      </c>
      <c r="C54" s="194">
        <f>'Baseline Emission'!C13</f>
        <v>54252</v>
      </c>
      <c r="D54" s="142" t="str">
        <f>'Baseline Emission'!D13</f>
        <v>No of heads</v>
      </c>
      <c r="E54" s="193" t="str">
        <f>'Baseline Emission'!E13</f>
        <v>Project evaluation report</v>
      </c>
    </row>
    <row r="55" spans="1:5" ht="12" x14ac:dyDescent="0.25">
      <c r="A55" s="188" t="s">
        <v>194</v>
      </c>
      <c r="B55" s="195">
        <f>'Baseline Emission'!B17</f>
        <v>267.88392857142861</v>
      </c>
      <c r="C55" s="195">
        <f>'Baseline Emission'!C17</f>
        <v>405.15</v>
      </c>
      <c r="D55" s="142" t="str">
        <f>'Baseline Emission'!D17</f>
        <v>kg-dm/animal/yr</v>
      </c>
      <c r="E55" s="193" t="s">
        <v>86</v>
      </c>
    </row>
    <row r="56" spans="1:5" x14ac:dyDescent="0.25">
      <c r="A56" s="188" t="s">
        <v>82</v>
      </c>
      <c r="B56" s="159">
        <v>1</v>
      </c>
      <c r="C56" s="159">
        <f>B56</f>
        <v>1</v>
      </c>
      <c r="D56" s="146" t="s">
        <v>108</v>
      </c>
      <c r="E56" s="193" t="str">
        <f>'Baseline Emission'!E15</f>
        <v>2006 IPCC guideline, volume 4, chapter 10, tbl. 10A-7</v>
      </c>
    </row>
    <row r="57" spans="1:5" ht="12" x14ac:dyDescent="0.25">
      <c r="A57" s="189" t="s">
        <v>113</v>
      </c>
      <c r="B57" s="196">
        <f>ROUNDUP(B48*B49*B50*B51*B52*B53*B54*B55*B56,0)</f>
        <v>19</v>
      </c>
      <c r="C57" s="196">
        <f>ROUNDUP(C48*C49*C50*C51*C52*C53*C54*C55*C56,0)</f>
        <v>16</v>
      </c>
      <c r="D57" s="197" t="s">
        <v>186</v>
      </c>
      <c r="E57" s="198" t="s">
        <v>86</v>
      </c>
    </row>
    <row r="58" spans="1:5" ht="12.5" thickBot="1" x14ac:dyDescent="0.3">
      <c r="A58" s="199" t="s">
        <v>195</v>
      </c>
      <c r="B58" s="378">
        <f>B57+C57</f>
        <v>35</v>
      </c>
      <c r="C58" s="379"/>
      <c r="D58" s="160" t="s">
        <v>186</v>
      </c>
      <c r="E58" s="200" t="s">
        <v>86</v>
      </c>
    </row>
    <row r="59" spans="1:5" x14ac:dyDescent="0.25">
      <c r="A59" s="179"/>
    </row>
    <row r="60" spans="1:5" x14ac:dyDescent="0.25">
      <c r="A60" s="201" t="s">
        <v>39</v>
      </c>
    </row>
    <row r="61" spans="1:5" x14ac:dyDescent="0.25">
      <c r="A61" s="179"/>
    </row>
    <row r="62" spans="1:5" x14ac:dyDescent="0.25">
      <c r="A62" s="179"/>
      <c r="D62" s="180"/>
    </row>
    <row r="63" spans="1:5" x14ac:dyDescent="0.25">
      <c r="A63" s="202"/>
      <c r="D63" s="180"/>
    </row>
    <row r="64" spans="1:5" x14ac:dyDescent="0.25">
      <c r="A64" s="202"/>
      <c r="D64" s="180"/>
    </row>
    <row r="65" spans="1:9" x14ac:dyDescent="0.25">
      <c r="A65" s="202"/>
      <c r="D65" s="180"/>
    </row>
    <row r="66" spans="1:9" x14ac:dyDescent="0.25">
      <c r="A66" s="202"/>
      <c r="D66" s="180"/>
    </row>
    <row r="67" spans="1:9" ht="12" x14ac:dyDescent="0.25">
      <c r="A67" s="203" t="s">
        <v>196</v>
      </c>
      <c r="B67" s="204"/>
    </row>
    <row r="68" spans="1:9" ht="11.5" thickBot="1" x14ac:dyDescent="0.3">
      <c r="A68" s="133"/>
    </row>
    <row r="69" spans="1:9" ht="11.5" thickBot="1" x14ac:dyDescent="0.3">
      <c r="A69" s="205" t="s">
        <v>2</v>
      </c>
      <c r="B69" s="206" t="s">
        <v>36</v>
      </c>
      <c r="C69" s="206"/>
      <c r="D69" s="206" t="s">
        <v>4</v>
      </c>
      <c r="E69" s="207" t="s">
        <v>5</v>
      </c>
    </row>
    <row r="70" spans="1:9" s="211" customFormat="1" x14ac:dyDescent="0.25">
      <c r="A70" s="208"/>
      <c r="B70" s="209" t="s">
        <v>6</v>
      </c>
      <c r="C70" s="209" t="s">
        <v>7</v>
      </c>
      <c r="D70" s="209"/>
      <c r="E70" s="210"/>
      <c r="F70" s="128"/>
      <c r="G70" s="128"/>
      <c r="H70" s="128"/>
      <c r="I70" s="128"/>
    </row>
    <row r="71" spans="1:9" ht="38.25" customHeight="1" x14ac:dyDescent="0.25">
      <c r="A71" s="212" t="s">
        <v>197</v>
      </c>
      <c r="B71" s="213">
        <v>0</v>
      </c>
      <c r="C71" s="213">
        <v>0</v>
      </c>
      <c r="D71" s="214" t="s">
        <v>198</v>
      </c>
      <c r="E71" s="215" t="str">
        <f>'Baseline Emission'!E35</f>
        <v>2006 IPCC default value, vol. 4, ch. 10, tbl. 10.21</v>
      </c>
    </row>
    <row r="72" spans="1:9" ht="13.5" x14ac:dyDescent="0.25">
      <c r="A72" s="212" t="s">
        <v>141</v>
      </c>
      <c r="B72" s="216">
        <f>'Baseline Emission'!B53</f>
        <v>10.501050000000001</v>
      </c>
      <c r="C72" s="216">
        <f>'Baseline Emission'!C53</f>
        <v>9.0753599999999981</v>
      </c>
      <c r="D72" s="146" t="s">
        <v>26</v>
      </c>
      <c r="E72" s="217" t="s">
        <v>115</v>
      </c>
    </row>
    <row r="73" spans="1:9" ht="13.5" x14ac:dyDescent="0.25">
      <c r="A73" s="67" t="s">
        <v>133</v>
      </c>
      <c r="B73" s="218">
        <f>'Baseline Emission'!B13</f>
        <v>99450</v>
      </c>
      <c r="C73" s="218">
        <f>'Baseline Emission'!C13</f>
        <v>54252</v>
      </c>
      <c r="D73" s="146" t="s">
        <v>11</v>
      </c>
      <c r="E73" s="217" t="str">
        <f>E54</f>
        <v>Project evaluation report</v>
      </c>
      <c r="F73" s="211"/>
      <c r="G73" s="211"/>
      <c r="H73" s="211"/>
      <c r="I73" s="211"/>
    </row>
    <row r="74" spans="1:9" ht="13.5" x14ac:dyDescent="0.25">
      <c r="A74" s="67" t="s">
        <v>137</v>
      </c>
      <c r="B74" s="191">
        <v>0.5</v>
      </c>
      <c r="C74" s="191">
        <f>B74</f>
        <v>0.5</v>
      </c>
      <c r="D74" s="146" t="s">
        <v>108</v>
      </c>
      <c r="E74" s="217" t="s">
        <v>109</v>
      </c>
    </row>
    <row r="75" spans="1:9" ht="13.5" x14ac:dyDescent="0.4">
      <c r="A75" s="219"/>
      <c r="B75" s="220">
        <f>B71*B72*B73*B74</f>
        <v>0</v>
      </c>
      <c r="C75" s="220">
        <f>C71*C72*C73*C74</f>
        <v>0</v>
      </c>
      <c r="D75" s="30" t="s">
        <v>151</v>
      </c>
      <c r="E75" s="221" t="s">
        <v>71</v>
      </c>
    </row>
    <row r="76" spans="1:9" ht="13.5" x14ac:dyDescent="0.4">
      <c r="A76" s="67" t="s">
        <v>197</v>
      </c>
      <c r="B76" s="222">
        <v>6.0000000000000001E-3</v>
      </c>
      <c r="C76" s="222">
        <v>6.0000000000000001E-3</v>
      </c>
      <c r="D76" s="30" t="s">
        <v>151</v>
      </c>
      <c r="E76" s="221" t="s">
        <v>83</v>
      </c>
    </row>
    <row r="77" spans="1:9" ht="13.5" x14ac:dyDescent="0.25">
      <c r="A77" s="67" t="s">
        <v>141</v>
      </c>
      <c r="B77" s="223">
        <f t="shared" ref="B77:D78" si="0">B72</f>
        <v>10.501050000000001</v>
      </c>
      <c r="C77" s="223">
        <f t="shared" si="0"/>
        <v>9.0753599999999981</v>
      </c>
      <c r="D77" s="156" t="str">
        <f t="shared" si="0"/>
        <v>kg N/animal/year</v>
      </c>
      <c r="E77" s="217" t="s">
        <v>40</v>
      </c>
    </row>
    <row r="78" spans="1:9" ht="13.5" x14ac:dyDescent="0.25">
      <c r="A78" s="67" t="s">
        <v>133</v>
      </c>
      <c r="B78" s="168">
        <f t="shared" si="0"/>
        <v>99450</v>
      </c>
      <c r="C78" s="168">
        <f t="shared" si="0"/>
        <v>54252</v>
      </c>
      <c r="D78" s="156" t="str">
        <f t="shared" si="0"/>
        <v>No of heads</v>
      </c>
      <c r="E78" s="221" t="s">
        <v>109</v>
      </c>
    </row>
    <row r="79" spans="1:9" ht="13.5" x14ac:dyDescent="0.25">
      <c r="A79" s="67" t="s">
        <v>137</v>
      </c>
      <c r="B79" s="171">
        <v>0.65</v>
      </c>
      <c r="C79" s="171">
        <f>B79</f>
        <v>0.65</v>
      </c>
      <c r="D79" s="146" t="s">
        <v>108</v>
      </c>
      <c r="E79" s="221" t="s">
        <v>109</v>
      </c>
    </row>
    <row r="80" spans="1:9" ht="13.5" x14ac:dyDescent="0.4">
      <c r="A80" s="144"/>
      <c r="B80" s="224">
        <f>B76*B77*B78*B79</f>
        <v>4072.8847477499999</v>
      </c>
      <c r="C80" s="224">
        <f>C76*C77*C78*C79</f>
        <v>1920.1900798079998</v>
      </c>
      <c r="D80" s="30" t="s">
        <v>151</v>
      </c>
      <c r="E80" s="221" t="s">
        <v>71</v>
      </c>
    </row>
    <row r="81" spans="1:9" ht="14" thickBot="1" x14ac:dyDescent="0.45">
      <c r="A81" s="147" t="s">
        <v>199</v>
      </c>
      <c r="B81" s="376">
        <f>B80+C80+B75+C75</f>
        <v>5993.0748275579999</v>
      </c>
      <c r="C81" s="377"/>
      <c r="D81" s="89" t="s">
        <v>151</v>
      </c>
      <c r="E81" s="225" t="s">
        <v>71</v>
      </c>
      <c r="G81" s="226"/>
    </row>
    <row r="83" spans="1:9" x14ac:dyDescent="0.25">
      <c r="A83" s="130" t="s">
        <v>41</v>
      </c>
      <c r="B83" s="227"/>
      <c r="C83" s="228"/>
      <c r="D83" s="180"/>
      <c r="E83" s="228"/>
    </row>
    <row r="84" spans="1:9" x14ac:dyDescent="0.25">
      <c r="A84" s="130"/>
      <c r="B84" s="227"/>
      <c r="C84" s="228"/>
      <c r="D84" s="180"/>
      <c r="E84" s="228"/>
    </row>
    <row r="85" spans="1:9" ht="11.5" thickBot="1" x14ac:dyDescent="0.3">
      <c r="A85" s="229" t="s">
        <v>200</v>
      </c>
      <c r="B85" s="204"/>
      <c r="C85" s="228"/>
      <c r="D85" s="228"/>
      <c r="E85" s="228"/>
    </row>
    <row r="86" spans="1:9" ht="11.5" thickBot="1" x14ac:dyDescent="0.3">
      <c r="A86" s="230" t="s">
        <v>2</v>
      </c>
      <c r="B86" s="206" t="s">
        <v>36</v>
      </c>
      <c r="C86" s="206"/>
      <c r="D86" s="206" t="s">
        <v>4</v>
      </c>
      <c r="E86" s="207" t="s">
        <v>5</v>
      </c>
    </row>
    <row r="87" spans="1:9" x14ac:dyDescent="0.25">
      <c r="A87" s="208"/>
      <c r="B87" s="209" t="str">
        <f>B70</f>
        <v>Market Swine</v>
      </c>
      <c r="C87" s="209" t="str">
        <f>C70</f>
        <v>Breeding Swine</v>
      </c>
      <c r="D87" s="209"/>
      <c r="E87" s="210"/>
    </row>
    <row r="88" spans="1:9" s="211" customFormat="1" ht="13.5" x14ac:dyDescent="0.25">
      <c r="A88" s="212" t="s">
        <v>273</v>
      </c>
      <c r="B88" s="142">
        <v>0.01</v>
      </c>
      <c r="C88" s="142">
        <f>B88</f>
        <v>0.01</v>
      </c>
      <c r="D88" s="214" t="s">
        <v>198</v>
      </c>
      <c r="E88" s="217" t="s">
        <v>42</v>
      </c>
      <c r="F88" s="128"/>
      <c r="G88" s="128"/>
      <c r="H88" s="128"/>
      <c r="I88" s="128"/>
    </row>
    <row r="89" spans="1:9" ht="22" x14ac:dyDescent="0.25">
      <c r="A89" s="67" t="s">
        <v>201</v>
      </c>
      <c r="B89" s="231">
        <v>0.4</v>
      </c>
      <c r="C89" s="231">
        <v>0.4</v>
      </c>
      <c r="D89" s="146" t="s">
        <v>108</v>
      </c>
      <c r="E89" s="215" t="s">
        <v>84</v>
      </c>
    </row>
    <row r="90" spans="1:9" ht="13.5" x14ac:dyDescent="0.25">
      <c r="A90" s="67" t="s">
        <v>141</v>
      </c>
      <c r="B90" s="232">
        <f>B72</f>
        <v>10.501050000000001</v>
      </c>
      <c r="C90" s="232">
        <f>C72</f>
        <v>9.0753599999999981</v>
      </c>
      <c r="D90" s="146" t="str">
        <f>D77</f>
        <v>kg N/animal/year</v>
      </c>
      <c r="E90" s="217" t="s">
        <v>40</v>
      </c>
    </row>
    <row r="91" spans="1:9" ht="13.5" x14ac:dyDescent="0.25">
      <c r="A91" s="67" t="s">
        <v>133</v>
      </c>
      <c r="B91" s="218">
        <f>'Baseline Emission'!B13</f>
        <v>99450</v>
      </c>
      <c r="C91" s="218">
        <f>'Baseline Emission'!C13</f>
        <v>54252</v>
      </c>
      <c r="D91" s="146" t="str">
        <f>D78</f>
        <v>No of heads</v>
      </c>
      <c r="E91" s="217" t="s">
        <v>109</v>
      </c>
      <c r="F91" s="211"/>
      <c r="G91" s="211"/>
      <c r="H91" s="211"/>
      <c r="I91" s="211"/>
    </row>
    <row r="92" spans="1:9" ht="13.5" x14ac:dyDescent="0.25">
      <c r="A92" s="67" t="s">
        <v>137</v>
      </c>
      <c r="B92" s="233">
        <v>0.5</v>
      </c>
      <c r="C92" s="233">
        <v>0.5</v>
      </c>
      <c r="D92" s="146" t="s">
        <v>8</v>
      </c>
      <c r="E92" s="234" t="s">
        <v>109</v>
      </c>
    </row>
    <row r="93" spans="1:9" ht="13.5" x14ac:dyDescent="0.4">
      <c r="A93" s="67" t="s">
        <v>148</v>
      </c>
      <c r="B93" s="146">
        <v>265</v>
      </c>
      <c r="C93" s="146">
        <v>265</v>
      </c>
      <c r="D93" s="30" t="s">
        <v>149</v>
      </c>
      <c r="E93" s="215" t="str">
        <f>D25</f>
        <v>IPCC AR5</v>
      </c>
    </row>
    <row r="94" spans="1:9" ht="13.5" x14ac:dyDescent="0.4">
      <c r="A94" s="235"/>
      <c r="B94" s="224">
        <f>B88*B89*B90*B91*B92</f>
        <v>2088.6588450000004</v>
      </c>
      <c r="C94" s="224">
        <f>C88*C89*C90*C91*C92</f>
        <v>984.71286143999976</v>
      </c>
      <c r="D94" s="30" t="s">
        <v>151</v>
      </c>
      <c r="E94" s="221" t="s">
        <v>71</v>
      </c>
    </row>
    <row r="95" spans="1:9" ht="13.5" x14ac:dyDescent="0.25">
      <c r="A95" s="236" t="s">
        <v>202</v>
      </c>
      <c r="B95" s="142">
        <v>0.01</v>
      </c>
      <c r="C95" s="142">
        <f>B95</f>
        <v>0.01</v>
      </c>
      <c r="D95" s="146" t="str">
        <f>D88</f>
        <v>kg N2O/kg N</v>
      </c>
      <c r="E95" s="217" t="s">
        <v>42</v>
      </c>
    </row>
    <row r="96" spans="1:9" ht="22" x14ac:dyDescent="0.25">
      <c r="A96" s="67" t="s">
        <v>201</v>
      </c>
      <c r="B96" s="231">
        <v>0.45</v>
      </c>
      <c r="C96" s="231">
        <v>0.45</v>
      </c>
      <c r="D96" s="146" t="s">
        <v>108</v>
      </c>
      <c r="E96" s="215" t="s">
        <v>43</v>
      </c>
    </row>
    <row r="97" spans="1:5" ht="13.5" x14ac:dyDescent="0.25">
      <c r="A97" s="67" t="s">
        <v>141</v>
      </c>
      <c r="B97" s="232">
        <f>B90</f>
        <v>10.501050000000001</v>
      </c>
      <c r="C97" s="232">
        <f>C90</f>
        <v>9.0753599999999981</v>
      </c>
      <c r="D97" s="146" t="str">
        <f>D90</f>
        <v>kg N/animal/year</v>
      </c>
      <c r="E97" s="217" t="str">
        <f>'Baseline Emission'!E41</f>
        <v>Calculated</v>
      </c>
    </row>
    <row r="98" spans="1:5" ht="13.5" x14ac:dyDescent="0.25">
      <c r="A98" s="67" t="s">
        <v>133</v>
      </c>
      <c r="B98" s="218">
        <f>B91</f>
        <v>99450</v>
      </c>
      <c r="C98" s="218">
        <f>C91</f>
        <v>54252</v>
      </c>
      <c r="D98" s="146" t="str">
        <f>'Baseline Emission'!D13</f>
        <v>No of heads</v>
      </c>
      <c r="E98" s="217" t="str">
        <f>'Baseline Emission'!E13</f>
        <v>Project evaluation report</v>
      </c>
    </row>
    <row r="99" spans="1:5" ht="13.5" x14ac:dyDescent="0.25">
      <c r="A99" s="67" t="s">
        <v>137</v>
      </c>
      <c r="B99" s="237">
        <f>B79</f>
        <v>0.65</v>
      </c>
      <c r="C99" s="237">
        <f>B79</f>
        <v>0.65</v>
      </c>
      <c r="D99" s="146" t="s">
        <v>8</v>
      </c>
      <c r="E99" s="234" t="s">
        <v>17</v>
      </c>
    </row>
    <row r="100" spans="1:5" ht="13.5" x14ac:dyDescent="0.25">
      <c r="A100" s="67" t="s">
        <v>148</v>
      </c>
      <c r="B100" s="146">
        <v>265</v>
      </c>
      <c r="C100" s="146">
        <v>265</v>
      </c>
      <c r="D100" s="146" t="s">
        <v>108</v>
      </c>
      <c r="E100" s="217" t="s">
        <v>106</v>
      </c>
    </row>
    <row r="101" spans="1:5" ht="13.5" x14ac:dyDescent="0.4">
      <c r="A101" s="235"/>
      <c r="B101" s="224">
        <f>B95*B96*B97*B98*B99</f>
        <v>3054.6635608125007</v>
      </c>
      <c r="C101" s="224">
        <f>C95*C96*C97*C98*C99</f>
        <v>1440.1425598559999</v>
      </c>
      <c r="D101" s="30" t="s">
        <v>151</v>
      </c>
      <c r="E101" s="221" t="s">
        <v>71</v>
      </c>
    </row>
    <row r="102" spans="1:5" ht="14" thickBot="1" x14ac:dyDescent="0.45">
      <c r="A102" s="147" t="s">
        <v>203</v>
      </c>
      <c r="B102" s="386">
        <f>B101+C101+B94+C94</f>
        <v>7568.1778271085013</v>
      </c>
      <c r="C102" s="386"/>
      <c r="D102" s="89" t="s">
        <v>151</v>
      </c>
      <c r="E102" s="225" t="s">
        <v>71</v>
      </c>
    </row>
    <row r="103" spans="1:5" x14ac:dyDescent="0.25">
      <c r="A103" s="150"/>
      <c r="B103" s="238"/>
      <c r="C103" s="239"/>
      <c r="D103" s="240"/>
      <c r="E103" s="240"/>
    </row>
    <row r="104" spans="1:5" ht="12" x14ac:dyDescent="0.25">
      <c r="A104" s="241" t="s">
        <v>204</v>
      </c>
      <c r="B104" s="242"/>
      <c r="C104" s="387">
        <f>ROUNDUP(B93*44/28*1/1000*(B81+B102),0)</f>
        <v>5648</v>
      </c>
      <c r="D104" s="387"/>
      <c r="E104" s="157" t="s">
        <v>186</v>
      </c>
    </row>
    <row r="105" spans="1:5" x14ac:dyDescent="0.25">
      <c r="A105" s="243"/>
      <c r="B105" s="243"/>
      <c r="C105" s="243"/>
      <c r="D105" s="243"/>
      <c r="E105" s="243"/>
    </row>
    <row r="106" spans="1:5" x14ac:dyDescent="0.25">
      <c r="A106" s="152"/>
      <c r="B106" s="245"/>
      <c r="C106" s="245"/>
      <c r="E106" s="157"/>
    </row>
    <row r="107" spans="1:5" x14ac:dyDescent="0.25">
      <c r="A107" s="152"/>
      <c r="B107" s="245"/>
      <c r="C107" s="245"/>
      <c r="D107" s="244"/>
      <c r="E107" s="157"/>
    </row>
    <row r="108" spans="1:5" ht="12" x14ac:dyDescent="0.25">
      <c r="A108" s="364" t="s">
        <v>274</v>
      </c>
      <c r="B108" s="246"/>
      <c r="C108" s="246"/>
      <c r="D108" s="364">
        <v>0</v>
      </c>
      <c r="E108" s="157" t="s">
        <v>186</v>
      </c>
    </row>
    <row r="109" spans="1:5" x14ac:dyDescent="0.25">
      <c r="A109" s="248"/>
      <c r="B109" s="249"/>
      <c r="C109" s="250"/>
      <c r="D109" s="247"/>
      <c r="E109" s="163"/>
    </row>
    <row r="110" spans="1:5" x14ac:dyDescent="0.25">
      <c r="A110" s="157"/>
      <c r="B110" s="251"/>
      <c r="C110" s="157"/>
      <c r="D110" s="157"/>
      <c r="E110" s="157"/>
    </row>
    <row r="111" spans="1:5" x14ac:dyDescent="0.25">
      <c r="A111" s="252"/>
      <c r="B111" s="244"/>
      <c r="C111" s="157"/>
      <c r="D111" s="157"/>
      <c r="E111" s="157"/>
    </row>
    <row r="114" spans="1:5" ht="12" x14ac:dyDescent="0.25">
      <c r="A114" s="253" t="s">
        <v>205</v>
      </c>
      <c r="B114" s="254">
        <f>ROUNDUP(B41+B58+C104+D108,0)</f>
        <v>29023</v>
      </c>
      <c r="C114" s="157" t="s">
        <v>186</v>
      </c>
      <c r="D114" s="255"/>
      <c r="E114" s="157"/>
    </row>
    <row r="117" spans="1:5" x14ac:dyDescent="0.25">
      <c r="A117" s="256"/>
      <c r="B117" s="257"/>
      <c r="C117" s="256"/>
      <c r="D117" s="256"/>
    </row>
  </sheetData>
  <customSheetViews>
    <customSheetView guid="{2C071143-29D6-4036-A926-BF7E54293313}" hiddenRows="1" showRuler="0" topLeftCell="A61">
      <selection activeCell="B20" sqref="B20:C20"/>
      <pageMargins left="0.75" right="0.75" top="1" bottom="1" header="0.5" footer="0.5"/>
      <pageSetup paperSize="9" orientation="portrait"/>
      <headerFooter alignWithMargins="0"/>
    </customSheetView>
  </customSheetViews>
  <mergeCells count="22">
    <mergeCell ref="B102:C102"/>
    <mergeCell ref="C104:D104"/>
    <mergeCell ref="D36:E36"/>
    <mergeCell ref="D37:E37"/>
    <mergeCell ref="D38:E38"/>
    <mergeCell ref="D39:E39"/>
    <mergeCell ref="B81:C81"/>
    <mergeCell ref="B58:C58"/>
    <mergeCell ref="D14:E14"/>
    <mergeCell ref="D41:E41"/>
    <mergeCell ref="D16:E16"/>
    <mergeCell ref="D17:E17"/>
    <mergeCell ref="B46:C46"/>
    <mergeCell ref="D15:E15"/>
    <mergeCell ref="D40:E40"/>
    <mergeCell ref="D18:E18"/>
    <mergeCell ref="D28:E28"/>
    <mergeCell ref="D13:E13"/>
    <mergeCell ref="D24:E24"/>
    <mergeCell ref="D25:E25"/>
    <mergeCell ref="D26:E26"/>
    <mergeCell ref="D27:E27"/>
  </mergeCells>
  <phoneticPr fontId="5" type="noConversion"/>
  <pageMargins left="0.75" right="0.75" top="1" bottom="1" header="0.5" footer="0.5"/>
  <pageSetup paperSize="9" orientation="portrait" r:id="rId1"/>
  <headerFooter alignWithMargins="0"/>
  <ignoredErrors>
    <ignoredError sqref="E9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5"/>
  <sheetViews>
    <sheetView zoomScale="90" zoomScaleNormal="90" workbookViewId="0">
      <selection activeCell="A73" sqref="A73"/>
    </sheetView>
  </sheetViews>
  <sheetFormatPr defaultColWidth="9" defaultRowHeight="12.5" x14ac:dyDescent="0.35"/>
  <cols>
    <col min="1" max="1" width="42.7265625" style="51" customWidth="1"/>
    <col min="2" max="2" width="19.1796875" style="51" customWidth="1"/>
    <col min="3" max="3" width="17.54296875" style="51" customWidth="1"/>
    <col min="4" max="4" width="28.81640625" style="51" customWidth="1"/>
    <col min="5" max="5" width="53.26953125" style="51" customWidth="1"/>
    <col min="6" max="16384" width="9" style="51"/>
  </cols>
  <sheetData>
    <row r="1" spans="1:4" x14ac:dyDescent="0.35">
      <c r="A1" s="50" t="s">
        <v>44</v>
      </c>
    </row>
    <row r="2" spans="1:4" x14ac:dyDescent="0.35">
      <c r="A2" s="50"/>
      <c r="B2" s="52"/>
    </row>
    <row r="3" spans="1:4" x14ac:dyDescent="0.35">
      <c r="A3" s="50"/>
    </row>
    <row r="4" spans="1:4" x14ac:dyDescent="0.35">
      <c r="A4" s="51" t="s">
        <v>45</v>
      </c>
    </row>
    <row r="5" spans="1:4" x14ac:dyDescent="0.35">
      <c r="A5" s="50"/>
      <c r="D5" s="53"/>
    </row>
    <row r="6" spans="1:4" x14ac:dyDescent="0.35">
      <c r="A6" s="50"/>
      <c r="D6" s="53"/>
    </row>
    <row r="7" spans="1:4" x14ac:dyDescent="0.35">
      <c r="A7" s="50"/>
      <c r="D7" s="53"/>
    </row>
    <row r="8" spans="1:4" x14ac:dyDescent="0.35">
      <c r="A8" s="50"/>
      <c r="D8" s="53"/>
    </row>
    <row r="9" spans="1:4" x14ac:dyDescent="0.35">
      <c r="A9" s="50"/>
      <c r="D9" s="53"/>
    </row>
    <row r="10" spans="1:4" x14ac:dyDescent="0.35">
      <c r="A10" s="50"/>
      <c r="D10" s="53"/>
    </row>
    <row r="11" spans="1:4" x14ac:dyDescent="0.35">
      <c r="A11" s="50"/>
      <c r="D11" s="53"/>
    </row>
    <row r="12" spans="1:4" x14ac:dyDescent="0.35">
      <c r="A12" s="50"/>
      <c r="D12" s="53"/>
    </row>
    <row r="13" spans="1:4" x14ac:dyDescent="0.35">
      <c r="A13" s="50"/>
      <c r="D13" s="53"/>
    </row>
    <row r="14" spans="1:4" x14ac:dyDescent="0.35">
      <c r="A14" s="50"/>
      <c r="D14" s="53"/>
    </row>
    <row r="15" spans="1:4" x14ac:dyDescent="0.35">
      <c r="A15" s="50"/>
      <c r="D15" s="53"/>
    </row>
    <row r="16" spans="1:4" x14ac:dyDescent="0.35">
      <c r="A16" s="50"/>
      <c r="D16" s="53"/>
    </row>
    <row r="17" spans="1:5" x14ac:dyDescent="0.35">
      <c r="A17" s="50"/>
      <c r="D17" s="53"/>
    </row>
    <row r="18" spans="1:5" x14ac:dyDescent="0.35">
      <c r="A18" s="50"/>
    </row>
    <row r="19" spans="1:5" ht="13" thickBot="1" x14ac:dyDescent="0.4">
      <c r="A19" s="50"/>
    </row>
    <row r="20" spans="1:5" ht="13" thickBot="1" x14ac:dyDescent="0.4">
      <c r="A20" s="54" t="s">
        <v>2</v>
      </c>
      <c r="B20" s="55" t="s">
        <v>36</v>
      </c>
      <c r="C20" s="55"/>
      <c r="D20" s="56" t="s">
        <v>4</v>
      </c>
      <c r="E20" s="57" t="s">
        <v>5</v>
      </c>
    </row>
    <row r="21" spans="1:5" x14ac:dyDescent="0.35">
      <c r="A21" s="22"/>
      <c r="B21" s="23" t="str">
        <f>B138</f>
        <v>Market Swine</v>
      </c>
      <c r="C21" s="23" t="str">
        <f>C138</f>
        <v>Breeding Swine</v>
      </c>
      <c r="D21" s="58"/>
      <c r="E21" s="24"/>
    </row>
    <row r="22" spans="1:5" s="61" customFormat="1" ht="13.5" x14ac:dyDescent="0.35">
      <c r="A22" s="34" t="s">
        <v>133</v>
      </c>
      <c r="B22" s="37">
        <f>'Baseline Emission'!B13</f>
        <v>99450</v>
      </c>
      <c r="C22" s="37">
        <f>'Baseline Emission'!C13</f>
        <v>54252</v>
      </c>
      <c r="D22" s="59" t="str">
        <f>'Baseline Emission'!D13</f>
        <v>No of heads</v>
      </c>
      <c r="E22" s="60" t="str">
        <f>'Baseline Emission'!E13</f>
        <v>Project evaluation report</v>
      </c>
    </row>
    <row r="23" spans="1:5" ht="13.5" x14ac:dyDescent="0.35">
      <c r="A23" s="62" t="s">
        <v>140</v>
      </c>
      <c r="B23" s="33">
        <f>'Baseline Emission'!B36</f>
        <v>0.42</v>
      </c>
      <c r="C23" s="63">
        <f>'Baseline Emission'!C36</f>
        <v>0.24</v>
      </c>
      <c r="D23" s="59" t="s">
        <v>23</v>
      </c>
      <c r="E23" s="46" t="s">
        <v>24</v>
      </c>
    </row>
    <row r="24" spans="1:5" ht="13.5" x14ac:dyDescent="0.35">
      <c r="A24" s="64" t="s">
        <v>141</v>
      </c>
      <c r="B24" s="65">
        <f>'Baseline Emission'!B41</f>
        <v>10.501050000000001</v>
      </c>
      <c r="C24" s="65">
        <f>'Baseline Emission'!C41</f>
        <v>9.0753599999999981</v>
      </c>
      <c r="D24" s="59" t="str">
        <f>'Baseline Emission'!D41</f>
        <v>kg N/animal/year</v>
      </c>
      <c r="E24" s="46" t="s">
        <v>47</v>
      </c>
    </row>
    <row r="25" spans="1:5" s="61" customFormat="1" ht="25" x14ac:dyDescent="0.35">
      <c r="A25" s="64" t="s">
        <v>142</v>
      </c>
      <c r="B25" s="40">
        <v>0.8</v>
      </c>
      <c r="C25" s="40">
        <v>0.8</v>
      </c>
      <c r="D25" s="59" t="s">
        <v>108</v>
      </c>
      <c r="E25" s="66" t="s">
        <v>268</v>
      </c>
    </row>
    <row r="26" spans="1:5" ht="13.5" x14ac:dyDescent="0.35">
      <c r="A26" s="64" t="s">
        <v>143</v>
      </c>
      <c r="B26" s="33">
        <v>0.01</v>
      </c>
      <c r="C26" s="33">
        <v>0.01</v>
      </c>
      <c r="D26" s="59" t="s">
        <v>49</v>
      </c>
      <c r="E26" s="66" t="s">
        <v>50</v>
      </c>
    </row>
    <row r="27" spans="1:5" ht="13.5" x14ac:dyDescent="0.35">
      <c r="A27" s="64" t="s">
        <v>144</v>
      </c>
      <c r="B27" s="33">
        <v>7.4999999999999997E-3</v>
      </c>
      <c r="C27" s="33">
        <v>7.4999999999999997E-3</v>
      </c>
      <c r="D27" s="59" t="s">
        <v>49</v>
      </c>
      <c r="E27" s="66" t="s">
        <v>52</v>
      </c>
    </row>
    <row r="28" spans="1:5" ht="13.5" x14ac:dyDescent="0.35">
      <c r="A28" s="64" t="s">
        <v>145</v>
      </c>
      <c r="B28" s="33">
        <v>0.01</v>
      </c>
      <c r="C28" s="33">
        <v>0.01</v>
      </c>
      <c r="D28" s="30" t="s">
        <v>116</v>
      </c>
      <c r="E28" s="66" t="s">
        <v>52</v>
      </c>
    </row>
    <row r="29" spans="1:5" ht="13.5" x14ac:dyDescent="0.35">
      <c r="A29" s="64" t="s">
        <v>146</v>
      </c>
      <c r="B29" s="33">
        <v>0.3</v>
      </c>
      <c r="C29" s="33">
        <v>0.3</v>
      </c>
      <c r="D29" s="59" t="s">
        <v>108</v>
      </c>
      <c r="E29" s="66" t="s">
        <v>52</v>
      </c>
    </row>
    <row r="30" spans="1:5" ht="13.5" x14ac:dyDescent="0.35">
      <c r="A30" s="64" t="s">
        <v>147</v>
      </c>
      <c r="B30" s="33">
        <v>0.2</v>
      </c>
      <c r="C30" s="33">
        <v>0.2</v>
      </c>
      <c r="D30" s="59" t="s">
        <v>108</v>
      </c>
      <c r="E30" s="66" t="s">
        <v>54</v>
      </c>
    </row>
    <row r="31" spans="1:5" ht="13.5" x14ac:dyDescent="0.4">
      <c r="A31" s="67" t="s">
        <v>148</v>
      </c>
      <c r="B31" s="29">
        <v>265</v>
      </c>
      <c r="C31" s="29">
        <v>265</v>
      </c>
      <c r="D31" s="30" t="s">
        <v>149</v>
      </c>
      <c r="E31" s="68" t="s">
        <v>119</v>
      </c>
    </row>
    <row r="32" spans="1:5" ht="13.5" x14ac:dyDescent="0.4">
      <c r="A32" s="69" t="s">
        <v>150</v>
      </c>
      <c r="B32" s="70">
        <f>ROUNDDOWN(B26*(1-B25)*B24*B22,0)</f>
        <v>2088</v>
      </c>
      <c r="C32" s="70">
        <f>ROUNDDOWN(C26*(1-C25)*C24*C22,0)</f>
        <v>984</v>
      </c>
      <c r="D32" s="30" t="s">
        <v>151</v>
      </c>
      <c r="E32" s="46" t="s">
        <v>38</v>
      </c>
    </row>
    <row r="33" spans="1:5" ht="13.5" x14ac:dyDescent="0.4">
      <c r="A33" s="69"/>
      <c r="B33" s="391">
        <f>B32+C32</f>
        <v>3072</v>
      </c>
      <c r="C33" s="391"/>
      <c r="D33" s="30" t="s">
        <v>151</v>
      </c>
      <c r="E33" s="46" t="s">
        <v>38</v>
      </c>
    </row>
    <row r="34" spans="1:5" ht="13.5" x14ac:dyDescent="0.4">
      <c r="A34" s="69" t="s">
        <v>152</v>
      </c>
      <c r="B34" s="70">
        <f>B27*B29*(1-B25)*B24*B22</f>
        <v>469.94824012499993</v>
      </c>
      <c r="C34" s="70">
        <f>C27*C29*(1-C25)*C24*C22</f>
        <v>221.56039382399987</v>
      </c>
      <c r="D34" s="30" t="s">
        <v>151</v>
      </c>
      <c r="E34" s="46" t="s">
        <v>38</v>
      </c>
    </row>
    <row r="35" spans="1:5" ht="13.5" x14ac:dyDescent="0.4">
      <c r="A35" s="69"/>
      <c r="B35" s="391">
        <f>B34+C34</f>
        <v>691.50863394899977</v>
      </c>
      <c r="C35" s="391"/>
      <c r="D35" s="30" t="s">
        <v>151</v>
      </c>
      <c r="E35" s="46" t="s">
        <v>38</v>
      </c>
    </row>
    <row r="36" spans="1:5" ht="13.5" x14ac:dyDescent="0.4">
      <c r="A36" s="69" t="s">
        <v>153</v>
      </c>
      <c r="B36" s="70">
        <f>B28*(1-B25)*B30*B24*B22</f>
        <v>417.73176899999999</v>
      </c>
      <c r="C36" s="70">
        <f>C28*(1-C25)*C30*C24*C22</f>
        <v>196.94257228799992</v>
      </c>
      <c r="D36" s="30" t="s">
        <v>151</v>
      </c>
      <c r="E36" s="46" t="s">
        <v>38</v>
      </c>
    </row>
    <row r="37" spans="1:5" ht="13.5" x14ac:dyDescent="0.4">
      <c r="A37" s="71"/>
      <c r="B37" s="391">
        <f>B36+C36</f>
        <v>614.67434128799994</v>
      </c>
      <c r="C37" s="391"/>
      <c r="D37" s="30" t="s">
        <v>151</v>
      </c>
      <c r="E37" s="46" t="s">
        <v>38</v>
      </c>
    </row>
    <row r="38" spans="1:5" ht="14" thickBot="1" x14ac:dyDescent="0.45">
      <c r="A38" s="72" t="s">
        <v>154</v>
      </c>
      <c r="B38" s="388">
        <f>ROUNDDOWN(B31*44/28*1/1000*(B33+B35+B37),0)</f>
        <v>1823</v>
      </c>
      <c r="C38" s="389"/>
      <c r="D38" s="48" t="s">
        <v>139</v>
      </c>
      <c r="E38" s="49" t="s">
        <v>38</v>
      </c>
    </row>
    <row r="39" spans="1:5" x14ac:dyDescent="0.35">
      <c r="A39" s="73"/>
      <c r="B39" s="74"/>
      <c r="C39" s="74"/>
      <c r="D39" s="75"/>
      <c r="E39" s="75"/>
    </row>
    <row r="40" spans="1:5" x14ac:dyDescent="0.35">
      <c r="A40" s="73"/>
      <c r="B40" s="74"/>
      <c r="C40" s="74"/>
      <c r="D40" s="75"/>
      <c r="E40" s="75"/>
    </row>
    <row r="41" spans="1:5" x14ac:dyDescent="0.35">
      <c r="A41" s="73"/>
      <c r="B41" s="74"/>
      <c r="C41" s="74"/>
      <c r="D41" s="76"/>
      <c r="E41" s="75"/>
    </row>
    <row r="42" spans="1:5" x14ac:dyDescent="0.35">
      <c r="A42" s="73"/>
      <c r="B42" s="74"/>
      <c r="C42" s="74"/>
      <c r="D42" s="76"/>
      <c r="E42" s="75"/>
    </row>
    <row r="43" spans="1:5" x14ac:dyDescent="0.35">
      <c r="A43" s="73"/>
      <c r="B43" s="74"/>
      <c r="C43" s="74"/>
      <c r="D43" s="76"/>
      <c r="E43" s="75"/>
    </row>
    <row r="44" spans="1:5" x14ac:dyDescent="0.35">
      <c r="A44" s="73"/>
      <c r="B44" s="74"/>
      <c r="C44" s="74"/>
      <c r="D44" s="76"/>
      <c r="E44" s="75"/>
    </row>
    <row r="45" spans="1:5" x14ac:dyDescent="0.35">
      <c r="A45" s="73"/>
      <c r="B45" s="74"/>
      <c r="C45" s="74"/>
      <c r="D45" s="76"/>
      <c r="E45" s="75"/>
    </row>
    <row r="46" spans="1:5" x14ac:dyDescent="0.35">
      <c r="A46" s="73"/>
      <c r="B46" s="74"/>
      <c r="C46" s="74"/>
      <c r="D46" s="76"/>
      <c r="E46" s="75"/>
    </row>
    <row r="47" spans="1:5" x14ac:dyDescent="0.35">
      <c r="A47" s="73"/>
      <c r="B47" s="74"/>
      <c r="C47" s="74"/>
      <c r="D47" s="76"/>
      <c r="E47" s="75"/>
    </row>
    <row r="48" spans="1:5" x14ac:dyDescent="0.35">
      <c r="A48" s="73"/>
      <c r="B48" s="74"/>
      <c r="C48" s="74"/>
      <c r="D48" s="76"/>
      <c r="E48" s="75"/>
    </row>
    <row r="49" spans="1:5" x14ac:dyDescent="0.35">
      <c r="A49" s="73"/>
      <c r="B49" s="74"/>
      <c r="C49" s="74"/>
      <c r="D49" s="76"/>
      <c r="E49" s="75"/>
    </row>
    <row r="50" spans="1:5" x14ac:dyDescent="0.35">
      <c r="A50" s="73"/>
      <c r="B50" s="74"/>
      <c r="C50" s="74"/>
      <c r="D50" s="76"/>
      <c r="E50" s="75"/>
    </row>
    <row r="51" spans="1:5" x14ac:dyDescent="0.35">
      <c r="A51" s="73"/>
      <c r="B51" s="74"/>
      <c r="C51" s="74"/>
      <c r="D51" s="76"/>
      <c r="E51" s="75"/>
    </row>
    <row r="52" spans="1:5" x14ac:dyDescent="0.35">
      <c r="A52" s="73"/>
      <c r="B52" s="74"/>
      <c r="C52" s="74"/>
      <c r="D52" s="76"/>
      <c r="E52" s="75"/>
    </row>
    <row r="53" spans="1:5" x14ac:dyDescent="0.35">
      <c r="A53" s="73"/>
      <c r="B53" s="74"/>
      <c r="C53" s="74"/>
      <c r="D53" s="76"/>
      <c r="E53" s="75"/>
    </row>
    <row r="54" spans="1:5" ht="13" thickBot="1" x14ac:dyDescent="0.4">
      <c r="A54" s="73"/>
      <c r="B54" s="74"/>
      <c r="C54" s="74"/>
      <c r="D54" s="75"/>
      <c r="E54" s="75"/>
    </row>
    <row r="55" spans="1:5" ht="13" thickBot="1" x14ac:dyDescent="0.4">
      <c r="A55" s="77" t="s">
        <v>2</v>
      </c>
      <c r="B55" s="78" t="s">
        <v>36</v>
      </c>
      <c r="C55" s="78"/>
      <c r="D55" s="78" t="s">
        <v>4</v>
      </c>
      <c r="E55" s="79" t="s">
        <v>5</v>
      </c>
    </row>
    <row r="56" spans="1:5" x14ac:dyDescent="0.35">
      <c r="A56" s="80"/>
      <c r="B56" s="81" t="s">
        <v>6</v>
      </c>
      <c r="C56" s="81" t="s">
        <v>7</v>
      </c>
      <c r="D56" s="81"/>
      <c r="E56" s="82"/>
    </row>
    <row r="57" spans="1:5" x14ac:dyDescent="0.35">
      <c r="A57" s="62" t="s">
        <v>91</v>
      </c>
      <c r="B57" s="37">
        <f>'Baseline Emission'!B13</f>
        <v>99450</v>
      </c>
      <c r="C57" s="37">
        <f>'Baseline Emission'!C13</f>
        <v>54252</v>
      </c>
      <c r="D57" s="83" t="s">
        <v>11</v>
      </c>
      <c r="E57" s="60" t="s">
        <v>109</v>
      </c>
    </row>
    <row r="58" spans="1:5" ht="13.5" x14ac:dyDescent="0.35">
      <c r="A58" s="62" t="s">
        <v>155</v>
      </c>
      <c r="B58" s="84">
        <f>B24</f>
        <v>10.501050000000001</v>
      </c>
      <c r="C58" s="84">
        <f>C24</f>
        <v>9.0753599999999981</v>
      </c>
      <c r="D58" s="83" t="s">
        <v>26</v>
      </c>
      <c r="E58" s="46" t="s">
        <v>47</v>
      </c>
    </row>
    <row r="59" spans="1:5" ht="41.25" customHeight="1" x14ac:dyDescent="0.35">
      <c r="A59" s="62" t="s">
        <v>156</v>
      </c>
      <c r="B59" s="40">
        <v>0.25</v>
      </c>
      <c r="C59" s="40">
        <f>B59</f>
        <v>0.25</v>
      </c>
      <c r="D59" s="59" t="s">
        <v>108</v>
      </c>
      <c r="E59" s="85" t="s">
        <v>269</v>
      </c>
    </row>
    <row r="60" spans="1:5" x14ac:dyDescent="0.35">
      <c r="A60" s="62" t="s">
        <v>156</v>
      </c>
      <c r="B60" s="40">
        <v>0.05</v>
      </c>
      <c r="C60" s="40">
        <v>0.05</v>
      </c>
      <c r="D60" s="59" t="s">
        <v>108</v>
      </c>
      <c r="E60" s="66"/>
    </row>
    <row r="61" spans="1:5" x14ac:dyDescent="0.35">
      <c r="A61" s="62" t="s">
        <v>48</v>
      </c>
      <c r="B61" s="86">
        <v>0.01</v>
      </c>
      <c r="C61" s="86">
        <v>0.01</v>
      </c>
      <c r="D61" s="83" t="s">
        <v>49</v>
      </c>
      <c r="E61" s="46" t="s">
        <v>50</v>
      </c>
    </row>
    <row r="62" spans="1:5" x14ac:dyDescent="0.35">
      <c r="A62" s="62" t="s">
        <v>51</v>
      </c>
      <c r="B62" s="86">
        <v>7.4999999999999997E-3</v>
      </c>
      <c r="C62" s="86">
        <v>7.4999999999999997E-3</v>
      </c>
      <c r="D62" s="83" t="s">
        <v>49</v>
      </c>
      <c r="E62" s="46" t="s">
        <v>52</v>
      </c>
    </row>
    <row r="63" spans="1:5" x14ac:dyDescent="0.35">
      <c r="A63" s="62" t="s">
        <v>53</v>
      </c>
      <c r="B63" s="86">
        <v>0.01</v>
      </c>
      <c r="C63" s="86">
        <v>0.01</v>
      </c>
      <c r="D63" s="30" t="s">
        <v>116</v>
      </c>
      <c r="E63" s="46" t="s">
        <v>52</v>
      </c>
    </row>
    <row r="64" spans="1:5" ht="13.5" x14ac:dyDescent="0.35">
      <c r="A64" s="64" t="s">
        <v>146</v>
      </c>
      <c r="B64" s="86">
        <v>0.3</v>
      </c>
      <c r="C64" s="86">
        <v>0.3</v>
      </c>
      <c r="D64" s="59" t="s">
        <v>108</v>
      </c>
      <c r="E64" s="46" t="s">
        <v>52</v>
      </c>
    </row>
    <row r="65" spans="1:5" ht="37.5" x14ac:dyDescent="0.35">
      <c r="A65" s="64" t="s">
        <v>147</v>
      </c>
      <c r="B65" s="86">
        <v>0.2</v>
      </c>
      <c r="C65" s="86">
        <v>0.2</v>
      </c>
      <c r="D65" s="59" t="s">
        <v>108</v>
      </c>
      <c r="E65" s="66" t="s">
        <v>56</v>
      </c>
    </row>
    <row r="66" spans="1:5" ht="13.5" x14ac:dyDescent="0.35">
      <c r="A66" s="67" t="s">
        <v>148</v>
      </c>
      <c r="B66" s="86">
        <f>B31</f>
        <v>265</v>
      </c>
      <c r="C66" s="86">
        <f>C31</f>
        <v>265</v>
      </c>
      <c r="D66" s="357" t="str">
        <f>D31</f>
        <v>tCO2/tN2O</v>
      </c>
      <c r="E66" s="360" t="str">
        <f>E31</f>
        <v>IPCC AR5</v>
      </c>
    </row>
    <row r="67" spans="1:5" ht="13.5" x14ac:dyDescent="0.4">
      <c r="A67" s="69" t="s">
        <v>157</v>
      </c>
      <c r="B67" s="87">
        <f>B61*(1-B59)*(1-B60)*B58*B57</f>
        <v>7440.8471353124996</v>
      </c>
      <c r="C67" s="87">
        <f>C61*(1-C59)*(1-C60)*C58*C57</f>
        <v>3508.0395688799995</v>
      </c>
      <c r="D67" s="30" t="s">
        <v>151</v>
      </c>
      <c r="E67" s="46" t="s">
        <v>38</v>
      </c>
    </row>
    <row r="68" spans="1:5" ht="13.5" x14ac:dyDescent="0.4">
      <c r="A68" s="69"/>
      <c r="B68" s="392">
        <f>B67+C67</f>
        <v>10948.886704192499</v>
      </c>
      <c r="C68" s="392"/>
      <c r="D68" s="30" t="s">
        <v>151</v>
      </c>
      <c r="E68" s="46" t="s">
        <v>38</v>
      </c>
    </row>
    <row r="69" spans="1:5" ht="13.5" x14ac:dyDescent="0.4">
      <c r="A69" s="69" t="s">
        <v>158</v>
      </c>
      <c r="B69" s="88">
        <f>B62*B64*(1-B59)*(1-B60)*B58*B57</f>
        <v>1674.1906054453125</v>
      </c>
      <c r="C69" s="88">
        <f>C62*C64*(1-C59)*(1-C60)*C58*C57</f>
        <v>789.30890299799967</v>
      </c>
      <c r="D69" s="30" t="s">
        <v>151</v>
      </c>
      <c r="E69" s="46" t="s">
        <v>38</v>
      </c>
    </row>
    <row r="70" spans="1:5" ht="13.5" x14ac:dyDescent="0.4">
      <c r="A70" s="69"/>
      <c r="B70" s="392">
        <f>B69+C69</f>
        <v>2463.4995084433122</v>
      </c>
      <c r="C70" s="392"/>
      <c r="D70" s="30" t="s">
        <v>151</v>
      </c>
      <c r="E70" s="46" t="s">
        <v>38</v>
      </c>
    </row>
    <row r="71" spans="1:5" ht="13.5" x14ac:dyDescent="0.4">
      <c r="A71" s="69" t="s">
        <v>159</v>
      </c>
      <c r="B71" s="87">
        <f>ROUNDUP(B63*(1-B59)*(1-B60)*B65*B58*B57,0)</f>
        <v>1489</v>
      </c>
      <c r="C71" s="87">
        <f>ROUNDUP(C63*(1-C59)*(1-C60)*C65*C58*C57,0)</f>
        <v>702</v>
      </c>
      <c r="D71" s="30" t="s">
        <v>151</v>
      </c>
      <c r="E71" s="46" t="s">
        <v>38</v>
      </c>
    </row>
    <row r="72" spans="1:5" ht="13.5" x14ac:dyDescent="0.4">
      <c r="A72" s="69"/>
      <c r="B72" s="392">
        <f>B71+C71</f>
        <v>2191</v>
      </c>
      <c r="C72" s="392"/>
      <c r="D72" s="30" t="s">
        <v>151</v>
      </c>
      <c r="E72" s="46" t="s">
        <v>38</v>
      </c>
    </row>
    <row r="73" spans="1:5" ht="14" thickBot="1" x14ac:dyDescent="0.45">
      <c r="A73" s="72" t="s">
        <v>276</v>
      </c>
      <c r="B73" s="388">
        <f>ROUNDUP(B66*44/28*1/1000*(B68+B70+B72),0)</f>
        <v>6498</v>
      </c>
      <c r="C73" s="389"/>
      <c r="D73" s="89" t="s">
        <v>151</v>
      </c>
      <c r="E73" s="49" t="s">
        <v>38</v>
      </c>
    </row>
    <row r="74" spans="1:5" x14ac:dyDescent="0.35">
      <c r="A74" s="73"/>
      <c r="B74" s="74"/>
      <c r="C74" s="74"/>
      <c r="D74" s="75"/>
      <c r="E74" s="75"/>
    </row>
    <row r="75" spans="1:5" x14ac:dyDescent="0.35">
      <c r="A75" s="73"/>
      <c r="B75" s="74"/>
      <c r="C75" s="74"/>
      <c r="D75" s="75"/>
      <c r="E75" s="75"/>
    </row>
    <row r="77" spans="1:5" x14ac:dyDescent="0.35">
      <c r="A77" s="51" t="s">
        <v>57</v>
      </c>
    </row>
    <row r="79" spans="1:5" x14ac:dyDescent="0.35">
      <c r="E79" s="53"/>
    </row>
    <row r="80" spans="1:5" x14ac:dyDescent="0.35">
      <c r="E80" s="53"/>
    </row>
    <row r="81" spans="1:5" x14ac:dyDescent="0.35">
      <c r="E81" s="53"/>
    </row>
    <row r="82" spans="1:5" x14ac:dyDescent="0.35">
      <c r="E82" s="53"/>
    </row>
    <row r="83" spans="1:5" ht="13" thickBot="1" x14ac:dyDescent="0.4">
      <c r="A83" s="50"/>
    </row>
    <row r="84" spans="1:5" x14ac:dyDescent="0.35">
      <c r="A84" s="22" t="s">
        <v>2</v>
      </c>
      <c r="B84" s="23" t="s">
        <v>36</v>
      </c>
      <c r="C84" s="23"/>
      <c r="D84" s="23" t="s">
        <v>4</v>
      </c>
      <c r="E84" s="24" t="s">
        <v>5</v>
      </c>
    </row>
    <row r="85" spans="1:5" x14ac:dyDescent="0.35">
      <c r="A85" s="25"/>
      <c r="B85" s="26" t="str">
        <f>B56</f>
        <v>Market Swine</v>
      </c>
      <c r="C85" s="26" t="str">
        <f>C56</f>
        <v>Breeding Swine</v>
      </c>
      <c r="D85" s="26"/>
      <c r="E85" s="27"/>
    </row>
    <row r="86" spans="1:5" ht="13.5" x14ac:dyDescent="0.4">
      <c r="A86" s="28" t="s">
        <v>128</v>
      </c>
      <c r="B86" s="29">
        <v>28</v>
      </c>
      <c r="C86" s="29">
        <v>28</v>
      </c>
      <c r="D86" s="30" t="s">
        <v>129</v>
      </c>
      <c r="E86" s="90" t="str">
        <f>'Baseline Emission'!E56</f>
        <v>IPCC AR5</v>
      </c>
    </row>
    <row r="87" spans="1:5" ht="13.5" x14ac:dyDescent="0.4">
      <c r="A87" s="28" t="s">
        <v>130</v>
      </c>
      <c r="B87" s="29">
        <v>6.7000000000000002E-4</v>
      </c>
      <c r="C87" s="29">
        <v>6.7000000000000002E-4</v>
      </c>
      <c r="D87" s="83" t="s">
        <v>75</v>
      </c>
      <c r="E87" s="60" t="s">
        <v>85</v>
      </c>
    </row>
    <row r="88" spans="1:5" ht="13.5" x14ac:dyDescent="0.35">
      <c r="A88" s="32" t="s">
        <v>160</v>
      </c>
      <c r="B88" s="33">
        <v>1</v>
      </c>
      <c r="C88" s="33">
        <v>1</v>
      </c>
      <c r="D88" s="83" t="s">
        <v>108</v>
      </c>
      <c r="E88" s="60" t="s">
        <v>85</v>
      </c>
    </row>
    <row r="89" spans="1:5" ht="13.5" x14ac:dyDescent="0.35">
      <c r="A89" s="34" t="s">
        <v>132</v>
      </c>
      <c r="B89" s="35">
        <f>'Baseline Emission'!B17</f>
        <v>267.88392857142861</v>
      </c>
      <c r="C89" s="35">
        <f>'Baseline Emission'!C17</f>
        <v>405.15</v>
      </c>
      <c r="D89" s="30" t="s">
        <v>117</v>
      </c>
      <c r="E89" s="91" t="s">
        <v>79</v>
      </c>
    </row>
    <row r="90" spans="1:5" ht="13.5" x14ac:dyDescent="0.35">
      <c r="A90" s="34" t="s">
        <v>133</v>
      </c>
      <c r="B90" s="37">
        <f>'Baseline Emission'!B13</f>
        <v>99450</v>
      </c>
      <c r="C90" s="37">
        <f>'Baseline Emission'!C13</f>
        <v>54252</v>
      </c>
      <c r="D90" s="37" t="str">
        <f>'Baseline Emission'!D13</f>
        <v>No of heads</v>
      </c>
      <c r="E90" s="92" t="str">
        <f>'Baseline Emission'!E13</f>
        <v>Project evaluation report</v>
      </c>
    </row>
    <row r="91" spans="1:5" ht="14.5" x14ac:dyDescent="0.35">
      <c r="A91" s="34" t="s">
        <v>161</v>
      </c>
      <c r="B91" s="38">
        <f>'Baseline Emission'!B12</f>
        <v>0.28999999999999998</v>
      </c>
      <c r="C91" s="33">
        <f>'Baseline Emission'!C12</f>
        <v>0.28999999999999998</v>
      </c>
      <c r="D91" s="42" t="s">
        <v>135</v>
      </c>
      <c r="E91" s="60" t="s">
        <v>61</v>
      </c>
    </row>
    <row r="92" spans="1:5" s="61" customFormat="1" ht="25" x14ac:dyDescent="0.35">
      <c r="A92" s="39" t="s">
        <v>162</v>
      </c>
      <c r="B92" s="40">
        <v>0.85</v>
      </c>
      <c r="C92" s="40">
        <v>0.85</v>
      </c>
      <c r="D92" s="83" t="s">
        <v>108</v>
      </c>
      <c r="E92" s="93" t="s">
        <v>270</v>
      </c>
    </row>
    <row r="93" spans="1:5" ht="13.5" x14ac:dyDescent="0.35">
      <c r="A93" s="32" t="s">
        <v>137</v>
      </c>
      <c r="B93" s="94">
        <v>1</v>
      </c>
      <c r="C93" s="94">
        <f>B93</f>
        <v>1</v>
      </c>
      <c r="D93" s="83" t="s">
        <v>108</v>
      </c>
      <c r="E93" s="95" t="s">
        <v>109</v>
      </c>
    </row>
    <row r="94" spans="1:5" ht="13.5" x14ac:dyDescent="0.4">
      <c r="A94" s="43" t="s">
        <v>163</v>
      </c>
      <c r="B94" s="44">
        <f>ROUNDDOWN(B86*B87*B88*(1-B92)*(B91*B90*B89*B93),0)</f>
        <v>21740</v>
      </c>
      <c r="C94" s="44">
        <f>ROUNDDOWN(C86*C87*C88*(1-C92)*C91*C90*C89*C93,0)</f>
        <v>17937</v>
      </c>
      <c r="D94" s="45" t="s">
        <v>139</v>
      </c>
      <c r="E94" s="46" t="s">
        <v>71</v>
      </c>
    </row>
    <row r="95" spans="1:5" ht="14" thickBot="1" x14ac:dyDescent="0.45">
      <c r="A95" s="47"/>
      <c r="B95" s="390">
        <f>B94+C94</f>
        <v>39677</v>
      </c>
      <c r="C95" s="390"/>
      <c r="D95" s="48" t="s">
        <v>139</v>
      </c>
      <c r="E95" s="49" t="s">
        <v>71</v>
      </c>
    </row>
    <row r="96" spans="1:5" x14ac:dyDescent="0.35">
      <c r="A96" s="50"/>
    </row>
    <row r="97" spans="1:5" x14ac:dyDescent="0.35">
      <c r="A97" s="50"/>
    </row>
    <row r="98" spans="1:5" x14ac:dyDescent="0.35">
      <c r="A98" s="50"/>
    </row>
    <row r="99" spans="1:5" ht="13" thickBot="1" x14ac:dyDescent="0.4">
      <c r="A99" s="50"/>
    </row>
    <row r="100" spans="1:5" x14ac:dyDescent="0.35">
      <c r="A100" s="22" t="s">
        <v>2</v>
      </c>
      <c r="B100" s="23" t="s">
        <v>36</v>
      </c>
      <c r="C100" s="23"/>
      <c r="D100" s="23" t="s">
        <v>4</v>
      </c>
      <c r="E100" s="24" t="s">
        <v>5</v>
      </c>
    </row>
    <row r="101" spans="1:5" x14ac:dyDescent="0.35">
      <c r="A101" s="25"/>
      <c r="B101" s="26" t="str">
        <f>B85</f>
        <v>Market Swine</v>
      </c>
      <c r="C101" s="26" t="str">
        <f>C85</f>
        <v>Breeding Swine</v>
      </c>
      <c r="D101" s="26"/>
      <c r="E101" s="27"/>
    </row>
    <row r="102" spans="1:5" ht="13.5" x14ac:dyDescent="0.4">
      <c r="A102" s="28" t="s">
        <v>128</v>
      </c>
      <c r="B102" s="29">
        <f>B86</f>
        <v>28</v>
      </c>
      <c r="C102" s="29">
        <f>C86</f>
        <v>28</v>
      </c>
      <c r="D102" s="30" t="s">
        <v>129</v>
      </c>
      <c r="E102" s="31" t="s">
        <v>119</v>
      </c>
    </row>
    <row r="103" spans="1:5" ht="15" x14ac:dyDescent="0.4">
      <c r="A103" s="28" t="s">
        <v>130</v>
      </c>
      <c r="B103" s="29">
        <v>6.7000000000000002E-4</v>
      </c>
      <c r="C103" s="29">
        <v>6.7000000000000002E-4</v>
      </c>
      <c r="D103" s="30" t="s">
        <v>131</v>
      </c>
      <c r="E103" s="31" t="s">
        <v>120</v>
      </c>
    </row>
    <row r="104" spans="1:5" x14ac:dyDescent="0.35">
      <c r="A104" s="32" t="s">
        <v>58</v>
      </c>
      <c r="B104" s="33">
        <v>1</v>
      </c>
      <c r="C104" s="33">
        <v>1</v>
      </c>
      <c r="D104" s="30" t="s">
        <v>97</v>
      </c>
      <c r="E104" s="31" t="s">
        <v>121</v>
      </c>
    </row>
    <row r="105" spans="1:5" ht="13.5" x14ac:dyDescent="0.35">
      <c r="A105" s="34" t="s">
        <v>132</v>
      </c>
      <c r="B105" s="35">
        <f>B89</f>
        <v>267.88392857142861</v>
      </c>
      <c r="C105" s="35">
        <f>C89</f>
        <v>405.15</v>
      </c>
      <c r="D105" s="30" t="s">
        <v>59</v>
      </c>
      <c r="E105" s="36" t="s">
        <v>122</v>
      </c>
    </row>
    <row r="106" spans="1:5" ht="13.5" x14ac:dyDescent="0.35">
      <c r="A106" s="34" t="s">
        <v>133</v>
      </c>
      <c r="B106" s="37">
        <f>'Baseline Emission'!B13</f>
        <v>99450</v>
      </c>
      <c r="C106" s="37">
        <f>'Baseline Emission'!C13</f>
        <v>54252</v>
      </c>
      <c r="D106" s="30" t="s">
        <v>11</v>
      </c>
      <c r="E106" s="361" t="str">
        <f>E90</f>
        <v>Project evaluation report</v>
      </c>
    </row>
    <row r="107" spans="1:5" ht="15" x14ac:dyDescent="0.4">
      <c r="A107" s="34" t="s">
        <v>134</v>
      </c>
      <c r="B107" s="38">
        <f>'Baseline Emission'!B12</f>
        <v>0.28999999999999998</v>
      </c>
      <c r="C107" s="33">
        <f>'Baseline Emission'!C12</f>
        <v>0.28999999999999998</v>
      </c>
      <c r="D107" s="30" t="s">
        <v>135</v>
      </c>
      <c r="E107" s="31" t="s">
        <v>61</v>
      </c>
    </row>
    <row r="108" spans="1:5" ht="13.5" x14ac:dyDescent="0.35">
      <c r="A108" s="39" t="s">
        <v>136</v>
      </c>
      <c r="B108" s="40">
        <v>0.8</v>
      </c>
      <c r="C108" s="41">
        <f>B108</f>
        <v>0.8</v>
      </c>
      <c r="D108" s="42" t="s">
        <v>97</v>
      </c>
      <c r="E108" s="31" t="s">
        <v>118</v>
      </c>
    </row>
    <row r="109" spans="1:5" ht="13.5" x14ac:dyDescent="0.35">
      <c r="A109" s="39" t="s">
        <v>136</v>
      </c>
      <c r="B109" s="40">
        <v>0.2</v>
      </c>
      <c r="C109" s="41">
        <v>0.2</v>
      </c>
      <c r="D109" s="42" t="s">
        <v>97</v>
      </c>
      <c r="E109" s="31" t="s">
        <v>118</v>
      </c>
    </row>
    <row r="110" spans="1:5" ht="13.5" x14ac:dyDescent="0.35">
      <c r="A110" s="39" t="s">
        <v>137</v>
      </c>
      <c r="B110" s="40">
        <v>1</v>
      </c>
      <c r="C110" s="40">
        <v>1</v>
      </c>
      <c r="D110" s="42" t="s">
        <v>97</v>
      </c>
      <c r="E110" s="31" t="s">
        <v>118</v>
      </c>
    </row>
    <row r="111" spans="1:5" ht="13.5" x14ac:dyDescent="0.4">
      <c r="A111" s="43" t="s">
        <v>138</v>
      </c>
      <c r="B111" s="44">
        <f>ROUNDUP(B102*B103*B104*(1-B108)*(1-B109)*B107*B106*B105*B110,0)</f>
        <v>23191</v>
      </c>
      <c r="C111" s="44">
        <f>ROUNDUP(C102*C103*C104*(1-C108)*(1-C109)*C107*C106*C105*C110,0)</f>
        <v>19133</v>
      </c>
      <c r="D111" s="45" t="s">
        <v>139</v>
      </c>
      <c r="E111" s="46" t="s">
        <v>47</v>
      </c>
    </row>
    <row r="112" spans="1:5" ht="14" thickBot="1" x14ac:dyDescent="0.45">
      <c r="A112" s="47"/>
      <c r="B112" s="390">
        <f>B111+C111</f>
        <v>42324</v>
      </c>
      <c r="C112" s="390"/>
      <c r="D112" s="48" t="s">
        <v>139</v>
      </c>
      <c r="E112" s="49" t="s">
        <v>47</v>
      </c>
    </row>
    <row r="113" spans="1:5" x14ac:dyDescent="0.35">
      <c r="A113" s="50"/>
    </row>
    <row r="114" spans="1:5" x14ac:dyDescent="0.35">
      <c r="D114" s="96"/>
    </row>
    <row r="115" spans="1:5" ht="13.5" x14ac:dyDescent="0.4">
      <c r="A115" s="97" t="s">
        <v>163</v>
      </c>
      <c r="B115" s="98">
        <f>B95</f>
        <v>39677</v>
      </c>
      <c r="C115" s="99" t="s">
        <v>139</v>
      </c>
      <c r="D115" s="100"/>
    </row>
    <row r="116" spans="1:5" ht="13.5" x14ac:dyDescent="0.4">
      <c r="A116" s="97" t="s">
        <v>164</v>
      </c>
      <c r="B116" s="98">
        <f>B112</f>
        <v>42324</v>
      </c>
      <c r="C116" s="99" t="s">
        <v>139</v>
      </c>
      <c r="D116" s="100"/>
    </row>
    <row r="117" spans="1:5" ht="13.5" x14ac:dyDescent="0.4">
      <c r="A117" s="97" t="s">
        <v>154</v>
      </c>
      <c r="B117" s="98">
        <f>B38</f>
        <v>1823</v>
      </c>
      <c r="C117" s="99" t="s">
        <v>139</v>
      </c>
      <c r="D117" s="100"/>
      <c r="E117" s="101"/>
    </row>
    <row r="118" spans="1:5" ht="13.5" x14ac:dyDescent="0.4">
      <c r="A118" s="97" t="s">
        <v>275</v>
      </c>
      <c r="B118" s="98">
        <f>B73</f>
        <v>6498</v>
      </c>
      <c r="C118" s="99" t="s">
        <v>139</v>
      </c>
    </row>
    <row r="119" spans="1:5" x14ac:dyDescent="0.35">
      <c r="A119" s="102"/>
      <c r="B119" s="103"/>
      <c r="C119" s="99"/>
    </row>
    <row r="120" spans="1:5" x14ac:dyDescent="0.35">
      <c r="C120" s="99"/>
    </row>
    <row r="121" spans="1:5" ht="13.5" x14ac:dyDescent="0.4">
      <c r="A121" s="50" t="s">
        <v>62</v>
      </c>
      <c r="B121" s="104">
        <f>ROUNDUP(B118-B117+B116-B115,0)</f>
        <v>7322</v>
      </c>
      <c r="C121" s="99" t="s">
        <v>139</v>
      </c>
    </row>
    <row r="122" spans="1:5" x14ac:dyDescent="0.35">
      <c r="A122" s="50"/>
      <c r="B122" s="105"/>
      <c r="C122" s="106"/>
    </row>
    <row r="123" spans="1:5" x14ac:dyDescent="0.35">
      <c r="A123" s="50"/>
      <c r="B123" s="105"/>
    </row>
    <row r="124" spans="1:5" x14ac:dyDescent="0.35">
      <c r="A124" s="50"/>
      <c r="B124" s="105"/>
    </row>
    <row r="125" spans="1:5" x14ac:dyDescent="0.35">
      <c r="A125" s="50"/>
      <c r="B125" s="105"/>
    </row>
    <row r="126" spans="1:5" x14ac:dyDescent="0.35">
      <c r="A126" s="50"/>
      <c r="B126" s="105"/>
    </row>
    <row r="127" spans="1:5" x14ac:dyDescent="0.35">
      <c r="A127" s="50"/>
      <c r="B127" s="107"/>
    </row>
    <row r="128" spans="1:5" x14ac:dyDescent="0.35">
      <c r="A128" s="50"/>
      <c r="B128" s="105"/>
      <c r="C128" s="106"/>
    </row>
    <row r="129" spans="1:5" x14ac:dyDescent="0.35">
      <c r="E129" s="108"/>
    </row>
    <row r="131" spans="1:5" x14ac:dyDescent="0.35">
      <c r="C131" s="109"/>
    </row>
    <row r="136" spans="1:5" x14ac:dyDescent="0.35">
      <c r="A136" s="110" t="s">
        <v>165</v>
      </c>
      <c r="B136" s="111"/>
      <c r="C136" s="111"/>
      <c r="D136" s="111"/>
      <c r="E136" s="111"/>
    </row>
    <row r="137" spans="1:5" x14ac:dyDescent="0.35">
      <c r="A137" s="112" t="s">
        <v>2</v>
      </c>
      <c r="B137" s="112" t="s">
        <v>36</v>
      </c>
      <c r="C137" s="112"/>
      <c r="D137" s="112" t="s">
        <v>4</v>
      </c>
      <c r="E137" s="112" t="s">
        <v>5</v>
      </c>
    </row>
    <row r="138" spans="1:5" x14ac:dyDescent="0.35">
      <c r="A138" s="112"/>
      <c r="B138" s="112" t="s">
        <v>6</v>
      </c>
      <c r="C138" s="112" t="s">
        <v>7</v>
      </c>
      <c r="D138" s="112"/>
      <c r="E138" s="112"/>
    </row>
    <row r="139" spans="1:5" x14ac:dyDescent="0.35">
      <c r="A139" s="113" t="s">
        <v>166</v>
      </c>
      <c r="B139" s="114">
        <v>0.01</v>
      </c>
      <c r="C139" s="115">
        <v>0.02</v>
      </c>
      <c r="D139" s="116" t="s">
        <v>59</v>
      </c>
      <c r="E139" s="117" t="s">
        <v>61</v>
      </c>
    </row>
    <row r="140" spans="1:5" ht="13.5" x14ac:dyDescent="0.35">
      <c r="A140" s="113" t="s">
        <v>167</v>
      </c>
      <c r="B140" s="118">
        <v>640000</v>
      </c>
      <c r="C140" s="118">
        <v>44000</v>
      </c>
      <c r="D140" s="116" t="s">
        <v>46</v>
      </c>
      <c r="E140" s="111" t="s">
        <v>55</v>
      </c>
    </row>
    <row r="141" spans="1:5" x14ac:dyDescent="0.35">
      <c r="A141" s="119" t="s">
        <v>58</v>
      </c>
      <c r="B141" s="120">
        <v>1</v>
      </c>
      <c r="C141" s="118">
        <v>1</v>
      </c>
      <c r="D141" s="116"/>
      <c r="E141" s="111" t="s">
        <v>61</v>
      </c>
    </row>
    <row r="142" spans="1:5" x14ac:dyDescent="0.35">
      <c r="A142" s="119" t="s">
        <v>168</v>
      </c>
      <c r="B142" s="121">
        <v>0.36</v>
      </c>
      <c r="C142" s="115">
        <v>0.39</v>
      </c>
      <c r="D142" s="116" t="s">
        <v>60</v>
      </c>
      <c r="E142" s="111" t="s">
        <v>61</v>
      </c>
    </row>
    <row r="143" spans="1:5" x14ac:dyDescent="0.35">
      <c r="A143" s="119" t="s">
        <v>63</v>
      </c>
      <c r="B143" s="122">
        <v>0.7</v>
      </c>
      <c r="C143" s="122">
        <v>0.7</v>
      </c>
      <c r="D143" s="116"/>
      <c r="E143" s="111" t="s">
        <v>64</v>
      </c>
    </row>
    <row r="144" spans="1:5" x14ac:dyDescent="0.35">
      <c r="A144" s="123" t="s">
        <v>65</v>
      </c>
      <c r="B144" s="124">
        <f>21*0.00067*365*B139*B140*B142*(1-B143)</f>
        <v>3549.692160000001</v>
      </c>
      <c r="C144" s="124">
        <f>21*0.00067*365*C139*C140*C142*(1-C143)</f>
        <v>528.75622800000019</v>
      </c>
      <c r="D144" s="110"/>
      <c r="E144" s="110" t="s">
        <v>47</v>
      </c>
    </row>
    <row r="145" spans="1:5" x14ac:dyDescent="0.35">
      <c r="A145" s="110" t="s">
        <v>66</v>
      </c>
      <c r="B145" s="125">
        <f>ROUND(B144+C144,0)</f>
        <v>4078</v>
      </c>
      <c r="C145" s="110"/>
      <c r="D145" s="110"/>
      <c r="E145" s="110"/>
    </row>
  </sheetData>
  <customSheetViews>
    <customSheetView guid="{2C071143-29D6-4036-A926-BF7E54293313}" hiddenRows="1" showRuler="0" topLeftCell="A123">
      <selection activeCell="B81" sqref="B81"/>
      <pageMargins left="0.75" right="0.75" top="1" bottom="1" header="0.5" footer="0.5"/>
      <pageSetup paperSize="9" orientation="portrait" horizontalDpi="300" verticalDpi="300"/>
      <headerFooter alignWithMargins="0"/>
    </customSheetView>
  </customSheetViews>
  <mergeCells count="10">
    <mergeCell ref="B73:C73"/>
    <mergeCell ref="B95:C95"/>
    <mergeCell ref="B112:C112"/>
    <mergeCell ref="B33:C33"/>
    <mergeCell ref="B35:C35"/>
    <mergeCell ref="B37:C37"/>
    <mergeCell ref="B68:C68"/>
    <mergeCell ref="B70:C70"/>
    <mergeCell ref="B72:C72"/>
    <mergeCell ref="B38:C38"/>
  </mergeCells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23"/>
  <sheetViews>
    <sheetView tabSelected="1" zoomScale="80" zoomScaleNormal="80" workbookViewId="0">
      <selection activeCell="F23" sqref="F23"/>
    </sheetView>
  </sheetViews>
  <sheetFormatPr defaultColWidth="11.453125" defaultRowHeight="11.5" x14ac:dyDescent="0.25"/>
  <cols>
    <col min="1" max="1" width="11.453125" style="1"/>
    <col min="2" max="2" width="33.54296875" style="1" customWidth="1"/>
    <col min="3" max="3" width="22.81640625" style="1" customWidth="1"/>
    <col min="4" max="4" width="23.1796875" style="1" customWidth="1"/>
    <col min="5" max="5" width="23" style="1" customWidth="1"/>
    <col min="6" max="6" width="22.81640625" style="1" customWidth="1"/>
    <col min="7" max="7" width="11.7265625" style="1" bestFit="1" customWidth="1"/>
    <col min="8" max="16384" width="11.453125" style="1"/>
  </cols>
  <sheetData>
    <row r="2" spans="2:8" ht="12" thickBot="1" x14ac:dyDescent="0.3"/>
    <row r="3" spans="2:8" ht="12.5" x14ac:dyDescent="0.35">
      <c r="B3" s="393" t="s">
        <v>67</v>
      </c>
      <c r="C3" s="6" t="s">
        <v>68</v>
      </c>
      <c r="D3" s="6" t="s">
        <v>68</v>
      </c>
      <c r="E3" s="6" t="s">
        <v>68</v>
      </c>
      <c r="F3" s="7" t="s">
        <v>68</v>
      </c>
    </row>
    <row r="4" spans="2:8" ht="27" customHeight="1" x14ac:dyDescent="0.35">
      <c r="B4" s="394"/>
      <c r="C4" s="8" t="s">
        <v>271</v>
      </c>
      <c r="D4" s="9" t="s">
        <v>272</v>
      </c>
      <c r="E4" s="9" t="s">
        <v>69</v>
      </c>
      <c r="F4" s="10" t="s">
        <v>70</v>
      </c>
    </row>
    <row r="5" spans="2:8" ht="13.5" x14ac:dyDescent="0.4">
      <c r="B5" s="394"/>
      <c r="C5" s="9" t="s">
        <v>125</v>
      </c>
      <c r="D5" s="9" t="s">
        <v>125</v>
      </c>
      <c r="E5" s="9" t="s">
        <v>125</v>
      </c>
      <c r="F5" s="10" t="s">
        <v>125</v>
      </c>
      <c r="G5" s="5"/>
    </row>
    <row r="6" spans="2:8" ht="12.5" x14ac:dyDescent="0.35">
      <c r="B6" s="352" t="s">
        <v>253</v>
      </c>
      <c r="C6" s="11">
        <f>'Baseline Emission'!E67*205/365</f>
        <v>104778.5890410959</v>
      </c>
      <c r="D6" s="12">
        <f>'PROJECT EMISSION'!B114*205/365</f>
        <v>16300.589041095891</v>
      </c>
      <c r="E6" s="11">
        <f>LEAKAGE!B121*205/365</f>
        <v>4112.3561643835619</v>
      </c>
      <c r="F6" s="13">
        <f>C6-D6-E6</f>
        <v>84365.643835616444</v>
      </c>
      <c r="G6" s="2"/>
    </row>
    <row r="7" spans="2:8" ht="12.5" x14ac:dyDescent="0.35">
      <c r="B7" s="353" t="s">
        <v>244</v>
      </c>
      <c r="C7" s="15">
        <f>ROUNDDOWN('Baseline Emission'!$E$67,0)</f>
        <v>186557</v>
      </c>
      <c r="D7" s="12">
        <f>'PROJECT EMISSION'!$B$114</f>
        <v>29023</v>
      </c>
      <c r="E7" s="11">
        <f>LEAKAGE!$B$121</f>
        <v>7322</v>
      </c>
      <c r="F7" s="13">
        <f t="shared" ref="F7:F16" si="0">C7-D7-E7</f>
        <v>150212</v>
      </c>
    </row>
    <row r="8" spans="2:8" ht="12.5" x14ac:dyDescent="0.35">
      <c r="B8" s="352" t="s">
        <v>245</v>
      </c>
      <c r="C8" s="15">
        <f>ROUNDDOWN('Baseline Emission'!$E$67,0)</f>
        <v>186557</v>
      </c>
      <c r="D8" s="12">
        <f>'PROJECT EMISSION'!$B$114</f>
        <v>29023</v>
      </c>
      <c r="E8" s="11">
        <f>LEAKAGE!$B$121</f>
        <v>7322</v>
      </c>
      <c r="F8" s="13">
        <f t="shared" si="0"/>
        <v>150212</v>
      </c>
    </row>
    <row r="9" spans="2:8" ht="12.5" x14ac:dyDescent="0.35">
      <c r="B9" s="352" t="s">
        <v>246</v>
      </c>
      <c r="C9" s="15">
        <f>ROUNDDOWN('Baseline Emission'!$E$67,0)</f>
        <v>186557</v>
      </c>
      <c r="D9" s="12">
        <f>'PROJECT EMISSION'!$B$114</f>
        <v>29023</v>
      </c>
      <c r="E9" s="11">
        <f>LEAKAGE!$B$121</f>
        <v>7322</v>
      </c>
      <c r="F9" s="13">
        <f t="shared" si="0"/>
        <v>150212</v>
      </c>
    </row>
    <row r="10" spans="2:8" ht="12.5" x14ac:dyDescent="0.35">
      <c r="B10" s="352" t="s">
        <v>247</v>
      </c>
      <c r="C10" s="15">
        <f>ROUNDDOWN('Baseline Emission'!$E$67,0)</f>
        <v>186557</v>
      </c>
      <c r="D10" s="12">
        <f>'PROJECT EMISSION'!$B$114</f>
        <v>29023</v>
      </c>
      <c r="E10" s="11">
        <f>LEAKAGE!$B$121</f>
        <v>7322</v>
      </c>
      <c r="F10" s="13">
        <f t="shared" si="0"/>
        <v>150212</v>
      </c>
    </row>
    <row r="11" spans="2:8" ht="12.5" x14ac:dyDescent="0.35">
      <c r="B11" s="352" t="s">
        <v>248</v>
      </c>
      <c r="C11" s="15">
        <f>ROUNDDOWN('Baseline Emission'!$E$67,0)</f>
        <v>186557</v>
      </c>
      <c r="D11" s="12">
        <f>'PROJECT EMISSION'!$B$114</f>
        <v>29023</v>
      </c>
      <c r="E11" s="11">
        <f>LEAKAGE!$B$121</f>
        <v>7322</v>
      </c>
      <c r="F11" s="13">
        <f t="shared" si="0"/>
        <v>150212</v>
      </c>
    </row>
    <row r="12" spans="2:8" ht="12.5" x14ac:dyDescent="0.35">
      <c r="B12" s="352" t="s">
        <v>249</v>
      </c>
      <c r="C12" s="15">
        <f>ROUNDDOWN('Baseline Emission'!$E$67,0)</f>
        <v>186557</v>
      </c>
      <c r="D12" s="12">
        <f>'PROJECT EMISSION'!$B$114</f>
        <v>29023</v>
      </c>
      <c r="E12" s="11">
        <f>LEAKAGE!$B$121</f>
        <v>7322</v>
      </c>
      <c r="F12" s="13">
        <f t="shared" si="0"/>
        <v>150212</v>
      </c>
      <c r="G12" s="2"/>
      <c r="H12" s="3"/>
    </row>
    <row r="13" spans="2:8" ht="12.5" x14ac:dyDescent="0.35">
      <c r="B13" s="14" t="s">
        <v>250</v>
      </c>
      <c r="C13" s="15">
        <f>ROUNDDOWN('Baseline Emission'!$E$67,0)</f>
        <v>186557</v>
      </c>
      <c r="D13" s="12">
        <f>'PROJECT EMISSION'!$B$114</f>
        <v>29023</v>
      </c>
      <c r="E13" s="11">
        <f>LEAKAGE!$B$121</f>
        <v>7322</v>
      </c>
      <c r="F13" s="13">
        <f t="shared" si="0"/>
        <v>150212</v>
      </c>
    </row>
    <row r="14" spans="2:8" ht="12.5" x14ac:dyDescent="0.35">
      <c r="B14" s="14" t="s">
        <v>251</v>
      </c>
      <c r="C14" s="15">
        <f>ROUNDDOWN('Baseline Emission'!$E$67,0)</f>
        <v>186557</v>
      </c>
      <c r="D14" s="12">
        <f>'PROJECT EMISSION'!$B$114</f>
        <v>29023</v>
      </c>
      <c r="E14" s="11">
        <f>LEAKAGE!$B$121</f>
        <v>7322</v>
      </c>
      <c r="F14" s="13">
        <f t="shared" si="0"/>
        <v>150212</v>
      </c>
    </row>
    <row r="15" spans="2:8" ht="12.5" x14ac:dyDescent="0.35">
      <c r="B15" s="14" t="s">
        <v>252</v>
      </c>
      <c r="C15" s="15">
        <f>ROUNDDOWN('Baseline Emission'!$E$67,0)</f>
        <v>186557</v>
      </c>
      <c r="D15" s="12">
        <f>'PROJECT EMISSION'!$B$114</f>
        <v>29023</v>
      </c>
      <c r="E15" s="11">
        <f>LEAKAGE!$B$121</f>
        <v>7322</v>
      </c>
      <c r="F15" s="13">
        <f t="shared" si="0"/>
        <v>150212</v>
      </c>
    </row>
    <row r="16" spans="2:8" ht="13" thickBot="1" x14ac:dyDescent="0.4">
      <c r="B16" s="14" t="s">
        <v>254</v>
      </c>
      <c r="C16" s="15">
        <f>'Baseline Emission'!E67*160/365</f>
        <v>81778.410958904104</v>
      </c>
      <c r="D16" s="12">
        <f>'PROJECT EMISSION'!B114*160/365</f>
        <v>12722.410958904109</v>
      </c>
      <c r="E16" s="11">
        <f>LEAKAGE!B121*160/365</f>
        <v>3209.6438356164385</v>
      </c>
      <c r="F16" s="13">
        <f t="shared" si="0"/>
        <v>65846.356164383556</v>
      </c>
    </row>
    <row r="17" spans="2:6" ht="13.5" x14ac:dyDescent="0.4">
      <c r="B17" s="16" t="s">
        <v>126</v>
      </c>
      <c r="C17" s="17">
        <f>SUM(C6:C16)</f>
        <v>1865570</v>
      </c>
      <c r="D17" s="17">
        <f>SUM(D6:D16)</f>
        <v>290230.00000000006</v>
      </c>
      <c r="E17" s="17">
        <f>SUM(E6:E16)</f>
        <v>73220</v>
      </c>
      <c r="F17" s="18">
        <f>SUM(F6:F16)</f>
        <v>1502119.9999999998</v>
      </c>
    </row>
    <row r="18" spans="2:6" ht="14" thickBot="1" x14ac:dyDescent="0.45">
      <c r="B18" s="19" t="s">
        <v>127</v>
      </c>
      <c r="C18" s="20">
        <f>C17/10</f>
        <v>186557</v>
      </c>
      <c r="D18" s="20">
        <f>D17/10</f>
        <v>29023.000000000007</v>
      </c>
      <c r="E18" s="20">
        <f>E17/10</f>
        <v>7322</v>
      </c>
      <c r="F18" s="21">
        <f>F17/10</f>
        <v>150211.99999999997</v>
      </c>
    </row>
    <row r="20" spans="2:6" x14ac:dyDescent="0.25">
      <c r="B20" s="4"/>
    </row>
    <row r="21" spans="2:6" x14ac:dyDescent="0.25">
      <c r="B21" s="4"/>
      <c r="C21" s="4"/>
      <c r="D21" s="4"/>
    </row>
    <row r="22" spans="2:6" x14ac:dyDescent="0.25">
      <c r="B22" s="4"/>
      <c r="C22" s="355"/>
      <c r="D22" s="4"/>
    </row>
    <row r="23" spans="2:6" x14ac:dyDescent="0.25">
      <c r="B23" s="4"/>
    </row>
  </sheetData>
  <customSheetViews>
    <customSheetView guid="{2C071143-29D6-4036-A926-BF7E54293313}" showRuler="0" topLeftCell="A11">
      <selection activeCell="B35" sqref="B35"/>
      <pageMargins left="0.75" right="0.75" top="1" bottom="1" header="0.4921259845" footer="0.4921259845"/>
      <pageSetup paperSize="9" orientation="portrait" horizontalDpi="300" verticalDpi="0" copies="0"/>
      <headerFooter alignWithMargins="0"/>
    </customSheetView>
  </customSheetViews>
  <mergeCells count="1">
    <mergeCell ref="B3:B5"/>
  </mergeCells>
  <phoneticPr fontId="5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Cover Page</vt:lpstr>
      <vt:lpstr>Baseline Emission</vt:lpstr>
      <vt:lpstr>PROJECT EMISSION</vt:lpstr>
      <vt:lpstr>LEAKAGE</vt:lpstr>
      <vt:lpstr>EMISSION REDUCTIONS</vt:lpstr>
      <vt:lpstr>'EMISSION REDUCTIONS'!Print_Area</vt:lpstr>
    </vt:vector>
  </TitlesOfParts>
  <Manager>ywert.visser@carbonvietnam.com</Manager>
  <Company>INTRACO Co., Ltd Carbon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PCBDM-1</cp:lastModifiedBy>
  <cp:lastPrinted>2011-01-07T02:59:39Z</cp:lastPrinted>
  <dcterms:created xsi:type="dcterms:W3CDTF">2006-12-11T01:48:55Z</dcterms:created>
  <dcterms:modified xsi:type="dcterms:W3CDTF">2022-10-14T04:21:41Z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Ywert Visser</vt:lpwstr>
  </property>
  <property fmtid="{D5CDD505-2E9C-101B-9397-08002B2CF9AE}" pid="3" name="ICV">
    <vt:lpwstr>7227DCFAC30C4C368C58515CA9A5666A</vt:lpwstr>
  </property>
  <property fmtid="{D5CDD505-2E9C-101B-9397-08002B2CF9AE}" pid="4" name="KSOProductBuildVer">
    <vt:lpwstr>2052-11.1.0.10578</vt:lpwstr>
  </property>
</Properties>
</file>