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D:\涂淑兰\项目开发\养殖场\Shuangbaotai\VCS2706-Shuangbaotai Jiangsu\3. Joint Review\b. Feedback Round I\"/>
    </mc:Choice>
  </mc:AlternateContent>
  <xr:revisionPtr revIDLastSave="0" documentId="8_{5EC57DD9-391B-474D-AEDE-37FD3801E81E}" xr6:coauthVersionLast="47" xr6:coauthVersionMax="47" xr10:uidLastSave="{00000000-0000-0000-0000-000000000000}"/>
  <bookViews>
    <workbookView xWindow="28680" yWindow="-120" windowWidth="29040" windowHeight="15840" tabRatio="641" activeTab="7" xr2:uid="{00000000-000D-0000-FFFF-FFFF00000000}"/>
  </bookViews>
  <sheets>
    <sheet name="Cover Page" sheetId="6" r:id="rId1"/>
    <sheet name="Baseline Emission" sheetId="1" r:id="rId2"/>
    <sheet name="Project Emission" sheetId="2" r:id="rId3"/>
    <sheet name="Leakage Emission" sheetId="3" r:id="rId4"/>
    <sheet name="Emassion Reductions" sheetId="43" r:id="rId5"/>
    <sheet name="monitoring results" sheetId="8" r:id="rId6"/>
    <sheet name="Reliability Check" sheetId="20" r:id="rId7"/>
    <sheet name="2020.6" sheetId="44" r:id="rId8"/>
    <sheet name="2020.7" sheetId="45" r:id="rId9"/>
    <sheet name="2020.8" sheetId="46" r:id="rId10"/>
    <sheet name="2020.9" sheetId="47" r:id="rId11"/>
    <sheet name="2020.10" sheetId="48" r:id="rId12"/>
    <sheet name="2020.11" sheetId="49" r:id="rId13"/>
    <sheet name="2020.12" sheetId="50" r:id="rId14"/>
    <sheet name="2021.1" sheetId="51" r:id="rId15"/>
    <sheet name="2021.2" sheetId="52" r:id="rId16"/>
    <sheet name="2021.3" sheetId="53" r:id="rId17"/>
    <sheet name="2021.4" sheetId="54" r:id="rId18"/>
    <sheet name="2021.5" sheetId="55" r:id="rId19"/>
    <sheet name="2021.6" sheetId="56" r:id="rId20"/>
    <sheet name="2021.7" sheetId="57" r:id="rId21"/>
    <sheet name="2021.8" sheetId="58" r:id="rId22"/>
    <sheet name="2021.9" sheetId="59" r:id="rId23"/>
    <sheet name="2021.10" sheetId="60" r:id="rId24"/>
    <sheet name="2021.11" sheetId="61" r:id="rId25"/>
    <sheet name="2021.12" sheetId="62" r:id="rId26"/>
  </sheets>
  <externalReferences>
    <externalReference r:id="rId27"/>
  </externalReferences>
  <definedNames>
    <definedName name="_Toc147547213" localSheetId="2">'Project Emission'!#REF!</definedName>
    <definedName name="BE_">[1]ER!$B$2</definedName>
    <definedName name="ER">[1]ER!$B$1</definedName>
    <definedName name="LE">[1]ER!$B$17</definedName>
    <definedName name="PE">[1]ER!$B$8</definedName>
    <definedName name="Z_2C071143_29D6_4036_A926_BF7E54293313_.wvu.Rows" localSheetId="3" hidden="1">'Leakage Emission'!#REF!,'Leakage Emission'!#REF!,'Leakage Emission'!#REF!,'Leakage Emission'!#REF!,'Leakage Emission'!#REF!,'Leakage Emission'!#REF!,'Leakage Emission'!#REF!</definedName>
    <definedName name="Z_2C071143_29D6_4036_A926_BF7E54293313_.wvu.Rows" localSheetId="2" hidden="1">'Project Emission'!#REF!,'Project Emission'!#REF!</definedName>
  </definedNames>
  <calcPr calcId="191029"/>
  <customWorkbookViews>
    <customWorkbookView name="HIEU - Personal View" guid="{2C071143-29D6-4036-A926-BF7E54293313}" mergeInterval="0" personalView="1" maximized="1" windowWidth="1020" windowHeight="573"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467" i="2" l="1"/>
  <c r="C115" i="1"/>
  <c r="B13" i="1"/>
  <c r="A5" i="20"/>
  <c r="A6" i="20"/>
  <c r="A7" i="20"/>
  <c r="A8" i="20"/>
  <c r="A53" i="20" s="1"/>
  <c r="A9" i="20"/>
  <c r="A10" i="20"/>
  <c r="A11" i="20"/>
  <c r="A56" i="20" s="1"/>
  <c r="A12" i="20"/>
  <c r="A13" i="20"/>
  <c r="A14" i="20"/>
  <c r="A15" i="20"/>
  <c r="A16" i="20"/>
  <c r="A61" i="20" s="1"/>
  <c r="A17" i="20"/>
  <c r="A18" i="20"/>
  <c r="A19" i="20"/>
  <c r="A64" i="20"/>
  <c r="A20" i="20"/>
  <c r="A21" i="20"/>
  <c r="A22" i="20"/>
  <c r="A4" i="20"/>
  <c r="A68" i="46"/>
  <c r="A68" i="47" s="1"/>
  <c r="A53" i="46"/>
  <c r="A53" i="47" s="1"/>
  <c r="A53" i="48" s="1"/>
  <c r="A68" i="45"/>
  <c r="A53" i="45"/>
  <c r="A21" i="45"/>
  <c r="A21" i="46" s="1"/>
  <c r="A2" i="45"/>
  <c r="A2" i="46" s="1"/>
  <c r="E390" i="3"/>
  <c r="E317" i="3"/>
  <c r="E161" i="3"/>
  <c r="D141" i="46"/>
  <c r="D141" i="47" s="1"/>
  <c r="D141" i="48" s="1"/>
  <c r="D139" i="45"/>
  <c r="D139" i="46" s="1"/>
  <c r="D139" i="47" s="1"/>
  <c r="D139" i="48" s="1"/>
  <c r="D140" i="45"/>
  <c r="D140" i="46" s="1"/>
  <c r="D140" i="47" s="1"/>
  <c r="D140" i="48" s="1"/>
  <c r="D140" i="49" s="1"/>
  <c r="D141" i="45"/>
  <c r="D138" i="45"/>
  <c r="D138" i="46" s="1"/>
  <c r="D138" i="47" s="1"/>
  <c r="E142" i="44"/>
  <c r="D142" i="44"/>
  <c r="A468" i="2"/>
  <c r="A460" i="2"/>
  <c r="A328" i="1"/>
  <c r="A327" i="1"/>
  <c r="A24" i="1"/>
  <c r="A44" i="1" s="1"/>
  <c r="A66" i="1" s="1"/>
  <c r="A87" i="1" s="1"/>
  <c r="A107" i="1" s="1"/>
  <c r="A146" i="1" s="1"/>
  <c r="A166" i="1" s="1"/>
  <c r="A188" i="1" s="1"/>
  <c r="A208" i="1" s="1"/>
  <c r="A229" i="1" s="1"/>
  <c r="A262" i="1" s="1"/>
  <c r="A282" i="1" s="1"/>
  <c r="A305" i="1" s="1"/>
  <c r="A23" i="2" s="1"/>
  <c r="A53" i="8"/>
  <c r="A33" i="1" s="1"/>
  <c r="A53" i="1" s="1"/>
  <c r="A75" i="1" s="1"/>
  <c r="A96" i="1" s="1"/>
  <c r="A116" i="1" s="1"/>
  <c r="A155" i="1" s="1"/>
  <c r="A175" i="1" s="1"/>
  <c r="A197" i="1" s="1"/>
  <c r="A217" i="1" s="1"/>
  <c r="A238" i="1" s="1"/>
  <c r="A271" i="1" s="1"/>
  <c r="A291" i="1" s="1"/>
  <c r="A314" i="1" s="1"/>
  <c r="A52" i="8"/>
  <c r="A32" i="1" s="1"/>
  <c r="A52" i="1" s="1"/>
  <c r="A74" i="1" s="1"/>
  <c r="A95" i="1" s="1"/>
  <c r="A115" i="1" s="1"/>
  <c r="A154" i="1" s="1"/>
  <c r="A174" i="1" s="1"/>
  <c r="A196" i="1" s="1"/>
  <c r="A216" i="1" s="1"/>
  <c r="A237" i="1" s="1"/>
  <c r="A270" i="1" s="1"/>
  <c r="A290" i="1" s="1"/>
  <c r="A313" i="1" s="1"/>
  <c r="G13" i="8"/>
  <c r="A44" i="8"/>
  <c r="G5" i="8"/>
  <c r="A36" i="8"/>
  <c r="A16" i="1" s="1"/>
  <c r="A36" i="1" s="1"/>
  <c r="A58" i="1" s="1"/>
  <c r="A79" i="1" s="1"/>
  <c r="A99" i="1" s="1"/>
  <c r="A138" i="1" s="1"/>
  <c r="A158" i="1" s="1"/>
  <c r="A180" i="1" s="1"/>
  <c r="A200" i="1" s="1"/>
  <c r="A221" i="1" s="1"/>
  <c r="A254" i="1" s="1"/>
  <c r="A274" i="1" s="1"/>
  <c r="A297" i="1" s="1"/>
  <c r="A15" i="2" s="1"/>
  <c r="A42" i="20"/>
  <c r="B49" i="20" s="1"/>
  <c r="AF22" i="20"/>
  <c r="AF21" i="20"/>
  <c r="AF20" i="20"/>
  <c r="AF19" i="20"/>
  <c r="AF18" i="20"/>
  <c r="AF17" i="20"/>
  <c r="AF16" i="20"/>
  <c r="AF15" i="20"/>
  <c r="AF14" i="20"/>
  <c r="AF13" i="20"/>
  <c r="AF12" i="20"/>
  <c r="AF11" i="20"/>
  <c r="AF10" i="20"/>
  <c r="AF9" i="20"/>
  <c r="AF8" i="20"/>
  <c r="AF7" i="20"/>
  <c r="AK7" i="20" s="1"/>
  <c r="AF6" i="20"/>
  <c r="AF5" i="20"/>
  <c r="AF4" i="20"/>
  <c r="AE22" i="20"/>
  <c r="AE21" i="20"/>
  <c r="AE20" i="20"/>
  <c r="AE19" i="20"/>
  <c r="AE18" i="20"/>
  <c r="AK18" i="20" s="1"/>
  <c r="AE17" i="20"/>
  <c r="AE16" i="20"/>
  <c r="AE15" i="20"/>
  <c r="AE14" i="20"/>
  <c r="AE13" i="20"/>
  <c r="AE12" i="20"/>
  <c r="AE11" i="20"/>
  <c r="AE10" i="20"/>
  <c r="AK10" i="20" s="1"/>
  <c r="AE9" i="20"/>
  <c r="AE8" i="20"/>
  <c r="AE7" i="20"/>
  <c r="AE6" i="20"/>
  <c r="AE5" i="20"/>
  <c r="AE4" i="20"/>
  <c r="AD22" i="20"/>
  <c r="AD21" i="20"/>
  <c r="AD20" i="20"/>
  <c r="AD19" i="20"/>
  <c r="AD18" i="20"/>
  <c r="AD17" i="20"/>
  <c r="AD16" i="20"/>
  <c r="AD15" i="20"/>
  <c r="AD14" i="20"/>
  <c r="AD13" i="20"/>
  <c r="AD12" i="20"/>
  <c r="AD11" i="20"/>
  <c r="AD10" i="20"/>
  <c r="AD9" i="20"/>
  <c r="AD8" i="20"/>
  <c r="AD7" i="20"/>
  <c r="AD6" i="20"/>
  <c r="AD5" i="20"/>
  <c r="AD4" i="20"/>
  <c r="W22" i="20"/>
  <c r="W21" i="20"/>
  <c r="W20" i="20"/>
  <c r="W19" i="20"/>
  <c r="W18" i="20"/>
  <c r="W17" i="20"/>
  <c r="W16" i="20"/>
  <c r="W15" i="20"/>
  <c r="W14" i="20"/>
  <c r="W13" i="20"/>
  <c r="W12" i="20"/>
  <c r="W11" i="20"/>
  <c r="W10" i="20"/>
  <c r="W9" i="20"/>
  <c r="W8" i="20"/>
  <c r="W7" i="20"/>
  <c r="W6" i="20"/>
  <c r="W5" i="20"/>
  <c r="W4" i="20"/>
  <c r="V22" i="20"/>
  <c r="V21" i="20"/>
  <c r="V20" i="20"/>
  <c r="V19" i="20"/>
  <c r="V18" i="20"/>
  <c r="V17" i="20"/>
  <c r="V16" i="20"/>
  <c r="V15" i="20"/>
  <c r="V14" i="20"/>
  <c r="V13" i="20"/>
  <c r="V12" i="20"/>
  <c r="V11" i="20"/>
  <c r="AB11" i="20" s="1"/>
  <c r="V10" i="20"/>
  <c r="V9" i="20"/>
  <c r="V8" i="20"/>
  <c r="V7" i="20"/>
  <c r="V6" i="20"/>
  <c r="V5" i="20"/>
  <c r="V4" i="20"/>
  <c r="U22" i="20"/>
  <c r="U21" i="20"/>
  <c r="U20" i="20"/>
  <c r="U19" i="20"/>
  <c r="U18" i="20"/>
  <c r="U17" i="20"/>
  <c r="U16" i="20"/>
  <c r="U15" i="20"/>
  <c r="U14" i="20"/>
  <c r="U13" i="20"/>
  <c r="U12" i="20"/>
  <c r="U11" i="20"/>
  <c r="U10" i="20"/>
  <c r="U9" i="20"/>
  <c r="U8" i="20"/>
  <c r="U7" i="20"/>
  <c r="U6" i="20"/>
  <c r="U5" i="20"/>
  <c r="U4" i="20"/>
  <c r="N22" i="20"/>
  <c r="N21" i="20"/>
  <c r="N20" i="20"/>
  <c r="N19" i="20"/>
  <c r="N18" i="20"/>
  <c r="N17" i="20"/>
  <c r="N16" i="20"/>
  <c r="N15" i="20"/>
  <c r="N14" i="20"/>
  <c r="N13" i="20"/>
  <c r="N12" i="20"/>
  <c r="N11" i="20"/>
  <c r="N10" i="20"/>
  <c r="N9" i="20"/>
  <c r="N8" i="20"/>
  <c r="N7" i="20"/>
  <c r="N6" i="20"/>
  <c r="N5" i="20"/>
  <c r="N4" i="20"/>
  <c r="M22" i="20"/>
  <c r="M21" i="20"/>
  <c r="M20" i="20"/>
  <c r="S20" i="20" s="1"/>
  <c r="M19" i="20"/>
  <c r="M18" i="20"/>
  <c r="M17" i="20"/>
  <c r="M16" i="20"/>
  <c r="M15" i="20"/>
  <c r="M14" i="20"/>
  <c r="M13" i="20"/>
  <c r="M12" i="20"/>
  <c r="S12" i="20" s="1"/>
  <c r="M11" i="20"/>
  <c r="M10" i="20"/>
  <c r="M9" i="20"/>
  <c r="M8" i="20"/>
  <c r="M7" i="20"/>
  <c r="M6" i="20"/>
  <c r="M5" i="20"/>
  <c r="M4" i="20"/>
  <c r="S4" i="20" s="1"/>
  <c r="L22" i="20"/>
  <c r="L21" i="20"/>
  <c r="L20" i="20"/>
  <c r="L19" i="20"/>
  <c r="L18" i="20"/>
  <c r="L17" i="20"/>
  <c r="L16" i="20"/>
  <c r="L15" i="20"/>
  <c r="L14" i="20"/>
  <c r="L13" i="20"/>
  <c r="L12" i="20"/>
  <c r="L11" i="20"/>
  <c r="L10" i="20"/>
  <c r="L9" i="20"/>
  <c r="L8" i="20"/>
  <c r="L7" i="20"/>
  <c r="L6" i="20"/>
  <c r="L5" i="20"/>
  <c r="L4" i="20"/>
  <c r="E22" i="20"/>
  <c r="E21" i="20"/>
  <c r="E20" i="20"/>
  <c r="E19" i="20"/>
  <c r="E18" i="20"/>
  <c r="J18" i="20" s="1"/>
  <c r="E17" i="20"/>
  <c r="E16" i="20"/>
  <c r="E15" i="20"/>
  <c r="E14" i="20"/>
  <c r="E13" i="20"/>
  <c r="E12" i="20"/>
  <c r="E11" i="20"/>
  <c r="E10" i="20"/>
  <c r="J10" i="20" s="1"/>
  <c r="E9" i="20"/>
  <c r="E8" i="20"/>
  <c r="E7" i="20"/>
  <c r="E6" i="20"/>
  <c r="E5" i="20"/>
  <c r="E4" i="20"/>
  <c r="D22" i="20"/>
  <c r="D21" i="20"/>
  <c r="J21" i="20" s="1"/>
  <c r="D20" i="20"/>
  <c r="D19" i="20"/>
  <c r="D18" i="20"/>
  <c r="D17" i="20"/>
  <c r="D16" i="20"/>
  <c r="D15" i="20"/>
  <c r="J15" i="20"/>
  <c r="D14" i="20"/>
  <c r="J14" i="20" s="1"/>
  <c r="D13" i="20"/>
  <c r="D12" i="20"/>
  <c r="D11" i="20"/>
  <c r="D10" i="20"/>
  <c r="D9" i="20"/>
  <c r="D8" i="20"/>
  <c r="D7" i="20"/>
  <c r="J7" i="20"/>
  <c r="D6" i="20"/>
  <c r="D5" i="20"/>
  <c r="D4" i="20"/>
  <c r="C22" i="20"/>
  <c r="C21" i="20"/>
  <c r="C20" i="20"/>
  <c r="C19" i="20"/>
  <c r="C18" i="20"/>
  <c r="C17" i="20"/>
  <c r="C16" i="20"/>
  <c r="C15" i="20"/>
  <c r="C14" i="20"/>
  <c r="C13" i="20"/>
  <c r="C12" i="20"/>
  <c r="C11" i="20"/>
  <c r="C10" i="20"/>
  <c r="C9" i="20"/>
  <c r="C8" i="20"/>
  <c r="C7" i="20"/>
  <c r="C6" i="20"/>
  <c r="C5" i="20"/>
  <c r="C4" i="20"/>
  <c r="C141" i="62"/>
  <c r="G141" i="62" s="1"/>
  <c r="B141" i="62"/>
  <c r="C140" i="62"/>
  <c r="B140" i="62"/>
  <c r="C139" i="62"/>
  <c r="B139" i="62"/>
  <c r="C138" i="62"/>
  <c r="G138" i="62" s="1"/>
  <c r="B138" i="62"/>
  <c r="C141" i="61"/>
  <c r="G141" i="61" s="1"/>
  <c r="B141" i="61"/>
  <c r="G140" i="61"/>
  <c r="C140" i="61"/>
  <c r="B140" i="61"/>
  <c r="G139" i="61"/>
  <c r="C139" i="61"/>
  <c r="B139" i="61"/>
  <c r="C138" i="61"/>
  <c r="G138" i="61" s="1"/>
  <c r="B138" i="61"/>
  <c r="G141" i="60"/>
  <c r="C141" i="60"/>
  <c r="B141" i="60"/>
  <c r="C140" i="60"/>
  <c r="B140" i="60"/>
  <c r="C139" i="60"/>
  <c r="B139" i="60"/>
  <c r="C138" i="60"/>
  <c r="B138" i="60"/>
  <c r="C141" i="59"/>
  <c r="B141" i="59"/>
  <c r="C140" i="59"/>
  <c r="G140" i="59" s="1"/>
  <c r="B140" i="59"/>
  <c r="C139" i="59"/>
  <c r="B139" i="59"/>
  <c r="C138" i="59"/>
  <c r="G138" i="59" s="1"/>
  <c r="B138" i="59"/>
  <c r="C141" i="58"/>
  <c r="B141" i="58"/>
  <c r="C140" i="58"/>
  <c r="B140" i="58"/>
  <c r="C139" i="58"/>
  <c r="B139" i="58"/>
  <c r="C138" i="58"/>
  <c r="B138" i="58"/>
  <c r="C141" i="57"/>
  <c r="B141" i="57"/>
  <c r="C140" i="57"/>
  <c r="B140" i="57"/>
  <c r="C139" i="57"/>
  <c r="B139" i="57"/>
  <c r="C138" i="57"/>
  <c r="G138" i="57" s="1"/>
  <c r="B138" i="57"/>
  <c r="C141" i="56"/>
  <c r="B141" i="56"/>
  <c r="C140" i="56"/>
  <c r="B140" i="56"/>
  <c r="C139" i="56"/>
  <c r="B139" i="56"/>
  <c r="C138" i="56"/>
  <c r="B138" i="56"/>
  <c r="C141" i="55"/>
  <c r="B141" i="55"/>
  <c r="C140" i="55"/>
  <c r="G140" i="55" s="1"/>
  <c r="B140" i="55"/>
  <c r="C139" i="55"/>
  <c r="B139" i="55"/>
  <c r="G138" i="55"/>
  <c r="C138" i="55"/>
  <c r="B138" i="55"/>
  <c r="C141" i="54"/>
  <c r="B141" i="54"/>
  <c r="C140" i="54"/>
  <c r="B140" i="54"/>
  <c r="G139" i="54"/>
  <c r="C139" i="54"/>
  <c r="B139" i="54"/>
  <c r="C138" i="54"/>
  <c r="B138" i="54"/>
  <c r="C141" i="53"/>
  <c r="B141" i="53"/>
  <c r="C140" i="53"/>
  <c r="B140" i="53"/>
  <c r="C139" i="53"/>
  <c r="B139" i="53"/>
  <c r="C138" i="53"/>
  <c r="G138" i="53" s="1"/>
  <c r="B138" i="53"/>
  <c r="G141" i="52"/>
  <c r="C141" i="52"/>
  <c r="B141" i="52"/>
  <c r="G140" i="52"/>
  <c r="C140" i="52"/>
  <c r="B140" i="52"/>
  <c r="C139" i="52"/>
  <c r="B139" i="52"/>
  <c r="C138" i="52"/>
  <c r="B138" i="52"/>
  <c r="C141" i="51"/>
  <c r="B141" i="51"/>
  <c r="C140" i="51"/>
  <c r="B140" i="51"/>
  <c r="C139" i="51"/>
  <c r="B139" i="51"/>
  <c r="C138" i="51"/>
  <c r="B138" i="51"/>
  <c r="C141" i="50"/>
  <c r="B141" i="50"/>
  <c r="C140" i="50"/>
  <c r="B140" i="50"/>
  <c r="C139" i="50"/>
  <c r="B139" i="50"/>
  <c r="C138" i="50"/>
  <c r="B138" i="50"/>
  <c r="C141" i="49"/>
  <c r="G141" i="49" s="1"/>
  <c r="B141" i="49"/>
  <c r="C140" i="49"/>
  <c r="B140" i="49"/>
  <c r="F140" i="49"/>
  <c r="C139" i="49"/>
  <c r="B139" i="49"/>
  <c r="C138" i="49"/>
  <c r="G138" i="49" s="1"/>
  <c r="B138" i="49"/>
  <c r="C141" i="48"/>
  <c r="B141" i="48"/>
  <c r="X8" i="20"/>
  <c r="C140" i="48"/>
  <c r="B140" i="48"/>
  <c r="F140" i="48" s="1"/>
  <c r="C139" i="48"/>
  <c r="B139" i="48"/>
  <c r="C138" i="48"/>
  <c r="B138" i="48"/>
  <c r="G141" i="47"/>
  <c r="C141" i="47"/>
  <c r="B141" i="47"/>
  <c r="F141" i="47" s="1"/>
  <c r="C140" i="47"/>
  <c r="G140" i="47" s="1"/>
  <c r="B140" i="47"/>
  <c r="F140" i="47" s="1"/>
  <c r="C139" i="47"/>
  <c r="B139" i="47"/>
  <c r="C138" i="47"/>
  <c r="G138" i="47" s="1"/>
  <c r="B138" i="47"/>
  <c r="F138" i="47" s="1"/>
  <c r="AG6" i="20"/>
  <c r="C141" i="46"/>
  <c r="B141" i="46"/>
  <c r="F141" i="46" s="1"/>
  <c r="A141" i="46"/>
  <c r="F140" i="46"/>
  <c r="C140" i="46"/>
  <c r="B140" i="46"/>
  <c r="A140" i="46"/>
  <c r="C139" i="46"/>
  <c r="B139" i="46"/>
  <c r="C138" i="46"/>
  <c r="B138" i="46"/>
  <c r="F138" i="46" s="1"/>
  <c r="F141" i="45"/>
  <c r="C141" i="45"/>
  <c r="G141" i="45" s="1"/>
  <c r="B141" i="45"/>
  <c r="A141" i="45"/>
  <c r="G140" i="45"/>
  <c r="C140" i="45"/>
  <c r="B140" i="45"/>
  <c r="F140" i="45"/>
  <c r="A140" i="45"/>
  <c r="G139" i="45"/>
  <c r="O5" i="20"/>
  <c r="C139" i="45"/>
  <c r="B139" i="45"/>
  <c r="F139" i="45" s="1"/>
  <c r="A139" i="45"/>
  <c r="F5" i="20"/>
  <c r="D142" i="45"/>
  <c r="B7" i="8"/>
  <c r="C138" i="45"/>
  <c r="B138" i="45"/>
  <c r="F138" i="45"/>
  <c r="A138" i="45"/>
  <c r="G141" i="44"/>
  <c r="C141" i="44"/>
  <c r="B141" i="44"/>
  <c r="A141" i="44"/>
  <c r="C140" i="44"/>
  <c r="G140" i="44" s="1"/>
  <c r="B140" i="44"/>
  <c r="F140" i="44" s="1"/>
  <c r="A140" i="44"/>
  <c r="C139" i="44"/>
  <c r="B139" i="44"/>
  <c r="F139" i="44" s="1"/>
  <c r="A139" i="44"/>
  <c r="C138" i="44"/>
  <c r="B138" i="44"/>
  <c r="A138" i="44"/>
  <c r="K55" i="8"/>
  <c r="A467" i="2"/>
  <c r="A443" i="3"/>
  <c r="A446" i="3" s="1"/>
  <c r="A449" i="3" s="1"/>
  <c r="A453" i="3" s="1"/>
  <c r="E55" i="8"/>
  <c r="H23" i="8"/>
  <c r="AK22" i="20"/>
  <c r="AK21" i="20"/>
  <c r="AK20" i="20"/>
  <c r="AK19" i="20"/>
  <c r="AK17" i="20"/>
  <c r="AK16" i="20"/>
  <c r="AK15" i="20"/>
  <c r="AK14" i="20"/>
  <c r="AK13" i="20"/>
  <c r="AK12" i="20"/>
  <c r="AK9" i="20"/>
  <c r="AK8" i="20"/>
  <c r="AK6" i="20"/>
  <c r="AK5" i="20"/>
  <c r="AK4" i="20"/>
  <c r="AB8" i="20"/>
  <c r="AB7" i="20"/>
  <c r="AB6" i="20"/>
  <c r="AB5" i="20"/>
  <c r="AB21" i="20"/>
  <c r="AB20" i="20"/>
  <c r="AB19" i="20"/>
  <c r="AB18" i="20"/>
  <c r="AB17" i="20"/>
  <c r="AB14" i="20"/>
  <c r="AB13" i="20"/>
  <c r="AB12" i="20"/>
  <c r="AB10" i="20"/>
  <c r="AB9" i="20"/>
  <c r="S21" i="20"/>
  <c r="S19" i="20"/>
  <c r="S18" i="20"/>
  <c r="S16" i="20"/>
  <c r="S14" i="20"/>
  <c r="S13" i="20"/>
  <c r="S11" i="20"/>
  <c r="S10" i="20"/>
  <c r="S8" i="20"/>
  <c r="S7" i="20"/>
  <c r="S5" i="20"/>
  <c r="J22" i="20"/>
  <c r="J20" i="20"/>
  <c r="J19" i="20"/>
  <c r="J17" i="20"/>
  <c r="J13" i="20"/>
  <c r="J12" i="20"/>
  <c r="J11" i="20"/>
  <c r="J9" i="20"/>
  <c r="J6" i="20"/>
  <c r="J5" i="20"/>
  <c r="B34" i="2"/>
  <c r="B49" i="2" s="1"/>
  <c r="C126" i="2"/>
  <c r="C129" i="2"/>
  <c r="C130" i="2"/>
  <c r="B27" i="2"/>
  <c r="B19" i="2"/>
  <c r="G22" i="8"/>
  <c r="A49" i="20"/>
  <c r="A50" i="20"/>
  <c r="A51" i="20"/>
  <c r="A52" i="20"/>
  <c r="A54" i="20"/>
  <c r="A55" i="20"/>
  <c r="A57" i="20"/>
  <c r="A58" i="20"/>
  <c r="A59" i="20"/>
  <c r="A60" i="20"/>
  <c r="A62" i="20"/>
  <c r="A63" i="20"/>
  <c r="A65" i="20"/>
  <c r="A66" i="20"/>
  <c r="A67" i="20"/>
  <c r="AK11" i="20"/>
  <c r="AB22" i="20"/>
  <c r="AB16" i="20"/>
  <c r="AB15" i="20"/>
  <c r="AB4" i="20"/>
  <c r="S22" i="20"/>
  <c r="S17" i="20"/>
  <c r="S15" i="20"/>
  <c r="S9" i="20"/>
  <c r="S6" i="20"/>
  <c r="J16" i="20"/>
  <c r="J8" i="20"/>
  <c r="J4" i="20"/>
  <c r="C201" i="3"/>
  <c r="A454" i="3"/>
  <c r="A450" i="3"/>
  <c r="A447" i="3"/>
  <c r="A444" i="3"/>
  <c r="B129" i="2"/>
  <c r="C55" i="8"/>
  <c r="B55" i="8"/>
  <c r="L39" i="8"/>
  <c r="L40" i="8"/>
  <c r="L41" i="8"/>
  <c r="L42" i="8"/>
  <c r="L43" i="8"/>
  <c r="L44" i="8"/>
  <c r="L45" i="8"/>
  <c r="L46" i="8"/>
  <c r="L47" i="8"/>
  <c r="L48" i="8"/>
  <c r="L49" i="8"/>
  <c r="L50" i="8"/>
  <c r="L51" i="8"/>
  <c r="L52" i="8"/>
  <c r="L53" i="8"/>
  <c r="L54" i="8"/>
  <c r="L36" i="8"/>
  <c r="L37" i="8"/>
  <c r="L38" i="8"/>
  <c r="G54" i="8"/>
  <c r="G48" i="8"/>
  <c r="G47" i="8"/>
  <c r="G46" i="8"/>
  <c r="G45" i="8"/>
  <c r="G44" i="8"/>
  <c r="G39" i="8"/>
  <c r="G38" i="8"/>
  <c r="G37" i="8"/>
  <c r="G36" i="8"/>
  <c r="F54" i="8"/>
  <c r="J54" i="8"/>
  <c r="M54" i="8" s="1"/>
  <c r="B86" i="2" s="1"/>
  <c r="F49" i="8"/>
  <c r="F50" i="8"/>
  <c r="F51" i="8"/>
  <c r="F52" i="8"/>
  <c r="F53" i="8"/>
  <c r="J53" i="8" s="1"/>
  <c r="M53" i="8" s="1"/>
  <c r="B85" i="2" s="1"/>
  <c r="F44" i="8"/>
  <c r="J44" i="8" s="1"/>
  <c r="M44" i="8" s="1"/>
  <c r="F45" i="8"/>
  <c r="F46" i="8"/>
  <c r="F47" i="8"/>
  <c r="J47" i="8" s="1"/>
  <c r="M47" i="8" s="1"/>
  <c r="B79" i="2" s="1"/>
  <c r="F48" i="8"/>
  <c r="F39" i="8"/>
  <c r="J39" i="8"/>
  <c r="M39" i="8"/>
  <c r="B71" i="2" s="1"/>
  <c r="F40" i="8"/>
  <c r="F41" i="8"/>
  <c r="F42" i="8"/>
  <c r="F43" i="8"/>
  <c r="F36" i="8"/>
  <c r="J36" i="8"/>
  <c r="M36" i="8" s="1"/>
  <c r="F37" i="8"/>
  <c r="F38" i="8"/>
  <c r="D55" i="8"/>
  <c r="A54" i="8"/>
  <c r="A34" i="1" s="1"/>
  <c r="A54" i="1" s="1"/>
  <c r="A76" i="1" s="1"/>
  <c r="A97" i="1" s="1"/>
  <c r="A117" i="1" s="1"/>
  <c r="A156" i="1" s="1"/>
  <c r="A176" i="1" s="1"/>
  <c r="A198" i="1" s="1"/>
  <c r="A218" i="1" s="1"/>
  <c r="A239" i="1" s="1"/>
  <c r="A272" i="1" s="1"/>
  <c r="A292" i="1" s="1"/>
  <c r="A315" i="1" s="1"/>
  <c r="A38" i="8"/>
  <c r="A18" i="1" s="1"/>
  <c r="A38" i="1" s="1"/>
  <c r="A60" i="1" s="1"/>
  <c r="A81" i="1" s="1"/>
  <c r="A101" i="1" s="1"/>
  <c r="A140" i="1" s="1"/>
  <c r="A160" i="1" s="1"/>
  <c r="A182" i="1" s="1"/>
  <c r="A202" i="1" s="1"/>
  <c r="A223" i="1" s="1"/>
  <c r="A256" i="1" s="1"/>
  <c r="A276" i="1" s="1"/>
  <c r="A299" i="1" s="1"/>
  <c r="A27" i="3" s="1"/>
  <c r="A47" i="3" s="1"/>
  <c r="A74" i="3" s="1"/>
  <c r="A97" i="3" s="1"/>
  <c r="A120" i="3" s="1"/>
  <c r="A163" i="3" s="1"/>
  <c r="A183" i="3" s="1"/>
  <c r="A210" i="3" s="1"/>
  <c r="A233" i="3" s="1"/>
  <c r="A256" i="3" s="1"/>
  <c r="A300" i="3" s="1"/>
  <c r="A39" i="8"/>
  <c r="A19" i="1" s="1"/>
  <c r="A39" i="1" s="1"/>
  <c r="A61" i="1" s="1"/>
  <c r="A82" i="1" s="1"/>
  <c r="A102" i="1" s="1"/>
  <c r="A141" i="1" s="1"/>
  <c r="A161" i="1" s="1"/>
  <c r="A183" i="1" s="1"/>
  <c r="A203" i="1" s="1"/>
  <c r="A224" i="1" s="1"/>
  <c r="A257" i="1" s="1"/>
  <c r="A277" i="1" s="1"/>
  <c r="A300" i="1" s="1"/>
  <c r="A40" i="8"/>
  <c r="A20" i="1" s="1"/>
  <c r="A40" i="1" s="1"/>
  <c r="A62" i="1" s="1"/>
  <c r="A83" i="1" s="1"/>
  <c r="A103" i="1" s="1"/>
  <c r="A142" i="1" s="1"/>
  <c r="A162" i="1" s="1"/>
  <c r="A184" i="1" s="1"/>
  <c r="A204" i="1" s="1"/>
  <c r="A225" i="1" s="1"/>
  <c r="A258" i="1" s="1"/>
  <c r="A278" i="1" s="1"/>
  <c r="A301" i="1" s="1"/>
  <c r="A29" i="3" s="1"/>
  <c r="A49" i="3" s="1"/>
  <c r="A76" i="3" s="1"/>
  <c r="A99" i="3" s="1"/>
  <c r="A122" i="3" s="1"/>
  <c r="A165" i="3" s="1"/>
  <c r="A185" i="3" s="1"/>
  <c r="A212" i="3" s="1"/>
  <c r="A235" i="3" s="1"/>
  <c r="A258" i="3" s="1"/>
  <c r="A302" i="3" s="1"/>
  <c r="A41" i="8"/>
  <c r="A21" i="1" s="1"/>
  <c r="A41" i="1" s="1"/>
  <c r="A63" i="1" s="1"/>
  <c r="A84" i="1" s="1"/>
  <c r="A104" i="1" s="1"/>
  <c r="A143" i="1" s="1"/>
  <c r="A163" i="1" s="1"/>
  <c r="A185" i="1" s="1"/>
  <c r="A205" i="1" s="1"/>
  <c r="A226" i="1" s="1"/>
  <c r="A259" i="1" s="1"/>
  <c r="A279" i="1" s="1"/>
  <c r="A302" i="1" s="1"/>
  <c r="A30" i="3" s="1"/>
  <c r="A50" i="3" s="1"/>
  <c r="A77" i="3" s="1"/>
  <c r="A100" i="3" s="1"/>
  <c r="A123" i="3" s="1"/>
  <c r="A166" i="3" s="1"/>
  <c r="A186" i="3" s="1"/>
  <c r="A213" i="3" s="1"/>
  <c r="A236" i="3" s="1"/>
  <c r="A259" i="3" s="1"/>
  <c r="A303" i="3" s="1"/>
  <c r="A42" i="8"/>
  <c r="A22" i="1" s="1"/>
  <c r="A42" i="1" s="1"/>
  <c r="A64" i="1" s="1"/>
  <c r="A85" i="1" s="1"/>
  <c r="A105" i="1" s="1"/>
  <c r="A144" i="1" s="1"/>
  <c r="A164" i="1" s="1"/>
  <c r="A186" i="1" s="1"/>
  <c r="A206" i="1" s="1"/>
  <c r="A227" i="1" s="1"/>
  <c r="A260" i="1" s="1"/>
  <c r="A280" i="1" s="1"/>
  <c r="A303" i="1" s="1"/>
  <c r="A43" i="8"/>
  <c r="A23" i="1" s="1"/>
  <c r="A43" i="1" s="1"/>
  <c r="A65" i="1" s="1"/>
  <c r="A86" i="1" s="1"/>
  <c r="A106" i="1" s="1"/>
  <c r="A145" i="1" s="1"/>
  <c r="A165" i="1" s="1"/>
  <c r="A187" i="1" s="1"/>
  <c r="A207" i="1" s="1"/>
  <c r="A228" i="1" s="1"/>
  <c r="A261" i="1" s="1"/>
  <c r="A281" i="1" s="1"/>
  <c r="A304" i="1" s="1"/>
  <c r="A46" i="8"/>
  <c r="A26" i="1" s="1"/>
  <c r="A46" i="1" s="1"/>
  <c r="A68" i="1" s="1"/>
  <c r="A89" i="1" s="1"/>
  <c r="A109" i="1" s="1"/>
  <c r="A148" i="1" s="1"/>
  <c r="A168" i="1" s="1"/>
  <c r="A190" i="1" s="1"/>
  <c r="A210" i="1" s="1"/>
  <c r="A231" i="1" s="1"/>
  <c r="A264" i="1" s="1"/>
  <c r="A284" i="1" s="1"/>
  <c r="A307" i="1" s="1"/>
  <c r="A47" i="8"/>
  <c r="A27" i="1" s="1"/>
  <c r="A47" i="1" s="1"/>
  <c r="A69" i="1" s="1"/>
  <c r="A90" i="1" s="1"/>
  <c r="A110" i="1" s="1"/>
  <c r="A149" i="1" s="1"/>
  <c r="A169" i="1" s="1"/>
  <c r="A191" i="1" s="1"/>
  <c r="A211" i="1" s="1"/>
  <c r="A232" i="1" s="1"/>
  <c r="A265" i="1" s="1"/>
  <c r="A285" i="1" s="1"/>
  <c r="A308" i="1" s="1"/>
  <c r="A36" i="3" s="1"/>
  <c r="A56" i="3" s="1"/>
  <c r="A83" i="3" s="1"/>
  <c r="A106" i="3" s="1"/>
  <c r="A129" i="3" s="1"/>
  <c r="A172" i="3" s="1"/>
  <c r="A192" i="3" s="1"/>
  <c r="A219" i="3" s="1"/>
  <c r="A242" i="3" s="1"/>
  <c r="A265" i="3" s="1"/>
  <c r="A309" i="3" s="1"/>
  <c r="A48" i="8"/>
  <c r="A28" i="1" s="1"/>
  <c r="A48" i="1" s="1"/>
  <c r="A70" i="1" s="1"/>
  <c r="A91" i="1" s="1"/>
  <c r="A111" i="1" s="1"/>
  <c r="A150" i="1" s="1"/>
  <c r="A170" i="1" s="1"/>
  <c r="A192" i="1" s="1"/>
  <c r="A212" i="1" s="1"/>
  <c r="A233" i="1" s="1"/>
  <c r="A266" i="1" s="1"/>
  <c r="A286" i="1" s="1"/>
  <c r="A309" i="1" s="1"/>
  <c r="A37" i="3" s="1"/>
  <c r="A57" i="3" s="1"/>
  <c r="A84" i="3" s="1"/>
  <c r="A107" i="3" s="1"/>
  <c r="A130" i="3" s="1"/>
  <c r="A173" i="3" s="1"/>
  <c r="A193" i="3" s="1"/>
  <c r="A220" i="3" s="1"/>
  <c r="A243" i="3" s="1"/>
  <c r="A266" i="3" s="1"/>
  <c r="A310" i="3" s="1"/>
  <c r="A383" i="3" s="1"/>
  <c r="A403" i="3" s="1"/>
  <c r="A427" i="3" s="1"/>
  <c r="A49" i="8"/>
  <c r="A29" i="1" s="1"/>
  <c r="A49" i="1" s="1"/>
  <c r="A71" i="1" s="1"/>
  <c r="A92" i="1" s="1"/>
  <c r="A112" i="1" s="1"/>
  <c r="A151" i="1" s="1"/>
  <c r="A171" i="1" s="1"/>
  <c r="A193" i="1" s="1"/>
  <c r="A213" i="1" s="1"/>
  <c r="A234" i="1" s="1"/>
  <c r="A267" i="1" s="1"/>
  <c r="A287" i="1" s="1"/>
  <c r="A310" i="1" s="1"/>
  <c r="A50" i="8"/>
  <c r="A30" i="1" s="1"/>
  <c r="A50" i="1" s="1"/>
  <c r="A72" i="1" s="1"/>
  <c r="A93" i="1" s="1"/>
  <c r="A113" i="1" s="1"/>
  <c r="A152" i="1" s="1"/>
  <c r="A172" i="1" s="1"/>
  <c r="A194" i="1" s="1"/>
  <c r="A214" i="1" s="1"/>
  <c r="A235" i="1" s="1"/>
  <c r="A268" i="1" s="1"/>
  <c r="A288" i="1" s="1"/>
  <c r="A311" i="1" s="1"/>
  <c r="A29" i="2" s="1"/>
  <c r="A51" i="8"/>
  <c r="A31" i="1" s="1"/>
  <c r="A51" i="1" s="1"/>
  <c r="A73" i="1" s="1"/>
  <c r="A94" i="1" s="1"/>
  <c r="A114" i="1" s="1"/>
  <c r="A153" i="1" s="1"/>
  <c r="A173" i="1" s="1"/>
  <c r="A195" i="1" s="1"/>
  <c r="A215" i="1" s="1"/>
  <c r="A236" i="1" s="1"/>
  <c r="A269" i="1" s="1"/>
  <c r="A289" i="1" s="1"/>
  <c r="A312" i="1" s="1"/>
  <c r="A40" i="3" s="1"/>
  <c r="A60" i="3" s="1"/>
  <c r="A87" i="3" s="1"/>
  <c r="A110" i="3" s="1"/>
  <c r="A133" i="3" s="1"/>
  <c r="A176" i="3" s="1"/>
  <c r="A196" i="3" s="1"/>
  <c r="A223" i="3" s="1"/>
  <c r="A246" i="3" s="1"/>
  <c r="A269" i="3" s="1"/>
  <c r="A313" i="3" s="1"/>
  <c r="B18" i="2"/>
  <c r="B40" i="2"/>
  <c r="B20" i="2"/>
  <c r="B42" i="2" s="1"/>
  <c r="B21" i="2"/>
  <c r="B43" i="2" s="1"/>
  <c r="B22" i="2"/>
  <c r="B44" i="2" s="1"/>
  <c r="B23" i="2"/>
  <c r="B45" i="2"/>
  <c r="B24" i="2"/>
  <c r="B46" i="2" s="1"/>
  <c r="B25" i="2"/>
  <c r="B47" i="2" s="1"/>
  <c r="B26" i="2"/>
  <c r="B48" i="2" s="1"/>
  <c r="B28" i="2"/>
  <c r="B50" i="2"/>
  <c r="B29" i="2"/>
  <c r="B51" i="2" s="1"/>
  <c r="B30" i="2"/>
  <c r="B31" i="2"/>
  <c r="B53" i="2"/>
  <c r="B32" i="2"/>
  <c r="B54" i="2" s="1"/>
  <c r="B33" i="2"/>
  <c r="B55" i="2" s="1"/>
  <c r="B15" i="2"/>
  <c r="B37" i="2" s="1"/>
  <c r="B16" i="2"/>
  <c r="B38" i="2"/>
  <c r="B17" i="2"/>
  <c r="B39" i="2" s="1"/>
  <c r="G6" i="8"/>
  <c r="G7" i="8"/>
  <c r="G8" i="8"/>
  <c r="G9" i="8"/>
  <c r="G10" i="8"/>
  <c r="G11" i="8"/>
  <c r="G14" i="8"/>
  <c r="G15" i="8"/>
  <c r="G16" i="8"/>
  <c r="G17" i="8"/>
  <c r="G18" i="8"/>
  <c r="G19" i="8"/>
  <c r="C80" i="1"/>
  <c r="C81" i="1"/>
  <c r="C140" i="1" s="1"/>
  <c r="C82" i="1"/>
  <c r="C61" i="1" s="1"/>
  <c r="C83" i="1"/>
  <c r="C84" i="1"/>
  <c r="C143" i="1" s="1"/>
  <c r="C86" i="1"/>
  <c r="C87" i="1"/>
  <c r="C88" i="1"/>
  <c r="C89" i="1"/>
  <c r="C90" i="1"/>
  <c r="C91" i="1"/>
  <c r="C92" i="1"/>
  <c r="C93" i="1"/>
  <c r="C152" i="1" s="1"/>
  <c r="C94" i="1"/>
  <c r="C153" i="1" s="1"/>
  <c r="C95" i="1"/>
  <c r="C96" i="1"/>
  <c r="C97" i="1"/>
  <c r="B79" i="1"/>
  <c r="G40" i="8"/>
  <c r="J40" i="8"/>
  <c r="M40" i="8" s="1"/>
  <c r="B72" i="2" s="1"/>
  <c r="G41" i="8"/>
  <c r="J41" i="8" s="1"/>
  <c r="M41" i="8" s="1"/>
  <c r="B73" i="2" s="1"/>
  <c r="B93" i="2" s="1"/>
  <c r="G42" i="8"/>
  <c r="J42" i="8" s="1"/>
  <c r="G43" i="8"/>
  <c r="J43" i="8"/>
  <c r="M43" i="8" s="1"/>
  <c r="B75" i="2" s="1"/>
  <c r="G49" i="8"/>
  <c r="G50" i="8"/>
  <c r="J50" i="8"/>
  <c r="M50" i="8" s="1"/>
  <c r="B82" i="2" s="1"/>
  <c r="B102" i="2" s="1"/>
  <c r="G51" i="8"/>
  <c r="J51" i="8" s="1"/>
  <c r="M51" i="8" s="1"/>
  <c r="B83" i="2" s="1"/>
  <c r="B103" i="2" s="1"/>
  <c r="G52" i="8"/>
  <c r="G53" i="8"/>
  <c r="B70" i="3"/>
  <c r="C70" i="3"/>
  <c r="C200" i="3"/>
  <c r="B294" i="3"/>
  <c r="B367" i="3"/>
  <c r="C294" i="3"/>
  <c r="C367" i="3" s="1"/>
  <c r="B295" i="3"/>
  <c r="C295" i="3"/>
  <c r="C339" i="3"/>
  <c r="B368" i="3"/>
  <c r="C368" i="3"/>
  <c r="B469" i="3"/>
  <c r="B23" i="3" s="1"/>
  <c r="C469" i="3"/>
  <c r="C23" i="3" s="1"/>
  <c r="B471" i="3"/>
  <c r="B475" i="3"/>
  <c r="B476" i="3" s="1"/>
  <c r="C471" i="3"/>
  <c r="C475" i="3" s="1"/>
  <c r="B65" i="2"/>
  <c r="B125" i="2"/>
  <c r="C125" i="2" s="1"/>
  <c r="B126" i="2"/>
  <c r="B130" i="2"/>
  <c r="D131" i="2"/>
  <c r="E226" i="2"/>
  <c r="E270" i="2" s="1"/>
  <c r="E342" i="2" s="1"/>
  <c r="E412" i="2"/>
  <c r="B319" i="2"/>
  <c r="B160" i="3" s="1"/>
  <c r="B293" i="3" s="1"/>
  <c r="B366" i="3" s="1"/>
  <c r="C319" i="2"/>
  <c r="C160" i="3" s="1"/>
  <c r="C293" i="3" s="1"/>
  <c r="C366" i="3"/>
  <c r="C320" i="2"/>
  <c r="B363" i="2"/>
  <c r="C363" i="2"/>
  <c r="C390" i="2"/>
  <c r="B433" i="2"/>
  <c r="C433" i="2"/>
  <c r="C13" i="1"/>
  <c r="B55" i="1"/>
  <c r="C55" i="1"/>
  <c r="E56" i="1"/>
  <c r="B85" i="1"/>
  <c r="B134" i="1"/>
  <c r="B250" i="1"/>
  <c r="C134" i="1"/>
  <c r="C250" i="1" s="1"/>
  <c r="B136" i="1"/>
  <c r="B139" i="1" s="1"/>
  <c r="E157" i="1"/>
  <c r="D199" i="1"/>
  <c r="D273" i="1" s="1"/>
  <c r="E199" i="1"/>
  <c r="E273" i="1"/>
  <c r="B219" i="1"/>
  <c r="B293" i="1" s="1"/>
  <c r="C219" i="1"/>
  <c r="C293" i="1" s="1"/>
  <c r="D219" i="1"/>
  <c r="D293" i="1" s="1"/>
  <c r="B295" i="1"/>
  <c r="C295" i="1"/>
  <c r="J48" i="8"/>
  <c r="M48" i="8" s="1"/>
  <c r="B80" i="2" s="1"/>
  <c r="B100" i="2"/>
  <c r="B52" i="2"/>
  <c r="B141" i="1"/>
  <c r="B153" i="1"/>
  <c r="B150" i="1"/>
  <c r="C151" i="1"/>
  <c r="C146" i="1"/>
  <c r="C145" i="1"/>
  <c r="B156" i="1"/>
  <c r="B155" i="1"/>
  <c r="C139" i="1"/>
  <c r="B142" i="1"/>
  <c r="B149" i="1"/>
  <c r="C141" i="1"/>
  <c r="B145" i="1"/>
  <c r="B147" i="1"/>
  <c r="C156" i="1"/>
  <c r="B140" i="1"/>
  <c r="C154" i="1"/>
  <c r="C142" i="1"/>
  <c r="C147" i="1"/>
  <c r="C155" i="1"/>
  <c r="J46" i="8"/>
  <c r="M46" i="8" s="1"/>
  <c r="B78" i="2" s="1"/>
  <c r="B98" i="2" s="1"/>
  <c r="L55" i="8"/>
  <c r="J49" i="8"/>
  <c r="M49" i="8" s="1"/>
  <c r="B81" i="2"/>
  <c r="B101" i="2" s="1"/>
  <c r="J37" i="8"/>
  <c r="M37" i="8"/>
  <c r="B69" i="2" s="1"/>
  <c r="B89" i="2" s="1"/>
  <c r="J45" i="8"/>
  <c r="M45" i="8" s="1"/>
  <c r="B77" i="2" s="1"/>
  <c r="B97" i="2" s="1"/>
  <c r="J52" i="8"/>
  <c r="M52" i="8" s="1"/>
  <c r="B84" i="2" s="1"/>
  <c r="B104" i="2" s="1"/>
  <c r="M42" i="8"/>
  <c r="B74" i="2" s="1"/>
  <c r="B94" i="2" s="1"/>
  <c r="B59" i="20"/>
  <c r="B67" i="20"/>
  <c r="B56" i="20"/>
  <c r="B57" i="20"/>
  <c r="B52" i="20"/>
  <c r="B64" i="20"/>
  <c r="B62" i="20"/>
  <c r="B65" i="20"/>
  <c r="B60" i="20"/>
  <c r="B63" i="20"/>
  <c r="B51" i="20"/>
  <c r="B50" i="20"/>
  <c r="B53" i="20"/>
  <c r="B55" i="20"/>
  <c r="B58" i="20"/>
  <c r="B61" i="20"/>
  <c r="B66" i="20"/>
  <c r="B54" i="20"/>
  <c r="G140" i="60"/>
  <c r="G140" i="58"/>
  <c r="G141" i="46"/>
  <c r="G141" i="53"/>
  <c r="G139" i="50"/>
  <c r="G138" i="54"/>
  <c r="G139" i="55"/>
  <c r="G138" i="58"/>
  <c r="G139" i="58"/>
  <c r="G138" i="60"/>
  <c r="B68" i="2"/>
  <c r="X7" i="20"/>
  <c r="AA7" i="20" s="1"/>
  <c r="F141" i="44"/>
  <c r="AA8" i="20"/>
  <c r="G140" i="46"/>
  <c r="X6" i="20"/>
  <c r="AA6" i="20" s="1"/>
  <c r="E142" i="48"/>
  <c r="C10" i="8" s="1"/>
  <c r="C136" i="2"/>
  <c r="C231" i="2" s="1"/>
  <c r="G140" i="57"/>
  <c r="AG5" i="20"/>
  <c r="G141" i="48"/>
  <c r="G139" i="49"/>
  <c r="G142" i="49" s="1"/>
  <c r="D146" i="49" s="1"/>
  <c r="G139" i="51"/>
  <c r="G140" i="53"/>
  <c r="G140" i="48"/>
  <c r="G138" i="51"/>
  <c r="A28" i="2"/>
  <c r="A50" i="2" s="1"/>
  <c r="A38" i="3"/>
  <c r="A58" i="3"/>
  <c r="A85" i="3" s="1"/>
  <c r="A108" i="3" s="1"/>
  <c r="A131" i="3" s="1"/>
  <c r="A174" i="3" s="1"/>
  <c r="A194" i="3" s="1"/>
  <c r="A221" i="3" s="1"/>
  <c r="A244" i="3" s="1"/>
  <c r="A267" i="3" s="1"/>
  <c r="A311" i="3" s="1"/>
  <c r="A30" i="2"/>
  <c r="A33" i="2"/>
  <c r="A86" i="2" s="1"/>
  <c r="A43" i="3"/>
  <c r="A63" i="3" s="1"/>
  <c r="A90" i="3" s="1"/>
  <c r="A113" i="3" s="1"/>
  <c r="A136" i="3" s="1"/>
  <c r="A179" i="3" s="1"/>
  <c r="A199" i="3" s="1"/>
  <c r="A226" i="3" s="1"/>
  <c r="A249" i="3" s="1"/>
  <c r="A272" i="3" s="1"/>
  <c r="A316" i="3" s="1"/>
  <c r="A389" i="3" s="1"/>
  <c r="A409" i="3" s="1"/>
  <c r="A433" i="3" s="1"/>
  <c r="A330" i="3"/>
  <c r="A353" i="3" s="1"/>
  <c r="A32" i="2"/>
  <c r="A42" i="3"/>
  <c r="A62" i="3"/>
  <c r="A89" i="3" s="1"/>
  <c r="A112" i="3" s="1"/>
  <c r="A135" i="3" s="1"/>
  <c r="A178" i="3" s="1"/>
  <c r="A198" i="3" s="1"/>
  <c r="A225" i="3" s="1"/>
  <c r="A248" i="3" s="1"/>
  <c r="A271" i="3" s="1"/>
  <c r="A315" i="3"/>
  <c r="A329" i="3"/>
  <c r="A352" i="3" s="1"/>
  <c r="A382" i="3"/>
  <c r="A402" i="3" s="1"/>
  <c r="A426" i="3" s="1"/>
  <c r="A31" i="2"/>
  <c r="A53" i="2" s="1"/>
  <c r="A41" i="3"/>
  <c r="A61" i="3" s="1"/>
  <c r="A88" i="3" s="1"/>
  <c r="A111" i="3" s="1"/>
  <c r="A134" i="3" s="1"/>
  <c r="A177" i="3" s="1"/>
  <c r="A197" i="3" s="1"/>
  <c r="A224" i="3" s="1"/>
  <c r="A247" i="3" s="1"/>
  <c r="A270" i="3" s="1"/>
  <c r="A314" i="3" s="1"/>
  <c r="A376" i="3"/>
  <c r="A396" i="3" s="1"/>
  <c r="A420" i="3" s="1"/>
  <c r="A323" i="3"/>
  <c r="A346" i="3"/>
  <c r="A22" i="2"/>
  <c r="A44" i="2" s="1"/>
  <c r="A32" i="3"/>
  <c r="A52" i="3" s="1"/>
  <c r="A79" i="3" s="1"/>
  <c r="A102" i="3" s="1"/>
  <c r="A125" i="3" s="1"/>
  <c r="A168" i="3" s="1"/>
  <c r="A188" i="3" s="1"/>
  <c r="A215" i="3" s="1"/>
  <c r="A238" i="3" s="1"/>
  <c r="A261" i="3" s="1"/>
  <c r="A305" i="3" s="1"/>
  <c r="A20" i="2"/>
  <c r="A18" i="2"/>
  <c r="A40" i="2" s="1"/>
  <c r="A28" i="3"/>
  <c r="A48" i="3"/>
  <c r="A75" i="3"/>
  <c r="A98" i="3" s="1"/>
  <c r="A121" i="3" s="1"/>
  <c r="A164" i="3" s="1"/>
  <c r="A184" i="3" s="1"/>
  <c r="A211" i="3" s="1"/>
  <c r="A234" i="3" s="1"/>
  <c r="A257" i="3" s="1"/>
  <c r="A301" i="3" s="1"/>
  <c r="A39" i="3"/>
  <c r="A59" i="3" s="1"/>
  <c r="A86" i="3" s="1"/>
  <c r="A109" i="3" s="1"/>
  <c r="A132" i="3" s="1"/>
  <c r="A175" i="3" s="1"/>
  <c r="A195" i="3" s="1"/>
  <c r="A222" i="3" s="1"/>
  <c r="A245" i="3" s="1"/>
  <c r="A268" i="3" s="1"/>
  <c r="A312" i="3" s="1"/>
  <c r="A332" i="3" s="1"/>
  <c r="A355" i="3" s="1"/>
  <c r="A35" i="3"/>
  <c r="A55" i="3"/>
  <c r="A82" i="3" s="1"/>
  <c r="A105" i="3" s="1"/>
  <c r="A128" i="3" s="1"/>
  <c r="A171" i="3" s="1"/>
  <c r="A191" i="3" s="1"/>
  <c r="A218" i="3" s="1"/>
  <c r="A241" i="3" s="1"/>
  <c r="A264" i="3" s="1"/>
  <c r="A308" i="3" s="1"/>
  <c r="A25" i="2"/>
  <c r="A78" i="2" s="1"/>
  <c r="A142" i="2" s="1"/>
  <c r="A162" i="2" s="1"/>
  <c r="A183" i="2" s="1"/>
  <c r="A217" i="2" s="1"/>
  <c r="A237" i="2" s="1"/>
  <c r="A257" i="2" s="1"/>
  <c r="A281" i="2" s="1"/>
  <c r="A302" i="2" s="1"/>
  <c r="A333" i="2" s="1"/>
  <c r="A353" i="2" s="1"/>
  <c r="A375" i="2" s="1"/>
  <c r="A403" i="2" s="1"/>
  <c r="A423" i="2" s="1"/>
  <c r="A445" i="2" s="1"/>
  <c r="A21" i="2"/>
  <c r="A43" i="2" s="1"/>
  <c r="A31" i="3"/>
  <c r="A51" i="3"/>
  <c r="A78" i="3" s="1"/>
  <c r="A101" i="3" s="1"/>
  <c r="A124" i="3" s="1"/>
  <c r="A167" i="3" s="1"/>
  <c r="A187" i="3" s="1"/>
  <c r="A214" i="3" s="1"/>
  <c r="A237" i="3" s="1"/>
  <c r="A260" i="3" s="1"/>
  <c r="A304" i="3" s="1"/>
  <c r="A26" i="2"/>
  <c r="A48" i="2" s="1"/>
  <c r="A19" i="2"/>
  <c r="G20" i="8"/>
  <c r="G12" i="8"/>
  <c r="G4" i="8"/>
  <c r="G21" i="8"/>
  <c r="A45" i="8"/>
  <c r="A25" i="1" s="1"/>
  <c r="A45" i="1" s="1"/>
  <c r="A67" i="1" s="1"/>
  <c r="A88" i="1" s="1"/>
  <c r="A108" i="1" s="1"/>
  <c r="A147" i="1" s="1"/>
  <c r="A167" i="1" s="1"/>
  <c r="A189" i="1" s="1"/>
  <c r="A209" i="1" s="1"/>
  <c r="A230" i="1" s="1"/>
  <c r="A263" i="1" s="1"/>
  <c r="A283" i="1" s="1"/>
  <c r="A306" i="1" s="1"/>
  <c r="A37" i="8"/>
  <c r="A17" i="1" s="1"/>
  <c r="A37" i="1" s="1"/>
  <c r="A59" i="1" s="1"/>
  <c r="A80" i="1" s="1"/>
  <c r="A100" i="1" s="1"/>
  <c r="A139" i="1" s="1"/>
  <c r="A159" i="1" s="1"/>
  <c r="A181" i="1" s="1"/>
  <c r="A201" i="1" s="1"/>
  <c r="A222" i="1" s="1"/>
  <c r="A255" i="1" s="1"/>
  <c r="A275" i="1" s="1"/>
  <c r="A298" i="1" s="1"/>
  <c r="A26" i="3" s="1"/>
  <c r="A46" i="3" s="1"/>
  <c r="A73" i="3" s="1"/>
  <c r="A96" i="3" s="1"/>
  <c r="A119" i="3" s="1"/>
  <c r="A162" i="3" s="1"/>
  <c r="A182" i="3" s="1"/>
  <c r="A209" i="3" s="1"/>
  <c r="A232" i="3" s="1"/>
  <c r="A255" i="3" s="1"/>
  <c r="A299" i="3" s="1"/>
  <c r="A47" i="2"/>
  <c r="A79" i="2"/>
  <c r="A74" i="2"/>
  <c r="A94" i="2" s="1"/>
  <c r="A73" i="2"/>
  <c r="A93" i="2" s="1"/>
  <c r="A42" i="2"/>
  <c r="A84" i="2"/>
  <c r="A148" i="2" s="1"/>
  <c r="A168" i="2" s="1"/>
  <c r="A189" i="2" s="1"/>
  <c r="A223" i="2" s="1"/>
  <c r="A243" i="2" s="1"/>
  <c r="A263" i="2" s="1"/>
  <c r="A287" i="2" s="1"/>
  <c r="A308" i="2" s="1"/>
  <c r="A339" i="2" s="1"/>
  <c r="A359" i="2" s="1"/>
  <c r="A381" i="2" s="1"/>
  <c r="A409" i="2" s="1"/>
  <c r="A429" i="2" s="1"/>
  <c r="A451" i="2" s="1"/>
  <c r="A336" i="3"/>
  <c r="A359" i="3" s="1"/>
  <c r="A75" i="2"/>
  <c r="A54" i="2"/>
  <c r="A85" i="2"/>
  <c r="A149" i="2" s="1"/>
  <c r="A169" i="2" s="1"/>
  <c r="A190" i="2" s="1"/>
  <c r="A224" i="2" s="1"/>
  <c r="A244" i="2" s="1"/>
  <c r="A264" i="2" s="1"/>
  <c r="A288" i="2" s="1"/>
  <c r="A309" i="2" s="1"/>
  <c r="A340" i="2" s="1"/>
  <c r="A360" i="2" s="1"/>
  <c r="A382" i="2" s="1"/>
  <c r="A410" i="2" s="1"/>
  <c r="A430" i="2" s="1"/>
  <c r="A452" i="2" s="1"/>
  <c r="A52" i="2"/>
  <c r="A83" i="2"/>
  <c r="A147" i="2" s="1"/>
  <c r="A167" i="2" s="1"/>
  <c r="A188" i="2" s="1"/>
  <c r="A222" i="2" s="1"/>
  <c r="A242" i="2" s="1"/>
  <c r="A262" i="2" s="1"/>
  <c r="A286" i="2" s="1"/>
  <c r="A307" i="2" s="1"/>
  <c r="A338" i="2" s="1"/>
  <c r="A358" i="2" s="1"/>
  <c r="A380" i="2" s="1"/>
  <c r="A408" i="2" s="1"/>
  <c r="A428" i="2" s="1"/>
  <c r="A450" i="2" s="1"/>
  <c r="A104" i="2"/>
  <c r="A105" i="2"/>
  <c r="G138" i="48"/>
  <c r="G139" i="57"/>
  <c r="G138" i="52"/>
  <c r="G142" i="52" s="1"/>
  <c r="D146" i="52" s="1"/>
  <c r="E14" i="8" s="1"/>
  <c r="C44" i="1" s="1"/>
  <c r="C66" i="1" s="1"/>
  <c r="C160" i="2" s="1"/>
  <c r="AG4" i="20"/>
  <c r="AJ4" i="20" s="1"/>
  <c r="E142" i="52"/>
  <c r="C14" i="8" s="1"/>
  <c r="G141" i="51"/>
  <c r="AG7" i="20"/>
  <c r="AJ7" i="20"/>
  <c r="G141" i="59"/>
  <c r="G139" i="48"/>
  <c r="G141" i="50"/>
  <c r="G139" i="62"/>
  <c r="E142" i="62"/>
  <c r="C24" i="8"/>
  <c r="C150" i="2" s="1"/>
  <c r="C245" i="2" s="1"/>
  <c r="C289" i="2"/>
  <c r="C361" i="2" s="1"/>
  <c r="C431" i="2" s="1"/>
  <c r="G140" i="62"/>
  <c r="G142" i="62" s="1"/>
  <c r="G140" i="51"/>
  <c r="G142" i="51" s="1"/>
  <c r="D146" i="51" s="1"/>
  <c r="E13" i="8"/>
  <c r="C43" i="1" s="1"/>
  <c r="C65" i="1" s="1"/>
  <c r="E142" i="51"/>
  <c r="C13" i="8"/>
  <c r="C23" i="1" s="1"/>
  <c r="C207" i="1" s="1"/>
  <c r="C281" i="1" s="1"/>
  <c r="C32" i="3" s="1"/>
  <c r="C20" i="1"/>
  <c r="C204" i="1" s="1"/>
  <c r="AJ5" i="20"/>
  <c r="G138" i="50"/>
  <c r="E142" i="59"/>
  <c r="C21" i="8"/>
  <c r="G139" i="59"/>
  <c r="G142" i="59"/>
  <c r="I5" i="20"/>
  <c r="X5" i="20"/>
  <c r="AA5" i="20" s="1"/>
  <c r="O7" i="20"/>
  <c r="R7" i="20"/>
  <c r="G139" i="47"/>
  <c r="G140" i="49"/>
  <c r="E142" i="49"/>
  <c r="C11" i="8" s="1"/>
  <c r="G141" i="58"/>
  <c r="G142" i="58" s="1"/>
  <c r="D146" i="58" s="1"/>
  <c r="E20" i="8" s="1"/>
  <c r="C50" i="1" s="1"/>
  <c r="E142" i="58"/>
  <c r="C20" i="8" s="1"/>
  <c r="C146" i="2" s="1"/>
  <c r="C241" i="2" s="1"/>
  <c r="C285" i="2" s="1"/>
  <c r="C357" i="2" s="1"/>
  <c r="C427" i="2" s="1"/>
  <c r="G139" i="56"/>
  <c r="G142" i="56" s="1"/>
  <c r="D146" i="56" s="1"/>
  <c r="E18" i="8" s="1"/>
  <c r="C48" i="1" s="1"/>
  <c r="G138" i="56"/>
  <c r="O6" i="20"/>
  <c r="G139" i="46"/>
  <c r="E142" i="53"/>
  <c r="G139" i="52"/>
  <c r="E142" i="61"/>
  <c r="C23" i="8"/>
  <c r="C33" i="1" s="1"/>
  <c r="C217" i="1" s="1"/>
  <c r="X4" i="20"/>
  <c r="AA4" i="20" s="1"/>
  <c r="E142" i="45"/>
  <c r="C7" i="8"/>
  <c r="C133" i="2" s="1"/>
  <c r="C228" i="2"/>
  <c r="C272" i="2" s="1"/>
  <c r="C344" i="2" s="1"/>
  <c r="C414" i="2" s="1"/>
  <c r="G138" i="45"/>
  <c r="G142" i="45" s="1"/>
  <c r="G141" i="54"/>
  <c r="G141" i="56"/>
  <c r="G142" i="48"/>
  <c r="D146" i="48"/>
  <c r="E10" i="8" s="1"/>
  <c r="C40" i="1" s="1"/>
  <c r="R6" i="20"/>
  <c r="C149" i="2"/>
  <c r="C244" i="2" s="1"/>
  <c r="C15" i="8"/>
  <c r="C141" i="2" s="1"/>
  <c r="C236" i="2" s="1"/>
  <c r="C280" i="2"/>
  <c r="C352" i="2" s="1"/>
  <c r="C422" i="2" s="1"/>
  <c r="C275" i="2"/>
  <c r="C347" i="2" s="1"/>
  <c r="C417" i="2" s="1"/>
  <c r="D146" i="62"/>
  <c r="E24" i="8" s="1"/>
  <c r="C54" i="1" s="1"/>
  <c r="C176" i="1" s="1"/>
  <c r="C198" i="1" s="1"/>
  <c r="C34" i="1"/>
  <c r="C218" i="1" s="1"/>
  <c r="C292" i="1" s="1"/>
  <c r="C43" i="3" s="1"/>
  <c r="C179" i="3" s="1"/>
  <c r="C336" i="3" s="1"/>
  <c r="C409" i="3" s="1"/>
  <c r="G142" i="61"/>
  <c r="D146" i="61"/>
  <c r="E23" i="8" s="1"/>
  <c r="C53" i="1" s="1"/>
  <c r="C75" i="1" s="1"/>
  <c r="G142" i="47"/>
  <c r="C225" i="1"/>
  <c r="C278" i="1"/>
  <c r="C29" i="3" s="1"/>
  <c r="C165" i="3" s="1"/>
  <c r="C322" i="3" s="1"/>
  <c r="C395" i="3" s="1"/>
  <c r="C137" i="2"/>
  <c r="C232" i="2" s="1"/>
  <c r="C276" i="2"/>
  <c r="C348" i="2" s="1"/>
  <c r="C418" i="2" s="1"/>
  <c r="C21" i="1"/>
  <c r="C205" i="1" s="1"/>
  <c r="C228" i="1"/>
  <c r="C168" i="3"/>
  <c r="C325" i="3" s="1"/>
  <c r="C398" i="3" s="1"/>
  <c r="B17" i="1"/>
  <c r="B201" i="1" s="1"/>
  <c r="B222" i="1" s="1"/>
  <c r="B133" i="2"/>
  <c r="B228" i="2"/>
  <c r="B272" i="2" s="1"/>
  <c r="B344" i="2" s="1"/>
  <c r="B414" i="2" s="1"/>
  <c r="D146" i="45"/>
  <c r="E7" i="8" s="1"/>
  <c r="C37" i="1" s="1"/>
  <c r="C288" i="2"/>
  <c r="C360" i="2" s="1"/>
  <c r="C31" i="1"/>
  <c r="C147" i="2"/>
  <c r="G139" i="60"/>
  <c r="G142" i="60"/>
  <c r="D146" i="60" s="1"/>
  <c r="E22" i="8" s="1"/>
  <c r="C52" i="1" s="1"/>
  <c r="E142" i="60"/>
  <c r="C22" i="8" s="1"/>
  <c r="C76" i="1"/>
  <c r="C165" i="1"/>
  <c r="C166" i="1"/>
  <c r="C188" i="1" s="1"/>
  <c r="C262" i="1" s="1"/>
  <c r="C53" i="3" s="1"/>
  <c r="C189" i="3" s="1"/>
  <c r="C17" i="1"/>
  <c r="E11" i="8"/>
  <c r="C41" i="1" s="1"/>
  <c r="C163" i="1" s="1"/>
  <c r="E142" i="50"/>
  <c r="C12" i="8" s="1"/>
  <c r="G140" i="50"/>
  <c r="G142" i="50" s="1"/>
  <c r="F142" i="45"/>
  <c r="C146" i="45" s="1"/>
  <c r="D7" i="8"/>
  <c r="B37" i="1" s="1"/>
  <c r="B59" i="1" s="1"/>
  <c r="G140" i="56"/>
  <c r="F4" i="20"/>
  <c r="B6" i="8"/>
  <c r="F138" i="44"/>
  <c r="F142" i="44"/>
  <c r="C146" i="44" s="1"/>
  <c r="D6" i="8" s="1"/>
  <c r="O4" i="20"/>
  <c r="G139" i="44"/>
  <c r="C6" i="8"/>
  <c r="G138" i="44"/>
  <c r="G142" i="44" s="1"/>
  <c r="D146" i="44" s="1"/>
  <c r="E6" i="8" s="1"/>
  <c r="G139" i="53"/>
  <c r="G142" i="53" s="1"/>
  <c r="D146" i="53" s="1"/>
  <c r="E15" i="8" s="1"/>
  <c r="C45" i="1" s="1"/>
  <c r="C167" i="1" s="1"/>
  <c r="G138" i="46"/>
  <c r="G142" i="46"/>
  <c r="F6" i="20"/>
  <c r="C8" i="8"/>
  <c r="AJ6" i="20"/>
  <c r="E142" i="56"/>
  <c r="C18" i="8"/>
  <c r="C144" i="2" s="1"/>
  <c r="D146" i="59"/>
  <c r="E21" i="8"/>
  <c r="C51" i="1" s="1"/>
  <c r="B5" i="20"/>
  <c r="R5" i="20"/>
  <c r="E142" i="47"/>
  <c r="D146" i="47" s="1"/>
  <c r="E9" i="8" s="1"/>
  <c r="C39" i="1" s="1"/>
  <c r="C161" i="1" s="1"/>
  <c r="C183" i="1" s="1"/>
  <c r="G140" i="54"/>
  <c r="G142" i="54" s="1"/>
  <c r="D146" i="54" s="1"/>
  <c r="E16" i="8" s="1"/>
  <c r="E142" i="54"/>
  <c r="C16" i="8" s="1"/>
  <c r="E142" i="55"/>
  <c r="C17" i="8"/>
  <c r="C143" i="2" s="1"/>
  <c r="G141" i="55"/>
  <c r="G142" i="55"/>
  <c r="E142" i="57"/>
  <c r="C19" i="8" s="1"/>
  <c r="G141" i="57"/>
  <c r="G142" i="57" s="1"/>
  <c r="D146" i="57" s="1"/>
  <c r="E19" i="8" s="1"/>
  <c r="C279" i="1"/>
  <c r="C30" i="3" s="1"/>
  <c r="C166" i="3" s="1"/>
  <c r="C323" i="3" s="1"/>
  <c r="C396" i="3" s="1"/>
  <c r="B275" i="1"/>
  <c r="B26" i="3" s="1"/>
  <c r="B162" i="3" s="1"/>
  <c r="B319" i="3" s="1"/>
  <c r="B392" i="3" s="1"/>
  <c r="C18" i="1"/>
  <c r="C202" i="1" s="1"/>
  <c r="C276" i="1" s="1"/>
  <c r="C27" i="3" s="1"/>
  <c r="C163" i="3" s="1"/>
  <c r="C320" i="3" s="1"/>
  <c r="C393" i="3" s="1"/>
  <c r="C134" i="2"/>
  <c r="C242" i="2"/>
  <c r="C286" i="2"/>
  <c r="C358" i="2" s="1"/>
  <c r="C22" i="1"/>
  <c r="C138" i="2"/>
  <c r="C170" i="2"/>
  <c r="C191" i="2" s="1"/>
  <c r="C215" i="1"/>
  <c r="C236" i="1" s="1"/>
  <c r="D146" i="55"/>
  <c r="E17" i="8" s="1"/>
  <c r="C47" i="1" s="1"/>
  <c r="C29" i="1"/>
  <c r="C213" i="1" s="1"/>
  <c r="C287" i="1" s="1"/>
  <c r="C38" i="3" s="1"/>
  <c r="C174" i="3" s="1"/>
  <c r="C331" i="3" s="1"/>
  <c r="C145" i="2"/>
  <c r="C28" i="1"/>
  <c r="B159" i="1"/>
  <c r="B181" i="1" s="1"/>
  <c r="B255" i="1" s="1"/>
  <c r="C27" i="1"/>
  <c r="C211" i="1" s="1"/>
  <c r="C285" i="1" s="1"/>
  <c r="C36" i="3" s="1"/>
  <c r="C172" i="3" s="1"/>
  <c r="C329" i="3" s="1"/>
  <c r="C402" i="3" s="1"/>
  <c r="R4" i="20"/>
  <c r="C32" i="1"/>
  <c r="C216" i="1" s="1"/>
  <c r="C148" i="2"/>
  <c r="C243" i="2" s="1"/>
  <c r="C26" i="1"/>
  <c r="C142" i="2"/>
  <c r="D146" i="46"/>
  <c r="E8" i="8"/>
  <c r="C132" i="2"/>
  <c r="C16" i="1"/>
  <c r="C200" i="1" s="1"/>
  <c r="C274" i="1" s="1"/>
  <c r="C25" i="3" s="1"/>
  <c r="C161" i="3" s="1"/>
  <c r="C318" i="3" s="1"/>
  <c r="B132" i="2"/>
  <c r="B16" i="1"/>
  <c r="C306" i="3"/>
  <c r="B6" i="20"/>
  <c r="H6" i="20" s="1"/>
  <c r="G6" i="20"/>
  <c r="I6" i="20"/>
  <c r="K6" i="20" s="1"/>
  <c r="C49" i="1"/>
  <c r="C71" i="1" s="1"/>
  <c r="C46" i="1"/>
  <c r="C168" i="1" s="1"/>
  <c r="B4" i="20"/>
  <c r="H4" i="20" s="1"/>
  <c r="I4" i="20"/>
  <c r="C201" i="1"/>
  <c r="C189" i="1"/>
  <c r="C263" i="1" s="1"/>
  <c r="C54" i="3" s="1"/>
  <c r="C190" i="3" s="1"/>
  <c r="G5" i="20"/>
  <c r="K5" i="20"/>
  <c r="H5" i="20"/>
  <c r="AH5" i="20"/>
  <c r="AL5" i="20"/>
  <c r="Y5" i="20"/>
  <c r="AC5" i="20" s="1"/>
  <c r="P5" i="20"/>
  <c r="AI5" i="20"/>
  <c r="Q5" i="20"/>
  <c r="Z5" i="20"/>
  <c r="C36" i="1"/>
  <c r="C169" i="2"/>
  <c r="C190" i="2"/>
  <c r="C315" i="3"/>
  <c r="C388" i="3" s="1"/>
  <c r="P4" i="20"/>
  <c r="T4" i="20"/>
  <c r="G4" i="20"/>
  <c r="B227" i="2"/>
  <c r="B271" i="2"/>
  <c r="B343" i="2" s="1"/>
  <c r="C240" i="2"/>
  <c r="C284" i="2"/>
  <c r="C356" i="2" s="1"/>
  <c r="C212" i="1"/>
  <c r="C428" i="2"/>
  <c r="C158" i="1"/>
  <c r="K4" i="20"/>
  <c r="Q4" i="20"/>
  <c r="B153" i="2"/>
  <c r="B174" i="2" s="1"/>
  <c r="B299" i="3"/>
  <c r="C430" i="2"/>
  <c r="B36" i="1"/>
  <c r="B58" i="1" s="1"/>
  <c r="B208" i="2"/>
  <c r="B324" i="2" s="1"/>
  <c r="B366" i="2" s="1"/>
  <c r="C237" i="2"/>
  <c r="C281" i="2" s="1"/>
  <c r="C353" i="2" s="1"/>
  <c r="C423" i="2" s="1"/>
  <c r="C289" i="1"/>
  <c r="C40" i="3" s="1"/>
  <c r="C176" i="3" s="1"/>
  <c r="C333" i="3" s="1"/>
  <c r="C229" i="2"/>
  <c r="C273" i="2" s="1"/>
  <c r="C345" i="2" s="1"/>
  <c r="C415" i="2" s="1"/>
  <c r="C174" i="1"/>
  <c r="C196" i="1" s="1"/>
  <c r="C223" i="2" s="1"/>
  <c r="C308" i="2" s="1"/>
  <c r="C74" i="1"/>
  <c r="C314" i="3" s="1"/>
  <c r="C387" i="3" s="1"/>
  <c r="C222" i="1"/>
  <c r="C275" i="1"/>
  <c r="C26" i="3" s="1"/>
  <c r="C162" i="3" s="1"/>
  <c r="C319" i="3" s="1"/>
  <c r="C392" i="3" s="1"/>
  <c r="C379" i="3"/>
  <c r="Y6" i="20"/>
  <c r="AC6" i="20" s="1"/>
  <c r="Q6" i="20"/>
  <c r="AH6" i="20"/>
  <c r="AL6" i="20" s="1"/>
  <c r="P6" i="20"/>
  <c r="T6" i="20" s="1"/>
  <c r="AI6" i="20"/>
  <c r="C227" i="2"/>
  <c r="C271" i="2" s="1"/>
  <c r="C343" i="2" s="1"/>
  <c r="Z4" i="20"/>
  <c r="AI4" i="20"/>
  <c r="AH4" i="20"/>
  <c r="AL4" i="20" s="1"/>
  <c r="Y4" i="20"/>
  <c r="AC4" i="20"/>
  <c r="C68" i="1"/>
  <c r="C308" i="3" s="1"/>
  <c r="C381" i="3" s="1"/>
  <c r="C210" i="1"/>
  <c r="C284" i="1" s="1"/>
  <c r="C35" i="3" s="1"/>
  <c r="C171" i="3" s="1"/>
  <c r="C328" i="3" s="1"/>
  <c r="C287" i="2"/>
  <c r="C359" i="2" s="1"/>
  <c r="C429" i="2" s="1"/>
  <c r="C239" i="2"/>
  <c r="C283" i="2" s="1"/>
  <c r="C355" i="2"/>
  <c r="C206" i="1"/>
  <c r="B200" i="1"/>
  <c r="B274" i="1" s="1"/>
  <c r="B25" i="3" s="1"/>
  <c r="B161" i="3" s="1"/>
  <c r="B318" i="3" s="1"/>
  <c r="AM4" i="20"/>
  <c r="C49" i="20"/>
  <c r="B293" i="2"/>
  <c r="C168" i="2"/>
  <c r="C189" i="2" s="1"/>
  <c r="C270" i="1"/>
  <c r="C61" i="3" s="1"/>
  <c r="C280" i="1"/>
  <c r="C31" i="3" s="1"/>
  <c r="C167" i="3" s="1"/>
  <c r="C324" i="3" s="1"/>
  <c r="C397" i="3" s="1"/>
  <c r="B158" i="1"/>
  <c r="B372" i="3"/>
  <c r="C413" i="2"/>
  <c r="AN4" i="20"/>
  <c r="D49" i="20" s="1"/>
  <c r="E49" i="20" s="1"/>
  <c r="F49" i="20" s="1"/>
  <c r="B413" i="2"/>
  <c r="C426" i="2"/>
  <c r="C286" i="1"/>
  <c r="C37" i="3" s="1"/>
  <c r="C173" i="3" s="1"/>
  <c r="C330" i="3" s="1"/>
  <c r="C263" i="2"/>
  <c r="B76" i="2"/>
  <c r="B96" i="2"/>
  <c r="A106" i="2" l="1"/>
  <c r="A150" i="2"/>
  <c r="A170" i="2" s="1"/>
  <c r="A191" i="2" s="1"/>
  <c r="A225" i="2" s="1"/>
  <c r="A245" i="2" s="1"/>
  <c r="A265" i="2" s="1"/>
  <c r="A289" i="2" s="1"/>
  <c r="A310" i="2" s="1"/>
  <c r="A341" i="2" s="1"/>
  <c r="A361" i="2" s="1"/>
  <c r="A383" i="2" s="1"/>
  <c r="A411" i="2" s="1"/>
  <c r="A431" i="2" s="1"/>
  <c r="A453" i="2" s="1"/>
  <c r="C210" i="2"/>
  <c r="C326" i="2" s="1"/>
  <c r="C396" i="2" s="1"/>
  <c r="C257" i="1"/>
  <c r="C48" i="3" s="1"/>
  <c r="C184" i="3" s="1"/>
  <c r="C234" i="1"/>
  <c r="C100" i="1"/>
  <c r="B298" i="1"/>
  <c r="B46" i="3"/>
  <c r="A51" i="2"/>
  <c r="A82" i="2"/>
  <c r="A45" i="2"/>
  <c r="A76" i="2"/>
  <c r="B99" i="1"/>
  <c r="B152" i="2"/>
  <c r="B173" i="2" s="1"/>
  <c r="B298" i="3"/>
  <c r="B371" i="3" s="1"/>
  <c r="C311" i="3"/>
  <c r="C384" i="3" s="1"/>
  <c r="C165" i="2"/>
  <c r="C186" i="2" s="1"/>
  <c r="C290" i="1"/>
  <c r="C41" i="3" s="1"/>
  <c r="C177" i="3" s="1"/>
  <c r="C334" i="3" s="1"/>
  <c r="C357" i="3" s="1"/>
  <c r="C237" i="1"/>
  <c r="C432" i="3"/>
  <c r="C155" i="2"/>
  <c r="C301" i="3"/>
  <c r="C374" i="3" s="1"/>
  <c r="A68" i="2"/>
  <c r="A37" i="2"/>
  <c r="B248" i="2"/>
  <c r="C216" i="2"/>
  <c r="C256" i="2" s="1"/>
  <c r="C67" i="1"/>
  <c r="C226" i="1"/>
  <c r="A33" i="3"/>
  <c r="A53" i="3" s="1"/>
  <c r="A80" i="3" s="1"/>
  <c r="A103" i="3" s="1"/>
  <c r="A126" i="3" s="1"/>
  <c r="A169" i="3" s="1"/>
  <c r="A189" i="3" s="1"/>
  <c r="A216" i="3" s="1"/>
  <c r="A239" i="3" s="1"/>
  <c r="A262" i="3" s="1"/>
  <c r="A306" i="3" s="1"/>
  <c r="A379" i="3" s="1"/>
  <c r="A399" i="3" s="1"/>
  <c r="A423" i="3" s="1"/>
  <c r="C106" i="1"/>
  <c r="C339" i="2"/>
  <c r="C409" i="2" s="1"/>
  <c r="C451" i="2" s="1"/>
  <c r="B342" i="3"/>
  <c r="C171" i="1"/>
  <c r="C193" i="1" s="1"/>
  <c r="C215" i="2"/>
  <c r="C331" i="2" s="1"/>
  <c r="C401" i="2" s="1"/>
  <c r="C187" i="1"/>
  <c r="A103" i="2"/>
  <c r="C112" i="1"/>
  <c r="C104" i="1"/>
  <c r="C185" i="1"/>
  <c r="B416" i="3"/>
  <c r="C63" i="1"/>
  <c r="C238" i="1"/>
  <c r="A27" i="2"/>
  <c r="B100" i="1"/>
  <c r="C111" i="1"/>
  <c r="C103" i="1"/>
  <c r="C162" i="2"/>
  <c r="C183" i="2" s="1"/>
  <c r="C291" i="1"/>
  <c r="C42" i="3" s="1"/>
  <c r="C178" i="3" s="1"/>
  <c r="C335" i="3" s="1"/>
  <c r="C408" i="3" s="1"/>
  <c r="A137" i="2"/>
  <c r="A157" i="2" s="1"/>
  <c r="A178" i="2" s="1"/>
  <c r="A212" i="2" s="1"/>
  <c r="A232" i="2" s="1"/>
  <c r="A252" i="2" s="1"/>
  <c r="A276" i="2" s="1"/>
  <c r="A297" i="2" s="1"/>
  <c r="A328" i="2" s="1"/>
  <c r="A348" i="2" s="1"/>
  <c r="A370" i="2" s="1"/>
  <c r="A398" i="2" s="1"/>
  <c r="A418" i="2" s="1"/>
  <c r="A440" i="2" s="1"/>
  <c r="A55" i="2"/>
  <c r="A17" i="2"/>
  <c r="B95" i="2"/>
  <c r="C110" i="1"/>
  <c r="A25" i="3"/>
  <c r="A45" i="3" s="1"/>
  <c r="A72" i="3" s="1"/>
  <c r="A95" i="3" s="1"/>
  <c r="A118" i="3" s="1"/>
  <c r="A161" i="3" s="1"/>
  <c r="A181" i="3" s="1"/>
  <c r="A208" i="3" s="1"/>
  <c r="A231" i="3" s="1"/>
  <c r="A254" i="3" s="1"/>
  <c r="A298" i="3" s="1"/>
  <c r="A318" i="3" s="1"/>
  <c r="A341" i="3" s="1"/>
  <c r="C117" i="1"/>
  <c r="C109" i="1"/>
  <c r="C116" i="1"/>
  <c r="C391" i="3"/>
  <c r="C404" i="3"/>
  <c r="C428" i="3" s="1"/>
  <c r="C354" i="3"/>
  <c r="C403" i="3"/>
  <c r="C351" i="3"/>
  <c r="C401" i="3"/>
  <c r="C425" i="3" s="1"/>
  <c r="B391" i="3"/>
  <c r="C111" i="3"/>
  <c r="C88" i="3"/>
  <c r="C197" i="3"/>
  <c r="C134" i="3"/>
  <c r="C225" i="2"/>
  <c r="C272" i="1"/>
  <c r="C407" i="3"/>
  <c r="C431" i="3" s="1"/>
  <c r="C233" i="2"/>
  <c r="C277" i="2" s="1"/>
  <c r="C349" i="2" s="1"/>
  <c r="C238" i="2"/>
  <c r="C282" i="2" s="1"/>
  <c r="C354" i="2" s="1"/>
  <c r="C313" i="1"/>
  <c r="C303" i="3"/>
  <c r="C157" i="2"/>
  <c r="C178" i="2" s="1"/>
  <c r="C425" i="2"/>
  <c r="C38" i="1"/>
  <c r="C381" i="2"/>
  <c r="B394" i="2"/>
  <c r="B436" i="2" s="1"/>
  <c r="C316" i="3"/>
  <c r="C223" i="1"/>
  <c r="C332" i="2"/>
  <c r="C301" i="2"/>
  <c r="C169" i="1"/>
  <c r="C191" i="1" s="1"/>
  <c r="C69" i="1"/>
  <c r="C406" i="3"/>
  <c r="AN6" i="20"/>
  <c r="D51" i="20" s="1"/>
  <c r="E51" i="20" s="1"/>
  <c r="C70" i="1"/>
  <c r="C170" i="1"/>
  <c r="T5" i="20"/>
  <c r="AN5" i="20" s="1"/>
  <c r="D50" i="20" s="1"/>
  <c r="E50" i="20" s="1"/>
  <c r="C173" i="1"/>
  <c r="C195" i="1" s="1"/>
  <c r="C73" i="1"/>
  <c r="C114" i="1" s="1"/>
  <c r="C159" i="1"/>
  <c r="C181" i="1" s="1"/>
  <c r="C59" i="1"/>
  <c r="A372" i="3"/>
  <c r="A392" i="3" s="1"/>
  <c r="A416" i="3" s="1"/>
  <c r="A319" i="3"/>
  <c r="A342" i="3" s="1"/>
  <c r="A320" i="3"/>
  <c r="A343" i="3" s="1"/>
  <c r="A373" i="3"/>
  <c r="A393" i="3" s="1"/>
  <c r="A417" i="3" s="1"/>
  <c r="C172" i="1"/>
  <c r="C194" i="1" s="1"/>
  <c r="C72" i="1"/>
  <c r="AM5" i="20"/>
  <c r="C50" i="20" s="1"/>
  <c r="C305" i="3"/>
  <c r="C159" i="2"/>
  <c r="A374" i="3"/>
  <c r="A394" i="3" s="1"/>
  <c r="A418" i="3" s="1"/>
  <c r="A321" i="3"/>
  <c r="A344" i="3" s="1"/>
  <c r="A335" i="3"/>
  <c r="A358" i="3" s="1"/>
  <c r="A388" i="3"/>
  <c r="A408" i="3" s="1"/>
  <c r="A432" i="3" s="1"/>
  <c r="A331" i="3"/>
  <c r="A354" i="3" s="1"/>
  <c r="A384" i="3"/>
  <c r="A404" i="3" s="1"/>
  <c r="A428" i="3" s="1"/>
  <c r="A146" i="2"/>
  <c r="A166" i="2" s="1"/>
  <c r="A187" i="2" s="1"/>
  <c r="A221" i="2" s="1"/>
  <c r="A241" i="2" s="1"/>
  <c r="A261" i="2" s="1"/>
  <c r="A285" i="2" s="1"/>
  <c r="A306" i="2" s="1"/>
  <c r="A337" i="2" s="1"/>
  <c r="A357" i="2" s="1"/>
  <c r="A379" i="2" s="1"/>
  <c r="A407" i="2" s="1"/>
  <c r="A427" i="2" s="1"/>
  <c r="A449" i="2" s="1"/>
  <c r="A102" i="2"/>
  <c r="A34" i="3"/>
  <c r="A54" i="3" s="1"/>
  <c r="A81" i="3" s="1"/>
  <c r="A104" i="3" s="1"/>
  <c r="A127" i="3" s="1"/>
  <c r="A170" i="3" s="1"/>
  <c r="A190" i="3" s="1"/>
  <c r="A217" i="3" s="1"/>
  <c r="A240" i="3" s="1"/>
  <c r="A263" i="3" s="1"/>
  <c r="A307" i="3" s="1"/>
  <c r="A24" i="2"/>
  <c r="A325" i="3"/>
  <c r="A348" i="3" s="1"/>
  <c r="A378" i="3"/>
  <c r="A398" i="3" s="1"/>
  <c r="A422" i="3" s="1"/>
  <c r="C239" i="1"/>
  <c r="C140" i="2"/>
  <c r="C24" i="1"/>
  <c r="C107" i="1" s="1"/>
  <c r="A143" i="2"/>
  <c r="A163" i="2" s="1"/>
  <c r="A184" i="2" s="1"/>
  <c r="A218" i="2" s="1"/>
  <c r="A238" i="2" s="1"/>
  <c r="A258" i="2" s="1"/>
  <c r="A282" i="2" s="1"/>
  <c r="A303" i="2" s="1"/>
  <c r="A334" i="2" s="1"/>
  <c r="A354" i="2" s="1"/>
  <c r="A376" i="2" s="1"/>
  <c r="A404" i="2" s="1"/>
  <c r="A424" i="2" s="1"/>
  <c r="A446" i="2" s="1"/>
  <c r="A99" i="2"/>
  <c r="C9" i="8"/>
  <c r="D146" i="50"/>
  <c r="E12" i="8" s="1"/>
  <c r="C42" i="1" s="1"/>
  <c r="A371" i="3"/>
  <c r="A391" i="3" s="1"/>
  <c r="A415" i="3" s="1"/>
  <c r="C62" i="1"/>
  <c r="C162" i="1"/>
  <c r="C184" i="1" s="1"/>
  <c r="A324" i="3"/>
  <c r="A347" i="3" s="1"/>
  <c r="A377" i="3"/>
  <c r="A397" i="3" s="1"/>
  <c r="A421" i="3" s="1"/>
  <c r="A333" i="3"/>
  <c r="A356" i="3" s="1"/>
  <c r="A386" i="3"/>
  <c r="A406" i="3" s="1"/>
  <c r="A430" i="3" s="1"/>
  <c r="Z6" i="20"/>
  <c r="AM6" i="20" s="1"/>
  <c r="C51" i="20" s="1"/>
  <c r="C175" i="1"/>
  <c r="C197" i="1" s="1"/>
  <c r="A385" i="3"/>
  <c r="A405" i="3" s="1"/>
  <c r="A429" i="3" s="1"/>
  <c r="B56" i="2"/>
  <c r="C139" i="2"/>
  <c r="A41" i="2"/>
  <c r="A72" i="2"/>
  <c r="C25" i="1"/>
  <c r="C108" i="1" s="1"/>
  <c r="C30" i="1"/>
  <c r="A375" i="3"/>
  <c r="A395" i="3" s="1"/>
  <c r="A419" i="3" s="1"/>
  <c r="A322" i="3"/>
  <c r="A345" i="3" s="1"/>
  <c r="A95" i="2"/>
  <c r="A139" i="2"/>
  <c r="A159" i="2" s="1"/>
  <c r="A180" i="2" s="1"/>
  <c r="A214" i="2" s="1"/>
  <c r="A234" i="2" s="1"/>
  <c r="A254" i="2" s="1"/>
  <c r="A278" i="2" s="1"/>
  <c r="A299" i="2" s="1"/>
  <c r="A330" i="2" s="1"/>
  <c r="A350" i="2" s="1"/>
  <c r="A372" i="2" s="1"/>
  <c r="A400" i="2" s="1"/>
  <c r="A420" i="2" s="1"/>
  <c r="A442" i="2" s="1"/>
  <c r="A381" i="3"/>
  <c r="A401" i="3" s="1"/>
  <c r="A425" i="3" s="1"/>
  <c r="A328" i="3"/>
  <c r="A351" i="3" s="1"/>
  <c r="A387" i="3"/>
  <c r="A407" i="3" s="1"/>
  <c r="A431" i="3" s="1"/>
  <c r="A334" i="3"/>
  <c r="A357" i="3" s="1"/>
  <c r="C85" i="1"/>
  <c r="C144" i="1" s="1"/>
  <c r="C227" i="1" s="1"/>
  <c r="B144" i="1"/>
  <c r="B57" i="2"/>
  <c r="A98" i="2"/>
  <c r="A138" i="2"/>
  <c r="A158" i="2" s="1"/>
  <c r="A179" i="2" s="1"/>
  <c r="A213" i="2" s="1"/>
  <c r="A233" i="2" s="1"/>
  <c r="A253" i="2" s="1"/>
  <c r="A277" i="2" s="1"/>
  <c r="A298" i="2" s="1"/>
  <c r="A329" i="2" s="1"/>
  <c r="A349" i="2" s="1"/>
  <c r="A371" i="2" s="1"/>
  <c r="A399" i="2" s="1"/>
  <c r="A419" i="2" s="1"/>
  <c r="A441" i="2" s="1"/>
  <c r="A16" i="2"/>
  <c r="A81" i="2"/>
  <c r="J38" i="8"/>
  <c r="M38" i="8" s="1"/>
  <c r="A71" i="2"/>
  <c r="B91" i="2"/>
  <c r="B92" i="2"/>
  <c r="B106" i="2"/>
  <c r="B88" i="2"/>
  <c r="B105" i="2"/>
  <c r="B99" i="2"/>
  <c r="B138" i="1"/>
  <c r="C79" i="1"/>
  <c r="D140" i="50"/>
  <c r="X9" i="20"/>
  <c r="O8" i="20"/>
  <c r="D139" i="49"/>
  <c r="D141" i="49"/>
  <c r="AG8" i="20"/>
  <c r="A140" i="48"/>
  <c r="A53" i="49"/>
  <c r="C148" i="1"/>
  <c r="B143" i="1"/>
  <c r="B146" i="1"/>
  <c r="B154" i="1"/>
  <c r="B41" i="2"/>
  <c r="F139" i="47"/>
  <c r="F142" i="47" s="1"/>
  <c r="F138" i="48"/>
  <c r="A141" i="47"/>
  <c r="A68" i="48"/>
  <c r="D142" i="46"/>
  <c r="B8" i="8" s="1"/>
  <c r="A140" i="47"/>
  <c r="F141" i="48"/>
  <c r="B151" i="1"/>
  <c r="C150" i="1"/>
  <c r="C233" i="1" s="1"/>
  <c r="B148" i="1"/>
  <c r="C149" i="1"/>
  <c r="C232" i="1" s="1"/>
  <c r="B152" i="1"/>
  <c r="F139" i="46"/>
  <c r="F142" i="46" s="1"/>
  <c r="C146" i="46" s="1"/>
  <c r="D8" i="8" s="1"/>
  <c r="D142" i="47"/>
  <c r="B9" i="8" s="1"/>
  <c r="D138" i="48"/>
  <c r="F7" i="20"/>
  <c r="A138" i="46"/>
  <c r="A2" i="47"/>
  <c r="F139" i="48"/>
  <c r="A21" i="47"/>
  <c r="A139" i="46"/>
  <c r="C261" i="1" l="1"/>
  <c r="C214" i="2"/>
  <c r="C330" i="2" s="1"/>
  <c r="C400" i="2" s="1"/>
  <c r="B182" i="3"/>
  <c r="B73" i="3"/>
  <c r="B119" i="3"/>
  <c r="B96" i="3"/>
  <c r="C259" i="1"/>
  <c r="C212" i="2"/>
  <c r="C220" i="2"/>
  <c r="C267" i="1"/>
  <c r="A39" i="2"/>
  <c r="A70" i="2"/>
  <c r="C161" i="2"/>
  <c r="C182" i="2" s="1"/>
  <c r="C307" i="3"/>
  <c r="C380" i="3" s="1"/>
  <c r="A140" i="2"/>
  <c r="A160" i="2" s="1"/>
  <c r="A181" i="2" s="1"/>
  <c r="A215" i="2" s="1"/>
  <c r="A235" i="2" s="1"/>
  <c r="A255" i="2" s="1"/>
  <c r="A279" i="2" s="1"/>
  <c r="A300" i="2" s="1"/>
  <c r="A331" i="2" s="1"/>
  <c r="A351" i="2" s="1"/>
  <c r="A373" i="2" s="1"/>
  <c r="A401" i="2" s="1"/>
  <c r="A421" i="2" s="1"/>
  <c r="A443" i="2" s="1"/>
  <c r="A96" i="2"/>
  <c r="A80" i="2"/>
  <c r="A49" i="2"/>
  <c r="B415" i="3"/>
  <c r="C113" i="1"/>
  <c r="B108" i="2"/>
  <c r="B113" i="2" s="1"/>
  <c r="A326" i="3"/>
  <c r="A349" i="3" s="1"/>
  <c r="B341" i="3"/>
  <c r="A88" i="2"/>
  <c r="A132" i="2"/>
  <c r="A152" i="2" s="1"/>
  <c r="A173" i="2" s="1"/>
  <c r="A207" i="2" s="1"/>
  <c r="A227" i="2" s="1"/>
  <c r="A247" i="2" s="1"/>
  <c r="A271" i="2" s="1"/>
  <c r="A292" i="2" s="1"/>
  <c r="A323" i="2" s="1"/>
  <c r="A343" i="2" s="1"/>
  <c r="A365" i="2" s="1"/>
  <c r="A393" i="2" s="1"/>
  <c r="A413" i="2" s="1"/>
  <c r="A435" i="2" s="1"/>
  <c r="C358" i="3"/>
  <c r="C235" i="2"/>
  <c r="C181" i="2"/>
  <c r="C222" i="2"/>
  <c r="C269" i="1"/>
  <c r="C302" i="3"/>
  <c r="C156" i="2"/>
  <c r="C177" i="2" s="1"/>
  <c r="F50" i="20"/>
  <c r="C346" i="3"/>
  <c r="C376" i="3"/>
  <c r="C420" i="3" s="1"/>
  <c r="B221" i="1"/>
  <c r="B180" i="1"/>
  <c r="C190" i="1"/>
  <c r="C231" i="1"/>
  <c r="D140" i="51"/>
  <c r="X10" i="20"/>
  <c r="B70" i="2"/>
  <c r="B90" i="2" s="1"/>
  <c r="M55" i="8"/>
  <c r="C214" i="1"/>
  <c r="B134" i="2"/>
  <c r="B18" i="1"/>
  <c r="F142" i="48"/>
  <c r="A140" i="49"/>
  <c r="A53" i="50"/>
  <c r="F139" i="49"/>
  <c r="D139" i="50"/>
  <c r="O9" i="20"/>
  <c r="A101" i="2"/>
  <c r="A145" i="2"/>
  <c r="A165" i="2" s="1"/>
  <c r="A186" i="2" s="1"/>
  <c r="A220" i="2" s="1"/>
  <c r="A240" i="2" s="1"/>
  <c r="A260" i="2" s="1"/>
  <c r="A284" i="2" s="1"/>
  <c r="A305" i="2" s="1"/>
  <c r="A336" i="2" s="1"/>
  <c r="A356" i="2" s="1"/>
  <c r="A378" i="2" s="1"/>
  <c r="A406" i="2" s="1"/>
  <c r="A426" i="2" s="1"/>
  <c r="A448" i="2" s="1"/>
  <c r="C209" i="1"/>
  <c r="C224" i="2"/>
  <c r="C271" i="1"/>
  <c r="C192" i="1"/>
  <c r="C402" i="2"/>
  <c r="C444" i="2" s="1"/>
  <c r="C374" i="2"/>
  <c r="E25" i="8"/>
  <c r="C247" i="3"/>
  <c r="C224" i="3"/>
  <c r="C270" i="3"/>
  <c r="F140" i="50"/>
  <c r="C146" i="47"/>
  <c r="D9" i="8" s="1"/>
  <c r="B39" i="1" s="1"/>
  <c r="R8" i="20"/>
  <c r="A38" i="2"/>
  <c r="A69" i="2"/>
  <c r="A136" i="2"/>
  <c r="A156" i="2" s="1"/>
  <c r="A177" i="2" s="1"/>
  <c r="A211" i="2" s="1"/>
  <c r="A231" i="2" s="1"/>
  <c r="A251" i="2" s="1"/>
  <c r="A275" i="2" s="1"/>
  <c r="A296" i="2" s="1"/>
  <c r="A327" i="2" s="1"/>
  <c r="A347" i="2" s="1"/>
  <c r="A369" i="2" s="1"/>
  <c r="A397" i="2" s="1"/>
  <c r="A417" i="2" s="1"/>
  <c r="A439" i="2" s="1"/>
  <c r="A92" i="2"/>
  <c r="C164" i="1"/>
  <c r="C186" i="1" s="1"/>
  <c r="C64" i="1"/>
  <c r="C105" i="1" s="1"/>
  <c r="C310" i="3"/>
  <c r="C164" i="2"/>
  <c r="C185" i="2" s="1"/>
  <c r="C160" i="1"/>
  <c r="C182" i="1" s="1"/>
  <c r="C60" i="1"/>
  <c r="C101" i="1" s="1"/>
  <c r="C211" i="2"/>
  <c r="C258" i="1"/>
  <c r="C265" i="1"/>
  <c r="C218" i="2"/>
  <c r="A2" i="48"/>
  <c r="A138" i="47"/>
  <c r="B38" i="1"/>
  <c r="AJ8" i="20"/>
  <c r="B107" i="2"/>
  <c r="B109" i="2" s="1"/>
  <c r="C135" i="2"/>
  <c r="C19" i="1"/>
  <c r="C102" i="1" s="1"/>
  <c r="C25" i="8"/>
  <c r="C378" i="3"/>
  <c r="C422" i="3" s="1"/>
  <c r="C348" i="3"/>
  <c r="F51" i="20"/>
  <c r="C389" i="3"/>
  <c r="C433" i="3" s="1"/>
  <c r="C359" i="3"/>
  <c r="B19" i="1"/>
  <c r="B135" i="2"/>
  <c r="AA9" i="20"/>
  <c r="C234" i="2"/>
  <c r="C180" i="2"/>
  <c r="C153" i="2"/>
  <c r="C174" i="2" s="1"/>
  <c r="C299" i="3"/>
  <c r="C63" i="3"/>
  <c r="C315" i="1"/>
  <c r="A68" i="49"/>
  <c r="A141" i="48"/>
  <c r="B58" i="2"/>
  <c r="A77" i="2"/>
  <c r="A46" i="2"/>
  <c r="C166" i="2"/>
  <c r="C187" i="2" s="1"/>
  <c r="C312" i="3"/>
  <c r="C385" i="3" s="1"/>
  <c r="C255" i="1"/>
  <c r="C208" i="2"/>
  <c r="C424" i="2"/>
  <c r="C341" i="2"/>
  <c r="C310" i="2"/>
  <c r="C265" i="2"/>
  <c r="A91" i="2"/>
  <c r="A135" i="2"/>
  <c r="A155" i="2" s="1"/>
  <c r="A176" i="2" s="1"/>
  <c r="A210" i="2" s="1"/>
  <c r="A230" i="2" s="1"/>
  <c r="A250" i="2" s="1"/>
  <c r="A274" i="2" s="1"/>
  <c r="A295" i="2" s="1"/>
  <c r="A326" i="2" s="1"/>
  <c r="A346" i="2" s="1"/>
  <c r="A368" i="2" s="1"/>
  <c r="A396" i="2" s="1"/>
  <c r="A416" i="2" s="1"/>
  <c r="A438" i="2" s="1"/>
  <c r="F141" i="49"/>
  <c r="D141" i="50"/>
  <c r="AG9" i="20"/>
  <c r="B7" i="20"/>
  <c r="G7" i="20"/>
  <c r="K7" i="20" s="1"/>
  <c r="I7" i="20"/>
  <c r="H7" i="20"/>
  <c r="A21" i="48"/>
  <c r="A139" i="47"/>
  <c r="D142" i="48"/>
  <c r="B10" i="8" s="1"/>
  <c r="D138" i="49"/>
  <c r="F8" i="20"/>
  <c r="C138" i="1"/>
  <c r="C58" i="1"/>
  <c r="C99" i="1" s="1"/>
  <c r="C208" i="1"/>
  <c r="A327" i="3"/>
  <c r="A350" i="3" s="1"/>
  <c r="A380" i="3"/>
  <c r="A400" i="3" s="1"/>
  <c r="A424" i="3" s="1"/>
  <c r="C268" i="1"/>
  <c r="C221" i="2"/>
  <c r="C313" i="3"/>
  <c r="C167" i="2"/>
  <c r="C188" i="2" s="1"/>
  <c r="C163" i="2"/>
  <c r="C184" i="2" s="1"/>
  <c r="C309" i="3"/>
  <c r="C419" i="2"/>
  <c r="C50" i="3" l="1"/>
  <c r="C302" i="1"/>
  <c r="A90" i="2"/>
  <c r="A134" i="2"/>
  <c r="A154" i="2" s="1"/>
  <c r="A175" i="2" s="1"/>
  <c r="A209" i="2" s="1"/>
  <c r="A229" i="2" s="1"/>
  <c r="A249" i="2" s="1"/>
  <c r="A273" i="2" s="1"/>
  <c r="A294" i="2" s="1"/>
  <c r="A325" i="2" s="1"/>
  <c r="A345" i="2" s="1"/>
  <c r="A367" i="2" s="1"/>
  <c r="A395" i="2" s="1"/>
  <c r="A415" i="2" s="1"/>
  <c r="A437" i="2" s="1"/>
  <c r="B255" i="3"/>
  <c r="B209" i="3"/>
  <c r="B232" i="3"/>
  <c r="B112" i="2"/>
  <c r="C310" i="1"/>
  <c r="C58" i="3"/>
  <c r="C252" i="2"/>
  <c r="C328" i="2"/>
  <c r="C297" i="2"/>
  <c r="A100" i="2"/>
  <c r="A144" i="2"/>
  <c r="A164" i="2" s="1"/>
  <c r="A185" i="2" s="1"/>
  <c r="A219" i="2" s="1"/>
  <c r="A239" i="2" s="1"/>
  <c r="A259" i="2" s="1"/>
  <c r="A283" i="2" s="1"/>
  <c r="A304" i="2" s="1"/>
  <c r="A335" i="2" s="1"/>
  <c r="A355" i="2" s="1"/>
  <c r="A377" i="2" s="1"/>
  <c r="A405" i="2" s="1"/>
  <c r="A425" i="2" s="1"/>
  <c r="A447" i="2" s="1"/>
  <c r="C336" i="2"/>
  <c r="C260" i="2"/>
  <c r="C305" i="2"/>
  <c r="C52" i="3"/>
  <c r="C304" i="1"/>
  <c r="C217" i="2"/>
  <c r="C264" i="1"/>
  <c r="C300" i="3"/>
  <c r="C154" i="2"/>
  <c r="C175" i="2" s="1"/>
  <c r="C266" i="1"/>
  <c r="C219" i="2"/>
  <c r="D139" i="51"/>
  <c r="F139" i="50"/>
  <c r="O10" i="20"/>
  <c r="B136" i="2"/>
  <c r="B20" i="1"/>
  <c r="D141" i="51"/>
  <c r="AG10" i="20"/>
  <c r="F141" i="50"/>
  <c r="C386" i="3"/>
  <c r="C430" i="3" s="1"/>
  <c r="C356" i="3"/>
  <c r="C152" i="2"/>
  <c r="C173" i="2" s="1"/>
  <c r="C298" i="3"/>
  <c r="A21" i="49"/>
  <c r="A139" i="48"/>
  <c r="B111" i="2"/>
  <c r="C342" i="3"/>
  <c r="C372" i="3"/>
  <c r="C416" i="3" s="1"/>
  <c r="B230" i="2"/>
  <c r="B274" i="2" s="1"/>
  <c r="B346" i="2" s="1"/>
  <c r="B160" i="1"/>
  <c r="B182" i="1" s="1"/>
  <c r="B60" i="1"/>
  <c r="B101" i="1" s="1"/>
  <c r="C256" i="1"/>
  <c r="C209" i="2"/>
  <c r="A89" i="2"/>
  <c r="A133" i="2"/>
  <c r="A153" i="2" s="1"/>
  <c r="A174" i="2" s="1"/>
  <c r="A208" i="2" s="1"/>
  <c r="A228" i="2" s="1"/>
  <c r="A248" i="2" s="1"/>
  <c r="A272" i="2" s="1"/>
  <c r="A293" i="2" s="1"/>
  <c r="A324" i="2" s="1"/>
  <c r="A344" i="2" s="1"/>
  <c r="A366" i="2" s="1"/>
  <c r="A394" i="2" s="1"/>
  <c r="A414" i="2" s="1"/>
  <c r="A436" i="2" s="1"/>
  <c r="C314" i="1"/>
  <c r="C62" i="3"/>
  <c r="C288" i="1"/>
  <c r="C39" i="3" s="1"/>
  <c r="C175" i="3" s="1"/>
  <c r="C332" i="3" s="1"/>
  <c r="C235" i="1"/>
  <c r="B207" i="2"/>
  <c r="B254" i="1"/>
  <c r="C345" i="3"/>
  <c r="C375" i="3"/>
  <c r="C419" i="3" s="1"/>
  <c r="C248" i="2"/>
  <c r="C324" i="2"/>
  <c r="C293" i="2"/>
  <c r="B203" i="1"/>
  <c r="C203" i="1"/>
  <c r="C340" i="2"/>
  <c r="C309" i="2"/>
  <c r="C264" i="2"/>
  <c r="A53" i="51"/>
  <c r="A140" i="50"/>
  <c r="C312" i="1"/>
  <c r="C60" i="3"/>
  <c r="C383" i="2"/>
  <c r="C411" i="2"/>
  <c r="C453" i="2" s="1"/>
  <c r="R9" i="20"/>
  <c r="C261" i="2"/>
  <c r="C306" i="2"/>
  <c r="C337" i="2"/>
  <c r="A141" i="49"/>
  <c r="A68" i="50"/>
  <c r="C230" i="2"/>
  <c r="C176" i="2"/>
  <c r="A2" i="49"/>
  <c r="A138" i="48"/>
  <c r="C262" i="2"/>
  <c r="C307" i="2"/>
  <c r="C338" i="2"/>
  <c r="AJ9" i="20"/>
  <c r="C327" i="2"/>
  <c r="C251" i="2"/>
  <c r="C296" i="2"/>
  <c r="B229" i="2"/>
  <c r="B273" i="2" s="1"/>
  <c r="B345" i="2" s="1"/>
  <c r="C221" i="1"/>
  <c r="C180" i="1"/>
  <c r="C311" i="1"/>
  <c r="C59" i="3"/>
  <c r="C46" i="3"/>
  <c r="C298" i="1"/>
  <c r="C382" i="3"/>
  <c r="C426" i="3" s="1"/>
  <c r="C352" i="3"/>
  <c r="C278" i="2"/>
  <c r="C254" i="2"/>
  <c r="C258" i="2"/>
  <c r="C334" i="2"/>
  <c r="C303" i="2"/>
  <c r="C383" i="3"/>
  <c r="C427" i="3" s="1"/>
  <c r="C353" i="3"/>
  <c r="C283" i="1"/>
  <c r="C230" i="1"/>
  <c r="C146" i="48"/>
  <c r="D10" i="8" s="1"/>
  <c r="AA10" i="20"/>
  <c r="C282" i="1"/>
  <c r="C229" i="1"/>
  <c r="A97" i="2"/>
  <c r="A141" i="2"/>
  <c r="A161" i="2" s="1"/>
  <c r="A182" i="2" s="1"/>
  <c r="A216" i="2" s="1"/>
  <c r="A236" i="2" s="1"/>
  <c r="A256" i="2" s="1"/>
  <c r="A280" i="2" s="1"/>
  <c r="A301" i="2" s="1"/>
  <c r="A332" i="2" s="1"/>
  <c r="A352" i="2" s="1"/>
  <c r="A374" i="2" s="1"/>
  <c r="A402" i="2" s="1"/>
  <c r="A422" i="2" s="1"/>
  <c r="A444" i="2" s="1"/>
  <c r="I8" i="20"/>
  <c r="G8" i="20"/>
  <c r="B8" i="20"/>
  <c r="H8" i="20"/>
  <c r="C56" i="3"/>
  <c r="C308" i="1"/>
  <c r="C304" i="3"/>
  <c r="C158" i="2"/>
  <c r="C179" i="2" s="1"/>
  <c r="D140" i="52"/>
  <c r="X11" i="20"/>
  <c r="F140" i="51"/>
  <c r="C279" i="2"/>
  <c r="C255" i="2"/>
  <c r="D138" i="50"/>
  <c r="F138" i="49"/>
  <c r="F142" i="49" s="1"/>
  <c r="C146" i="49" s="1"/>
  <c r="D11" i="8" s="1"/>
  <c r="B41" i="1" s="1"/>
  <c r="D142" i="49"/>
  <c r="B11" i="8" s="1"/>
  <c r="F9" i="20"/>
  <c r="AI7" i="20"/>
  <c r="AH7" i="20"/>
  <c r="AL7" i="20" s="1"/>
  <c r="P7" i="20"/>
  <c r="T7" i="20" s="1"/>
  <c r="Z7" i="20"/>
  <c r="Q7" i="20"/>
  <c r="AM7" i="20" s="1"/>
  <c r="C52" i="20" s="1"/>
  <c r="Y7" i="20"/>
  <c r="AC7" i="20" s="1"/>
  <c r="AN7" i="20" s="1"/>
  <c r="D52" i="20" s="1"/>
  <c r="E52" i="20" s="1"/>
  <c r="F52" i="20" s="1"/>
  <c r="C199" i="3"/>
  <c r="C113" i="3"/>
  <c r="C90" i="3"/>
  <c r="C136" i="3"/>
  <c r="C49" i="3"/>
  <c r="C301" i="1"/>
  <c r="C213" i="2"/>
  <c r="C260" i="1"/>
  <c r="B161" i="1"/>
  <c r="B183" i="1" s="1"/>
  <c r="B61" i="1"/>
  <c r="B102" i="1" s="1"/>
  <c r="B202" i="1"/>
  <c r="C370" i="2" l="1"/>
  <c r="C398" i="2"/>
  <c r="C440" i="2" s="1"/>
  <c r="C102" i="3"/>
  <c r="C125" i="3"/>
  <c r="C188" i="3"/>
  <c r="C79" i="3"/>
  <c r="C131" i="3"/>
  <c r="C194" i="3"/>
  <c r="C108" i="3"/>
  <c r="C85" i="3"/>
  <c r="C378" i="2"/>
  <c r="C406" i="2"/>
  <c r="C448" i="2" s="1"/>
  <c r="C186" i="3"/>
  <c r="C123" i="3"/>
  <c r="C100" i="3"/>
  <c r="C77" i="3"/>
  <c r="B155" i="2"/>
  <c r="B176" i="2" s="1"/>
  <c r="B301" i="3"/>
  <c r="B374" i="3" s="1"/>
  <c r="I9" i="20"/>
  <c r="B9" i="20"/>
  <c r="G9" i="20" s="1"/>
  <c r="K9" i="20" s="1"/>
  <c r="C277" i="1"/>
  <c r="C224" i="1"/>
  <c r="B297" i="1"/>
  <c r="B45" i="3"/>
  <c r="D139" i="52"/>
  <c r="O11" i="20"/>
  <c r="F139" i="51"/>
  <c r="B210" i="2"/>
  <c r="B257" i="1"/>
  <c r="C226" i="3"/>
  <c r="C272" i="3"/>
  <c r="C249" i="3"/>
  <c r="B137" i="2"/>
  <c r="B21" i="1"/>
  <c r="D140" i="53"/>
  <c r="X12" i="20"/>
  <c r="F140" i="52"/>
  <c r="Z8" i="20"/>
  <c r="Y8" i="20"/>
  <c r="AC8" i="20" s="1"/>
  <c r="AH8" i="20"/>
  <c r="AL8" i="20" s="1"/>
  <c r="AI8" i="20"/>
  <c r="Q8" i="20"/>
  <c r="AM8" i="20" s="1"/>
  <c r="C53" i="20" s="1"/>
  <c r="P8" i="20"/>
  <c r="T8" i="20" s="1"/>
  <c r="C404" i="2"/>
  <c r="C446" i="2" s="1"/>
  <c r="C376" i="2"/>
  <c r="B247" i="2"/>
  <c r="B323" i="2"/>
  <c r="B292" i="2"/>
  <c r="C47" i="3"/>
  <c r="C299" i="1"/>
  <c r="C335" i="2"/>
  <c r="C259" i="2"/>
  <c r="C304" i="2"/>
  <c r="AA11" i="20"/>
  <c r="C96" i="3"/>
  <c r="C182" i="3"/>
  <c r="C119" i="3"/>
  <c r="C73" i="3"/>
  <c r="C294" i="2"/>
  <c r="C249" i="2"/>
  <c r="C325" i="2"/>
  <c r="C51" i="3"/>
  <c r="C303" i="1"/>
  <c r="B163" i="1"/>
  <c r="B185" i="1" s="1"/>
  <c r="B63" i="1"/>
  <c r="K8" i="20"/>
  <c r="AN8" i="20" s="1"/>
  <c r="D53" i="20" s="1"/>
  <c r="E53" i="20" s="1"/>
  <c r="C195" i="3"/>
  <c r="C132" i="3"/>
  <c r="C109" i="3"/>
  <c r="C86" i="3"/>
  <c r="C369" i="2"/>
  <c r="C397" i="2"/>
  <c r="C439" i="2" s="1"/>
  <c r="A2" i="50"/>
  <c r="A138" i="49"/>
  <c r="B224" i="1"/>
  <c r="B277" i="1"/>
  <c r="B28" i="3" s="1"/>
  <c r="B164" i="3" s="1"/>
  <c r="B321" i="3" s="1"/>
  <c r="B154" i="2"/>
  <c r="B175" i="2" s="1"/>
  <c r="B300" i="3"/>
  <c r="B373" i="3" s="1"/>
  <c r="AJ10" i="20"/>
  <c r="C57" i="3"/>
  <c r="C309" i="1"/>
  <c r="F138" i="50"/>
  <c r="F142" i="50" s="1"/>
  <c r="C146" i="50" s="1"/>
  <c r="D12" i="8" s="1"/>
  <c r="B42" i="1" s="1"/>
  <c r="D138" i="51"/>
  <c r="D142" i="50"/>
  <c r="B12" i="8" s="1"/>
  <c r="F10" i="20"/>
  <c r="A139" i="49"/>
  <c r="A21" i="50"/>
  <c r="C350" i="2"/>
  <c r="C299" i="2"/>
  <c r="C207" i="2"/>
  <c r="C254" i="1"/>
  <c r="C274" i="2"/>
  <c r="C250" i="2"/>
  <c r="C394" i="2"/>
  <c r="C436" i="2" s="1"/>
  <c r="C366" i="2"/>
  <c r="C112" i="3"/>
  <c r="C198" i="3"/>
  <c r="C89" i="3"/>
  <c r="C135" i="3"/>
  <c r="C371" i="3"/>
  <c r="C415" i="3" s="1"/>
  <c r="C341" i="3"/>
  <c r="B204" i="1"/>
  <c r="C343" i="3"/>
  <c r="C373" i="3"/>
  <c r="C417" i="3" s="1"/>
  <c r="C253" i="2"/>
  <c r="C298" i="2"/>
  <c r="C329" i="2"/>
  <c r="C122" i="3"/>
  <c r="C99" i="3"/>
  <c r="C185" i="3"/>
  <c r="C76" i="3"/>
  <c r="C377" i="3"/>
  <c r="C421" i="3" s="1"/>
  <c r="C347" i="3"/>
  <c r="C34" i="3"/>
  <c r="C306" i="1"/>
  <c r="A68" i="51"/>
  <c r="A141" i="50"/>
  <c r="B416" i="2"/>
  <c r="B231" i="2"/>
  <c r="B275" i="2" s="1"/>
  <c r="B347" i="2" s="1"/>
  <c r="A140" i="51"/>
  <c r="A53" i="52"/>
  <c r="B209" i="2"/>
  <c r="B256" i="1"/>
  <c r="C408" i="2"/>
  <c r="C450" i="2" s="1"/>
  <c r="C380" i="2"/>
  <c r="C410" i="2"/>
  <c r="C452" i="2" s="1"/>
  <c r="C382" i="2"/>
  <c r="R10" i="20"/>
  <c r="C307" i="1"/>
  <c r="C55" i="3"/>
  <c r="B40" i="1"/>
  <c r="C405" i="3"/>
  <c r="C429" i="3" s="1"/>
  <c r="C355" i="3"/>
  <c r="AG11" i="20"/>
  <c r="D141" i="52"/>
  <c r="F141" i="51"/>
  <c r="C351" i="2"/>
  <c r="C300" i="2"/>
  <c r="B276" i="1"/>
  <c r="B27" i="3" s="1"/>
  <c r="B163" i="3" s="1"/>
  <c r="B320" i="3" s="1"/>
  <c r="B223" i="1"/>
  <c r="C83" i="3"/>
  <c r="C106" i="3"/>
  <c r="C129" i="3"/>
  <c r="C192" i="3"/>
  <c r="C33" i="3"/>
  <c r="C305" i="1"/>
  <c r="B415" i="2"/>
  <c r="C407" i="2"/>
  <c r="C449" i="2" s="1"/>
  <c r="C379" i="2"/>
  <c r="C87" i="3"/>
  <c r="C110" i="3"/>
  <c r="C133" i="3"/>
  <c r="C196" i="3"/>
  <c r="C333" i="2"/>
  <c r="C257" i="2"/>
  <c r="C302" i="2"/>
  <c r="C259" i="3" l="1"/>
  <c r="C213" i="3"/>
  <c r="C236" i="3"/>
  <c r="C238" i="3"/>
  <c r="C261" i="3"/>
  <c r="C215" i="3"/>
  <c r="B104" i="1"/>
  <c r="C244" i="3"/>
  <c r="C221" i="3"/>
  <c r="C267" i="3"/>
  <c r="C212" i="3"/>
  <c r="C235" i="3"/>
  <c r="C258" i="3"/>
  <c r="A21" i="51"/>
  <c r="A139" i="50"/>
  <c r="A138" i="50"/>
  <c r="A2" i="51"/>
  <c r="B303" i="3"/>
  <c r="B376" i="3" s="1"/>
  <c r="B157" i="2"/>
  <c r="C405" i="2"/>
  <c r="C447" i="2" s="1"/>
  <c r="C377" i="2"/>
  <c r="AA12" i="20"/>
  <c r="B326" i="2"/>
  <c r="B295" i="2"/>
  <c r="B250" i="2"/>
  <c r="B48" i="3"/>
  <c r="B300" i="1"/>
  <c r="C28" i="3"/>
  <c r="C300" i="1"/>
  <c r="C265" i="3"/>
  <c r="C242" i="3"/>
  <c r="C219" i="3"/>
  <c r="D141" i="53"/>
  <c r="F141" i="52"/>
  <c r="AG12" i="20"/>
  <c r="B47" i="3"/>
  <c r="B299" i="1"/>
  <c r="B225" i="1"/>
  <c r="B278" i="1"/>
  <c r="B29" i="3" s="1"/>
  <c r="B165" i="3" s="1"/>
  <c r="B322" i="3" s="1"/>
  <c r="B212" i="2"/>
  <c r="B259" i="1"/>
  <c r="C209" i="3"/>
  <c r="C232" i="3"/>
  <c r="C255" i="3"/>
  <c r="X13" i="20"/>
  <c r="D140" i="54"/>
  <c r="F140" i="53"/>
  <c r="H9" i="20"/>
  <c r="C128" i="3"/>
  <c r="C105" i="3"/>
  <c r="C82" i="3"/>
  <c r="C191" i="3"/>
  <c r="C130" i="3"/>
  <c r="C84" i="3"/>
  <c r="C107" i="3"/>
  <c r="C193" i="3"/>
  <c r="C74" i="3"/>
  <c r="C120" i="3"/>
  <c r="C183" i="3"/>
  <c r="C97" i="3"/>
  <c r="B205" i="1"/>
  <c r="A53" i="53"/>
  <c r="A140" i="52"/>
  <c r="C399" i="2"/>
  <c r="C441" i="2" s="1"/>
  <c r="C371" i="2"/>
  <c r="C295" i="2"/>
  <c r="C346" i="2"/>
  <c r="B138" i="2"/>
  <c r="B22" i="1"/>
  <c r="C78" i="3"/>
  <c r="C124" i="3"/>
  <c r="C187" i="3"/>
  <c r="C101" i="3"/>
  <c r="B178" i="2"/>
  <c r="B232" i="2"/>
  <c r="B276" i="2" s="1"/>
  <c r="B348" i="2" s="1"/>
  <c r="D139" i="53"/>
  <c r="F139" i="52"/>
  <c r="O12" i="20"/>
  <c r="C420" i="2"/>
  <c r="C442" i="2" s="1"/>
  <c r="C372" i="2"/>
  <c r="A141" i="51"/>
  <c r="A68" i="52"/>
  <c r="R11" i="20"/>
  <c r="C170" i="3"/>
  <c r="C104" i="3"/>
  <c r="C81" i="3"/>
  <c r="C127" i="3"/>
  <c r="C45" i="3"/>
  <c r="C297" i="1"/>
  <c r="D138" i="52"/>
  <c r="F11" i="20"/>
  <c r="F138" i="51"/>
  <c r="F142" i="51" s="1"/>
  <c r="D142" i="51"/>
  <c r="B13" i="8" s="1"/>
  <c r="C367" i="2"/>
  <c r="C395" i="2"/>
  <c r="C437" i="2" s="1"/>
  <c r="B393" i="2"/>
  <c r="B435" i="2" s="1"/>
  <c r="B365" i="2"/>
  <c r="B72" i="3"/>
  <c r="B95" i="3"/>
  <c r="B181" i="3"/>
  <c r="B118" i="3"/>
  <c r="F53" i="20"/>
  <c r="I10" i="20"/>
  <c r="G10" i="20"/>
  <c r="H10" i="20"/>
  <c r="B10" i="20"/>
  <c r="Z9" i="20"/>
  <c r="Y9" i="20"/>
  <c r="AC9" i="20" s="1"/>
  <c r="Q9" i="20"/>
  <c r="AH9" i="20"/>
  <c r="AL9" i="20" s="1"/>
  <c r="AI9" i="20"/>
  <c r="P9" i="20"/>
  <c r="T9" i="20" s="1"/>
  <c r="AN9" i="20" s="1"/>
  <c r="D54" i="20" s="1"/>
  <c r="E54" i="20" s="1"/>
  <c r="B417" i="2"/>
  <c r="C323" i="2"/>
  <c r="C292" i="2"/>
  <c r="C247" i="2"/>
  <c r="B164" i="1"/>
  <c r="B186" i="1" s="1"/>
  <c r="B64" i="1"/>
  <c r="B394" i="3"/>
  <c r="B418" i="3" s="1"/>
  <c r="B344" i="3"/>
  <c r="C169" i="3"/>
  <c r="C126" i="3"/>
  <c r="C103" i="3"/>
  <c r="C80" i="3"/>
  <c r="C421" i="2"/>
  <c r="C443" i="2" s="1"/>
  <c r="C373" i="2"/>
  <c r="AJ11" i="20"/>
  <c r="B249" i="2"/>
  <c r="B325" i="2"/>
  <c r="B294" i="2"/>
  <c r="C375" i="2"/>
  <c r="C403" i="2"/>
  <c r="C445" i="2" s="1"/>
  <c r="B393" i="3"/>
  <c r="B417" i="3" s="1"/>
  <c r="B343" i="3"/>
  <c r="C246" i="3"/>
  <c r="C269" i="3"/>
  <c r="C223" i="3"/>
  <c r="B162" i="1"/>
  <c r="B184" i="1" s="1"/>
  <c r="B62" i="1"/>
  <c r="B103" i="1" s="1"/>
  <c r="C271" i="3"/>
  <c r="C248" i="3"/>
  <c r="C225" i="3"/>
  <c r="C245" i="3"/>
  <c r="C222" i="3"/>
  <c r="C268" i="3"/>
  <c r="B105" i="1" l="1"/>
  <c r="B211" i="2"/>
  <c r="B258" i="1"/>
  <c r="K10" i="20"/>
  <c r="B418" i="2"/>
  <c r="B206" i="1"/>
  <c r="B279" i="1"/>
  <c r="B30" i="3" s="1"/>
  <c r="B166" i="3" s="1"/>
  <c r="B323" i="3" s="1"/>
  <c r="B226" i="1"/>
  <c r="D140" i="55"/>
  <c r="X14" i="20"/>
  <c r="F140" i="54"/>
  <c r="A138" i="51"/>
  <c r="A2" i="52"/>
  <c r="B304" i="3"/>
  <c r="B377" i="3" s="1"/>
  <c r="B158" i="2"/>
  <c r="B179" i="2" s="1"/>
  <c r="C181" i="3"/>
  <c r="C118" i="3"/>
  <c r="C72" i="3"/>
  <c r="C95" i="3"/>
  <c r="A141" i="52"/>
  <c r="A68" i="53"/>
  <c r="B233" i="2"/>
  <c r="B277" i="2" s="1"/>
  <c r="B349" i="2" s="1"/>
  <c r="AA13" i="20"/>
  <c r="B395" i="2"/>
  <c r="B437" i="2" s="1"/>
  <c r="B367" i="2"/>
  <c r="B260" i="1"/>
  <c r="B213" i="2"/>
  <c r="C416" i="2"/>
  <c r="C438" i="2" s="1"/>
  <c r="C368" i="2"/>
  <c r="C241" i="3"/>
  <c r="C218" i="3"/>
  <c r="C264" i="3"/>
  <c r="B183" i="3"/>
  <c r="B120" i="3"/>
  <c r="B74" i="3"/>
  <c r="B97" i="3"/>
  <c r="C121" i="3"/>
  <c r="C98" i="3"/>
  <c r="C75" i="3"/>
  <c r="C164" i="3"/>
  <c r="A21" i="52"/>
  <c r="A139" i="51"/>
  <c r="B156" i="2"/>
  <c r="B177" i="2" s="1"/>
  <c r="B302" i="3"/>
  <c r="B375" i="3" s="1"/>
  <c r="B118" i="1"/>
  <c r="D139" i="54"/>
  <c r="O13" i="20"/>
  <c r="F139" i="53"/>
  <c r="C210" i="3"/>
  <c r="C233" i="3"/>
  <c r="C256" i="3"/>
  <c r="AJ12" i="20"/>
  <c r="A140" i="53"/>
  <c r="A53" i="54"/>
  <c r="C326" i="3"/>
  <c r="C216" i="3"/>
  <c r="C262" i="3"/>
  <c r="C239" i="3"/>
  <c r="B208" i="3"/>
  <c r="B231" i="3"/>
  <c r="B254" i="3"/>
  <c r="B23" i="1"/>
  <c r="B139" i="2"/>
  <c r="C237" i="3"/>
  <c r="C214" i="3"/>
  <c r="C260" i="3"/>
  <c r="B75" i="3"/>
  <c r="B184" i="3"/>
  <c r="B98" i="3"/>
  <c r="B121" i="3"/>
  <c r="F138" i="52"/>
  <c r="F142" i="52" s="1"/>
  <c r="D138" i="53"/>
  <c r="F12" i="20"/>
  <c r="D142" i="52"/>
  <c r="B14" i="8" s="1"/>
  <c r="B396" i="2"/>
  <c r="B438" i="2" s="1"/>
  <c r="B368" i="2"/>
  <c r="C365" i="2"/>
  <c r="C393" i="2"/>
  <c r="C435" i="2" s="1"/>
  <c r="C146" i="51"/>
  <c r="D13" i="8" s="1"/>
  <c r="C327" i="3"/>
  <c r="C217" i="3"/>
  <c r="C240" i="3"/>
  <c r="C263" i="3"/>
  <c r="R12" i="20"/>
  <c r="B50" i="3"/>
  <c r="B302" i="1"/>
  <c r="D141" i="54"/>
  <c r="AG13" i="20"/>
  <c r="F141" i="53"/>
  <c r="B395" i="3"/>
  <c r="B345" i="3"/>
  <c r="Z10" i="20"/>
  <c r="Y10" i="20"/>
  <c r="AC10" i="20" s="1"/>
  <c r="Q10" i="20"/>
  <c r="AM10" i="20" s="1"/>
  <c r="C55" i="20" s="1"/>
  <c r="AH10" i="20"/>
  <c r="AL10" i="20" s="1"/>
  <c r="P10" i="20"/>
  <c r="T10" i="20" s="1"/>
  <c r="AI10" i="20"/>
  <c r="I11" i="20"/>
  <c r="G11" i="20"/>
  <c r="B11" i="20"/>
  <c r="H11" i="20"/>
  <c r="C266" i="3"/>
  <c r="C220" i="3"/>
  <c r="C243" i="3"/>
  <c r="AM9" i="20"/>
  <c r="C54" i="20" s="1"/>
  <c r="F54" i="20" s="1"/>
  <c r="B297" i="2"/>
  <c r="B252" i="2"/>
  <c r="B328" i="2"/>
  <c r="B398" i="2" s="1"/>
  <c r="B440" i="2" l="1"/>
  <c r="Y11" i="20"/>
  <c r="AC11" i="20" s="1"/>
  <c r="Z11" i="20"/>
  <c r="P11" i="20"/>
  <c r="T11" i="20" s="1"/>
  <c r="AH11" i="20"/>
  <c r="AL11" i="20" s="1"/>
  <c r="AI11" i="20"/>
  <c r="Q11" i="20"/>
  <c r="C400" i="3"/>
  <c r="C424" i="3" s="1"/>
  <c r="C350" i="3"/>
  <c r="B24" i="1"/>
  <c r="B140" i="2"/>
  <c r="D139" i="55"/>
  <c r="O14" i="20"/>
  <c r="F139" i="54"/>
  <c r="AA14" i="20"/>
  <c r="R13" i="20"/>
  <c r="K11" i="20"/>
  <c r="B186" i="3"/>
  <c r="B123" i="3"/>
  <c r="B77" i="3"/>
  <c r="B100" i="3"/>
  <c r="B43" i="1"/>
  <c r="B12" i="20"/>
  <c r="G12" i="20"/>
  <c r="K12" i="20" s="1"/>
  <c r="I12" i="20"/>
  <c r="H12" i="20"/>
  <c r="D140" i="56"/>
  <c r="F140" i="55"/>
  <c r="X15" i="20"/>
  <c r="AN10" i="20"/>
  <c r="D55" i="20" s="1"/>
  <c r="E55" i="20" s="1"/>
  <c r="F55" i="20" s="1"/>
  <c r="D142" i="53"/>
  <c r="B15" i="8" s="1"/>
  <c r="D138" i="54"/>
  <c r="F138" i="53"/>
  <c r="F142" i="53" s="1"/>
  <c r="C146" i="53" s="1"/>
  <c r="D15" i="8" s="1"/>
  <c r="B45" i="1" s="1"/>
  <c r="F13" i="20"/>
  <c r="B419" i="3"/>
  <c r="C146" i="52"/>
  <c r="D14" i="8" s="1"/>
  <c r="B44" i="1" s="1"/>
  <c r="B234" i="2"/>
  <c r="B278" i="2" s="1"/>
  <c r="B350" i="2" s="1"/>
  <c r="C399" i="3"/>
  <c r="C423" i="3" s="1"/>
  <c r="C349" i="3"/>
  <c r="B192" i="2"/>
  <c r="B298" i="2"/>
  <c r="B329" i="2"/>
  <c r="B399" i="2" s="1"/>
  <c r="B253" i="2"/>
  <c r="B419" i="2"/>
  <c r="B346" i="3"/>
  <c r="B396" i="3"/>
  <c r="B420" i="3" s="1"/>
  <c r="B327" i="2"/>
  <c r="B296" i="2"/>
  <c r="B311" i="2" s="1"/>
  <c r="B251" i="2"/>
  <c r="B266" i="2" s="1"/>
  <c r="B301" i="1"/>
  <c r="B49" i="3"/>
  <c r="B207" i="1"/>
  <c r="B51" i="3"/>
  <c r="C254" i="3"/>
  <c r="C208" i="3"/>
  <c r="C231" i="3"/>
  <c r="A140" i="54"/>
  <c r="A53" i="55"/>
  <c r="A21" i="53"/>
  <c r="A139" i="52"/>
  <c r="B256" i="3"/>
  <c r="B233" i="3"/>
  <c r="B210" i="3"/>
  <c r="A68" i="54"/>
  <c r="A141" i="53"/>
  <c r="A2" i="53"/>
  <c r="A138" i="52"/>
  <c r="B280" i="1"/>
  <c r="B31" i="3" s="1"/>
  <c r="B167" i="3" s="1"/>
  <c r="B324" i="3" s="1"/>
  <c r="B227" i="1"/>
  <c r="B240" i="1" s="1"/>
  <c r="AM11" i="20"/>
  <c r="C56" i="20" s="1"/>
  <c r="AG14" i="20"/>
  <c r="D141" i="55"/>
  <c r="F141" i="54"/>
  <c r="AJ13" i="20"/>
  <c r="B234" i="3"/>
  <c r="B211" i="3"/>
  <c r="B257" i="3"/>
  <c r="C211" i="3"/>
  <c r="C321" i="3"/>
  <c r="C234" i="3"/>
  <c r="C257" i="3"/>
  <c r="B370" i="2"/>
  <c r="AA15" i="20" l="1"/>
  <c r="B166" i="1"/>
  <c r="B188" i="1" s="1"/>
  <c r="B66" i="1"/>
  <c r="B107" i="1" s="1"/>
  <c r="B65" i="1"/>
  <c r="B106" i="1" s="1"/>
  <c r="B165" i="1"/>
  <c r="B187" i="1" s="1"/>
  <c r="B235" i="2"/>
  <c r="B279" i="2" s="1"/>
  <c r="B351" i="2" s="1"/>
  <c r="B441" i="2"/>
  <c r="D140" i="57"/>
  <c r="X16" i="20"/>
  <c r="F140" i="56"/>
  <c r="B208" i="1"/>
  <c r="B76" i="3"/>
  <c r="B91" i="3" s="1"/>
  <c r="B122" i="3"/>
  <c r="B185" i="3"/>
  <c r="B99" i="3"/>
  <c r="I13" i="20"/>
  <c r="B13" i="20"/>
  <c r="G13" i="20"/>
  <c r="K13" i="20" s="1"/>
  <c r="AJ14" i="20"/>
  <c r="A21" i="54"/>
  <c r="A139" i="53"/>
  <c r="B303" i="1"/>
  <c r="B316" i="1" s="1"/>
  <c r="B397" i="2"/>
  <c r="B439" i="2" s="1"/>
  <c r="B454" i="2" s="1"/>
  <c r="B369" i="2"/>
  <c r="B167" i="1"/>
  <c r="B189" i="1" s="1"/>
  <c r="B67" i="1"/>
  <c r="B397" i="3"/>
  <c r="B421" i="3" s="1"/>
  <c r="B347" i="3"/>
  <c r="C394" i="3"/>
  <c r="C418" i="3" s="1"/>
  <c r="C344" i="3"/>
  <c r="A140" i="55"/>
  <c r="A53" i="56"/>
  <c r="B124" i="3"/>
  <c r="B78" i="3"/>
  <c r="B187" i="3"/>
  <c r="B101" i="3"/>
  <c r="D142" i="54"/>
  <c r="B16" i="8" s="1"/>
  <c r="D138" i="55"/>
  <c r="F14" i="20"/>
  <c r="F138" i="54"/>
  <c r="F142" i="54" s="1"/>
  <c r="B213" i="3"/>
  <c r="B259" i="3"/>
  <c r="B236" i="3"/>
  <c r="B420" i="2"/>
  <c r="B25" i="1"/>
  <c r="B108" i="1" s="1"/>
  <c r="B141" i="2"/>
  <c r="AN11" i="20"/>
  <c r="D56" i="20" s="1"/>
  <c r="E56" i="20" s="1"/>
  <c r="F56" i="20" s="1"/>
  <c r="R14" i="20"/>
  <c r="A138" i="53"/>
  <c r="A2" i="54"/>
  <c r="D141" i="56"/>
  <c r="AG15" i="20"/>
  <c r="F141" i="55"/>
  <c r="A68" i="55"/>
  <c r="A141" i="54"/>
  <c r="B281" i="1"/>
  <c r="B32" i="3" s="1"/>
  <c r="B168" i="3" s="1"/>
  <c r="B325" i="3" s="1"/>
  <c r="B228" i="1"/>
  <c r="B371" i="2"/>
  <c r="Z12" i="20"/>
  <c r="Y12" i="20"/>
  <c r="AC12" i="20" s="1"/>
  <c r="AI12" i="20"/>
  <c r="P12" i="20"/>
  <c r="T12" i="20" s="1"/>
  <c r="AN12" i="20" s="1"/>
  <c r="D57" i="20" s="1"/>
  <c r="E57" i="20" s="1"/>
  <c r="F57" i="20" s="1"/>
  <c r="Q12" i="20"/>
  <c r="AM12" i="20" s="1"/>
  <c r="C57" i="20" s="1"/>
  <c r="AH12" i="20"/>
  <c r="AL12" i="20" s="1"/>
  <c r="D139" i="56"/>
  <c r="O15" i="20"/>
  <c r="F139" i="55"/>
  <c r="B434" i="3" l="1"/>
  <c r="B360" i="3"/>
  <c r="B384" i="2"/>
  <c r="B459" i="2" s="1"/>
  <c r="B443" i="3"/>
  <c r="B398" i="3"/>
  <c r="B440" i="3"/>
  <c r="Y13" i="20"/>
  <c r="AC13" i="20" s="1"/>
  <c r="Z13" i="20"/>
  <c r="AH13" i="20"/>
  <c r="AL13" i="20" s="1"/>
  <c r="AI13" i="20"/>
  <c r="Q13" i="20"/>
  <c r="P13" i="20"/>
  <c r="T13" i="20" s="1"/>
  <c r="D139" i="57"/>
  <c r="O16" i="20"/>
  <c r="F139" i="56"/>
  <c r="B237" i="3"/>
  <c r="B260" i="3"/>
  <c r="B214" i="3"/>
  <c r="H13" i="20"/>
  <c r="AM13" i="20" s="1"/>
  <c r="C58" i="20" s="1"/>
  <c r="B282" i="1"/>
  <c r="B33" i="3" s="1"/>
  <c r="B169" i="3" s="1"/>
  <c r="B326" i="3" s="1"/>
  <c r="B229" i="1"/>
  <c r="B26" i="1"/>
  <c r="B142" i="2"/>
  <c r="A141" i="55"/>
  <c r="A68" i="56"/>
  <c r="B421" i="2"/>
  <c r="B321" i="1"/>
  <c r="B307" i="3"/>
  <c r="B380" i="3" s="1"/>
  <c r="B161" i="2"/>
  <c r="B182" i="2" s="1"/>
  <c r="A21" i="55"/>
  <c r="A139" i="54"/>
  <c r="AA16" i="20"/>
  <c r="B214" i="2"/>
  <c r="B261" i="1"/>
  <c r="A53" i="57"/>
  <c r="A140" i="56"/>
  <c r="B263" i="1"/>
  <c r="B216" i="2"/>
  <c r="B114" i="3"/>
  <c r="B140" i="3" s="1"/>
  <c r="D140" i="58"/>
  <c r="X17" i="20"/>
  <c r="F140" i="57"/>
  <c r="B305" i="3"/>
  <c r="B378" i="3" s="1"/>
  <c r="B159" i="2"/>
  <c r="B180" i="2" s="1"/>
  <c r="AJ15" i="20"/>
  <c r="C146" i="54"/>
  <c r="D16" i="8" s="1"/>
  <c r="D141" i="57"/>
  <c r="AG16" i="20"/>
  <c r="F141" i="56"/>
  <c r="B236" i="2"/>
  <c r="B280" i="2" s="1"/>
  <c r="B352" i="2" s="1"/>
  <c r="I14" i="20"/>
  <c r="B14" i="20"/>
  <c r="G14" i="20"/>
  <c r="K14" i="20" s="1"/>
  <c r="H14" i="20"/>
  <c r="B235" i="3"/>
  <c r="B250" i="3" s="1"/>
  <c r="B212" i="3"/>
  <c r="B258" i="3"/>
  <c r="B273" i="3" s="1"/>
  <c r="B160" i="2"/>
  <c r="B181" i="2" s="1"/>
  <c r="B306" i="3"/>
  <c r="B379" i="3" s="1"/>
  <c r="AN13" i="20"/>
  <c r="D58" i="20" s="1"/>
  <c r="E58" i="20" s="1"/>
  <c r="R15" i="20"/>
  <c r="A2" i="55"/>
  <c r="A138" i="54"/>
  <c r="B209" i="1"/>
  <c r="D138" i="56"/>
  <c r="F15" i="20"/>
  <c r="D142" i="55"/>
  <c r="B17" i="8" s="1"/>
  <c r="F138" i="55"/>
  <c r="F142" i="55" s="1"/>
  <c r="C146" i="55" s="1"/>
  <c r="D17" i="8" s="1"/>
  <c r="B47" i="1" s="1"/>
  <c r="B137" i="3"/>
  <c r="B262" i="1"/>
  <c r="B215" i="2"/>
  <c r="B227" i="3" l="1"/>
  <c r="B446" i="3"/>
  <c r="B54" i="3"/>
  <c r="A68" i="57"/>
  <c r="A141" i="56"/>
  <c r="B332" i="2"/>
  <c r="B402" i="2" s="1"/>
  <c r="B256" i="2"/>
  <c r="B301" i="2"/>
  <c r="A139" i="55"/>
  <c r="A21" i="56"/>
  <c r="B348" i="3"/>
  <c r="B169" i="1"/>
  <c r="B191" i="1" s="1"/>
  <c r="B69" i="1"/>
  <c r="B27" i="1"/>
  <c r="B110" i="1" s="1"/>
  <c r="B143" i="2"/>
  <c r="B422" i="3"/>
  <c r="B422" i="2"/>
  <c r="F139" i="57"/>
  <c r="D139" i="58"/>
  <c r="O17" i="20"/>
  <c r="A140" i="57"/>
  <c r="A53" i="58"/>
  <c r="D138" i="57"/>
  <c r="F16" i="20"/>
  <c r="D142" i="56"/>
  <c r="B18" i="8" s="1"/>
  <c r="F138" i="56"/>
  <c r="F142" i="56" s="1"/>
  <c r="C146" i="56" s="1"/>
  <c r="D18" i="8" s="1"/>
  <c r="B48" i="1" s="1"/>
  <c r="B46" i="1"/>
  <c r="B52" i="3"/>
  <c r="B304" i="1"/>
  <c r="B237" i="2"/>
  <c r="B281" i="2" s="1"/>
  <c r="B353" i="2" s="1"/>
  <c r="E6" i="43"/>
  <c r="A2" i="56"/>
  <c r="A138" i="55"/>
  <c r="B276" i="3"/>
  <c r="AJ16" i="20"/>
  <c r="AM14" i="20"/>
  <c r="C59" i="20" s="1"/>
  <c r="F58" i="20"/>
  <c r="Z14" i="20"/>
  <c r="Y14" i="20"/>
  <c r="AC14" i="20" s="1"/>
  <c r="AH14" i="20"/>
  <c r="AL14" i="20" s="1"/>
  <c r="AI14" i="20"/>
  <c r="P14" i="20"/>
  <c r="T14" i="20" s="1"/>
  <c r="Q14" i="20"/>
  <c r="AA17" i="20"/>
  <c r="B330" i="2"/>
  <c r="B254" i="2"/>
  <c r="B299" i="2"/>
  <c r="B327" i="1"/>
  <c r="B210" i="1"/>
  <c r="I15" i="20"/>
  <c r="B15" i="20"/>
  <c r="AN14" i="20"/>
  <c r="D59" i="20" s="1"/>
  <c r="E59" i="20" s="1"/>
  <c r="B300" i="2"/>
  <c r="B255" i="2"/>
  <c r="B331" i="2"/>
  <c r="B283" i="1"/>
  <c r="B34" i="3" s="1"/>
  <c r="B170" i="3" s="1"/>
  <c r="B327" i="3" s="1"/>
  <c r="B230" i="1"/>
  <c r="X18" i="20"/>
  <c r="D140" i="59"/>
  <c r="F140" i="58"/>
  <c r="D141" i="58"/>
  <c r="AG17" i="20"/>
  <c r="F141" i="57"/>
  <c r="B305" i="1"/>
  <c r="B53" i="3"/>
  <c r="B399" i="3"/>
  <c r="B423" i="3" s="1"/>
  <c r="B349" i="3"/>
  <c r="R16" i="20"/>
  <c r="B374" i="2" l="1"/>
  <c r="B144" i="2"/>
  <c r="B28" i="1"/>
  <c r="A21" i="57"/>
  <c r="A139" i="56"/>
  <c r="A141" i="57"/>
  <c r="A68" i="58"/>
  <c r="D140" i="60"/>
  <c r="X19" i="20"/>
  <c r="F140" i="59"/>
  <c r="D6" i="43"/>
  <c r="I16" i="20"/>
  <c r="B16" i="20"/>
  <c r="B306" i="1"/>
  <c r="B70" i="1"/>
  <c r="B170" i="1"/>
  <c r="B192" i="1" s="1"/>
  <c r="B189" i="3"/>
  <c r="B80" i="3"/>
  <c r="B126" i="3"/>
  <c r="B103" i="3"/>
  <c r="B423" i="2"/>
  <c r="F138" i="57"/>
  <c r="F142" i="57" s="1"/>
  <c r="D138" i="58"/>
  <c r="F17" i="20"/>
  <c r="D142" i="57"/>
  <c r="B19" i="8" s="1"/>
  <c r="B127" i="3"/>
  <c r="B104" i="3"/>
  <c r="B81" i="3"/>
  <c r="B190" i="3"/>
  <c r="Z15" i="20"/>
  <c r="Y15" i="20"/>
  <c r="AC15" i="20" s="1"/>
  <c r="AH15" i="20"/>
  <c r="AL15" i="20" s="1"/>
  <c r="AI15" i="20"/>
  <c r="Q15" i="20"/>
  <c r="P15" i="20"/>
  <c r="T15" i="20" s="1"/>
  <c r="B449" i="3"/>
  <c r="A53" i="59"/>
  <c r="A140" i="58"/>
  <c r="B238" i="2"/>
  <c r="B282" i="2" s="1"/>
  <c r="B354" i="2" s="1"/>
  <c r="G15" i="20"/>
  <c r="K15" i="20" s="1"/>
  <c r="B350" i="3"/>
  <c r="B400" i="3"/>
  <c r="B424" i="3" s="1"/>
  <c r="B400" i="2"/>
  <c r="B442" i="2" s="1"/>
  <c r="B372" i="2"/>
  <c r="B188" i="3"/>
  <c r="B102" i="3"/>
  <c r="B79" i="3"/>
  <c r="B125" i="3"/>
  <c r="B211" i="1"/>
  <c r="B444" i="2"/>
  <c r="F59" i="20"/>
  <c r="AA18" i="20"/>
  <c r="AJ17" i="20"/>
  <c r="B401" i="2"/>
  <c r="B443" i="2" s="1"/>
  <c r="B373" i="2"/>
  <c r="R17" i="20"/>
  <c r="B163" i="2"/>
  <c r="B184" i="2" s="1"/>
  <c r="B309" i="3"/>
  <c r="B382" i="3" s="1"/>
  <c r="B284" i="1"/>
  <c r="B35" i="3" s="1"/>
  <c r="B171" i="3" s="1"/>
  <c r="B328" i="3" s="1"/>
  <c r="B231" i="1"/>
  <c r="H15" i="20"/>
  <c r="D141" i="59"/>
  <c r="AG18" i="20"/>
  <c r="F141" i="58"/>
  <c r="A2" i="57"/>
  <c r="A138" i="56"/>
  <c r="B68" i="1"/>
  <c r="B109" i="1" s="1"/>
  <c r="B168" i="1"/>
  <c r="B190" i="1" s="1"/>
  <c r="D139" i="59"/>
  <c r="O18" i="20"/>
  <c r="F139" i="58"/>
  <c r="B218" i="2"/>
  <c r="B265" i="1"/>
  <c r="B111" i="1" l="1"/>
  <c r="A53" i="60"/>
  <c r="A140" i="59"/>
  <c r="B29" i="1"/>
  <c r="B145" i="2"/>
  <c r="A68" i="59"/>
  <c r="A141" i="58"/>
  <c r="B303" i="2"/>
  <c r="B258" i="2"/>
  <c r="B334" i="2"/>
  <c r="B404" i="2" s="1"/>
  <c r="B232" i="1"/>
  <c r="B285" i="1"/>
  <c r="B36" i="3" s="1"/>
  <c r="B172" i="3" s="1"/>
  <c r="B329" i="3" s="1"/>
  <c r="I17" i="20"/>
  <c r="H17" i="20"/>
  <c r="B17" i="20"/>
  <c r="G17" i="20"/>
  <c r="B239" i="3"/>
  <c r="B262" i="3"/>
  <c r="B216" i="3"/>
  <c r="B401" i="3"/>
  <c r="D138" i="59"/>
  <c r="F18" i="20"/>
  <c r="D142" i="58"/>
  <c r="B20" i="8" s="1"/>
  <c r="F138" i="58"/>
  <c r="F142" i="58" s="1"/>
  <c r="C146" i="58" s="1"/>
  <c r="D20" i="8" s="1"/>
  <c r="B50" i="1" s="1"/>
  <c r="B219" i="2"/>
  <c r="B266" i="1"/>
  <c r="A21" i="58"/>
  <c r="A139" i="57"/>
  <c r="Z16" i="20"/>
  <c r="Y16" i="20"/>
  <c r="AC16" i="20" s="1"/>
  <c r="P16" i="20"/>
  <c r="T16" i="20" s="1"/>
  <c r="Q16" i="20"/>
  <c r="AI16" i="20"/>
  <c r="AH16" i="20"/>
  <c r="AL16" i="20" s="1"/>
  <c r="B56" i="3"/>
  <c r="B308" i="1"/>
  <c r="D141" i="60"/>
  <c r="AG19" i="20"/>
  <c r="F141" i="59"/>
  <c r="B453" i="3"/>
  <c r="B263" i="3"/>
  <c r="B240" i="3"/>
  <c r="B217" i="3"/>
  <c r="C146" i="57"/>
  <c r="D19" i="8" s="1"/>
  <c r="B49" i="1" s="1"/>
  <c r="B164" i="2"/>
  <c r="B310" i="3"/>
  <c r="B383" i="3" s="1"/>
  <c r="B212" i="1"/>
  <c r="A138" i="57"/>
  <c r="A2" i="58"/>
  <c r="D139" i="60"/>
  <c r="F139" i="59"/>
  <c r="O19" i="20"/>
  <c r="AM15" i="20"/>
  <c r="C60" i="20" s="1"/>
  <c r="AN15" i="20"/>
  <c r="D60" i="20" s="1"/>
  <c r="E60" i="20" s="1"/>
  <c r="F60" i="20" s="1"/>
  <c r="B239" i="2"/>
  <c r="B283" i="2" s="1"/>
  <c r="B355" i="2" s="1"/>
  <c r="B185" i="2"/>
  <c r="R18" i="20"/>
  <c r="B217" i="2"/>
  <c r="B264" i="1"/>
  <c r="G16" i="20"/>
  <c r="K16" i="20" s="1"/>
  <c r="AA19" i="20"/>
  <c r="AJ18" i="20"/>
  <c r="B308" i="3"/>
  <c r="B381" i="3" s="1"/>
  <c r="B162" i="2"/>
  <c r="B183" i="2" s="1"/>
  <c r="B215" i="3"/>
  <c r="B261" i="3"/>
  <c r="B238" i="3"/>
  <c r="B424" i="2"/>
  <c r="B376" i="2"/>
  <c r="H16" i="20"/>
  <c r="AM16" i="20" s="1"/>
  <c r="C61" i="20" s="1"/>
  <c r="D140" i="61"/>
  <c r="X20" i="20"/>
  <c r="F140" i="60"/>
  <c r="A141" i="59" l="1"/>
  <c r="A68" i="60"/>
  <c r="B307" i="1"/>
  <c r="B55" i="3"/>
  <c r="B129" i="3"/>
  <c r="B83" i="3"/>
  <c r="B192" i="3"/>
  <c r="B106" i="3"/>
  <c r="B351" i="3"/>
  <c r="B240" i="2"/>
  <c r="B284" i="2" s="1"/>
  <c r="B356" i="2" s="1"/>
  <c r="B286" i="1"/>
  <c r="B37" i="3" s="1"/>
  <c r="B173" i="3" s="1"/>
  <c r="B330" i="3" s="1"/>
  <c r="B233" i="1"/>
  <c r="B302" i="2"/>
  <c r="B333" i="2"/>
  <c r="B257" i="2"/>
  <c r="F6" i="43"/>
  <c r="A21" i="59"/>
  <c r="A139" i="58"/>
  <c r="B425" i="3"/>
  <c r="B352" i="3"/>
  <c r="B402" i="3"/>
  <c r="B426" i="3" s="1"/>
  <c r="B213" i="1"/>
  <c r="F138" i="59"/>
  <c r="F142" i="59" s="1"/>
  <c r="D138" i="60"/>
  <c r="F19" i="20"/>
  <c r="D142" i="59"/>
  <c r="B21" i="8" s="1"/>
  <c r="B309" i="1"/>
  <c r="B57" i="3"/>
  <c r="B304" i="2"/>
  <c r="B335" i="2"/>
  <c r="B405" i="2" s="1"/>
  <c r="B259" i="2"/>
  <c r="B446" i="2"/>
  <c r="A140" i="60"/>
  <c r="A53" i="61"/>
  <c r="R19" i="20"/>
  <c r="D139" i="61"/>
  <c r="F139" i="60"/>
  <c r="O20" i="20"/>
  <c r="B72" i="1"/>
  <c r="B172" i="1"/>
  <c r="B194" i="1" s="1"/>
  <c r="AA20" i="20"/>
  <c r="A2" i="59"/>
  <c r="A138" i="58"/>
  <c r="B171" i="1"/>
  <c r="B193" i="1" s="1"/>
  <c r="B71" i="1"/>
  <c r="B112" i="1" s="1"/>
  <c r="AJ19" i="20"/>
  <c r="B30" i="1"/>
  <c r="B113" i="1" s="1"/>
  <c r="B146" i="2"/>
  <c r="K17" i="20"/>
  <c r="D140" i="62"/>
  <c r="X21" i="20"/>
  <c r="F140" i="61"/>
  <c r="AN16" i="20"/>
  <c r="D61" i="20" s="1"/>
  <c r="E61" i="20" s="1"/>
  <c r="F61" i="20" s="1"/>
  <c r="B425" i="2"/>
  <c r="B377" i="2"/>
  <c r="D141" i="61"/>
  <c r="F141" i="60"/>
  <c r="AG20" i="20"/>
  <c r="B18" i="20"/>
  <c r="G18" i="20" s="1"/>
  <c r="K18" i="20" s="1"/>
  <c r="H18" i="20"/>
  <c r="I18" i="20"/>
  <c r="Y17" i="20"/>
  <c r="AC17" i="20" s="1"/>
  <c r="Z17" i="20"/>
  <c r="AH17" i="20"/>
  <c r="AL17" i="20" s="1"/>
  <c r="P17" i="20"/>
  <c r="T17" i="20" s="1"/>
  <c r="Q17" i="20"/>
  <c r="AM17" i="20" s="1"/>
  <c r="C62" i="20" s="1"/>
  <c r="AI17" i="20"/>
  <c r="B312" i="3" l="1"/>
  <c r="B385" i="3" s="1"/>
  <c r="B166" i="2"/>
  <c r="B220" i="2"/>
  <c r="B267" i="1"/>
  <c r="R20" i="20"/>
  <c r="A140" i="61"/>
  <c r="A53" i="62"/>
  <c r="A140" i="62" s="1"/>
  <c r="B219" i="3"/>
  <c r="B242" i="3"/>
  <c r="B265" i="3"/>
  <c r="AN17" i="20"/>
  <c r="D62" i="20" s="1"/>
  <c r="E62" i="20" s="1"/>
  <c r="F62" i="20" s="1"/>
  <c r="B31" i="1"/>
  <c r="B147" i="2"/>
  <c r="X22" i="20"/>
  <c r="F140" i="62"/>
  <c r="B403" i="2"/>
  <c r="B445" i="2" s="1"/>
  <c r="B375" i="2"/>
  <c r="D141" i="62"/>
  <c r="AG21" i="20"/>
  <c r="F141" i="61"/>
  <c r="A138" i="59"/>
  <c r="A2" i="60"/>
  <c r="B214" i="1"/>
  <c r="F20" i="20"/>
  <c r="D138" i="61"/>
  <c r="D142" i="60"/>
  <c r="B22" i="8" s="1"/>
  <c r="F138" i="60"/>
  <c r="F142" i="60" s="1"/>
  <c r="C146" i="60" s="1"/>
  <c r="D22" i="8" s="1"/>
  <c r="B52" i="1" s="1"/>
  <c r="A21" i="60"/>
  <c r="A139" i="59"/>
  <c r="B403" i="3"/>
  <c r="B427" i="3" s="1"/>
  <c r="B353" i="3"/>
  <c r="B191" i="3"/>
  <c r="B128" i="3"/>
  <c r="B105" i="3"/>
  <c r="B82" i="3"/>
  <c r="B241" i="2"/>
  <c r="B285" i="2" s="1"/>
  <c r="B357" i="2" s="1"/>
  <c r="B187" i="2"/>
  <c r="D139" i="62"/>
  <c r="O21" i="20"/>
  <c r="F139" i="61"/>
  <c r="AM18" i="20"/>
  <c r="C63" i="20" s="1"/>
  <c r="B447" i="2"/>
  <c r="C146" i="59"/>
  <c r="D21" i="8" s="1"/>
  <c r="B51" i="1" s="1"/>
  <c r="Z18" i="20"/>
  <c r="Y18" i="20"/>
  <c r="AC18" i="20" s="1"/>
  <c r="Q18" i="20"/>
  <c r="P18" i="20"/>
  <c r="T18" i="20" s="1"/>
  <c r="AN18" i="20" s="1"/>
  <c r="D63" i="20" s="1"/>
  <c r="E63" i="20" s="1"/>
  <c r="F63" i="20" s="1"/>
  <c r="AH18" i="20"/>
  <c r="AL18" i="20" s="1"/>
  <c r="AI18" i="20"/>
  <c r="G6" i="43"/>
  <c r="B426" i="2"/>
  <c r="A141" i="60"/>
  <c r="A68" i="61"/>
  <c r="B165" i="2"/>
  <c r="B186" i="2" s="1"/>
  <c r="B311" i="3"/>
  <c r="B384" i="3" s="1"/>
  <c r="B84" i="3"/>
  <c r="B107" i="3"/>
  <c r="B193" i="3"/>
  <c r="B130" i="3"/>
  <c r="B19" i="20"/>
  <c r="G19" i="20" s="1"/>
  <c r="K19" i="20" s="1"/>
  <c r="I19" i="20"/>
  <c r="AJ20" i="20"/>
  <c r="AA21" i="20"/>
  <c r="B221" i="2"/>
  <c r="B268" i="1"/>
  <c r="B287" i="1"/>
  <c r="B38" i="3" s="1"/>
  <c r="B174" i="3" s="1"/>
  <c r="B331" i="3" s="1"/>
  <c r="B234" i="1"/>
  <c r="A68" i="62" l="1"/>
  <c r="A141" i="62" s="1"/>
  <c r="A141" i="61"/>
  <c r="B218" i="3"/>
  <c r="B241" i="3"/>
  <c r="B264" i="3"/>
  <c r="I20" i="20"/>
  <c r="B20" i="20"/>
  <c r="Y19" i="20"/>
  <c r="AC19" i="20" s="1"/>
  <c r="Z19" i="20"/>
  <c r="Q19" i="20"/>
  <c r="AH19" i="20"/>
  <c r="AL19" i="20" s="1"/>
  <c r="P19" i="20"/>
  <c r="T19" i="20" s="1"/>
  <c r="AN19" i="20" s="1"/>
  <c r="D64" i="20" s="1"/>
  <c r="E64" i="20" s="1"/>
  <c r="F64" i="20" s="1"/>
  <c r="AI19" i="20"/>
  <c r="D138" i="62"/>
  <c r="D142" i="61"/>
  <c r="B23" i="8" s="1"/>
  <c r="F21" i="20"/>
  <c r="F138" i="61"/>
  <c r="F142" i="61" s="1"/>
  <c r="H19" i="20"/>
  <c r="AM19" i="20" s="1"/>
  <c r="C64" i="20" s="1"/>
  <c r="R21" i="20"/>
  <c r="B58" i="3"/>
  <c r="B310" i="1"/>
  <c r="AG22" i="20"/>
  <c r="F141" i="62"/>
  <c r="B288" i="1"/>
  <c r="B39" i="3" s="1"/>
  <c r="B175" i="3" s="1"/>
  <c r="B332" i="3" s="1"/>
  <c r="B235" i="1"/>
  <c r="A138" i="60"/>
  <c r="A2" i="61"/>
  <c r="AA22" i="20"/>
  <c r="B337" i="2"/>
  <c r="B407" i="2" s="1"/>
  <c r="B261" i="2"/>
  <c r="B306" i="2"/>
  <c r="B260" i="2"/>
  <c r="B305" i="2"/>
  <c r="B336" i="2"/>
  <c r="B266" i="3"/>
  <c r="B220" i="3"/>
  <c r="B243" i="3"/>
  <c r="B427" i="2"/>
  <c r="B379" i="2"/>
  <c r="A139" i="60"/>
  <c r="A21" i="61"/>
  <c r="O22" i="20"/>
  <c r="F139" i="62"/>
  <c r="B354" i="3"/>
  <c r="B404" i="3"/>
  <c r="B428" i="3" s="1"/>
  <c r="B73" i="1"/>
  <c r="B114" i="1" s="1"/>
  <c r="B173" i="1"/>
  <c r="B195" i="1" s="1"/>
  <c r="B174" i="1"/>
  <c r="B196" i="1" s="1"/>
  <c r="B74" i="1"/>
  <c r="B242" i="2"/>
  <c r="B286" i="2" s="1"/>
  <c r="B358" i="2" s="1"/>
  <c r="B59" i="3"/>
  <c r="B311" i="1"/>
  <c r="B148" i="2"/>
  <c r="B32" i="1"/>
  <c r="B115" i="1" s="1"/>
  <c r="AJ21" i="20"/>
  <c r="B215" i="1"/>
  <c r="R22" i="20" l="1"/>
  <c r="C146" i="61"/>
  <c r="D23" i="8" s="1"/>
  <c r="B53" i="1" s="1"/>
  <c r="B216" i="1"/>
  <c r="B270" i="1"/>
  <c r="B223" i="2"/>
  <c r="A21" i="62"/>
  <c r="A139" i="62" s="1"/>
  <c r="A139" i="61"/>
  <c r="B406" i="2"/>
  <c r="B448" i="2" s="1"/>
  <c r="B378" i="2"/>
  <c r="B21" i="20"/>
  <c r="I21" i="20"/>
  <c r="B243" i="2"/>
  <c r="B287" i="2" s="1"/>
  <c r="B359" i="2" s="1"/>
  <c r="A2" i="62"/>
  <c r="A138" i="62" s="1"/>
  <c r="A138" i="61"/>
  <c r="B194" i="3"/>
  <c r="B108" i="3"/>
  <c r="B85" i="3"/>
  <c r="B131" i="3"/>
  <c r="F22" i="20"/>
  <c r="D142" i="62"/>
  <c r="B24" i="8" s="1"/>
  <c r="F138" i="62"/>
  <c r="F142" i="62" s="1"/>
  <c r="C146" i="62" s="1"/>
  <c r="D24" i="8" s="1"/>
  <c r="Z20" i="20"/>
  <c r="Y20" i="20"/>
  <c r="AC20" i="20" s="1"/>
  <c r="P20" i="20"/>
  <c r="T20" i="20" s="1"/>
  <c r="AI20" i="20"/>
  <c r="AH20" i="20"/>
  <c r="AL20" i="20" s="1"/>
  <c r="Q20" i="20"/>
  <c r="AJ22" i="20"/>
  <c r="B222" i="2"/>
  <c r="B269" i="1"/>
  <c r="B313" i="3"/>
  <c r="B386" i="3" s="1"/>
  <c r="B167" i="2"/>
  <c r="B188" i="2" s="1"/>
  <c r="H20" i="20"/>
  <c r="B314" i="3"/>
  <c r="B387" i="3" s="1"/>
  <c r="B168" i="2"/>
  <c r="B189" i="2" s="1"/>
  <c r="B33" i="1"/>
  <c r="B149" i="2"/>
  <c r="B355" i="3"/>
  <c r="B405" i="3"/>
  <c r="B429" i="3" s="1"/>
  <c r="G20" i="20"/>
  <c r="K20" i="20" s="1"/>
  <c r="B289" i="1"/>
  <c r="B40" i="3" s="1"/>
  <c r="B176" i="3" s="1"/>
  <c r="B333" i="3" s="1"/>
  <c r="B236" i="1"/>
  <c r="B109" i="3"/>
  <c r="B195" i="3"/>
  <c r="B86" i="3"/>
  <c r="B132" i="3"/>
  <c r="B428" i="2"/>
  <c r="B449" i="2"/>
  <c r="Y21" i="20" l="1"/>
  <c r="AC21" i="20" s="1"/>
  <c r="Z21" i="20"/>
  <c r="AH21" i="20"/>
  <c r="AL21" i="20" s="1"/>
  <c r="Q21" i="20"/>
  <c r="AI21" i="20"/>
  <c r="P21" i="20"/>
  <c r="T21" i="20" s="1"/>
  <c r="B61" i="3"/>
  <c r="B406" i="3"/>
  <c r="B430" i="3" s="1"/>
  <c r="B356" i="3"/>
  <c r="B54" i="1"/>
  <c r="D25" i="8"/>
  <c r="AN20" i="20"/>
  <c r="D65" i="20" s="1"/>
  <c r="E65" i="20" s="1"/>
  <c r="F65" i="20" s="1"/>
  <c r="AM20" i="20"/>
  <c r="C65" i="20" s="1"/>
  <c r="B150" i="2"/>
  <c r="B34" i="1"/>
  <c r="B25" i="8"/>
  <c r="B290" i="1"/>
  <c r="B41" i="3" s="1"/>
  <c r="B177" i="3" s="1"/>
  <c r="B334" i="3" s="1"/>
  <c r="B237" i="1"/>
  <c r="B75" i="1"/>
  <c r="B116" i="1" s="1"/>
  <c r="B175" i="1"/>
  <c r="B197" i="1" s="1"/>
  <c r="B429" i="2"/>
  <c r="B381" i="2"/>
  <c r="B60" i="3"/>
  <c r="B312" i="1"/>
  <c r="B222" i="3"/>
  <c r="B245" i="3"/>
  <c r="B268" i="3"/>
  <c r="B244" i="2"/>
  <c r="B288" i="2" s="1"/>
  <c r="B360" i="2" s="1"/>
  <c r="B338" i="2"/>
  <c r="B307" i="2"/>
  <c r="B262" i="2"/>
  <c r="H21" i="20"/>
  <c r="I22" i="20"/>
  <c r="B22" i="20"/>
  <c r="H22" i="20" s="1"/>
  <c r="B217" i="1"/>
  <c r="B244" i="3"/>
  <c r="B267" i="3"/>
  <c r="B221" i="3"/>
  <c r="G21" i="20"/>
  <c r="K21" i="20" s="1"/>
  <c r="AN21" i="20" s="1"/>
  <c r="D66" i="20" s="1"/>
  <c r="E66" i="20" s="1"/>
  <c r="B263" i="2"/>
  <c r="B308" i="2"/>
  <c r="B339" i="2"/>
  <c r="B409" i="2" s="1"/>
  <c r="B451" i="2" s="1"/>
  <c r="B313" i="1" l="1"/>
  <c r="B218" i="1"/>
  <c r="AM21" i="20"/>
  <c r="C66" i="20" s="1"/>
  <c r="B245" i="2"/>
  <c r="B289" i="2" s="1"/>
  <c r="B361" i="2" s="1"/>
  <c r="B88" i="3"/>
  <c r="B134" i="3"/>
  <c r="B111" i="3"/>
  <c r="B197" i="3"/>
  <c r="B224" i="2"/>
  <c r="B271" i="1"/>
  <c r="B169" i="2"/>
  <c r="B190" i="2" s="1"/>
  <c r="B315" i="3"/>
  <c r="B388" i="3" s="1"/>
  <c r="B291" i="1"/>
  <c r="B42" i="3" s="1"/>
  <c r="B178" i="3" s="1"/>
  <c r="B335" i="3" s="1"/>
  <c r="B238" i="1"/>
  <c r="G22" i="20"/>
  <c r="K22" i="20" s="1"/>
  <c r="B408" i="2"/>
  <c r="B450" i="2" s="1"/>
  <c r="B380" i="2"/>
  <c r="B176" i="1"/>
  <c r="B198" i="1" s="1"/>
  <c r="B76" i="1"/>
  <c r="B117" i="1" s="1"/>
  <c r="B407" i="3"/>
  <c r="B431" i="3" s="1"/>
  <c r="B357" i="3"/>
  <c r="F66" i="20"/>
  <c r="Z22" i="20"/>
  <c r="Y22" i="20"/>
  <c r="AC22" i="20" s="1"/>
  <c r="P22" i="20"/>
  <c r="T22" i="20" s="1"/>
  <c r="Q22" i="20"/>
  <c r="AM22" i="20" s="1"/>
  <c r="C67" i="20" s="1"/>
  <c r="AH22" i="20"/>
  <c r="AL22" i="20" s="1"/>
  <c r="AI22" i="20"/>
  <c r="B430" i="2"/>
  <c r="B133" i="3"/>
  <c r="B87" i="3"/>
  <c r="B196" i="3"/>
  <c r="B110" i="3"/>
  <c r="B225" i="2" l="1"/>
  <c r="B272" i="1"/>
  <c r="B314" i="1"/>
  <c r="B62" i="3"/>
  <c r="B431" i="2"/>
  <c r="B170" i="2"/>
  <c r="B191" i="2" s="1"/>
  <c r="B193" i="2" s="1"/>
  <c r="B316" i="3"/>
  <c r="B389" i="3" s="1"/>
  <c r="B223" i="3"/>
  <c r="B246" i="3"/>
  <c r="B269" i="3"/>
  <c r="B309" i="2"/>
  <c r="B264" i="2"/>
  <c r="B340" i="2"/>
  <c r="AN22" i="20"/>
  <c r="D67" i="20" s="1"/>
  <c r="E67" i="20" s="1"/>
  <c r="F67" i="20" s="1"/>
  <c r="B224" i="3"/>
  <c r="B270" i="3"/>
  <c r="B247" i="3"/>
  <c r="B119" i="1"/>
  <c r="B120" i="1" s="1"/>
  <c r="B239" i="1"/>
  <c r="B241" i="1" s="1"/>
  <c r="B242" i="1" s="1"/>
  <c r="B292" i="1"/>
  <c r="B43" i="3" s="1"/>
  <c r="B179" i="3" s="1"/>
  <c r="B336" i="3" s="1"/>
  <c r="B408" i="3"/>
  <c r="B432" i="3" s="1"/>
  <c r="B358" i="3"/>
  <c r="B194" i="2" l="1"/>
  <c r="B410" i="2"/>
  <c r="B452" i="2" s="1"/>
  <c r="B382" i="2"/>
  <c r="B359" i="3"/>
  <c r="B361" i="3" s="1"/>
  <c r="B409" i="3"/>
  <c r="B433" i="3" s="1"/>
  <c r="B435" i="3" s="1"/>
  <c r="B135" i="3"/>
  <c r="B89" i="3"/>
  <c r="B112" i="3"/>
  <c r="B198" i="3"/>
  <c r="B63" i="3"/>
  <c r="B315" i="1"/>
  <c r="B317" i="1" s="1"/>
  <c r="B265" i="2"/>
  <c r="B267" i="2" s="1"/>
  <c r="B341" i="2"/>
  <c r="B310" i="2"/>
  <c r="B312" i="2" s="1"/>
  <c r="B313" i="2" s="1"/>
  <c r="B411" i="2" l="1"/>
  <c r="B453" i="2" s="1"/>
  <c r="B455" i="2" s="1"/>
  <c r="B456" i="2" s="1"/>
  <c r="B383" i="2"/>
  <c r="B385" i="2" s="1"/>
  <c r="B386" i="2" s="1"/>
  <c r="B444" i="3"/>
  <c r="B436" i="3"/>
  <c r="B460" i="2"/>
  <c r="B268" i="2"/>
  <c r="B441" i="3"/>
  <c r="B439" i="3" s="1"/>
  <c r="B362" i="3"/>
  <c r="B199" i="3"/>
  <c r="B136" i="3"/>
  <c r="B138" i="3" s="1"/>
  <c r="B139" i="3" s="1"/>
  <c r="B90" i="3"/>
  <c r="B92" i="3" s="1"/>
  <c r="B113" i="3"/>
  <c r="B115" i="3" s="1"/>
  <c r="B116" i="3" s="1"/>
  <c r="B248" i="3"/>
  <c r="B271" i="3"/>
  <c r="B225" i="3"/>
  <c r="B322" i="1"/>
  <c r="B318" i="1"/>
  <c r="C458" i="2" l="1"/>
  <c r="B468" i="2"/>
  <c r="B328" i="1"/>
  <c r="E320" i="1"/>
  <c r="B141" i="3"/>
  <c r="B93" i="3"/>
  <c r="B442" i="3"/>
  <c r="B272" i="3"/>
  <c r="B274" i="3" s="1"/>
  <c r="B275" i="3" s="1"/>
  <c r="B226" i="3"/>
  <c r="B228" i="3" s="1"/>
  <c r="B249" i="3"/>
  <c r="B251" i="3" s="1"/>
  <c r="B252" i="3" s="1"/>
  <c r="B447" i="3" l="1"/>
  <c r="B445" i="3" s="1"/>
  <c r="B142" i="3"/>
  <c r="D7" i="43"/>
  <c r="B329" i="1"/>
  <c r="E325" i="1"/>
  <c r="B277" i="3"/>
  <c r="B229" i="3"/>
  <c r="E7" i="43"/>
  <c r="E8" i="43" s="1"/>
  <c r="B466" i="2"/>
  <c r="B450" i="3" l="1"/>
  <c r="B278" i="3"/>
  <c r="D8" i="43"/>
  <c r="B448" i="3" l="1"/>
  <c r="B454" i="3"/>
  <c r="F7" i="43" l="1"/>
  <c r="B452" i="3"/>
  <c r="F8" i="43" l="1"/>
  <c r="G7" i="43"/>
  <c r="G8" i="43" s="1"/>
</calcChain>
</file>

<file path=xl/sharedStrings.xml><?xml version="1.0" encoding="utf-8"?>
<sst xmlns="http://schemas.openxmlformats.org/spreadsheetml/2006/main" count="1702" uniqueCount="407">
  <si>
    <t>-</t>
  </si>
  <si>
    <t>%</t>
  </si>
  <si>
    <t>Unit</t>
  </si>
  <si>
    <t>Parameter</t>
  </si>
  <si>
    <t>Source</t>
  </si>
  <si>
    <t>kg</t>
  </si>
  <si>
    <t>kg-dm/day</t>
  </si>
  <si>
    <t xml:space="preserve">2006 IPCC guideline, volume 4, chapter 10 </t>
  </si>
  <si>
    <t>Direct N2O Emissions</t>
  </si>
  <si>
    <t xml:space="preserve">                               Value</t>
  </si>
  <si>
    <t xml:space="preserve">                              Value </t>
  </si>
  <si>
    <t>Indirect N2O Emissions</t>
  </si>
  <si>
    <t>Fgasm</t>
  </si>
  <si>
    <t>EF4</t>
  </si>
  <si>
    <t>EF1</t>
  </si>
  <si>
    <t>EF5</t>
  </si>
  <si>
    <t>Fleach</t>
  </si>
  <si>
    <t>kg/animal/day</t>
  </si>
  <si>
    <t>numbers</t>
  </si>
  <si>
    <t>m3 CH4/kg-VS</t>
  </si>
  <si>
    <t xml:space="preserve">                                      Value </t>
  </si>
  <si>
    <t xml:space="preserve">A) Phase I: Anaerobic digester </t>
  </si>
  <si>
    <t xml:space="preserve">Total CH4 emissions </t>
  </si>
  <si>
    <t>B) PHASE II: Aerobic treatment</t>
  </si>
  <si>
    <t>kg N2O-N/kg N</t>
  </si>
  <si>
    <t>LEAKEAGE</t>
  </si>
  <si>
    <t>MCFd</t>
  </si>
  <si>
    <t>Rvs,n</t>
  </si>
  <si>
    <t>from Land Application(tCO2e)</t>
  </si>
  <si>
    <t>at the project site</t>
  </si>
  <si>
    <t>Fraction of manure handled in system j</t>
  </si>
  <si>
    <t>calculated</t>
  </si>
  <si>
    <t xml:space="preserve">calculated </t>
  </si>
  <si>
    <t>Annex 1, ACM0010</t>
  </si>
  <si>
    <t>table 11.3, chapter 11, volume 4, 2006 IPCC</t>
  </si>
  <si>
    <t>Market Swine</t>
  </si>
  <si>
    <t>Breeding Swine</t>
  </si>
  <si>
    <t xml:space="preserve">BASELINE EMISSIONS </t>
  </si>
  <si>
    <t>i) CH4 emissions</t>
  </si>
  <si>
    <t>ii) N2O emissions</t>
  </si>
  <si>
    <t>2006 IPCC default value, vol. 4, ch. 10, tbl. 10.21</t>
  </si>
  <si>
    <t>2006 IPCC default value, vol. 4, ch. 10, tbl. 11.3</t>
  </si>
  <si>
    <t xml:space="preserve">i) Methane emissions from AWMS where gas is captured (PEAD, y): </t>
  </si>
  <si>
    <t>ii) Methane emissions from aerobic AWMS treatment (PEAer, y):</t>
  </si>
  <si>
    <t>iii) N2O emissions from manure management</t>
  </si>
  <si>
    <t>MS%j</t>
  </si>
  <si>
    <t xml:space="preserve">PROJECT EMISSION </t>
  </si>
  <si>
    <t xml:space="preserve">i) Estimation of N2O emissions: </t>
  </si>
  <si>
    <t>ii)Methane emissions from disposal of treated manure</t>
  </si>
  <si>
    <t>table 11.1, chapter 11, volume 4, 2006 IPCC</t>
  </si>
  <si>
    <t>2006 IPCC default value, vol. 4, ch. 10, tbl. 10A-7,8</t>
  </si>
  <si>
    <t>kg/animal-yr</t>
  </si>
  <si>
    <t>Calulated</t>
  </si>
  <si>
    <t>kg N/1000kg animal mass/day</t>
  </si>
  <si>
    <t>2006 IPCC guideline, volume 4, chapter 10, tbl. 10A-7</t>
  </si>
  <si>
    <t>Calculated</t>
  </si>
  <si>
    <t>days</t>
  </si>
  <si>
    <t>2006 IPCC Guidelines, volume 4, chapter 11, table 11.3</t>
  </si>
  <si>
    <t>2006 IPCC default value, vol. 4, ch. 10, tbl.10.22 (According to Chapter 8.2 in US-EPA (2001), "a covered lagoon will not lose NH3-N to the atmosphere")</t>
  </si>
  <si>
    <t>2006 IPCC default value, vol. 4, ch. 11, tbl.11.3 (According to Chapter 8.2 in US-EPA (2001), "a covered lagoon will not lose NH3-N to the atmosphere")</t>
    <phoneticPr fontId="0" type="noConversion"/>
  </si>
  <si>
    <t xml:space="preserve">                                      Value </t>
    <phoneticPr fontId="0" type="noConversion"/>
  </si>
  <si>
    <t>Unit</t>
    <phoneticPr fontId="0" type="noConversion"/>
  </si>
  <si>
    <t>Source</t>
    <phoneticPr fontId="0" type="noConversion"/>
  </si>
  <si>
    <t xml:space="preserve">Value </t>
    <phoneticPr fontId="0" type="noConversion"/>
  </si>
  <si>
    <t>Parameter</t>
    <phoneticPr fontId="0" type="noConversion"/>
  </si>
  <si>
    <t>Composting -In-Vessel</t>
    <phoneticPr fontId="0" type="noConversion"/>
  </si>
  <si>
    <t>2006 IPCC default value, vol. 4, ch. 10, tbl. 10.21 Anaerobic digester</t>
    <phoneticPr fontId="0" type="noConversion"/>
  </si>
  <si>
    <t xml:space="preserve">2006 IPCC default value, vol. 4, ch. 11, tbl.11.3 </t>
    <phoneticPr fontId="0" type="noConversion"/>
  </si>
  <si>
    <t>TAM</t>
  </si>
  <si>
    <t>2006 IPCC default value, vol. 4, ch. 10, tbl. 10.19</t>
    <phoneticPr fontId="0" type="noConversion"/>
  </si>
  <si>
    <t xml:space="preserve">2006 IPCC default value, vol. 4, ch. 10, tbl.10.22 </t>
    <phoneticPr fontId="0" type="noConversion"/>
  </si>
  <si>
    <t>kg N/animal/year</t>
    <phoneticPr fontId="0" type="noConversion"/>
  </si>
  <si>
    <t>No of heads</t>
    <phoneticPr fontId="0" type="noConversion"/>
  </si>
  <si>
    <t>Period</t>
  </si>
  <si>
    <t>total</t>
  </si>
  <si>
    <t>Title of the project activity</t>
  </si>
  <si>
    <t>Version number of this calculation sheet</t>
    <phoneticPr fontId="8" type="noConversion"/>
  </si>
  <si>
    <t>Date</t>
    <phoneticPr fontId="8" type="noConversion"/>
  </si>
  <si>
    <t>Duration of this monitoring period</t>
  </si>
  <si>
    <t>Market Swine</t>
    <phoneticPr fontId="0" type="noConversion"/>
  </si>
  <si>
    <t>Breeding Swine</t>
    <phoneticPr fontId="0" type="noConversion"/>
  </si>
  <si>
    <t>-</t>
    <phoneticPr fontId="0" type="noConversion"/>
  </si>
  <si>
    <t>kg N2O-N/kg NH3-N and NOX-N</t>
    <phoneticPr fontId="0" type="noConversion"/>
  </si>
  <si>
    <t>BASELINE EMISSIONS       BEy =</t>
    <phoneticPr fontId="0" type="noConversion"/>
  </si>
  <si>
    <t>kg-dm/ animal/year</t>
    <phoneticPr fontId="0" type="noConversion"/>
  </si>
  <si>
    <t>Page 12 of tool 14: Project and leakage emissions from anaerobic digesters</t>
    <phoneticPr fontId="0" type="noConversion"/>
  </si>
  <si>
    <t>2006 IPCC guideline, volume 4, chapter 10, tbl. 10A-7</t>
    <phoneticPr fontId="0" type="noConversion"/>
  </si>
  <si>
    <t>kg N2O-N/year</t>
    <phoneticPr fontId="0" type="noConversion"/>
  </si>
  <si>
    <t>Tt(k)</t>
    <phoneticPr fontId="8" type="noConversion"/>
  </si>
  <si>
    <t>MMi(kg/kmol)</t>
    <phoneticPr fontId="8" type="noConversion"/>
  </si>
  <si>
    <t>Ru(Pa.m3/kmol.K))</t>
    <phoneticPr fontId="8" type="noConversion"/>
  </si>
  <si>
    <t>t CH4</t>
    <phoneticPr fontId="0" type="noConversion"/>
  </si>
  <si>
    <t>Vf3(m3)</t>
    <phoneticPr fontId="8" type="noConversion"/>
  </si>
  <si>
    <t>tCO2e</t>
    <phoneticPr fontId="0" type="noConversion"/>
  </si>
  <si>
    <t>Breeding Swine</t>
    <phoneticPr fontId="8" type="noConversion"/>
  </si>
  <si>
    <t>average</t>
    <phoneticPr fontId="8" type="noConversion"/>
  </si>
  <si>
    <t>there was no Project emissions from flaring of biogas since all biogas was used for electricity generaion.</t>
    <phoneticPr fontId="0" type="noConversion"/>
  </si>
  <si>
    <t>Weight record table</t>
  </si>
  <si>
    <t>kg</t>
    <phoneticPr fontId="0" type="noConversion"/>
  </si>
  <si>
    <t>Calculated</t>
    <phoneticPr fontId="0" type="noConversion"/>
  </si>
  <si>
    <t>Fraction of manure handled in system j</t>
    <phoneticPr fontId="0" type="noConversion"/>
  </si>
  <si>
    <t>MWh</t>
    <phoneticPr fontId="0" type="noConversion"/>
  </si>
  <si>
    <t>calculated</t>
    <phoneticPr fontId="0" type="noConversion"/>
  </si>
  <si>
    <t>calcualted</t>
    <phoneticPr fontId="0" type="noConversion"/>
  </si>
  <si>
    <t>%</t>
    <phoneticPr fontId="0" type="noConversion"/>
  </si>
  <si>
    <t>LEy =</t>
    <phoneticPr fontId="0" type="noConversion"/>
  </si>
  <si>
    <t>1. Mean value and standard deviations for strata</t>
    <phoneticPr fontId="8" type="noConversion"/>
  </si>
  <si>
    <t xml:space="preserve"> </t>
  </si>
  <si>
    <t xml:space="preserve"> Population total</t>
    <phoneticPr fontId="8" type="noConversion"/>
  </si>
  <si>
    <t xml:space="preserve">(N)  </t>
    <phoneticPr fontId="8" type="noConversion"/>
  </si>
  <si>
    <t>2. The stratified estimated overall mean:</t>
    <phoneticPr fontId="8" type="noConversion"/>
  </si>
  <si>
    <t xml:space="preserve"> The stratified estimated overall mean  </t>
  </si>
  <si>
    <t xml:space="preserve"> N  </t>
  </si>
  <si>
    <t>3. The standard error of the stratified estimated overall mean:</t>
    <phoneticPr fontId="8" type="noConversion"/>
  </si>
  <si>
    <t xml:space="preserve"> Standard error of the stratified estimated overall mean</t>
    <phoneticPr fontId="8" type="noConversion"/>
  </si>
  <si>
    <t>4. t-value</t>
    <phoneticPr fontId="8" type="noConversion"/>
  </si>
  <si>
    <t>5. Precision</t>
    <phoneticPr fontId="8" type="noConversion"/>
  </si>
  <si>
    <t xml:space="preserve">Precision   </t>
    <phoneticPr fontId="8" type="noConversion"/>
  </si>
  <si>
    <t>6. Calculation results</t>
    <phoneticPr fontId="8" type="noConversion"/>
  </si>
  <si>
    <t>t-value</t>
    <phoneticPr fontId="8" type="noConversion"/>
  </si>
  <si>
    <t>Relative Precision</t>
    <phoneticPr fontId="8" type="noConversion"/>
  </si>
  <si>
    <t>IPCC AR5</t>
  </si>
  <si>
    <t>kgN/animal/yr</t>
    <phoneticPr fontId="0" type="noConversion"/>
  </si>
  <si>
    <t>No fossil fuel comsumed during this MP, therefore,Project emissions from fossil fuel consumption associated with the anaerobic digester is not be taken into account</t>
    <phoneticPr fontId="0" type="noConversion"/>
  </si>
  <si>
    <t>IPCC AR5</t>
    <phoneticPr fontId="0" type="noConversion"/>
  </si>
  <si>
    <t>KgN-N2O-N/kg NH3-N+NOX-N</t>
    <phoneticPr fontId="0" type="noConversion"/>
  </si>
  <si>
    <t>kg/animal/yr</t>
    <phoneticPr fontId="0" type="noConversion"/>
  </si>
  <si>
    <t>Most of the electricity consumed by the project came from the electricity generated by the biogas generated from the anaerobic fermentation process of the project, which is belongs to self-generated and self-consumed.  The electricity consumption of AWMSs were sourced from the grid company when the biogas generators were not operation.</t>
    <phoneticPr fontId="8" type="noConversion"/>
  </si>
  <si>
    <t>VCS ID of the project activity</t>
    <phoneticPr fontId="8" type="noConversion"/>
  </si>
  <si>
    <t>2006 IPCC guideline, volume 4, chapter 10, Tbl. 10.17</t>
    <phoneticPr fontId="0" type="noConversion"/>
  </si>
  <si>
    <t>Note</t>
    <phoneticPr fontId="8" type="noConversion"/>
  </si>
  <si>
    <t>monthly electricity consumption from grid company</t>
    <phoneticPr fontId="8" type="noConversion"/>
  </si>
  <si>
    <t>Time</t>
    <phoneticPr fontId="8" type="noConversion"/>
  </si>
  <si>
    <t>Total</t>
    <phoneticPr fontId="8" type="noConversion"/>
  </si>
  <si>
    <t>time</t>
    <phoneticPr fontId="9" type="noConversion"/>
  </si>
  <si>
    <t>Tool 05:Baseline, project and/or leakage emissions from electricity consumption and monitoring of electricity generation (version 03.0)</t>
    <phoneticPr fontId="0" type="noConversion"/>
  </si>
  <si>
    <t>Shuangbaotai AWMS GHG Mitigation Project in Jiangsu Province</t>
  </si>
  <si>
    <t>VCS 2706</t>
    <phoneticPr fontId="8" type="noConversion"/>
  </si>
  <si>
    <t>Monthly Statistics of the average animal weight of a defined livestock population at the project site (Wsite)</t>
    <phoneticPr fontId="14" type="noConversion"/>
  </si>
  <si>
    <t>Market swine</t>
    <phoneticPr fontId="16" type="noConversion"/>
  </si>
  <si>
    <t>Breeding swine</t>
    <phoneticPr fontId="16" type="noConversion"/>
  </si>
  <si>
    <t>NO.</t>
    <phoneticPr fontId="17" type="noConversion"/>
  </si>
  <si>
    <t>Nursery phase 0-60</t>
    <phoneticPr fontId="18" type="noConversion"/>
  </si>
  <si>
    <t xml:space="preserve">Growing phase 60-130days </t>
    <phoneticPr fontId="18" type="noConversion"/>
  </si>
  <si>
    <t>Mature phase 130-180days</t>
    <phoneticPr fontId="18" type="noConversion"/>
  </si>
  <si>
    <t>Nursery phase  30-70days</t>
    <phoneticPr fontId="18" type="noConversion"/>
  </si>
  <si>
    <t xml:space="preserve">Growing phase  70-220days </t>
    <phoneticPr fontId="18" type="noConversion"/>
  </si>
  <si>
    <t>Mature phase  220-310days</t>
    <phoneticPr fontId="18" type="noConversion"/>
  </si>
  <si>
    <t>Swine Farm</t>
    <phoneticPr fontId="17" type="noConversion"/>
  </si>
  <si>
    <t>Wsite-Arithmetic mean</t>
    <phoneticPr fontId="17" type="noConversion"/>
  </si>
  <si>
    <t>NLT</t>
    <phoneticPr fontId="17" type="noConversion"/>
  </si>
  <si>
    <t>Wsite-Arithmetic mean*NLT</t>
    <phoneticPr fontId="17" type="noConversion"/>
  </si>
  <si>
    <t>Market</t>
    <phoneticPr fontId="17" type="noConversion"/>
  </si>
  <si>
    <t>Breeding</t>
    <phoneticPr fontId="17" type="noConversion"/>
  </si>
  <si>
    <t>total</t>
    <phoneticPr fontId="17" type="noConversion"/>
  </si>
  <si>
    <t>Wsite-Weighted average</t>
    <phoneticPr fontId="17" type="noConversion"/>
  </si>
  <si>
    <t>Siyang Aiyuan Farm</t>
    <phoneticPr fontId="9" type="noConversion"/>
  </si>
  <si>
    <t>Dongtai Jianggang Farm</t>
    <phoneticPr fontId="9" type="noConversion"/>
  </si>
  <si>
    <t>Sheyang Linhai Farm</t>
    <phoneticPr fontId="9" type="noConversion"/>
  </si>
  <si>
    <t>Siyang Nanliuji</t>
    <phoneticPr fontId="9" type="noConversion"/>
  </si>
  <si>
    <t>t-value is depends on:
(i) the level of confidence, and
(ii) the size of the sample. 
The t-value associated with 95% confidence and the sample size of 436 is 1.9652 as derived in Microsoft Excel using the TINV
function</t>
    <phoneticPr fontId="8" type="noConversion"/>
  </si>
  <si>
    <r>
      <t>GWP</t>
    </r>
    <r>
      <rPr>
        <i/>
        <vertAlign val="subscript"/>
        <sz val="10"/>
        <color indexed="8"/>
        <rFont val="Franklin Gothic Book"/>
        <family val="2"/>
      </rPr>
      <t>CH4</t>
    </r>
  </si>
  <si>
    <r>
      <t>tCO2/tCH</t>
    </r>
    <r>
      <rPr>
        <vertAlign val="subscript"/>
        <sz val="10"/>
        <color indexed="8"/>
        <rFont val="Franklin Gothic Book"/>
        <family val="2"/>
      </rPr>
      <t>4</t>
    </r>
    <phoneticPr fontId="0" type="noConversion"/>
  </si>
  <si>
    <r>
      <t>D</t>
    </r>
    <r>
      <rPr>
        <i/>
        <vertAlign val="subscript"/>
        <sz val="10"/>
        <color indexed="8"/>
        <rFont val="Franklin Gothic Book"/>
        <family val="2"/>
      </rPr>
      <t>CH4</t>
    </r>
  </si>
  <si>
    <r>
      <t>t/m</t>
    </r>
    <r>
      <rPr>
        <vertAlign val="superscript"/>
        <sz val="10"/>
        <color indexed="8"/>
        <rFont val="Franklin Gothic Book"/>
        <family val="2"/>
      </rPr>
      <t>3</t>
    </r>
    <phoneticPr fontId="0" type="noConversion"/>
  </si>
  <si>
    <r>
      <t>MCF</t>
    </r>
    <r>
      <rPr>
        <vertAlign val="subscript"/>
        <sz val="10"/>
        <color indexed="8"/>
        <rFont val="Franklin Gothic Book"/>
        <family val="2"/>
      </rPr>
      <t>j</t>
    </r>
    <phoneticPr fontId="0" type="noConversion"/>
  </si>
  <si>
    <r>
      <t>B</t>
    </r>
    <r>
      <rPr>
        <i/>
        <vertAlign val="subscript"/>
        <sz val="8"/>
        <color indexed="8"/>
        <rFont val="Franklin Gothic Book"/>
        <family val="2"/>
      </rPr>
      <t>o,LT</t>
    </r>
    <phoneticPr fontId="0" type="noConversion"/>
  </si>
  <si>
    <r>
      <t>m</t>
    </r>
    <r>
      <rPr>
        <vertAlign val="superscript"/>
        <sz val="10"/>
        <color indexed="8"/>
        <rFont val="Franklin Gothic Book"/>
        <family val="2"/>
      </rPr>
      <t>3</t>
    </r>
    <r>
      <rPr>
        <sz val="10"/>
        <color indexed="8"/>
        <rFont val="Franklin Gothic Book"/>
        <family val="2"/>
      </rPr>
      <t xml:space="preserve"> CH</t>
    </r>
    <r>
      <rPr>
        <vertAlign val="subscript"/>
        <sz val="10"/>
        <color indexed="8"/>
        <rFont val="Franklin Gothic Book"/>
        <family val="2"/>
      </rPr>
      <t>4</t>
    </r>
    <r>
      <rPr>
        <sz val="10"/>
        <color indexed="8"/>
        <rFont val="Franklin Gothic Book"/>
        <family val="2"/>
      </rPr>
      <t xml:space="preserve"> /kg_dm</t>
    </r>
    <phoneticPr fontId="0" type="noConversion"/>
  </si>
  <si>
    <r>
      <t>N</t>
    </r>
    <r>
      <rPr>
        <vertAlign val="subscript"/>
        <sz val="8"/>
        <color indexed="8"/>
        <rFont val="Franklin Gothic Book"/>
        <family val="2"/>
      </rPr>
      <t>LT</t>
    </r>
    <phoneticPr fontId="0" type="noConversion"/>
  </si>
  <si>
    <r>
      <t>W</t>
    </r>
    <r>
      <rPr>
        <i/>
        <vertAlign val="subscript"/>
        <sz val="8"/>
        <rFont val="Franklin Gothic Book"/>
        <family val="2"/>
      </rPr>
      <t>site</t>
    </r>
    <phoneticPr fontId="0" type="noConversion"/>
  </si>
  <si>
    <r>
      <t>W</t>
    </r>
    <r>
      <rPr>
        <vertAlign val="subscript"/>
        <sz val="10"/>
        <color indexed="8"/>
        <rFont val="Franklin Gothic Book"/>
        <family val="2"/>
      </rPr>
      <t>default</t>
    </r>
    <phoneticPr fontId="0" type="noConversion"/>
  </si>
  <si>
    <r>
      <t>VS</t>
    </r>
    <r>
      <rPr>
        <sz val="8"/>
        <color indexed="8"/>
        <rFont val="Franklin Gothic Book"/>
        <family val="2"/>
      </rPr>
      <t>default</t>
    </r>
  </si>
  <si>
    <r>
      <t>VS</t>
    </r>
    <r>
      <rPr>
        <vertAlign val="subscript"/>
        <sz val="8"/>
        <color indexed="8"/>
        <rFont val="Franklin Gothic Book"/>
        <family val="2"/>
      </rPr>
      <t>LT,y</t>
    </r>
    <phoneticPr fontId="0" type="noConversion"/>
  </si>
  <si>
    <r>
      <t>MS%</t>
    </r>
    <r>
      <rPr>
        <vertAlign val="subscript"/>
        <sz val="8"/>
        <color indexed="8"/>
        <rFont val="Franklin Gothic Book"/>
        <family val="2"/>
      </rPr>
      <t>Bl,j</t>
    </r>
    <phoneticPr fontId="0" type="noConversion"/>
  </si>
  <si>
    <r>
      <t>n</t>
    </r>
    <r>
      <rPr>
        <vertAlign val="subscript"/>
        <sz val="10"/>
        <color indexed="8"/>
        <rFont val="Franklin Gothic Book"/>
        <family val="2"/>
      </rPr>
      <t>dy</t>
    </r>
    <phoneticPr fontId="0" type="noConversion"/>
  </si>
  <si>
    <r>
      <t>BE</t>
    </r>
    <r>
      <rPr>
        <vertAlign val="subscript"/>
        <sz val="10"/>
        <color indexed="8"/>
        <rFont val="Franklin Gothic Book"/>
        <family val="2"/>
      </rPr>
      <t xml:space="preserve">CH4,y </t>
    </r>
    <r>
      <rPr>
        <sz val="10"/>
        <color indexed="8"/>
        <rFont val="Franklin Gothic Book"/>
        <family val="2"/>
      </rPr>
      <t>-monthly</t>
    </r>
    <phoneticPr fontId="0" type="noConversion"/>
  </si>
  <si>
    <r>
      <t>tCO</t>
    </r>
    <r>
      <rPr>
        <vertAlign val="subscript"/>
        <sz val="10"/>
        <color indexed="8"/>
        <rFont val="Franklin Gothic Book"/>
        <family val="2"/>
      </rPr>
      <t>2</t>
    </r>
    <r>
      <rPr>
        <sz val="10"/>
        <color indexed="8"/>
        <rFont val="Franklin Gothic Book"/>
        <family val="2"/>
      </rPr>
      <t>e</t>
    </r>
    <phoneticPr fontId="0" type="noConversion"/>
  </si>
  <si>
    <r>
      <t>BE</t>
    </r>
    <r>
      <rPr>
        <vertAlign val="subscript"/>
        <sz val="10"/>
        <color indexed="8"/>
        <rFont val="Franklin Gothic Book"/>
        <family val="2"/>
      </rPr>
      <t>CH4,y</t>
    </r>
    <r>
      <rPr>
        <sz val="10"/>
        <color indexed="8"/>
        <rFont val="Franklin Gothic Book"/>
        <family val="2"/>
      </rPr>
      <t xml:space="preserve"> in this monitoring period</t>
    </r>
    <phoneticPr fontId="0" type="noConversion"/>
  </si>
  <si>
    <r>
      <t>GWP</t>
    </r>
    <r>
      <rPr>
        <i/>
        <vertAlign val="subscript"/>
        <sz val="10"/>
        <color indexed="8"/>
        <rFont val="Franklin Gothic Book"/>
        <family val="2"/>
      </rPr>
      <t>CH4</t>
    </r>
    <phoneticPr fontId="0" type="noConversion"/>
  </si>
  <si>
    <r>
      <t>tCO</t>
    </r>
    <r>
      <rPr>
        <vertAlign val="subscript"/>
        <sz val="10"/>
        <rFont val="Franklin Gothic Book"/>
        <family val="2"/>
      </rPr>
      <t>2</t>
    </r>
    <r>
      <rPr>
        <sz val="10"/>
        <rFont val="Franklin Gothic Book"/>
        <family val="2"/>
      </rPr>
      <t>/tCH</t>
    </r>
    <r>
      <rPr>
        <vertAlign val="subscript"/>
        <sz val="10"/>
        <rFont val="Franklin Gothic Book"/>
        <family val="2"/>
      </rPr>
      <t>4</t>
    </r>
    <phoneticPr fontId="0" type="noConversion"/>
  </si>
  <si>
    <r>
      <t>EF</t>
    </r>
    <r>
      <rPr>
        <i/>
        <vertAlign val="subscript"/>
        <sz val="10"/>
        <color indexed="8"/>
        <rFont val="Franklin Gothic Book"/>
        <family val="2"/>
      </rPr>
      <t>CH4,default</t>
    </r>
    <phoneticPr fontId="0" type="noConversion"/>
  </si>
  <si>
    <r>
      <t>tCH</t>
    </r>
    <r>
      <rPr>
        <vertAlign val="subscript"/>
        <sz val="10"/>
        <rFont val="Franklin Gothic Book"/>
        <family val="2"/>
      </rPr>
      <t>4</t>
    </r>
    <r>
      <rPr>
        <sz val="10"/>
        <rFont val="Franklin Gothic Book"/>
        <family val="2"/>
      </rPr>
      <t xml:space="preserve"> leaked / tCH</t>
    </r>
    <r>
      <rPr>
        <vertAlign val="subscript"/>
        <sz val="10"/>
        <rFont val="Franklin Gothic Book"/>
        <family val="2"/>
      </rPr>
      <t>4</t>
    </r>
    <r>
      <rPr>
        <sz val="10"/>
        <rFont val="Franklin Gothic Book"/>
        <family val="2"/>
      </rPr>
      <t xml:space="preserve"> produced</t>
    </r>
    <phoneticPr fontId="0" type="noConversion"/>
  </si>
  <si>
    <r>
      <t>Q</t>
    </r>
    <r>
      <rPr>
        <vertAlign val="subscript"/>
        <sz val="10"/>
        <rFont val="Franklin Gothic Book"/>
        <family val="2"/>
      </rPr>
      <t>CH4,y</t>
    </r>
    <phoneticPr fontId="0" type="noConversion"/>
  </si>
  <si>
    <r>
      <t>PE</t>
    </r>
    <r>
      <rPr>
        <b/>
        <vertAlign val="subscript"/>
        <sz val="10"/>
        <rFont val="Franklin Gothic Book"/>
        <family val="2"/>
      </rPr>
      <t>CH4,y</t>
    </r>
    <r>
      <rPr>
        <b/>
        <sz val="10"/>
        <rFont val="Franklin Gothic Book"/>
        <family val="2"/>
      </rPr>
      <t>-monthly</t>
    </r>
    <phoneticPr fontId="0" type="noConversion"/>
  </si>
  <si>
    <r>
      <t>tCO</t>
    </r>
    <r>
      <rPr>
        <vertAlign val="subscript"/>
        <sz val="10"/>
        <rFont val="Franklin Gothic Book"/>
        <family val="2"/>
      </rPr>
      <t>2</t>
    </r>
    <r>
      <rPr>
        <sz val="10"/>
        <rFont val="Franklin Gothic Book"/>
        <family val="2"/>
      </rPr>
      <t>e</t>
    </r>
    <phoneticPr fontId="0" type="noConversion"/>
  </si>
  <si>
    <r>
      <t>PE</t>
    </r>
    <r>
      <rPr>
        <b/>
        <vertAlign val="subscript"/>
        <sz val="10"/>
        <color indexed="8"/>
        <rFont val="Franklin Gothic Book"/>
        <family val="2"/>
      </rPr>
      <t>CH4,y</t>
    </r>
    <r>
      <rPr>
        <b/>
        <sz val="10"/>
        <color indexed="8"/>
        <rFont val="Franklin Gothic Book"/>
        <family val="2"/>
      </rPr>
      <t xml:space="preserve"> in this monitoring period</t>
    </r>
    <phoneticPr fontId="0" type="noConversion"/>
  </si>
  <si>
    <r>
      <t>PE</t>
    </r>
    <r>
      <rPr>
        <b/>
        <vertAlign val="subscript"/>
        <sz val="10"/>
        <rFont val="Franklin Gothic Book"/>
        <family val="2"/>
      </rPr>
      <t>flare,y</t>
    </r>
    <phoneticPr fontId="0" type="noConversion"/>
  </si>
  <si>
    <r>
      <t>PE</t>
    </r>
    <r>
      <rPr>
        <b/>
        <vertAlign val="subscript"/>
        <sz val="10"/>
        <rFont val="Franklin Gothic Book"/>
        <family val="2"/>
      </rPr>
      <t>AD,y</t>
    </r>
    <phoneticPr fontId="0" type="noConversion"/>
  </si>
  <si>
    <r>
      <t>GWP</t>
    </r>
    <r>
      <rPr>
        <sz val="8"/>
        <rFont val="Franklin Gothic Book"/>
        <family val="2"/>
      </rPr>
      <t>CH4</t>
    </r>
  </si>
  <si>
    <r>
      <t>D</t>
    </r>
    <r>
      <rPr>
        <sz val="8"/>
        <rFont val="Franklin Gothic Book"/>
        <family val="2"/>
      </rPr>
      <t>CH4</t>
    </r>
  </si>
  <si>
    <r>
      <t>VS</t>
    </r>
    <r>
      <rPr>
        <sz val="8"/>
        <rFont val="Franklin Gothic Book"/>
        <family val="2"/>
      </rPr>
      <t>LT,y</t>
    </r>
  </si>
  <si>
    <r>
      <t>N</t>
    </r>
    <r>
      <rPr>
        <sz val="8"/>
        <rFont val="Franklin Gothic Book"/>
        <family val="2"/>
      </rPr>
      <t>LT</t>
    </r>
  </si>
  <si>
    <r>
      <t>tCO</t>
    </r>
    <r>
      <rPr>
        <vertAlign val="subscript"/>
        <sz val="10"/>
        <rFont val="Franklin Gothic Book"/>
        <family val="2"/>
      </rPr>
      <t>2</t>
    </r>
    <r>
      <rPr>
        <sz val="10"/>
        <rFont val="Franklin Gothic Book"/>
        <family val="2"/>
      </rPr>
      <t>/t CH</t>
    </r>
    <r>
      <rPr>
        <vertAlign val="subscript"/>
        <sz val="10"/>
        <rFont val="Franklin Gothic Book"/>
        <family val="2"/>
      </rPr>
      <t>4</t>
    </r>
    <phoneticPr fontId="0" type="noConversion"/>
  </si>
  <si>
    <r>
      <t>B</t>
    </r>
    <r>
      <rPr>
        <vertAlign val="subscript"/>
        <sz val="10"/>
        <rFont val="Franklin Gothic Book"/>
        <family val="2"/>
      </rPr>
      <t>0</t>
    </r>
    <r>
      <rPr>
        <sz val="10"/>
        <rFont val="Arial"/>
        <family val="2"/>
      </rPr>
      <t/>
    </r>
  </si>
  <si>
    <r>
      <t>R</t>
    </r>
    <r>
      <rPr>
        <vertAlign val="subscript"/>
        <sz val="10"/>
        <rFont val="Franklin Gothic Book"/>
        <family val="2"/>
      </rPr>
      <t xml:space="preserve">VS </t>
    </r>
    <phoneticPr fontId="0" type="noConversion"/>
  </si>
  <si>
    <r>
      <t>LE</t>
    </r>
    <r>
      <rPr>
        <b/>
        <vertAlign val="subscript"/>
        <sz val="10"/>
        <rFont val="Franklin Gothic Book"/>
        <family val="2"/>
      </rPr>
      <t>BL,CH4,y</t>
    </r>
    <r>
      <rPr>
        <b/>
        <sz val="10"/>
        <rFont val="Franklin Gothic Book"/>
        <family val="2"/>
      </rPr>
      <t>-month</t>
    </r>
    <phoneticPr fontId="0" type="noConversion"/>
  </si>
  <si>
    <r>
      <t>LE</t>
    </r>
    <r>
      <rPr>
        <b/>
        <vertAlign val="subscript"/>
        <sz val="10"/>
        <rFont val="Franklin Gothic Book"/>
        <family val="2"/>
      </rPr>
      <t>BL,CH4,y</t>
    </r>
    <r>
      <rPr>
        <b/>
        <sz val="10"/>
        <rFont val="Franklin Gothic Book"/>
        <family val="2"/>
      </rPr>
      <t xml:space="preserve"> in thia monitoring period</t>
    </r>
    <phoneticPr fontId="0" type="noConversion"/>
  </si>
  <si>
    <r>
      <t>Baseline Emission (tCO</t>
    </r>
    <r>
      <rPr>
        <b/>
        <vertAlign val="subscript"/>
        <sz val="12"/>
        <rFont val="Franklin Gothic Book"/>
        <family val="2"/>
      </rPr>
      <t>2</t>
    </r>
    <r>
      <rPr>
        <b/>
        <sz val="12"/>
        <rFont val="Franklin Gothic Book"/>
        <family val="2"/>
      </rPr>
      <t>e)</t>
    </r>
    <phoneticPr fontId="8" type="noConversion"/>
  </si>
  <si>
    <r>
      <t>Project Emisson (tCO</t>
    </r>
    <r>
      <rPr>
        <b/>
        <vertAlign val="subscript"/>
        <sz val="12"/>
        <rFont val="Franklin Gothic Book"/>
        <family val="2"/>
      </rPr>
      <t>2</t>
    </r>
    <r>
      <rPr>
        <b/>
        <sz val="12"/>
        <rFont val="Franklin Gothic Book"/>
        <family val="2"/>
      </rPr>
      <t>e)</t>
    </r>
    <phoneticPr fontId="8" type="noConversion"/>
  </si>
  <si>
    <r>
      <t>Leakage Emisson (tCO</t>
    </r>
    <r>
      <rPr>
        <b/>
        <vertAlign val="subscript"/>
        <sz val="12"/>
        <rFont val="Franklin Gothic Book"/>
        <family val="2"/>
      </rPr>
      <t>2</t>
    </r>
    <r>
      <rPr>
        <b/>
        <sz val="12"/>
        <rFont val="Franklin Gothic Book"/>
        <family val="2"/>
      </rPr>
      <t>e)</t>
    </r>
    <phoneticPr fontId="8" type="noConversion"/>
  </si>
  <si>
    <r>
      <t>Emission Reductions(tCO</t>
    </r>
    <r>
      <rPr>
        <b/>
        <vertAlign val="subscript"/>
        <sz val="12"/>
        <rFont val="Franklin Gothic Book"/>
        <family val="2"/>
      </rPr>
      <t>2</t>
    </r>
    <r>
      <rPr>
        <b/>
        <sz val="12"/>
        <rFont val="Franklin Gothic Book"/>
        <family val="2"/>
      </rPr>
      <t>e)</t>
    </r>
    <phoneticPr fontId="8" type="noConversion"/>
  </si>
  <si>
    <r>
      <t>N</t>
    </r>
    <r>
      <rPr>
        <vertAlign val="subscript"/>
        <sz val="10"/>
        <rFont val="Franklin Gothic Book"/>
        <family val="2"/>
      </rPr>
      <t>LT</t>
    </r>
    <phoneticPr fontId="8" type="noConversion"/>
  </si>
  <si>
    <r>
      <t>w</t>
    </r>
    <r>
      <rPr>
        <vertAlign val="subscript"/>
        <sz val="10"/>
        <rFont val="Franklin Gothic Book"/>
        <family val="2"/>
      </rPr>
      <t>site</t>
    </r>
    <phoneticPr fontId="8" type="noConversion"/>
  </si>
  <si>
    <r>
      <t>EC</t>
    </r>
    <r>
      <rPr>
        <vertAlign val="subscript"/>
        <sz val="10"/>
        <rFont val="Franklin Gothic Book"/>
        <family val="2"/>
      </rPr>
      <t>PJ,y</t>
    </r>
    <r>
      <rPr>
        <sz val="10"/>
        <rFont val="Franklin Gothic Book"/>
        <family val="2"/>
      </rPr>
      <t>(MWh)-grid company</t>
    </r>
    <phoneticPr fontId="8" type="noConversion"/>
  </si>
  <si>
    <r>
      <t>Vf1(m</t>
    </r>
    <r>
      <rPr>
        <vertAlign val="superscript"/>
        <sz val="10"/>
        <rFont val="Franklin Gothic Book"/>
        <family val="2"/>
      </rPr>
      <t>3</t>
    </r>
    <r>
      <rPr>
        <sz val="10"/>
        <rFont val="Franklin Gothic Book"/>
        <family val="2"/>
      </rPr>
      <t>)</t>
    </r>
    <phoneticPr fontId="8" type="noConversion"/>
  </si>
  <si>
    <r>
      <t>Vf2(m</t>
    </r>
    <r>
      <rPr>
        <vertAlign val="superscript"/>
        <sz val="10"/>
        <rFont val="Franklin Gothic Book"/>
        <family val="2"/>
      </rPr>
      <t>3</t>
    </r>
    <r>
      <rPr>
        <sz val="10"/>
        <rFont val="Franklin Gothic Book"/>
        <family val="2"/>
      </rPr>
      <t>)</t>
    </r>
    <phoneticPr fontId="8" type="noConversion"/>
  </si>
  <si>
    <r>
      <t>T</t>
    </r>
    <r>
      <rPr>
        <vertAlign val="subscript"/>
        <sz val="10"/>
        <rFont val="Franklin Gothic Book"/>
        <family val="2"/>
      </rPr>
      <t>t</t>
    </r>
    <r>
      <rPr>
        <sz val="10"/>
        <rFont val="Franklin Gothic Book"/>
        <family val="2"/>
      </rPr>
      <t>(°C)</t>
    </r>
    <phoneticPr fontId="8" type="noConversion"/>
  </si>
  <si>
    <r>
      <t>P</t>
    </r>
    <r>
      <rPr>
        <vertAlign val="subscript"/>
        <sz val="10"/>
        <rFont val="Franklin Gothic Book"/>
        <family val="2"/>
      </rPr>
      <t>t</t>
    </r>
    <r>
      <rPr>
        <sz val="10"/>
        <rFont val="Franklin Gothic Book"/>
        <family val="2"/>
      </rPr>
      <t>(pa)</t>
    </r>
    <phoneticPr fontId="8" type="noConversion"/>
  </si>
  <si>
    <r>
      <t>ρ</t>
    </r>
    <r>
      <rPr>
        <vertAlign val="subscript"/>
        <sz val="10"/>
        <rFont val="Franklin Gothic Book"/>
        <family val="2"/>
      </rPr>
      <t>i,n</t>
    </r>
    <r>
      <rPr>
        <sz val="10"/>
        <rFont val="Franklin Gothic Book"/>
        <family val="2"/>
      </rPr>
      <t>(t/m3)</t>
    </r>
    <phoneticPr fontId="8" type="noConversion"/>
  </si>
  <si>
    <r>
      <t>V</t>
    </r>
    <r>
      <rPr>
        <vertAlign val="subscript"/>
        <sz val="10"/>
        <rFont val="Franklin Gothic Book"/>
        <family val="2"/>
      </rPr>
      <t>i,t,db</t>
    </r>
    <r>
      <rPr>
        <sz val="10"/>
        <rFont val="Franklin Gothic Book"/>
        <family val="2"/>
      </rPr>
      <t>(%)</t>
    </r>
    <phoneticPr fontId="8" type="noConversion"/>
  </si>
  <si>
    <r>
      <t>V</t>
    </r>
    <r>
      <rPr>
        <vertAlign val="subscript"/>
        <sz val="10"/>
        <rFont val="Franklin Gothic Book"/>
        <family val="2"/>
      </rPr>
      <t>t,db</t>
    </r>
    <r>
      <rPr>
        <sz val="10"/>
        <rFont val="Franklin Gothic Book"/>
        <family val="2"/>
      </rPr>
      <t>(m</t>
    </r>
    <r>
      <rPr>
        <vertAlign val="superscript"/>
        <sz val="10"/>
        <rFont val="Franklin Gothic Book"/>
        <family val="2"/>
      </rPr>
      <t>3</t>
    </r>
    <r>
      <rPr>
        <sz val="10"/>
        <rFont val="Franklin Gothic Book"/>
        <family val="2"/>
      </rPr>
      <t>/month)</t>
    </r>
    <phoneticPr fontId="8" type="noConversion"/>
  </si>
  <si>
    <r>
      <t>Fi,t(t CH</t>
    </r>
    <r>
      <rPr>
        <vertAlign val="subscript"/>
        <sz val="10"/>
        <rFont val="Franklin Gothic Book"/>
        <family val="2"/>
      </rPr>
      <t>4</t>
    </r>
    <r>
      <rPr>
        <sz val="10"/>
        <rFont val="Franklin Gothic Book"/>
        <family val="2"/>
      </rPr>
      <t>/month)</t>
    </r>
    <phoneticPr fontId="8" type="noConversion"/>
  </si>
  <si>
    <r>
      <t xml:space="preserve"> </t>
    </r>
    <r>
      <rPr>
        <b/>
        <sz val="12"/>
        <color indexed="8"/>
        <rFont val="Franklin Gothic Book"/>
        <family val="2"/>
      </rPr>
      <t>m</t>
    </r>
    <r>
      <rPr>
        <b/>
        <vertAlign val="subscript"/>
        <sz val="12"/>
        <color indexed="8"/>
        <rFont val="Franklin Gothic Book"/>
        <family val="2"/>
      </rPr>
      <t>Strat</t>
    </r>
    <phoneticPr fontId="8" type="noConversion"/>
  </si>
  <si>
    <r>
      <t>s.e. (m</t>
    </r>
    <r>
      <rPr>
        <b/>
        <vertAlign val="subscript"/>
        <sz val="12"/>
        <rFont val="Franklin Gothic Book"/>
        <family val="2"/>
      </rPr>
      <t>Strat</t>
    </r>
    <r>
      <rPr>
        <b/>
        <sz val="12"/>
        <rFont val="Franklin Gothic Book"/>
        <family val="2"/>
      </rPr>
      <t>)</t>
    </r>
    <phoneticPr fontId="8" type="noConversion"/>
  </si>
  <si>
    <r>
      <t>m</t>
    </r>
    <r>
      <rPr>
        <vertAlign val="subscript"/>
        <sz val="11"/>
        <rFont val="Franklin Gothic Book"/>
        <family val="2"/>
      </rPr>
      <t>i</t>
    </r>
    <phoneticPr fontId="8" type="noConversion"/>
  </si>
  <si>
    <r>
      <t xml:space="preserve"> </t>
    </r>
    <r>
      <rPr>
        <sz val="10.5"/>
        <color indexed="8"/>
        <rFont val="Franklin Gothic Book"/>
        <family val="2"/>
      </rPr>
      <t>SD</t>
    </r>
    <r>
      <rPr>
        <vertAlign val="subscript"/>
        <sz val="10.5"/>
        <color indexed="8"/>
        <rFont val="Franklin Gothic Book"/>
        <family val="2"/>
      </rPr>
      <t>i</t>
    </r>
    <phoneticPr fontId="8" type="noConversion"/>
  </si>
  <si>
    <r>
      <t>n</t>
    </r>
    <r>
      <rPr>
        <vertAlign val="subscript"/>
        <sz val="11"/>
        <rFont val="Franklin Gothic Book"/>
        <family val="2"/>
      </rPr>
      <t>i</t>
    </r>
    <phoneticPr fontId="8" type="noConversion"/>
  </si>
  <si>
    <r>
      <t>g</t>
    </r>
    <r>
      <rPr>
        <vertAlign val="subscript"/>
        <sz val="11"/>
        <rFont val="Franklin Gothic Book"/>
        <family val="2"/>
      </rPr>
      <t>i</t>
    </r>
    <phoneticPr fontId="8" type="noConversion"/>
  </si>
  <si>
    <r>
      <t>g</t>
    </r>
    <r>
      <rPr>
        <vertAlign val="subscript"/>
        <sz val="11"/>
        <rFont val="Franklin Gothic Book"/>
        <family val="2"/>
      </rPr>
      <t>i</t>
    </r>
    <r>
      <rPr>
        <sz val="11"/>
        <rFont val="Franklin Gothic Book"/>
        <family val="2"/>
      </rPr>
      <t>/N</t>
    </r>
    <phoneticPr fontId="8" type="noConversion"/>
  </si>
  <si>
    <r>
      <t>g</t>
    </r>
    <r>
      <rPr>
        <vertAlign val="subscript"/>
        <sz val="11"/>
        <rFont val="Franklin Gothic Book"/>
        <family val="2"/>
      </rPr>
      <t>i</t>
    </r>
    <r>
      <rPr>
        <sz val="11"/>
        <rFont val="Franklin Gothic Book"/>
        <family val="2"/>
      </rPr>
      <t>*m</t>
    </r>
    <r>
      <rPr>
        <vertAlign val="subscript"/>
        <sz val="11"/>
        <rFont val="Franklin Gothic Book"/>
        <family val="2"/>
      </rPr>
      <t>i</t>
    </r>
    <r>
      <rPr>
        <sz val="11"/>
        <rFont val="Franklin Gothic Book"/>
        <family val="2"/>
      </rPr>
      <t>/N</t>
    </r>
    <phoneticPr fontId="8" type="noConversion"/>
  </si>
  <si>
    <r>
      <t>1-(n</t>
    </r>
    <r>
      <rPr>
        <vertAlign val="subscript"/>
        <sz val="11"/>
        <rFont val="Franklin Gothic Book"/>
        <family val="2"/>
      </rPr>
      <t>i</t>
    </r>
    <r>
      <rPr>
        <sz val="11"/>
        <rFont val="Franklin Gothic Book"/>
        <family val="2"/>
      </rPr>
      <t>/g</t>
    </r>
    <r>
      <rPr>
        <vertAlign val="subscript"/>
        <sz val="11"/>
        <rFont val="Franklin Gothic Book"/>
        <family val="2"/>
      </rPr>
      <t>i</t>
    </r>
    <r>
      <rPr>
        <sz val="11"/>
        <rFont val="Franklin Gothic Book"/>
        <family val="2"/>
      </rPr>
      <t>)</t>
    </r>
    <phoneticPr fontId="8" type="noConversion"/>
  </si>
  <si>
    <r>
      <t>SD</t>
    </r>
    <r>
      <rPr>
        <vertAlign val="subscript"/>
        <sz val="11"/>
        <rFont val="Franklin Gothic Book"/>
        <family val="2"/>
      </rPr>
      <t>i</t>
    </r>
    <r>
      <rPr>
        <vertAlign val="superscript"/>
        <sz val="11"/>
        <rFont val="Franklin Gothic Book"/>
        <family val="2"/>
      </rPr>
      <t>2</t>
    </r>
    <r>
      <rPr>
        <sz val="11"/>
        <rFont val="Franklin Gothic Book"/>
        <family val="2"/>
      </rPr>
      <t>/n</t>
    </r>
    <r>
      <rPr>
        <vertAlign val="subscript"/>
        <sz val="11"/>
        <rFont val="Franklin Gothic Book"/>
        <family val="2"/>
      </rPr>
      <t>i</t>
    </r>
    <phoneticPr fontId="8" type="noConversion"/>
  </si>
  <si>
    <r>
      <t xml:space="preserve"> m</t>
    </r>
    <r>
      <rPr>
        <b/>
        <vertAlign val="subscript"/>
        <sz val="11"/>
        <rFont val="Franklin Gothic Book"/>
        <family val="2"/>
      </rPr>
      <t xml:space="preserve">Strat </t>
    </r>
    <r>
      <rPr>
        <b/>
        <sz val="11"/>
        <rFont val="Franklin Gothic Book"/>
        <family val="2"/>
      </rPr>
      <t xml:space="preserve"> </t>
    </r>
    <phoneticPr fontId="8" type="noConversion"/>
  </si>
  <si>
    <r>
      <t xml:space="preserve"> g</t>
    </r>
    <r>
      <rPr>
        <b/>
        <vertAlign val="subscript"/>
        <sz val="11"/>
        <rFont val="Franklin Gothic Book"/>
        <family val="2"/>
      </rPr>
      <t xml:space="preserve">i  </t>
    </r>
    <phoneticPr fontId="8" type="noConversion"/>
  </si>
  <si>
    <r>
      <t xml:space="preserve"> Size of the i</t>
    </r>
    <r>
      <rPr>
        <vertAlign val="superscript"/>
        <sz val="11"/>
        <rFont val="Franklin Gothic Book"/>
        <family val="2"/>
      </rPr>
      <t>th</t>
    </r>
    <r>
      <rPr>
        <sz val="11"/>
        <rFont val="Franklin Gothic Book"/>
        <family val="2"/>
      </rPr>
      <t xml:space="preserve"> district where i=a,…,k  </t>
    </r>
    <phoneticPr fontId="8" type="noConversion"/>
  </si>
  <si>
    <r>
      <t xml:space="preserve"> m</t>
    </r>
    <r>
      <rPr>
        <b/>
        <vertAlign val="subscript"/>
        <sz val="11"/>
        <rFont val="Franklin Gothic Book"/>
        <family val="2"/>
      </rPr>
      <t xml:space="preserve">i  </t>
    </r>
    <phoneticPr fontId="8" type="noConversion"/>
  </si>
  <si>
    <r>
      <t xml:space="preserve"> Mean of the i</t>
    </r>
    <r>
      <rPr>
        <vertAlign val="superscript"/>
        <sz val="11"/>
        <rFont val="Franklin Gothic Book"/>
        <family val="2"/>
      </rPr>
      <t>th</t>
    </r>
    <r>
      <rPr>
        <sz val="11"/>
        <rFont val="Franklin Gothic Book"/>
        <family val="2"/>
      </rPr>
      <t xml:space="preserve"> district where i= a,…,k  </t>
    </r>
    <phoneticPr fontId="8" type="noConversion"/>
  </si>
  <si>
    <r>
      <t>s.e. (m</t>
    </r>
    <r>
      <rPr>
        <b/>
        <vertAlign val="subscript"/>
        <sz val="11"/>
        <rFont val="Franklin Gothic Book"/>
        <family val="2"/>
      </rPr>
      <t>Strat</t>
    </r>
    <r>
      <rPr>
        <b/>
        <sz val="11"/>
        <rFont val="Franklin Gothic Book"/>
        <family val="2"/>
      </rPr>
      <t xml:space="preserve">)   </t>
    </r>
    <phoneticPr fontId="8" type="noConversion"/>
  </si>
  <si>
    <r>
      <t xml:space="preserve"> n</t>
    </r>
    <r>
      <rPr>
        <b/>
        <vertAlign val="subscript"/>
        <sz val="11"/>
        <rFont val="Franklin Gothic Book"/>
        <family val="2"/>
      </rPr>
      <t xml:space="preserve">i </t>
    </r>
    <r>
      <rPr>
        <b/>
        <sz val="11"/>
        <rFont val="Franklin Gothic Book"/>
        <family val="2"/>
      </rPr>
      <t xml:space="preserve"> </t>
    </r>
    <phoneticPr fontId="8" type="noConversion"/>
  </si>
  <si>
    <r>
      <t xml:space="preserve"> Number of sampled units the i</t>
    </r>
    <r>
      <rPr>
        <vertAlign val="superscript"/>
        <sz val="11"/>
        <rFont val="Franklin Gothic Book"/>
        <family val="2"/>
      </rPr>
      <t>th</t>
    </r>
    <r>
      <rPr>
        <sz val="11"/>
        <rFont val="Franklin Gothic Book"/>
        <family val="2"/>
      </rPr>
      <t xml:space="preserve"> district where i=a,…,k  </t>
    </r>
    <phoneticPr fontId="8" type="noConversion"/>
  </si>
  <si>
    <r>
      <t xml:space="preserve"> SD</t>
    </r>
    <r>
      <rPr>
        <b/>
        <vertAlign val="subscript"/>
        <sz val="11"/>
        <rFont val="Franklin Gothic Book"/>
        <family val="2"/>
      </rPr>
      <t>i</t>
    </r>
    <r>
      <rPr>
        <b/>
        <vertAlign val="superscript"/>
        <sz val="11"/>
        <rFont val="Franklin Gothic Book"/>
        <family val="2"/>
      </rPr>
      <t>2</t>
    </r>
    <r>
      <rPr>
        <b/>
        <sz val="11"/>
        <rFont val="Franklin Gothic Book"/>
        <family val="2"/>
      </rPr>
      <t xml:space="preserve">  </t>
    </r>
    <phoneticPr fontId="8" type="noConversion"/>
  </si>
  <si>
    <r>
      <t xml:space="preserve"> Variance of the i</t>
    </r>
    <r>
      <rPr>
        <vertAlign val="superscript"/>
        <sz val="11"/>
        <rFont val="Franklin Gothic Book"/>
        <family val="2"/>
      </rPr>
      <t>th</t>
    </r>
    <r>
      <rPr>
        <sz val="11"/>
        <rFont val="Franklin Gothic Book"/>
        <family val="2"/>
      </rPr>
      <t xml:space="preserve"> district where i=a,…,k </t>
    </r>
    <phoneticPr fontId="8" type="noConversion"/>
  </si>
  <si>
    <r>
      <t xml:space="preserve">The precision associated with an estimate is: 
</t>
    </r>
    <r>
      <rPr>
        <b/>
        <sz val="12"/>
        <rFont val="Franklin Gothic Book"/>
        <family val="2"/>
      </rPr>
      <t>t-value × standard error of the mean</t>
    </r>
    <phoneticPr fontId="8" type="noConversion"/>
  </si>
  <si>
    <r>
      <t xml:space="preserve">Precision </t>
    </r>
    <r>
      <rPr>
        <b/>
        <sz val="12"/>
        <color indexed="8"/>
        <rFont val="Franklin Gothic Book"/>
        <family val="2"/>
      </rPr>
      <t xml:space="preserve"> </t>
    </r>
    <r>
      <rPr>
        <b/>
        <sz val="12"/>
        <rFont val="Franklin Gothic Book"/>
        <family val="2"/>
      </rPr>
      <t xml:space="preserve"> </t>
    </r>
    <phoneticPr fontId="8" type="noConversion"/>
  </si>
  <si>
    <t>10-June-2020 to 31-December-2021 (both days included)</t>
    <phoneticPr fontId="13" type="noConversion"/>
  </si>
  <si>
    <t>01-July-2020 to 31-July-2020</t>
  </si>
  <si>
    <t>01-August-2020 to 31-August-2020</t>
  </si>
  <si>
    <t>01-September-2020 to 30-September-2020</t>
  </si>
  <si>
    <t>01-October-2020 to 31-October-2020</t>
  </si>
  <si>
    <t>01-November-2020 to 30-November-2020</t>
  </si>
  <si>
    <t>01-December-2020 to 31-December-2020</t>
  </si>
  <si>
    <t>01-January-2021 to 31-January-2021</t>
  </si>
  <si>
    <t>01-February-2021 to 28-February-2021</t>
  </si>
  <si>
    <t>01-March-2021 to 31-March-2021</t>
  </si>
  <si>
    <t>01-April-2021 to 30-April-2021</t>
  </si>
  <si>
    <t>01-May-2021 to 31-May-2021</t>
  </si>
  <si>
    <t>01-June-2021 to 30-June-2021</t>
  </si>
  <si>
    <t>01-July-2021 to 31-July-2021</t>
  </si>
  <si>
    <t>01-August-2021 to 31-August-2021</t>
  </si>
  <si>
    <t>01-September-2021 to 30-September-2021</t>
  </si>
  <si>
    <t>01-October-2021 to 31-October-2021</t>
  </si>
  <si>
    <t>01-November-2021 to 30-November-2021</t>
  </si>
  <si>
    <t>01-December-2021 to 31-December-2021</t>
  </si>
  <si>
    <t>10-June-2020 to 30-June-2020</t>
    <phoneticPr fontId="8" type="noConversion"/>
  </si>
  <si>
    <t>10-June-2020 to 31-December-2020</t>
  </si>
  <si>
    <t>10-June-2020 to 31-December-2020</t>
    <phoneticPr fontId="0" type="noConversion"/>
  </si>
  <si>
    <t>01-January-2021 to 31-December-2021</t>
  </si>
  <si>
    <t>01-January-2021 to 31-December-2021</t>
    <phoneticPr fontId="8" type="noConversion"/>
  </si>
  <si>
    <r>
      <t>BE</t>
    </r>
    <r>
      <rPr>
        <vertAlign val="subscript"/>
        <sz val="10"/>
        <color indexed="8"/>
        <rFont val="Franklin Gothic Book"/>
        <family val="2"/>
      </rPr>
      <t>CH4,y</t>
    </r>
    <r>
      <rPr>
        <sz val="10"/>
        <color indexed="8"/>
        <rFont val="Franklin Gothic Book"/>
        <family val="2"/>
      </rPr>
      <t xml:space="preserve"> from 10-June-2020 to 31-December-2020</t>
    </r>
    <phoneticPr fontId="0" type="noConversion"/>
  </si>
  <si>
    <r>
      <t>BE</t>
    </r>
    <r>
      <rPr>
        <vertAlign val="subscript"/>
        <sz val="10"/>
        <color indexed="8"/>
        <rFont val="Franklin Gothic Book"/>
        <family val="2"/>
      </rPr>
      <t>CH4,y</t>
    </r>
    <r>
      <rPr>
        <sz val="10"/>
        <color indexed="8"/>
        <rFont val="Franklin Gothic Book"/>
        <family val="2"/>
      </rPr>
      <t xml:space="preserve"> from 01-Jauary-2021 to 31-December-2021</t>
    </r>
    <phoneticPr fontId="0" type="noConversion"/>
  </si>
  <si>
    <r>
      <t>EF</t>
    </r>
    <r>
      <rPr>
        <i/>
        <vertAlign val="subscript"/>
        <sz val="10"/>
        <rFont val="Franklin Gothic Book"/>
        <family val="2"/>
      </rPr>
      <t>N2O,D,j</t>
    </r>
  </si>
  <si>
    <r>
      <t>kg N</t>
    </r>
    <r>
      <rPr>
        <vertAlign val="subscript"/>
        <sz val="10"/>
        <rFont val="Franklin Gothic Book"/>
        <family val="2"/>
      </rPr>
      <t>2</t>
    </r>
    <r>
      <rPr>
        <sz val="10"/>
        <rFont val="Franklin Gothic Book"/>
        <family val="2"/>
      </rPr>
      <t>O-N/kg N</t>
    </r>
    <phoneticPr fontId="0" type="noConversion"/>
  </si>
  <si>
    <r>
      <t>N</t>
    </r>
    <r>
      <rPr>
        <i/>
        <vertAlign val="subscript"/>
        <sz val="10"/>
        <rFont val="Franklin Gothic Book"/>
        <family val="2"/>
      </rPr>
      <t>rate(T)</t>
    </r>
    <phoneticPr fontId="0" type="noConversion"/>
  </si>
  <si>
    <r>
      <t>NEX</t>
    </r>
    <r>
      <rPr>
        <i/>
        <vertAlign val="subscript"/>
        <sz val="8"/>
        <rFont val="Franklin Gothic Book"/>
        <family val="2"/>
      </rPr>
      <t>IPCCdefault</t>
    </r>
    <phoneticPr fontId="0" type="noConversion"/>
  </si>
  <si>
    <r>
      <t>W</t>
    </r>
    <r>
      <rPr>
        <i/>
        <vertAlign val="subscript"/>
        <sz val="8"/>
        <rFont val="Franklin Gothic Book"/>
        <family val="2"/>
      </rPr>
      <t>default</t>
    </r>
    <phoneticPr fontId="0" type="noConversion"/>
  </si>
  <si>
    <r>
      <t>NEX</t>
    </r>
    <r>
      <rPr>
        <i/>
        <vertAlign val="subscript"/>
        <sz val="10"/>
        <rFont val="Franklin Gothic Book"/>
        <family val="2"/>
      </rPr>
      <t>LT,y</t>
    </r>
    <phoneticPr fontId="0" type="noConversion"/>
  </si>
  <si>
    <r>
      <t>N</t>
    </r>
    <r>
      <rPr>
        <i/>
        <vertAlign val="subscript"/>
        <sz val="8"/>
        <rFont val="Franklin Gothic Book"/>
        <family val="2"/>
      </rPr>
      <t>LT</t>
    </r>
    <phoneticPr fontId="0" type="noConversion"/>
  </si>
  <si>
    <r>
      <t>E</t>
    </r>
    <r>
      <rPr>
        <vertAlign val="subscript"/>
        <sz val="10"/>
        <rFont val="Franklin Gothic Book"/>
        <family val="2"/>
      </rPr>
      <t>N2O,D,y</t>
    </r>
    <r>
      <rPr>
        <sz val="10"/>
        <rFont val="Franklin Gothic Book"/>
        <family val="2"/>
      </rPr>
      <t>-monthly</t>
    </r>
    <phoneticPr fontId="0" type="noConversion"/>
  </si>
  <si>
    <r>
      <t>kg N</t>
    </r>
    <r>
      <rPr>
        <vertAlign val="subscript"/>
        <sz val="10"/>
        <rFont val="Franklin Gothic Book"/>
        <family val="2"/>
      </rPr>
      <t>2</t>
    </r>
    <r>
      <rPr>
        <sz val="10"/>
        <rFont val="Franklin Gothic Book"/>
        <family val="2"/>
      </rPr>
      <t>O-N/year</t>
    </r>
    <phoneticPr fontId="0" type="noConversion"/>
  </si>
  <si>
    <r>
      <t>E</t>
    </r>
    <r>
      <rPr>
        <b/>
        <vertAlign val="subscript"/>
        <sz val="10"/>
        <rFont val="Franklin Gothic Book"/>
        <family val="2"/>
      </rPr>
      <t xml:space="preserve">N2O,D,y </t>
    </r>
    <r>
      <rPr>
        <b/>
        <sz val="10"/>
        <rFont val="Franklin Gothic Book"/>
        <family val="2"/>
      </rPr>
      <t>in this monitoring period</t>
    </r>
    <phoneticPr fontId="0" type="noConversion"/>
  </si>
  <si>
    <r>
      <t>EF</t>
    </r>
    <r>
      <rPr>
        <i/>
        <vertAlign val="subscript"/>
        <sz val="10"/>
        <rFont val="Franklin Gothic Book"/>
        <family val="2"/>
      </rPr>
      <t>N2O,ID,j</t>
    </r>
    <phoneticPr fontId="0" type="noConversion"/>
  </si>
  <si>
    <r>
      <t>kg N</t>
    </r>
    <r>
      <rPr>
        <vertAlign val="subscript"/>
        <sz val="10"/>
        <rFont val="Franklin Gothic Book"/>
        <family val="2"/>
      </rPr>
      <t>2</t>
    </r>
    <r>
      <rPr>
        <sz val="10"/>
        <rFont val="Franklin Gothic Book"/>
        <family val="2"/>
      </rPr>
      <t>O/kg N</t>
    </r>
    <phoneticPr fontId="0" type="noConversion"/>
  </si>
  <si>
    <r>
      <t>F</t>
    </r>
    <r>
      <rPr>
        <i/>
        <vertAlign val="subscript"/>
        <sz val="10"/>
        <rFont val="Franklin Gothic Book"/>
        <family val="2"/>
      </rPr>
      <t>gasMS,j,LT</t>
    </r>
    <phoneticPr fontId="0" type="noConversion"/>
  </si>
  <si>
    <r>
      <t>NEX</t>
    </r>
    <r>
      <rPr>
        <vertAlign val="subscript"/>
        <sz val="8"/>
        <rFont val="Franklin Gothic Book"/>
        <family val="2"/>
      </rPr>
      <t>LT</t>
    </r>
    <r>
      <rPr>
        <vertAlign val="subscript"/>
        <sz val="10"/>
        <rFont val="Franklin Gothic Book"/>
        <family val="2"/>
      </rPr>
      <t>,y</t>
    </r>
    <phoneticPr fontId="0" type="noConversion"/>
  </si>
  <si>
    <r>
      <t>GWP</t>
    </r>
    <r>
      <rPr>
        <vertAlign val="subscript"/>
        <sz val="10"/>
        <rFont val="Franklin Gothic Book"/>
        <family val="2"/>
      </rPr>
      <t>N2O</t>
    </r>
    <phoneticPr fontId="0" type="noConversion"/>
  </si>
  <si>
    <r>
      <t>tCO</t>
    </r>
    <r>
      <rPr>
        <vertAlign val="subscript"/>
        <sz val="10"/>
        <rFont val="Franklin Gothic Book"/>
        <family val="2"/>
      </rPr>
      <t>2</t>
    </r>
    <r>
      <rPr>
        <sz val="10"/>
        <rFont val="Franklin Gothic Book"/>
        <family val="2"/>
      </rPr>
      <t>/t N</t>
    </r>
    <r>
      <rPr>
        <vertAlign val="subscript"/>
        <sz val="10"/>
        <rFont val="Franklin Gothic Book"/>
        <family val="2"/>
      </rPr>
      <t>2</t>
    </r>
    <r>
      <rPr>
        <sz val="10"/>
        <rFont val="Franklin Gothic Book"/>
        <family val="2"/>
      </rPr>
      <t>O</t>
    </r>
    <phoneticPr fontId="0" type="noConversion"/>
  </si>
  <si>
    <r>
      <t>CF</t>
    </r>
    <r>
      <rPr>
        <vertAlign val="subscript"/>
        <sz val="10"/>
        <rFont val="Franklin Gothic Book"/>
        <family val="2"/>
      </rPr>
      <t>N20,N-N</t>
    </r>
    <phoneticPr fontId="0" type="noConversion"/>
  </si>
  <si>
    <r>
      <t>Conversion Factor N</t>
    </r>
    <r>
      <rPr>
        <vertAlign val="subscript"/>
        <sz val="10"/>
        <rFont val="Franklin Gothic Book"/>
        <family val="2"/>
      </rPr>
      <t>2</t>
    </r>
    <r>
      <rPr>
        <sz val="10"/>
        <rFont val="Franklin Gothic Book"/>
        <family val="2"/>
      </rPr>
      <t>O-N to N</t>
    </r>
    <r>
      <rPr>
        <vertAlign val="subscript"/>
        <sz val="10"/>
        <rFont val="Franklin Gothic Book"/>
        <family val="2"/>
      </rPr>
      <t>2</t>
    </r>
    <r>
      <rPr>
        <sz val="10"/>
        <rFont val="Franklin Gothic Book"/>
        <family val="2"/>
      </rPr>
      <t>O</t>
    </r>
    <phoneticPr fontId="0" type="noConversion"/>
  </si>
  <si>
    <r>
      <t>E</t>
    </r>
    <r>
      <rPr>
        <b/>
        <vertAlign val="subscript"/>
        <sz val="10"/>
        <rFont val="Franklin Gothic Book"/>
        <family val="2"/>
      </rPr>
      <t>N2O,ID,y</t>
    </r>
    <r>
      <rPr>
        <b/>
        <sz val="10"/>
        <rFont val="Franklin Gothic Book"/>
        <family val="2"/>
      </rPr>
      <t>-monthly</t>
    </r>
    <phoneticPr fontId="0" type="noConversion"/>
  </si>
  <si>
    <r>
      <t>E</t>
    </r>
    <r>
      <rPr>
        <b/>
        <vertAlign val="subscript"/>
        <sz val="10"/>
        <rFont val="Franklin Gothic Book"/>
        <family val="2"/>
      </rPr>
      <t xml:space="preserve">N2O,ID,y </t>
    </r>
    <r>
      <rPr>
        <b/>
        <sz val="10"/>
        <rFont val="Franklin Gothic Book"/>
        <family val="2"/>
      </rPr>
      <t>in this monitoring period</t>
    </r>
    <phoneticPr fontId="0" type="noConversion"/>
  </si>
  <si>
    <r>
      <t>BE</t>
    </r>
    <r>
      <rPr>
        <i/>
        <sz val="8"/>
        <rFont val="Franklin Gothic Book"/>
        <family val="2"/>
      </rPr>
      <t xml:space="preserve">N2O,y </t>
    </r>
    <r>
      <rPr>
        <b/>
        <sz val="10"/>
        <rFont val="Franklin Gothic Book"/>
        <family val="2"/>
      </rPr>
      <t>= GWP</t>
    </r>
    <r>
      <rPr>
        <b/>
        <sz val="8"/>
        <rFont val="Franklin Gothic Book"/>
        <family val="2"/>
      </rPr>
      <t>N2O</t>
    </r>
    <r>
      <rPr>
        <b/>
        <sz val="10"/>
        <rFont val="Franklin Gothic Book"/>
        <family val="2"/>
      </rPr>
      <t>*CF</t>
    </r>
    <r>
      <rPr>
        <b/>
        <sz val="8"/>
        <rFont val="Franklin Gothic Book"/>
        <family val="2"/>
      </rPr>
      <t>N2O-N,N</t>
    </r>
    <r>
      <rPr>
        <b/>
        <sz val="10"/>
        <rFont val="Franklin Gothic Book"/>
        <family val="2"/>
      </rPr>
      <t>* 1/1000*(E</t>
    </r>
    <r>
      <rPr>
        <b/>
        <sz val="8"/>
        <rFont val="Franklin Gothic Book"/>
        <family val="2"/>
      </rPr>
      <t>N2O,D,y</t>
    </r>
    <r>
      <rPr>
        <b/>
        <sz val="10"/>
        <rFont val="Franklin Gothic Book"/>
        <family val="2"/>
      </rPr>
      <t xml:space="preserve"> + E</t>
    </r>
    <r>
      <rPr>
        <b/>
        <sz val="8"/>
        <rFont val="Franklin Gothic Book"/>
        <family val="2"/>
      </rPr>
      <t>N2O,ID,y</t>
    </r>
    <r>
      <rPr>
        <b/>
        <sz val="10"/>
        <rFont val="Franklin Gothic Book"/>
        <family val="2"/>
      </rPr>
      <t>) =</t>
    </r>
    <phoneticPr fontId="0" type="noConversion"/>
  </si>
  <si>
    <r>
      <t xml:space="preserve"> BE</t>
    </r>
    <r>
      <rPr>
        <b/>
        <sz val="8"/>
        <rFont val="Franklin Gothic Book"/>
        <family val="2"/>
      </rPr>
      <t xml:space="preserve">CH4,y </t>
    </r>
    <r>
      <rPr>
        <b/>
        <sz val="10"/>
        <rFont val="Franklin Gothic Book"/>
        <family val="2"/>
      </rPr>
      <t>+ BE</t>
    </r>
    <r>
      <rPr>
        <b/>
        <sz val="8"/>
        <rFont val="Franklin Gothic Book"/>
        <family val="2"/>
      </rPr>
      <t>N2O,y</t>
    </r>
    <r>
      <rPr>
        <b/>
        <sz val="10"/>
        <rFont val="Franklin Gothic Book"/>
        <family val="2"/>
      </rPr>
      <t xml:space="preserve"> </t>
    </r>
    <r>
      <rPr>
        <b/>
        <sz val="8"/>
        <rFont val="Franklin Gothic Book"/>
        <family val="2"/>
      </rPr>
      <t xml:space="preserve"> =</t>
    </r>
    <phoneticPr fontId="0" type="noConversion"/>
  </si>
  <si>
    <r>
      <t>E</t>
    </r>
    <r>
      <rPr>
        <vertAlign val="subscript"/>
        <sz val="10"/>
        <color indexed="8"/>
        <rFont val="Franklin Gothic Book"/>
        <family val="2"/>
      </rPr>
      <t>N2O,D,y</t>
    </r>
    <r>
      <rPr>
        <sz val="10"/>
        <color indexed="8"/>
        <rFont val="Franklin Gothic Book"/>
        <family val="2"/>
      </rPr>
      <t xml:space="preserve"> from 10-June-2020 to 31-December-2020</t>
    </r>
    <phoneticPr fontId="0" type="noConversion"/>
  </si>
  <si>
    <r>
      <t>E</t>
    </r>
    <r>
      <rPr>
        <vertAlign val="subscript"/>
        <sz val="10"/>
        <color indexed="8"/>
        <rFont val="Franklin Gothic Book"/>
        <family val="2"/>
      </rPr>
      <t>N2O,D,y</t>
    </r>
    <r>
      <rPr>
        <sz val="10"/>
        <color indexed="8"/>
        <rFont val="Franklin Gothic Book"/>
        <family val="2"/>
      </rPr>
      <t xml:space="preserve"> from 01-Jauary-2021 to 31-December-2021</t>
    </r>
    <phoneticPr fontId="0" type="noConversion"/>
  </si>
  <si>
    <r>
      <t>E</t>
    </r>
    <r>
      <rPr>
        <vertAlign val="subscript"/>
        <sz val="10"/>
        <color indexed="8"/>
        <rFont val="Franklin Gothic Book"/>
        <family val="2"/>
      </rPr>
      <t>N2O,ID,y</t>
    </r>
    <r>
      <rPr>
        <sz val="10"/>
        <color indexed="8"/>
        <rFont val="Franklin Gothic Book"/>
        <family val="2"/>
      </rPr>
      <t xml:space="preserve"> from 10-June-2020 to 31-December-2020</t>
    </r>
    <phoneticPr fontId="0" type="noConversion"/>
  </si>
  <si>
    <r>
      <t>E</t>
    </r>
    <r>
      <rPr>
        <vertAlign val="subscript"/>
        <sz val="10"/>
        <color indexed="8"/>
        <rFont val="Franklin Gothic Book"/>
        <family val="2"/>
      </rPr>
      <t>N2O,ID,y</t>
    </r>
    <r>
      <rPr>
        <sz val="10"/>
        <color indexed="8"/>
        <rFont val="Franklin Gothic Book"/>
        <family val="2"/>
      </rPr>
      <t xml:space="preserve"> from 01-January-2021 to 31-December-2021</t>
    </r>
    <phoneticPr fontId="0" type="noConversion"/>
  </si>
  <si>
    <t>01-January-2021 to 31-December-2021</t>
    <phoneticPr fontId="0" type="noConversion"/>
  </si>
  <si>
    <t>10-June-2020 to 31-December-2021</t>
    <phoneticPr fontId="0" type="noConversion"/>
  </si>
  <si>
    <r>
      <t>EC</t>
    </r>
    <r>
      <rPr>
        <vertAlign val="subscript"/>
        <sz val="10"/>
        <rFont val="Franklin Gothic Book"/>
        <family val="2"/>
      </rPr>
      <t>PJ,j,y</t>
    </r>
    <phoneticPr fontId="0" type="noConversion"/>
  </si>
  <si>
    <r>
      <t>EF</t>
    </r>
    <r>
      <rPr>
        <vertAlign val="subscript"/>
        <sz val="10"/>
        <rFont val="Franklin Gothic Book"/>
        <family val="2"/>
      </rPr>
      <t>EF,j,y</t>
    </r>
    <phoneticPr fontId="0" type="noConversion"/>
  </si>
  <si>
    <r>
      <t>tCO</t>
    </r>
    <r>
      <rPr>
        <vertAlign val="subscript"/>
        <sz val="10"/>
        <rFont val="Franklin Gothic Book"/>
        <family val="2"/>
      </rPr>
      <t>2</t>
    </r>
    <r>
      <rPr>
        <sz val="10"/>
        <rFont val="Franklin Gothic Book"/>
        <family val="2"/>
      </rPr>
      <t>/MWh</t>
    </r>
    <phoneticPr fontId="0" type="noConversion"/>
  </si>
  <si>
    <r>
      <t>TDL</t>
    </r>
    <r>
      <rPr>
        <vertAlign val="subscript"/>
        <sz val="10"/>
        <rFont val="Franklin Gothic Book"/>
        <family val="2"/>
      </rPr>
      <t>j,y</t>
    </r>
    <phoneticPr fontId="0" type="noConversion"/>
  </si>
  <si>
    <r>
      <t>PE</t>
    </r>
    <r>
      <rPr>
        <b/>
        <vertAlign val="subscript"/>
        <sz val="10"/>
        <rFont val="Franklin Gothic Book"/>
        <family val="2"/>
      </rPr>
      <t>EC,y</t>
    </r>
    <r>
      <rPr>
        <b/>
        <sz val="10"/>
        <rFont val="Franklin Gothic Book"/>
        <family val="2"/>
      </rPr>
      <t>-monthly</t>
    </r>
    <phoneticPr fontId="0" type="noConversion"/>
  </si>
  <si>
    <r>
      <t>PE</t>
    </r>
    <r>
      <rPr>
        <b/>
        <vertAlign val="subscript"/>
        <sz val="10"/>
        <rFont val="Franklin Gothic Book"/>
        <family val="2"/>
      </rPr>
      <t>FC,y</t>
    </r>
    <r>
      <rPr>
        <b/>
        <sz val="10"/>
        <rFont val="Franklin Gothic Book"/>
        <family val="2"/>
      </rPr>
      <t xml:space="preserve"> in this monitoring period</t>
    </r>
    <phoneticPr fontId="0" type="noConversion"/>
  </si>
  <si>
    <r>
      <t>GWP</t>
    </r>
    <r>
      <rPr>
        <vertAlign val="subscript"/>
        <sz val="10"/>
        <rFont val="Franklin Gothic Book"/>
        <family val="2"/>
      </rPr>
      <t>CH4</t>
    </r>
    <phoneticPr fontId="0" type="noConversion"/>
  </si>
  <si>
    <r>
      <t>D</t>
    </r>
    <r>
      <rPr>
        <vertAlign val="subscript"/>
        <sz val="10"/>
        <rFont val="Franklin Gothic Book"/>
        <family val="2"/>
      </rPr>
      <t>CH4</t>
    </r>
    <phoneticPr fontId="0" type="noConversion"/>
  </si>
  <si>
    <r>
      <t>t/m</t>
    </r>
    <r>
      <rPr>
        <vertAlign val="superscript"/>
        <sz val="10"/>
        <rFont val="Franklin Gothic Book"/>
        <family val="2"/>
      </rPr>
      <t>3</t>
    </r>
    <phoneticPr fontId="0" type="noConversion"/>
  </si>
  <si>
    <r>
      <t>F</t>
    </r>
    <r>
      <rPr>
        <vertAlign val="subscript"/>
        <sz val="10"/>
        <rFont val="Franklin Gothic Book"/>
        <family val="2"/>
      </rPr>
      <t>Aer</t>
    </r>
    <phoneticPr fontId="0" type="noConversion"/>
  </si>
  <si>
    <r>
      <t>1-R</t>
    </r>
    <r>
      <rPr>
        <vertAlign val="subscript"/>
        <sz val="10"/>
        <rFont val="Franklin Gothic Book"/>
        <family val="2"/>
      </rPr>
      <t>vs,n</t>
    </r>
    <phoneticPr fontId="0" type="noConversion"/>
  </si>
  <si>
    <r>
      <t>B</t>
    </r>
    <r>
      <rPr>
        <vertAlign val="subscript"/>
        <sz val="10"/>
        <rFont val="Franklin Gothic Book"/>
        <family val="2"/>
      </rPr>
      <t>0,LT</t>
    </r>
    <phoneticPr fontId="0" type="noConversion"/>
  </si>
  <si>
    <r>
      <t>m</t>
    </r>
    <r>
      <rPr>
        <vertAlign val="superscript"/>
        <sz val="10"/>
        <rFont val="Franklin Gothic Book"/>
        <family val="2"/>
      </rPr>
      <t>3</t>
    </r>
    <r>
      <rPr>
        <sz val="10"/>
        <rFont val="Franklin Gothic Book"/>
        <family val="2"/>
      </rPr>
      <t xml:space="preserve"> CH4 /kg_dm</t>
    </r>
    <phoneticPr fontId="0" type="noConversion"/>
  </si>
  <si>
    <r>
      <t>N</t>
    </r>
    <r>
      <rPr>
        <vertAlign val="subscript"/>
        <sz val="10"/>
        <rFont val="Franklin Gothic Book"/>
        <family val="2"/>
      </rPr>
      <t>LT</t>
    </r>
    <phoneticPr fontId="0" type="noConversion"/>
  </si>
  <si>
    <r>
      <t>VS</t>
    </r>
    <r>
      <rPr>
        <vertAlign val="subscript"/>
        <sz val="10"/>
        <rFont val="Franklin Gothic Book"/>
        <family val="2"/>
      </rPr>
      <t>LT,y</t>
    </r>
    <phoneticPr fontId="0" type="noConversion"/>
  </si>
  <si>
    <r>
      <t>MS%</t>
    </r>
    <r>
      <rPr>
        <vertAlign val="subscript"/>
        <sz val="10"/>
        <rFont val="Franklin Gothic Book"/>
        <family val="2"/>
      </rPr>
      <t>j</t>
    </r>
    <phoneticPr fontId="0" type="noConversion"/>
  </si>
  <si>
    <r>
      <t>PE</t>
    </r>
    <r>
      <rPr>
        <b/>
        <vertAlign val="subscript"/>
        <sz val="10"/>
        <rFont val="Franklin Gothic Book"/>
        <family val="2"/>
      </rPr>
      <t>Aer,y</t>
    </r>
    <r>
      <rPr>
        <b/>
        <sz val="10"/>
        <rFont val="Franklin Gothic Book"/>
        <family val="2"/>
      </rPr>
      <t>-monthly</t>
    </r>
    <phoneticPr fontId="0" type="noConversion"/>
  </si>
  <si>
    <r>
      <t>PE</t>
    </r>
    <r>
      <rPr>
        <b/>
        <vertAlign val="subscript"/>
        <sz val="10"/>
        <rFont val="Franklin Gothic Book"/>
        <family val="2"/>
      </rPr>
      <t xml:space="preserve">Aer,y </t>
    </r>
    <r>
      <rPr>
        <b/>
        <sz val="10"/>
        <rFont val="Franklin Gothic Book"/>
        <family val="2"/>
      </rPr>
      <t>in this monitoring period</t>
    </r>
    <phoneticPr fontId="0" type="noConversion"/>
  </si>
  <si>
    <r>
      <t>EF</t>
    </r>
    <r>
      <rPr>
        <sz val="8"/>
        <rFont val="Franklin Gothic Book"/>
        <family val="2"/>
      </rPr>
      <t xml:space="preserve">N2O,D,j </t>
    </r>
  </si>
  <si>
    <r>
      <t>NEX</t>
    </r>
    <r>
      <rPr>
        <sz val="7"/>
        <rFont val="Franklin Gothic Book"/>
        <family val="2"/>
      </rPr>
      <t>LT,y</t>
    </r>
  </si>
  <si>
    <r>
      <t>N</t>
    </r>
    <r>
      <rPr>
        <sz val="7"/>
        <rFont val="Franklin Gothic Book"/>
        <family val="2"/>
      </rPr>
      <t>LT</t>
    </r>
  </si>
  <si>
    <r>
      <t>EF</t>
    </r>
    <r>
      <rPr>
        <sz val="8"/>
        <rFont val="Franklin Gothic Book"/>
        <family val="2"/>
      </rPr>
      <t xml:space="preserve">N2O,D,j </t>
    </r>
    <phoneticPr fontId="0" type="noConversion"/>
  </si>
  <si>
    <r>
      <t>E</t>
    </r>
    <r>
      <rPr>
        <b/>
        <sz val="7"/>
        <rFont val="Franklin Gothic Book"/>
        <family val="2"/>
      </rPr>
      <t>N2O,D,y</t>
    </r>
    <r>
      <rPr>
        <b/>
        <sz val="10"/>
        <rFont val="Franklin Gothic Book"/>
        <family val="2"/>
      </rPr>
      <t>-monthlyh</t>
    </r>
    <phoneticPr fontId="0" type="noConversion"/>
  </si>
  <si>
    <r>
      <t>E</t>
    </r>
    <r>
      <rPr>
        <b/>
        <vertAlign val="subscript"/>
        <sz val="10"/>
        <rFont val="Franklin Gothic Book"/>
        <family val="2"/>
      </rPr>
      <t>N2O,D,y</t>
    </r>
    <r>
      <rPr>
        <b/>
        <sz val="10"/>
        <rFont val="Franklin Gothic Book"/>
        <family val="2"/>
      </rPr>
      <t xml:space="preserve"> in this monitoring period</t>
    </r>
    <phoneticPr fontId="0" type="noConversion"/>
  </si>
  <si>
    <r>
      <t>a) CH4 emissions: PE</t>
    </r>
    <r>
      <rPr>
        <i/>
        <sz val="8"/>
        <color indexed="9"/>
        <rFont val="Franklin Gothic Book"/>
        <family val="2"/>
      </rPr>
      <t>Aer,y</t>
    </r>
  </si>
  <si>
    <r>
      <t>EF</t>
    </r>
    <r>
      <rPr>
        <vertAlign val="subscript"/>
        <sz val="8"/>
        <rFont val="Franklin Gothic Book"/>
        <family val="2"/>
      </rPr>
      <t>N2O,ID</t>
    </r>
    <phoneticPr fontId="0" type="noConversion"/>
  </si>
  <si>
    <r>
      <t>F</t>
    </r>
    <r>
      <rPr>
        <vertAlign val="subscript"/>
        <sz val="10"/>
        <rFont val="Franklin Gothic Book"/>
        <family val="2"/>
      </rPr>
      <t>gasMS,j,LT</t>
    </r>
    <phoneticPr fontId="0" type="noConversion"/>
  </si>
  <si>
    <r>
      <t>NEX</t>
    </r>
    <r>
      <rPr>
        <vertAlign val="subscript"/>
        <sz val="10"/>
        <rFont val="Franklin Gothic Book"/>
        <family val="2"/>
      </rPr>
      <t>LT,y</t>
    </r>
    <phoneticPr fontId="0" type="noConversion"/>
  </si>
  <si>
    <r>
      <t>E</t>
    </r>
    <r>
      <rPr>
        <vertAlign val="subscript"/>
        <sz val="10"/>
        <rFont val="Franklin Gothic Book"/>
        <family val="2"/>
      </rPr>
      <t>N2O,ID,j</t>
    </r>
    <r>
      <rPr>
        <sz val="10"/>
        <rFont val="Franklin Gothic Book"/>
        <family val="2"/>
      </rPr>
      <t>-monthy</t>
    </r>
    <phoneticPr fontId="0" type="noConversion"/>
  </si>
  <si>
    <r>
      <t>E</t>
    </r>
    <r>
      <rPr>
        <b/>
        <vertAlign val="subscript"/>
        <sz val="10"/>
        <rFont val="Franklin Gothic Book"/>
        <family val="2"/>
      </rPr>
      <t xml:space="preserve">N2O,ID,j </t>
    </r>
    <r>
      <rPr>
        <b/>
        <sz val="10"/>
        <rFont val="Franklin Gothic Book"/>
        <family val="2"/>
      </rPr>
      <t>in this monitoring period</t>
    </r>
    <phoneticPr fontId="0" type="noConversion"/>
  </si>
  <si>
    <r>
      <t>E</t>
    </r>
    <r>
      <rPr>
        <b/>
        <vertAlign val="subscript"/>
        <sz val="10"/>
        <rFont val="Franklin Gothic Book"/>
        <family val="2"/>
      </rPr>
      <t>N2O,ID,j</t>
    </r>
    <r>
      <rPr>
        <sz val="10"/>
        <rFont val="Franklin Gothic Book"/>
        <family val="2"/>
      </rPr>
      <t>-monthly</t>
    </r>
    <phoneticPr fontId="0" type="noConversion"/>
  </si>
  <si>
    <r>
      <t>E</t>
    </r>
    <r>
      <rPr>
        <b/>
        <vertAlign val="subscript"/>
        <sz val="10"/>
        <rFont val="Franklin Gothic Book"/>
        <family val="2"/>
      </rPr>
      <t>N2O,ID,j</t>
    </r>
    <r>
      <rPr>
        <sz val="10"/>
        <rFont val="Franklin Gothic Book"/>
        <family val="2"/>
      </rPr>
      <t xml:space="preserve"> in this monitoring period</t>
    </r>
    <phoneticPr fontId="0" type="noConversion"/>
  </si>
  <si>
    <r>
      <t xml:space="preserve">PEN2O,y=GWPN20*(44/28)*1/1000*EN2O,ID,j </t>
    </r>
    <r>
      <rPr>
        <b/>
        <sz val="7"/>
        <rFont val="Franklin Gothic Book"/>
        <family val="2"/>
      </rPr>
      <t xml:space="preserve"> </t>
    </r>
    <r>
      <rPr>
        <b/>
        <sz val="10"/>
        <rFont val="Franklin Gothic Book"/>
        <family val="2"/>
      </rPr>
      <t>=</t>
    </r>
    <phoneticPr fontId="0" type="noConversion"/>
  </si>
  <si>
    <r>
      <t>PEy (tCO</t>
    </r>
    <r>
      <rPr>
        <b/>
        <vertAlign val="subscript"/>
        <sz val="12"/>
        <rFont val="Franklin Gothic Book"/>
        <family val="2"/>
      </rPr>
      <t>2</t>
    </r>
    <r>
      <rPr>
        <b/>
        <sz val="12"/>
        <rFont val="Franklin Gothic Book"/>
        <family val="2"/>
      </rPr>
      <t>e)</t>
    </r>
    <phoneticPr fontId="0" type="noConversion"/>
  </si>
  <si>
    <r>
      <t>PE</t>
    </r>
    <r>
      <rPr>
        <vertAlign val="subscript"/>
        <sz val="10"/>
        <color indexed="8"/>
        <rFont val="Franklin Gothic Book"/>
        <family val="2"/>
      </rPr>
      <t>FC,y</t>
    </r>
    <r>
      <rPr>
        <sz val="10"/>
        <color indexed="8"/>
        <rFont val="Franklin Gothic Book"/>
        <family val="2"/>
      </rPr>
      <t xml:space="preserve"> from 10-June-2020 to 31-December-2020</t>
    </r>
    <phoneticPr fontId="0" type="noConversion"/>
  </si>
  <si>
    <r>
      <t>PE</t>
    </r>
    <r>
      <rPr>
        <vertAlign val="subscript"/>
        <sz val="10"/>
        <color indexed="8"/>
        <rFont val="Franklin Gothic Book"/>
        <family val="2"/>
      </rPr>
      <t>FC,y</t>
    </r>
    <r>
      <rPr>
        <sz val="10"/>
        <color indexed="8"/>
        <rFont val="Franklin Gothic Book"/>
        <family val="2"/>
      </rPr>
      <t xml:space="preserve"> from 01-January-2021 to 31-December-2021</t>
    </r>
    <phoneticPr fontId="0" type="noConversion"/>
  </si>
  <si>
    <r>
      <t>PE</t>
    </r>
    <r>
      <rPr>
        <vertAlign val="subscript"/>
        <sz val="10"/>
        <color indexed="8"/>
        <rFont val="Franklin Gothic Book"/>
        <family val="2"/>
      </rPr>
      <t>CH4,y</t>
    </r>
    <r>
      <rPr>
        <sz val="10"/>
        <color indexed="8"/>
        <rFont val="Franklin Gothic Book"/>
        <family val="2"/>
      </rPr>
      <t xml:space="preserve"> from 10-June-2020 to 31-December-2020</t>
    </r>
    <phoneticPr fontId="0" type="noConversion"/>
  </si>
  <si>
    <r>
      <t>PE</t>
    </r>
    <r>
      <rPr>
        <vertAlign val="subscript"/>
        <sz val="10"/>
        <color indexed="8"/>
        <rFont val="Franklin Gothic Book"/>
        <family val="2"/>
      </rPr>
      <t>CH4,y</t>
    </r>
    <r>
      <rPr>
        <sz val="10"/>
        <color indexed="8"/>
        <rFont val="Franklin Gothic Book"/>
        <family val="2"/>
      </rPr>
      <t xml:space="preserve"> from 01-January-2021 to 31-December-2021</t>
    </r>
    <phoneticPr fontId="0" type="noConversion"/>
  </si>
  <si>
    <r>
      <t>PE</t>
    </r>
    <r>
      <rPr>
        <vertAlign val="subscript"/>
        <sz val="10"/>
        <color indexed="8"/>
        <rFont val="Franklin Gothic Book"/>
        <family val="2"/>
      </rPr>
      <t>Aer,y</t>
    </r>
    <r>
      <rPr>
        <sz val="10"/>
        <color indexed="8"/>
        <rFont val="Franklin Gothic Book"/>
        <family val="2"/>
      </rPr>
      <t xml:space="preserve"> from 01-January-2021 to 31-December-2021</t>
    </r>
    <phoneticPr fontId="0" type="noConversion"/>
  </si>
  <si>
    <t>PEAer,y from 10-June-2020 to 31-December-2020</t>
    <phoneticPr fontId="0" type="noConversion"/>
  </si>
  <si>
    <r>
      <t>E</t>
    </r>
    <r>
      <rPr>
        <vertAlign val="subscript"/>
        <sz val="10"/>
        <color indexed="8"/>
        <rFont val="Franklin Gothic Book"/>
        <family val="2"/>
      </rPr>
      <t>N2O,D,y</t>
    </r>
    <r>
      <rPr>
        <sz val="10"/>
        <color indexed="8"/>
        <rFont val="Franklin Gothic Book"/>
        <family val="2"/>
      </rPr>
      <t xml:space="preserve"> from 01-January-2021 to 31-December-2021</t>
    </r>
    <phoneticPr fontId="0" type="noConversion"/>
  </si>
  <si>
    <r>
      <t>E</t>
    </r>
    <r>
      <rPr>
        <vertAlign val="subscript"/>
        <sz val="10"/>
        <color indexed="8"/>
        <rFont val="Franklin Gothic Book"/>
        <family val="2"/>
      </rPr>
      <t>N2O,ID,j</t>
    </r>
    <r>
      <rPr>
        <sz val="10"/>
        <color indexed="8"/>
        <rFont val="Franklin Gothic Book"/>
        <family val="2"/>
      </rPr>
      <t xml:space="preserve"> from 10-June-2020 to 31-December-2020</t>
    </r>
    <phoneticPr fontId="0" type="noConversion"/>
  </si>
  <si>
    <r>
      <t>E</t>
    </r>
    <r>
      <rPr>
        <vertAlign val="subscript"/>
        <sz val="10"/>
        <color indexed="8"/>
        <rFont val="Franklin Gothic Book"/>
        <family val="2"/>
      </rPr>
      <t>N2O,ID,j</t>
    </r>
    <r>
      <rPr>
        <sz val="10"/>
        <color indexed="8"/>
        <rFont val="Franklin Gothic Book"/>
        <family val="2"/>
      </rPr>
      <t xml:space="preserve"> from 01-January-2021 to 31-December-2021</t>
    </r>
    <phoneticPr fontId="0" type="noConversion"/>
  </si>
  <si>
    <r>
      <t>N</t>
    </r>
    <r>
      <rPr>
        <vertAlign val="subscript"/>
        <sz val="8"/>
        <rFont val="Franklin Gothic Book"/>
        <family val="2"/>
      </rPr>
      <t>LT</t>
    </r>
    <phoneticPr fontId="0" type="noConversion"/>
  </si>
  <si>
    <r>
      <t>NEX</t>
    </r>
    <r>
      <rPr>
        <vertAlign val="subscript"/>
        <sz val="8"/>
        <rFont val="Franklin Gothic Book"/>
        <family val="2"/>
      </rPr>
      <t>LT,y</t>
    </r>
    <phoneticPr fontId="0" type="noConversion"/>
  </si>
  <si>
    <r>
      <t>R</t>
    </r>
    <r>
      <rPr>
        <i/>
        <sz val="8"/>
        <rFont val="Franklin Gothic Book"/>
        <family val="2"/>
      </rPr>
      <t>N,n</t>
    </r>
  </si>
  <si>
    <r>
      <t>KgN-N</t>
    </r>
    <r>
      <rPr>
        <vertAlign val="subscript"/>
        <sz val="10"/>
        <rFont val="Franklin Gothic Book"/>
        <family val="2"/>
      </rPr>
      <t>2</t>
    </r>
    <r>
      <rPr>
        <sz val="10"/>
        <rFont val="Franklin Gothic Book"/>
        <family val="2"/>
      </rPr>
      <t>O-N/kg NH</t>
    </r>
    <r>
      <rPr>
        <vertAlign val="subscript"/>
        <sz val="10"/>
        <rFont val="Franklin Gothic Book"/>
        <family val="2"/>
      </rPr>
      <t>3</t>
    </r>
    <r>
      <rPr>
        <sz val="10"/>
        <rFont val="Franklin Gothic Book"/>
        <family val="2"/>
      </rPr>
      <t>-N+NO</t>
    </r>
    <r>
      <rPr>
        <vertAlign val="subscript"/>
        <sz val="10"/>
        <rFont val="Franklin Gothic Book"/>
        <family val="2"/>
      </rPr>
      <t>X</t>
    </r>
    <r>
      <rPr>
        <sz val="10"/>
        <rFont val="Franklin Gothic Book"/>
        <family val="2"/>
      </rPr>
      <t>-N</t>
    </r>
    <phoneticPr fontId="0" type="noConversion"/>
  </si>
  <si>
    <r>
      <t>tCO</t>
    </r>
    <r>
      <rPr>
        <vertAlign val="subscript"/>
        <sz val="10"/>
        <rFont val="Franklin Gothic Book"/>
        <family val="2"/>
      </rPr>
      <t>2</t>
    </r>
    <r>
      <rPr>
        <sz val="10"/>
        <rFont val="Franklin Gothic Book"/>
        <family val="2"/>
      </rPr>
      <t>/tN</t>
    </r>
    <r>
      <rPr>
        <vertAlign val="subscript"/>
        <sz val="10"/>
        <rFont val="Franklin Gothic Book"/>
        <family val="2"/>
      </rPr>
      <t>2</t>
    </r>
    <r>
      <rPr>
        <sz val="10"/>
        <rFont val="Franklin Gothic Book"/>
        <family val="2"/>
      </rPr>
      <t>O</t>
    </r>
    <phoneticPr fontId="0" type="noConversion"/>
  </si>
  <si>
    <r>
      <t>LE</t>
    </r>
    <r>
      <rPr>
        <vertAlign val="subscript"/>
        <sz val="8"/>
        <rFont val="Franklin Gothic Book"/>
        <family val="2"/>
      </rPr>
      <t>N2O,land</t>
    </r>
    <r>
      <rPr>
        <vertAlign val="subscript"/>
        <sz val="10"/>
        <rFont val="Franklin Gothic Book"/>
        <family val="2"/>
      </rPr>
      <t>,y</t>
    </r>
    <r>
      <rPr>
        <b/>
        <sz val="10"/>
        <rFont val="Franklin Gothic Book"/>
        <family val="2"/>
      </rPr>
      <t>-monthly</t>
    </r>
    <phoneticPr fontId="0" type="noConversion"/>
  </si>
  <si>
    <r>
      <t xml:space="preserve"> kg N</t>
    </r>
    <r>
      <rPr>
        <vertAlign val="subscript"/>
        <sz val="10"/>
        <rFont val="Franklin Gothic Book"/>
        <family val="2"/>
      </rPr>
      <t>2</t>
    </r>
    <r>
      <rPr>
        <sz val="10"/>
        <rFont val="Franklin Gothic Book"/>
        <family val="2"/>
      </rPr>
      <t xml:space="preserve">O-N/year </t>
    </r>
    <phoneticPr fontId="0" type="noConversion"/>
  </si>
  <si>
    <r>
      <t>LE</t>
    </r>
    <r>
      <rPr>
        <b/>
        <vertAlign val="subscript"/>
        <sz val="10"/>
        <rFont val="Franklin Gothic Book"/>
        <family val="2"/>
      </rPr>
      <t>N2O,land,y</t>
    </r>
    <r>
      <rPr>
        <b/>
        <sz val="10"/>
        <rFont val="Franklin Gothic Book"/>
        <family val="2"/>
      </rPr>
      <t xml:space="preserve"> in this montioring period</t>
    </r>
    <phoneticPr fontId="0" type="noConversion"/>
  </si>
  <si>
    <r>
      <t>LE</t>
    </r>
    <r>
      <rPr>
        <vertAlign val="subscript"/>
        <sz val="8"/>
        <rFont val="Franklin Gothic Book"/>
        <family val="2"/>
      </rPr>
      <t>N2O,runoff</t>
    </r>
    <r>
      <rPr>
        <vertAlign val="subscript"/>
        <sz val="10"/>
        <rFont val="Franklin Gothic Book"/>
        <family val="2"/>
      </rPr>
      <t>,y</t>
    </r>
    <r>
      <rPr>
        <sz val="10"/>
        <rFont val="Franklin Gothic Book"/>
        <family val="2"/>
      </rPr>
      <t>-monthly</t>
    </r>
    <phoneticPr fontId="0" type="noConversion"/>
  </si>
  <si>
    <r>
      <t>kg N</t>
    </r>
    <r>
      <rPr>
        <vertAlign val="subscript"/>
        <sz val="10"/>
        <rFont val="Franklin Gothic Book"/>
        <family val="2"/>
      </rPr>
      <t>2</t>
    </r>
    <r>
      <rPr>
        <sz val="10"/>
        <rFont val="Franklin Gothic Book"/>
        <family val="2"/>
      </rPr>
      <t xml:space="preserve">O-N/year </t>
    </r>
    <phoneticPr fontId="0" type="noConversion"/>
  </si>
  <si>
    <r>
      <t>LE</t>
    </r>
    <r>
      <rPr>
        <b/>
        <vertAlign val="subscript"/>
        <sz val="10"/>
        <color indexed="8"/>
        <rFont val="Franklin Gothic Book"/>
        <family val="2"/>
      </rPr>
      <t>N2O,runoff,y</t>
    </r>
    <r>
      <rPr>
        <b/>
        <sz val="10"/>
        <color indexed="8"/>
        <rFont val="Franklin Gothic Book"/>
        <family val="2"/>
      </rPr>
      <t xml:space="preserve"> in this monitoring period</t>
    </r>
    <phoneticPr fontId="0" type="noConversion"/>
  </si>
  <si>
    <r>
      <t>LE</t>
    </r>
    <r>
      <rPr>
        <vertAlign val="subscript"/>
        <sz val="8"/>
        <rFont val="Franklin Gothic Book"/>
        <family val="2"/>
      </rPr>
      <t>N2O,vol</t>
    </r>
    <r>
      <rPr>
        <vertAlign val="subscript"/>
        <sz val="10"/>
        <rFont val="Franklin Gothic Book"/>
        <family val="2"/>
      </rPr>
      <t>,y</t>
    </r>
    <r>
      <rPr>
        <b/>
        <sz val="10"/>
        <rFont val="Franklin Gothic Book"/>
        <family val="2"/>
      </rPr>
      <t>-monthly</t>
    </r>
    <phoneticPr fontId="0" type="noConversion"/>
  </si>
  <si>
    <r>
      <t>LE</t>
    </r>
    <r>
      <rPr>
        <vertAlign val="subscript"/>
        <sz val="10"/>
        <rFont val="Franklin Gothic Book"/>
        <family val="2"/>
      </rPr>
      <t>N2O,vol,y</t>
    </r>
    <r>
      <rPr>
        <sz val="10"/>
        <rFont val="Franklin Gothic Book"/>
        <family val="2"/>
      </rPr>
      <t xml:space="preserve"> in this monitoring period</t>
    </r>
    <phoneticPr fontId="0" type="noConversion"/>
  </si>
  <si>
    <r>
      <t>LE</t>
    </r>
    <r>
      <rPr>
        <b/>
        <vertAlign val="subscript"/>
        <sz val="10"/>
        <rFont val="Franklin Gothic Book"/>
        <family val="2"/>
      </rPr>
      <t>BL,N2O,y</t>
    </r>
    <r>
      <rPr>
        <b/>
        <sz val="10"/>
        <rFont val="Franklin Gothic Book"/>
        <family val="2"/>
      </rPr>
      <t xml:space="preserve"> in this monitoring period</t>
    </r>
    <phoneticPr fontId="0" type="noConversion"/>
  </si>
  <si>
    <r>
      <t>N</t>
    </r>
    <r>
      <rPr>
        <b/>
        <vertAlign val="subscript"/>
        <sz val="10"/>
        <rFont val="Franklin Gothic Book"/>
        <family val="2"/>
      </rPr>
      <t>LT</t>
    </r>
    <phoneticPr fontId="0" type="noConversion"/>
  </si>
  <si>
    <r>
      <t>R</t>
    </r>
    <r>
      <rPr>
        <i/>
        <sz val="8"/>
        <rFont val="Franklin Gothic Book"/>
        <family val="2"/>
      </rPr>
      <t>N</t>
    </r>
  </si>
  <si>
    <r>
      <t>LE</t>
    </r>
    <r>
      <rPr>
        <b/>
        <vertAlign val="subscript"/>
        <sz val="10"/>
        <rFont val="Franklin Gothic Book"/>
        <family val="2"/>
      </rPr>
      <t>N2O,land,y</t>
    </r>
    <r>
      <rPr>
        <b/>
        <sz val="10"/>
        <rFont val="Franklin Gothic Book"/>
        <family val="2"/>
      </rPr>
      <t>-monthly</t>
    </r>
    <phoneticPr fontId="0" type="noConversion"/>
  </si>
  <si>
    <r>
      <t>LE</t>
    </r>
    <r>
      <rPr>
        <b/>
        <vertAlign val="subscript"/>
        <sz val="10"/>
        <rFont val="Franklin Gothic Book"/>
        <family val="2"/>
      </rPr>
      <t>N2O,land,y</t>
    </r>
    <r>
      <rPr>
        <b/>
        <sz val="10"/>
        <rFont val="Franklin Gothic Book"/>
        <family val="2"/>
      </rPr>
      <t xml:space="preserve"> in this monitoring period</t>
    </r>
    <phoneticPr fontId="0" type="noConversion"/>
  </si>
  <si>
    <r>
      <t>LE</t>
    </r>
    <r>
      <rPr>
        <b/>
        <vertAlign val="subscript"/>
        <sz val="10"/>
        <rFont val="Franklin Gothic Book"/>
        <family val="2"/>
      </rPr>
      <t>N2O,runoff,y</t>
    </r>
    <r>
      <rPr>
        <b/>
        <sz val="10"/>
        <rFont val="Franklin Gothic Book"/>
        <family val="2"/>
      </rPr>
      <t>-month</t>
    </r>
    <phoneticPr fontId="0" type="noConversion"/>
  </si>
  <si>
    <r>
      <t>LE</t>
    </r>
    <r>
      <rPr>
        <b/>
        <vertAlign val="subscript"/>
        <sz val="10"/>
        <rFont val="Franklin Gothic Book"/>
        <family val="2"/>
      </rPr>
      <t>N2O,runoff,y</t>
    </r>
    <r>
      <rPr>
        <b/>
        <sz val="10"/>
        <rFont val="Franklin Gothic Book"/>
        <family val="2"/>
      </rPr>
      <t xml:space="preserve"> in this monitoring period</t>
    </r>
    <phoneticPr fontId="0" type="noConversion"/>
  </si>
  <si>
    <r>
      <t>LE</t>
    </r>
    <r>
      <rPr>
        <b/>
        <vertAlign val="subscript"/>
        <sz val="10"/>
        <rFont val="Franklin Gothic Book"/>
        <family val="2"/>
      </rPr>
      <t>N2O,vol,y</t>
    </r>
    <r>
      <rPr>
        <b/>
        <sz val="10"/>
        <rFont val="Franklin Gothic Book"/>
        <family val="2"/>
      </rPr>
      <t>-month</t>
    </r>
    <phoneticPr fontId="0" type="noConversion"/>
  </si>
  <si>
    <r>
      <t>LE</t>
    </r>
    <r>
      <rPr>
        <b/>
        <vertAlign val="subscript"/>
        <sz val="10"/>
        <rFont val="Franklin Gothic Book"/>
        <family val="2"/>
      </rPr>
      <t>N2O,vol</t>
    </r>
    <r>
      <rPr>
        <b/>
        <sz val="10"/>
        <rFont val="Franklin Gothic Book"/>
        <family val="2"/>
      </rPr>
      <t xml:space="preserve"> in the 1st monitoring period</t>
    </r>
    <phoneticPr fontId="0" type="noConversion"/>
  </si>
  <si>
    <r>
      <t>LE</t>
    </r>
    <r>
      <rPr>
        <b/>
        <vertAlign val="subscript"/>
        <sz val="10"/>
        <rFont val="Franklin Gothic Book"/>
        <family val="2"/>
      </rPr>
      <t>PJ,N2O</t>
    </r>
    <r>
      <rPr>
        <b/>
        <sz val="10"/>
        <rFont val="Franklin Gothic Book"/>
        <family val="2"/>
      </rPr>
      <t xml:space="preserve"> in this monitoring period</t>
    </r>
    <phoneticPr fontId="0" type="noConversion"/>
  </si>
  <si>
    <r>
      <t>B</t>
    </r>
    <r>
      <rPr>
        <vertAlign val="subscript"/>
        <sz val="10"/>
        <rFont val="Franklin Gothic Book"/>
        <family val="2"/>
      </rPr>
      <t>o,LT</t>
    </r>
    <phoneticPr fontId="0" type="noConversion"/>
  </si>
  <si>
    <r>
      <t>R</t>
    </r>
    <r>
      <rPr>
        <sz val="8"/>
        <rFont val="Franklin Gothic Book"/>
        <family val="2"/>
      </rPr>
      <t>VS</t>
    </r>
  </si>
  <si>
    <r>
      <t xml:space="preserve">LE </t>
    </r>
    <r>
      <rPr>
        <b/>
        <vertAlign val="subscript"/>
        <sz val="10"/>
        <rFont val="Franklin Gothic Book"/>
        <family val="2"/>
      </rPr>
      <t>PJ,CH4 ,y</t>
    </r>
    <r>
      <rPr>
        <b/>
        <sz val="10"/>
        <rFont val="Franklin Gothic Book"/>
        <family val="2"/>
      </rPr>
      <t>-monthly</t>
    </r>
    <phoneticPr fontId="0" type="noConversion"/>
  </si>
  <si>
    <r>
      <t xml:space="preserve">LE </t>
    </r>
    <r>
      <rPr>
        <b/>
        <vertAlign val="subscript"/>
        <sz val="10"/>
        <rFont val="Franklin Gothic Book"/>
        <family val="2"/>
      </rPr>
      <t>PJ,CH4 ,y</t>
    </r>
    <r>
      <rPr>
        <b/>
        <sz val="10"/>
        <rFont val="Franklin Gothic Book"/>
        <family val="2"/>
      </rPr>
      <t xml:space="preserve"> in this monitoring period</t>
    </r>
    <phoneticPr fontId="0" type="noConversion"/>
  </si>
  <si>
    <r>
      <t>LE</t>
    </r>
    <r>
      <rPr>
        <b/>
        <vertAlign val="subscript"/>
        <sz val="10"/>
        <rFont val="Franklin Gothic Book"/>
        <family val="2"/>
      </rPr>
      <t>BL,CH4,y</t>
    </r>
    <phoneticPr fontId="0" type="noConversion"/>
  </si>
  <si>
    <r>
      <t>LE</t>
    </r>
    <r>
      <rPr>
        <b/>
        <vertAlign val="subscript"/>
        <sz val="10"/>
        <rFont val="Franklin Gothic Book"/>
        <family val="2"/>
      </rPr>
      <t>PJ,CH4,y</t>
    </r>
    <phoneticPr fontId="0" type="noConversion"/>
  </si>
  <si>
    <r>
      <t>LE</t>
    </r>
    <r>
      <rPr>
        <b/>
        <vertAlign val="subscript"/>
        <sz val="10"/>
        <rFont val="Franklin Gothic Book"/>
        <family val="2"/>
      </rPr>
      <t>BL,N2O,y</t>
    </r>
    <phoneticPr fontId="0" type="noConversion"/>
  </si>
  <si>
    <r>
      <t>LE</t>
    </r>
    <r>
      <rPr>
        <b/>
        <vertAlign val="subscript"/>
        <sz val="10"/>
        <rFont val="Franklin Gothic Book"/>
        <family val="2"/>
      </rPr>
      <t>PJ,N2O</t>
    </r>
    <phoneticPr fontId="0" type="noConversion"/>
  </si>
  <si>
    <r>
      <t>a. LE</t>
    </r>
    <r>
      <rPr>
        <i/>
        <sz val="8"/>
        <color indexed="9"/>
        <rFont val="Franklin Gothic Book"/>
        <family val="2"/>
      </rPr>
      <t xml:space="preserve">B,CH4 </t>
    </r>
    <r>
      <rPr>
        <b/>
        <sz val="10"/>
        <color indexed="9"/>
        <rFont val="Franklin Gothic Book"/>
        <family val="2"/>
      </rPr>
      <t>CH4- land application</t>
    </r>
  </si>
  <si>
    <r>
      <t>VS</t>
    </r>
    <r>
      <rPr>
        <i/>
        <sz val="8"/>
        <color indexed="9"/>
        <rFont val="Franklin Gothic Book"/>
        <family val="2"/>
      </rPr>
      <t>LT,M</t>
    </r>
  </si>
  <si>
    <r>
      <t>N</t>
    </r>
    <r>
      <rPr>
        <i/>
        <vertAlign val="subscript"/>
        <sz val="10"/>
        <color indexed="9"/>
        <rFont val="Franklin Gothic Book"/>
        <family val="2"/>
      </rPr>
      <t>population(head, animal population)</t>
    </r>
  </si>
  <si>
    <r>
      <t>B</t>
    </r>
    <r>
      <rPr>
        <i/>
        <sz val="8"/>
        <color indexed="9"/>
        <rFont val="Franklin Gothic Book"/>
        <family val="2"/>
      </rPr>
      <t>0,LT</t>
    </r>
  </si>
  <si>
    <r>
      <t>LE</t>
    </r>
    <r>
      <rPr>
        <vertAlign val="subscript"/>
        <sz val="10"/>
        <color indexed="8"/>
        <rFont val="Franklin Gothic Book"/>
        <family val="2"/>
      </rPr>
      <t>N2O,runoff,y</t>
    </r>
    <r>
      <rPr>
        <sz val="10"/>
        <color indexed="8"/>
        <rFont val="Franklin Gothic Book"/>
        <family val="2"/>
      </rPr>
      <t xml:space="preserve"> from 10-June-2020 to 31-December-2020</t>
    </r>
    <phoneticPr fontId="0" type="noConversion"/>
  </si>
  <si>
    <r>
      <t>LE</t>
    </r>
    <r>
      <rPr>
        <vertAlign val="subscript"/>
        <sz val="10"/>
        <color indexed="8"/>
        <rFont val="Franklin Gothic Book"/>
        <family val="2"/>
      </rPr>
      <t>N2O,runoff,y</t>
    </r>
    <r>
      <rPr>
        <sz val="10"/>
        <color indexed="8"/>
        <rFont val="Franklin Gothic Book"/>
        <family val="2"/>
      </rPr>
      <t xml:space="preserve"> from 01-January-2021 to 31-December-2021</t>
    </r>
    <phoneticPr fontId="0" type="noConversion"/>
  </si>
  <si>
    <r>
      <t>LE</t>
    </r>
    <r>
      <rPr>
        <vertAlign val="subscript"/>
        <sz val="10"/>
        <color indexed="8"/>
        <rFont val="Franklin Gothic Book"/>
        <family val="2"/>
      </rPr>
      <t>N2O,vol,y</t>
    </r>
    <r>
      <rPr>
        <sz val="10"/>
        <color indexed="8"/>
        <rFont val="Franklin Gothic Book"/>
        <family val="2"/>
      </rPr>
      <t xml:space="preserve"> from 01-January-2021 to 31-December-2021</t>
    </r>
    <phoneticPr fontId="0" type="noConversion"/>
  </si>
  <si>
    <r>
      <t>LE</t>
    </r>
    <r>
      <rPr>
        <vertAlign val="subscript"/>
        <sz val="10"/>
        <color indexed="8"/>
        <rFont val="Franklin Gothic Book"/>
        <family val="2"/>
      </rPr>
      <t>BL,N2O,y</t>
    </r>
    <r>
      <rPr>
        <sz val="10"/>
        <color indexed="8"/>
        <rFont val="Franklin Gothic Book"/>
        <family val="2"/>
      </rPr>
      <t xml:space="preserve"> from 01-January-2021 to 31-December-2021</t>
    </r>
    <phoneticPr fontId="0" type="noConversion"/>
  </si>
  <si>
    <r>
      <t>LE</t>
    </r>
    <r>
      <rPr>
        <vertAlign val="subscript"/>
        <sz val="10"/>
        <color indexed="8"/>
        <rFont val="Franklin Gothic Book"/>
        <family val="2"/>
      </rPr>
      <t>N2O,vol,y</t>
    </r>
    <r>
      <rPr>
        <sz val="10"/>
        <color indexed="8"/>
        <rFont val="Franklin Gothic Book"/>
        <family val="2"/>
      </rPr>
      <t xml:space="preserve"> from 10-June-2020 to 31-December-2020</t>
    </r>
    <phoneticPr fontId="0" type="noConversion"/>
  </si>
  <si>
    <r>
      <t>LE</t>
    </r>
    <r>
      <rPr>
        <vertAlign val="subscript"/>
        <sz val="10"/>
        <color indexed="8"/>
        <rFont val="Franklin Gothic Book"/>
        <family val="2"/>
      </rPr>
      <t>BL,N2O,y</t>
    </r>
    <r>
      <rPr>
        <sz val="10"/>
        <color indexed="8"/>
        <rFont val="Franklin Gothic Book"/>
        <family val="2"/>
      </rPr>
      <t xml:space="preserve"> from 10-June-2020 to 31-December-2020</t>
    </r>
    <phoneticPr fontId="0" type="noConversion"/>
  </si>
  <si>
    <r>
      <t>LE</t>
    </r>
    <r>
      <rPr>
        <vertAlign val="subscript"/>
        <sz val="10"/>
        <color indexed="8"/>
        <rFont val="Franklin Gothic Book"/>
        <family val="2"/>
      </rPr>
      <t>N2O,land,y</t>
    </r>
    <r>
      <rPr>
        <sz val="10"/>
        <color indexed="8"/>
        <rFont val="Franklin Gothic Book"/>
        <family val="2"/>
      </rPr>
      <t xml:space="preserve"> from 10-June-2020 to 31-December-2020</t>
    </r>
    <phoneticPr fontId="0" type="noConversion"/>
  </si>
  <si>
    <r>
      <t>LE</t>
    </r>
    <r>
      <rPr>
        <vertAlign val="subscript"/>
        <sz val="10"/>
        <color indexed="8"/>
        <rFont val="Franklin Gothic Book"/>
        <family val="2"/>
      </rPr>
      <t>N2O,land,y</t>
    </r>
    <r>
      <rPr>
        <sz val="10"/>
        <color indexed="8"/>
        <rFont val="Franklin Gothic Book"/>
        <family val="2"/>
      </rPr>
      <t xml:space="preserve"> from 01-January-2021 to 31-December-2021</t>
    </r>
    <phoneticPr fontId="0" type="noConversion"/>
  </si>
  <si>
    <r>
      <t>LE</t>
    </r>
    <r>
      <rPr>
        <vertAlign val="subscript"/>
        <sz val="10"/>
        <color indexed="8"/>
        <rFont val="Franklin Gothic Book"/>
        <family val="2"/>
      </rPr>
      <t xml:space="preserve">N2O,land,y </t>
    </r>
    <r>
      <rPr>
        <sz val="10"/>
        <color indexed="8"/>
        <rFont val="Franklin Gothic Book"/>
        <family val="2"/>
      </rPr>
      <t>from 01-January-2021 to 31-December-2021</t>
    </r>
    <phoneticPr fontId="0" type="noConversion"/>
  </si>
  <si>
    <r>
      <t>LE</t>
    </r>
    <r>
      <rPr>
        <vertAlign val="subscript"/>
        <sz val="10"/>
        <color indexed="8"/>
        <rFont val="Franklin Gothic Book"/>
        <family val="2"/>
      </rPr>
      <t>PJ,N2O</t>
    </r>
    <r>
      <rPr>
        <sz val="10"/>
        <color indexed="8"/>
        <rFont val="Franklin Gothic Book"/>
        <family val="2"/>
      </rPr>
      <t xml:space="preserve"> from 01-January-2021 to 31-December-2021</t>
    </r>
    <phoneticPr fontId="0" type="noConversion"/>
  </si>
  <si>
    <r>
      <t>LE</t>
    </r>
    <r>
      <rPr>
        <vertAlign val="subscript"/>
        <sz val="10"/>
        <color indexed="8"/>
        <rFont val="Franklin Gothic Book"/>
        <family val="2"/>
      </rPr>
      <t xml:space="preserve">N2O,land,y </t>
    </r>
    <r>
      <rPr>
        <sz val="10"/>
        <color indexed="8"/>
        <rFont val="Franklin Gothic Book"/>
        <family val="2"/>
      </rPr>
      <t>from 110-June-2020 to 31-December-2020</t>
    </r>
    <phoneticPr fontId="0" type="noConversion"/>
  </si>
  <si>
    <r>
      <t>LE</t>
    </r>
    <r>
      <rPr>
        <vertAlign val="subscript"/>
        <sz val="10"/>
        <color indexed="8"/>
        <rFont val="Franklin Gothic Book"/>
        <family val="2"/>
      </rPr>
      <t>PJ,N2O</t>
    </r>
    <r>
      <rPr>
        <sz val="10"/>
        <color indexed="8"/>
        <rFont val="Franklin Gothic Book"/>
        <family val="2"/>
      </rPr>
      <t xml:space="preserve"> from 10-June-2020 to 31-December-2020</t>
    </r>
    <phoneticPr fontId="0" type="noConversion"/>
  </si>
  <si>
    <r>
      <t>LE</t>
    </r>
    <r>
      <rPr>
        <vertAlign val="subscript"/>
        <sz val="10"/>
        <color indexed="8"/>
        <rFont val="Franklin Gothic Book"/>
        <family val="2"/>
      </rPr>
      <t>BL,CH4,y</t>
    </r>
    <r>
      <rPr>
        <sz val="10"/>
        <color indexed="8"/>
        <rFont val="Franklin Gothic Book"/>
        <family val="2"/>
      </rPr>
      <t xml:space="preserve"> from 10-June-2020 to 31-December-2020</t>
    </r>
    <phoneticPr fontId="0" type="noConversion"/>
  </si>
  <si>
    <r>
      <t>LE</t>
    </r>
    <r>
      <rPr>
        <vertAlign val="subscript"/>
        <sz val="10"/>
        <color indexed="8"/>
        <rFont val="Franklin Gothic Book"/>
        <family val="2"/>
      </rPr>
      <t>BL,CH4,y</t>
    </r>
    <r>
      <rPr>
        <sz val="10"/>
        <color indexed="8"/>
        <rFont val="Franklin Gothic Book"/>
        <family val="2"/>
      </rPr>
      <t xml:space="preserve"> from 01-January-2021 to 31-December-2021</t>
    </r>
    <phoneticPr fontId="0" type="noConversion"/>
  </si>
  <si>
    <r>
      <t>LE</t>
    </r>
    <r>
      <rPr>
        <vertAlign val="subscript"/>
        <sz val="10"/>
        <color indexed="8"/>
        <rFont val="Franklin Gothic Book"/>
        <family val="2"/>
      </rPr>
      <t>PJ,CH4 ,y</t>
    </r>
    <r>
      <rPr>
        <sz val="10"/>
        <color indexed="8"/>
        <rFont val="Franklin Gothic Book"/>
        <family val="2"/>
      </rPr>
      <t xml:space="preserve"> from 01-January-2021 to 31-December-2021</t>
    </r>
    <phoneticPr fontId="0" type="noConversion"/>
  </si>
  <si>
    <r>
      <t>LE</t>
    </r>
    <r>
      <rPr>
        <vertAlign val="subscript"/>
        <sz val="10"/>
        <color indexed="8"/>
        <rFont val="Franklin Gothic Book"/>
        <family val="2"/>
      </rPr>
      <t>PJ,CH4 ,y</t>
    </r>
    <r>
      <rPr>
        <sz val="10"/>
        <color indexed="8"/>
        <rFont val="Franklin Gothic Book"/>
        <family val="2"/>
      </rPr>
      <t xml:space="preserve"> from 10-June-2020 to 31-December-2020</t>
    </r>
    <phoneticPr fontId="0" type="noConversion"/>
  </si>
  <si>
    <t>ACM0010 Version 08.0, page 8</t>
    <phoneticPr fontId="0" type="noConversion"/>
  </si>
  <si>
    <t>ACM0010 Version 08.0, page 10</t>
    <phoneticPr fontId="0" type="noConversion"/>
  </si>
  <si>
    <r>
      <t>Calculated as equation 5 and 6 in JPM, of which N</t>
    </r>
    <r>
      <rPr>
        <vertAlign val="subscript"/>
        <sz val="10"/>
        <color indexed="8"/>
        <rFont val="Franklin Gothic Book"/>
        <family val="2"/>
      </rPr>
      <t>p,LT</t>
    </r>
    <r>
      <rPr>
        <sz val="10"/>
        <color indexed="8"/>
        <rFont val="Franklin Gothic Book"/>
        <family val="2"/>
      </rPr>
      <t xml:space="preserve"> and N</t>
    </r>
    <r>
      <rPr>
        <vertAlign val="subscript"/>
        <sz val="10"/>
        <color indexed="8"/>
        <rFont val="Franklin Gothic Book"/>
        <family val="2"/>
      </rPr>
      <t>da,LT</t>
    </r>
    <r>
      <rPr>
        <sz val="10"/>
        <color indexed="8"/>
        <rFont val="Franklin Gothic Book"/>
        <family val="2"/>
      </rPr>
      <t xml:space="preserve"> is  sourced from "Exported from the stock record of Market swine"
N</t>
    </r>
    <r>
      <rPr>
        <vertAlign val="subscript"/>
        <sz val="10"/>
        <color indexed="8"/>
        <rFont val="Franklin Gothic Book"/>
        <family val="2"/>
      </rPr>
      <t>LT</t>
    </r>
    <r>
      <rPr>
        <sz val="10"/>
        <color indexed="8"/>
        <rFont val="Franklin Gothic Book"/>
        <family val="2"/>
      </rPr>
      <t xml:space="preserve"> for breeding swine is sourced from "Breeding Pig stock record"</t>
    </r>
    <phoneticPr fontId="0" type="noConversion"/>
  </si>
  <si>
    <t>summary table of monthly power consumption record and cross-checked by Grid Company Electricity Statement</t>
    <phoneticPr fontId="0" type="noConversion"/>
  </si>
  <si>
    <t>Ministry of Ecology and Environment of the People's Republic of China for ECPG</t>
    <phoneticPr fontId="0" type="noConversion"/>
  </si>
  <si>
    <r>
      <t>calculated, biogas flow is sourced from Production record sheet from the DCS system , Temperature and pressure is sourced from Production record sheet from the DCS system. Q</t>
    </r>
    <r>
      <rPr>
        <vertAlign val="subscript"/>
        <sz val="10"/>
        <rFont val="Franklin Gothic Book"/>
        <family val="2"/>
      </rPr>
      <t>CH4</t>
    </r>
    <r>
      <rPr>
        <sz val="10"/>
        <rFont val="Franklin Gothic Book"/>
        <family val="2"/>
      </rPr>
      <t xml:space="preserve"> is calculated as equation 23 and 24 in JPM.</t>
    </r>
    <phoneticPr fontId="0" type="noConversion"/>
  </si>
  <si>
    <t>ACM0010 Version08.0, page 8</t>
    <phoneticPr fontId="0" type="noConversion"/>
  </si>
  <si>
    <t>During this monitoring period, there is no equip install in the project activity to monitor the influent into anaerobic digestion and aerobic system, therefore the value of FAer is applied as 100%, which is conservative</t>
    <phoneticPr fontId="0" type="noConversion"/>
  </si>
  <si>
    <t xml:space="preserve"> Fixed value in Equation (12) of ACM0010 Version08.0, page 17</t>
    <phoneticPr fontId="0" type="noConversion"/>
  </si>
  <si>
    <t>Appendix 1 of methodology ACM0010 Version08.0</t>
    <phoneticPr fontId="0" type="noConversion"/>
  </si>
  <si>
    <t>Calculated as equation 5 and 6 in JPM, of which Np,LT and Nda,LT is  sourced from "Exported from the stock record of Market swine"
NLT for breeding swine is sourced from "Breeding Pig stock record"</t>
    <phoneticPr fontId="0" type="noConversion"/>
  </si>
  <si>
    <t>Table provided in Appendix 1 (uncovered anaerobic lagoon as "one cell lagoon")  of ACM0010 Version 08.0</t>
    <phoneticPr fontId="0" type="noConversion"/>
  </si>
  <si>
    <t xml:space="preserve"> Table provided in Appendix 1 (pre-treatment belong to underfloor pit storage,anaerobic-aerobic combined treatment technology belongs to covered first cell of two cell lagoon  ) of ACM0010 Version 08.0</t>
    <phoneticPr fontId="0" type="noConversion"/>
  </si>
  <si>
    <t>Default value ACM0010 Version 08.0</t>
    <phoneticPr fontId="0" type="noConversion"/>
  </si>
  <si>
    <t xml:space="preserve">Table provided in Appendix 1 (uncovered anaerobic lagoon as "one cell lagoon") of ACM0010 </t>
    <phoneticPr fontId="0" type="noConversion"/>
  </si>
  <si>
    <t xml:space="preserve"> Table provided in Annex 1 (pre-treatment belong to underfloor pit storage, anaerobic-aerobic combined treatment technology belongs to covered first cell of two cell lagoon) of ACM0010 </t>
    <phoneticPr fontId="0" type="noConversion"/>
  </si>
  <si>
    <r>
      <t>m</t>
    </r>
    <r>
      <rPr>
        <vertAlign val="superscript"/>
        <sz val="10"/>
        <rFont val="Franklin Gothic Book"/>
        <family val="2"/>
      </rPr>
      <t>3</t>
    </r>
    <r>
      <rPr>
        <sz val="10"/>
        <rFont val="Franklin Gothic Book"/>
        <family val="2"/>
      </rPr>
      <t xml:space="preserve"> CH</t>
    </r>
    <r>
      <rPr>
        <vertAlign val="subscript"/>
        <sz val="10"/>
        <rFont val="Franklin Gothic Book"/>
        <family val="2"/>
      </rPr>
      <t>4</t>
    </r>
    <r>
      <rPr>
        <sz val="10"/>
        <rFont val="Franklin Gothic Book"/>
        <family val="2"/>
      </rPr>
      <t>/kg-VS</t>
    </r>
    <phoneticPr fontId="0" type="noConversion"/>
  </si>
  <si>
    <r>
      <t xml:space="preserve">  kg N</t>
    </r>
    <r>
      <rPr>
        <vertAlign val="subscript"/>
        <sz val="10"/>
        <rFont val="Franklin Gothic Book"/>
        <family val="2"/>
      </rPr>
      <t>2</t>
    </r>
    <r>
      <rPr>
        <sz val="10"/>
        <rFont val="Franklin Gothic Book"/>
        <family val="2"/>
      </rPr>
      <t xml:space="preserve">O-N/year </t>
    </r>
    <phoneticPr fontId="0" type="noConversion"/>
  </si>
  <si>
    <t>Siyang Aiyuan Farm</t>
    <phoneticPr fontId="14" type="noConversion"/>
  </si>
  <si>
    <t>Dongtai Jianggang Farm</t>
    <phoneticPr fontId="14" type="noConversion"/>
  </si>
  <si>
    <t>Sheyang Linhai Farm</t>
    <phoneticPr fontId="14" type="noConversion"/>
  </si>
  <si>
    <t>Siyang Nanliuji</t>
    <phoneticPr fontId="14" type="noConversion"/>
  </si>
  <si>
    <t>production record from DCS system</t>
    <phoneticPr fontId="0" type="noConversion"/>
  </si>
  <si>
    <r>
      <t>Average swine population used in both baseline and project  emission reductions (N</t>
    </r>
    <r>
      <rPr>
        <b/>
        <vertAlign val="subscript"/>
        <sz val="10"/>
        <rFont val="Franklin Gothic Book"/>
        <family val="2"/>
      </rPr>
      <t>L,T</t>
    </r>
    <r>
      <rPr>
        <b/>
        <sz val="10"/>
        <rFont val="Franklin Gothic Book"/>
        <family val="2"/>
      </rPr>
      <t>) and Weight of swine (W</t>
    </r>
    <r>
      <rPr>
        <b/>
        <vertAlign val="subscript"/>
        <sz val="10"/>
        <rFont val="Franklin Gothic Book"/>
        <family val="2"/>
      </rPr>
      <t>site</t>
    </r>
    <r>
      <rPr>
        <b/>
        <sz val="10"/>
        <rFont val="Franklin Gothic Book"/>
        <family val="2"/>
      </rPr>
      <t>)</t>
    </r>
    <phoneticPr fontId="8" type="noConversion"/>
  </si>
  <si>
    <t>tCO2e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</si>
</sst>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0.00_ ;_ &quot;¥&quot;* \-#,##0.00_ ;_ &quot;¥&quot;* &quot;-&quot;??_ ;_ @_ "/>
    <numFmt numFmtId="43" formatCode="_ * #,##0.00_ ;_ * \-#,##0.00_ ;_ * &quot;-&quot;??_ ;_ @_ "/>
    <numFmt numFmtId="176" formatCode="_(* #,##0.00_);_(* \(#,##0.00\);_(* &quot;-&quot;??_);_(@_)"/>
    <numFmt numFmtId="177" formatCode="_(* #,##0_);_(* \(#,##0\);_(* &quot;-&quot;??_);_(@_)"/>
    <numFmt numFmtId="178" formatCode="0_ "/>
    <numFmt numFmtId="179" formatCode="0.00_ "/>
    <numFmt numFmtId="180" formatCode="0.0_ "/>
    <numFmt numFmtId="181" formatCode="_ * #,##0_ ;_ * \-#,##0_ ;_ * &quot;-&quot;??_ ;_ @_ "/>
    <numFmt numFmtId="182" formatCode="_-* #,##0.00\ [$€]_-;\-* #,##0.00\ [$€]_-;_-* &quot;-&quot;??\ [$€]_-;_-@_-"/>
    <numFmt numFmtId="183" formatCode="0.0"/>
    <numFmt numFmtId="184" formatCode="#,##0.000"/>
    <numFmt numFmtId="185" formatCode="0.00_);[Red]\(0.00\)"/>
    <numFmt numFmtId="186" formatCode="0.0000_ "/>
    <numFmt numFmtId="187" formatCode="#,##0.0"/>
    <numFmt numFmtId="188" formatCode="0.000_);[Red]\(0.000\)"/>
    <numFmt numFmtId="189" formatCode="0.00000_);[Red]\(0.00000\)"/>
    <numFmt numFmtId="190" formatCode="0.0_);[Red]\(0.0\)"/>
    <numFmt numFmtId="191" formatCode="0_);[Red]\(0\)"/>
    <numFmt numFmtId="192" formatCode="0.0000"/>
    <numFmt numFmtId="193" formatCode="0.00000"/>
    <numFmt numFmtId="194" formatCode="#,##0.00_);\(#,##0.00\)"/>
    <numFmt numFmtId="195" formatCode="#,##0.00_);[Red]\(#,##0.00\)"/>
    <numFmt numFmtId="196" formatCode="#,##0_);[Red]\(#,##0\)"/>
    <numFmt numFmtId="197" formatCode="#,##0.000_ "/>
    <numFmt numFmtId="198" formatCode="#,##0.00000_);\(#,##0.00000\)"/>
  </numFmts>
  <fonts count="76" x14ac:knownFonts="1">
    <font>
      <sz val="10"/>
      <name val="Arial"/>
      <family val="2"/>
    </font>
    <font>
      <sz val="10"/>
      <name val="Arial"/>
      <family val="2"/>
    </font>
    <font>
      <u/>
      <sz val="10"/>
      <color indexed="12"/>
      <name val="Arial"/>
      <family val="2"/>
    </font>
    <font>
      <sz val="10"/>
      <name val="Arial"/>
      <family val="2"/>
    </font>
    <font>
      <sz val="12"/>
      <name val="宋体"/>
      <family val="3"/>
      <charset val="134"/>
    </font>
    <font>
      <sz val="12"/>
      <color indexed="8"/>
      <name val="宋体"/>
      <family val="3"/>
      <charset val="134"/>
    </font>
    <font>
      <sz val="11"/>
      <name val="Times New Roman"/>
      <family val="1"/>
    </font>
    <font>
      <sz val="10"/>
      <name val="Arial"/>
      <family val="2"/>
    </font>
    <font>
      <sz val="9"/>
      <name val="宋体"/>
      <family val="3"/>
      <charset val="134"/>
    </font>
    <font>
      <sz val="9"/>
      <name val="宋体"/>
      <family val="3"/>
      <charset val="134"/>
    </font>
    <font>
      <b/>
      <sz val="10"/>
      <name val="Calibri"/>
      <family val="2"/>
    </font>
    <font>
      <sz val="10"/>
      <name val="Calibri"/>
      <family val="2"/>
    </font>
    <font>
      <sz val="10"/>
      <name val="宋体"/>
      <family val="3"/>
      <charset val="134"/>
    </font>
    <font>
      <sz val="9"/>
      <name val="宋体"/>
      <family val="3"/>
      <charset val="134"/>
    </font>
    <font>
      <sz val="9"/>
      <name val="宋体"/>
      <family val="3"/>
      <charset val="134"/>
    </font>
    <font>
      <b/>
      <sz val="10"/>
      <name val="宋体"/>
      <family val="3"/>
      <charset val="134"/>
    </font>
    <font>
      <sz val="9"/>
      <name val="宋体"/>
      <family val="3"/>
      <charset val="134"/>
    </font>
    <font>
      <sz val="9"/>
      <name val="宋体"/>
      <family val="3"/>
      <charset val="134"/>
    </font>
    <font>
      <sz val="9"/>
      <name val="微软雅黑"/>
      <family val="2"/>
      <charset val="134"/>
    </font>
    <font>
      <sz val="12"/>
      <name val="Franklin Gothic Book"/>
      <family val="2"/>
    </font>
    <font>
      <b/>
      <sz val="10"/>
      <color indexed="8"/>
      <name val="Franklin Gothic Book"/>
      <family val="2"/>
    </font>
    <font>
      <sz val="10"/>
      <color indexed="8"/>
      <name val="Franklin Gothic Book"/>
      <family val="2"/>
    </font>
    <font>
      <i/>
      <vertAlign val="subscript"/>
      <sz val="10"/>
      <color indexed="8"/>
      <name val="Franklin Gothic Book"/>
      <family val="2"/>
    </font>
    <font>
      <sz val="10"/>
      <name val="Franklin Gothic Book"/>
      <family val="2"/>
    </font>
    <font>
      <vertAlign val="subscript"/>
      <sz val="10"/>
      <color indexed="8"/>
      <name val="Franklin Gothic Book"/>
      <family val="2"/>
    </font>
    <font>
      <vertAlign val="superscript"/>
      <sz val="10"/>
      <color indexed="8"/>
      <name val="Franklin Gothic Book"/>
      <family val="2"/>
    </font>
    <font>
      <i/>
      <vertAlign val="subscript"/>
      <sz val="8"/>
      <color indexed="8"/>
      <name val="Franklin Gothic Book"/>
      <family val="2"/>
    </font>
    <font>
      <vertAlign val="subscript"/>
      <sz val="8"/>
      <color indexed="8"/>
      <name val="Franklin Gothic Book"/>
      <family val="2"/>
    </font>
    <font>
      <i/>
      <sz val="10"/>
      <name val="Franklin Gothic Book"/>
      <family val="2"/>
    </font>
    <font>
      <i/>
      <vertAlign val="subscript"/>
      <sz val="8"/>
      <name val="Franklin Gothic Book"/>
      <family val="2"/>
    </font>
    <font>
      <sz val="8"/>
      <color indexed="8"/>
      <name val="Franklin Gothic Book"/>
      <family val="2"/>
    </font>
    <font>
      <b/>
      <sz val="10"/>
      <name val="Franklin Gothic Book"/>
      <family val="2"/>
    </font>
    <font>
      <b/>
      <sz val="10"/>
      <color indexed="12"/>
      <name val="Franklin Gothic Book"/>
      <family val="2"/>
    </font>
    <font>
      <vertAlign val="subscript"/>
      <sz val="10"/>
      <name val="Franklin Gothic Book"/>
      <family val="2"/>
    </font>
    <font>
      <b/>
      <vertAlign val="subscript"/>
      <sz val="10"/>
      <name val="Franklin Gothic Book"/>
      <family val="2"/>
    </font>
    <font>
      <b/>
      <vertAlign val="subscript"/>
      <sz val="10"/>
      <color indexed="8"/>
      <name val="Franklin Gothic Book"/>
      <family val="2"/>
    </font>
    <font>
      <sz val="8"/>
      <name val="Franklin Gothic Book"/>
      <family val="2"/>
    </font>
    <font>
      <vertAlign val="superscript"/>
      <sz val="10"/>
      <name val="Franklin Gothic Book"/>
      <family val="2"/>
    </font>
    <font>
      <b/>
      <sz val="12"/>
      <name val="Franklin Gothic Book"/>
      <family val="2"/>
    </font>
    <font>
      <b/>
      <vertAlign val="subscript"/>
      <sz val="12"/>
      <name val="Franklin Gothic Book"/>
      <family val="2"/>
    </font>
    <font>
      <sz val="12"/>
      <color indexed="8"/>
      <name val="Franklin Gothic Book"/>
      <family val="2"/>
    </font>
    <font>
      <b/>
      <sz val="11"/>
      <name val="Franklin Gothic Book"/>
      <family val="2"/>
    </font>
    <font>
      <b/>
      <sz val="12"/>
      <color indexed="8"/>
      <name val="Franklin Gothic Book"/>
      <family val="2"/>
    </font>
    <font>
      <b/>
      <vertAlign val="subscript"/>
      <sz val="12"/>
      <color indexed="8"/>
      <name val="Franklin Gothic Book"/>
      <family val="2"/>
    </font>
    <font>
      <sz val="11"/>
      <name val="Franklin Gothic Book"/>
      <family val="2"/>
    </font>
    <font>
      <vertAlign val="subscript"/>
      <sz val="11"/>
      <name val="Franklin Gothic Book"/>
      <family val="2"/>
    </font>
    <font>
      <sz val="10.5"/>
      <color indexed="8"/>
      <name val="Franklin Gothic Book"/>
      <family val="2"/>
    </font>
    <font>
      <vertAlign val="subscript"/>
      <sz val="10.5"/>
      <color indexed="8"/>
      <name val="Franklin Gothic Book"/>
      <family val="2"/>
    </font>
    <font>
      <vertAlign val="superscript"/>
      <sz val="11"/>
      <name val="Franklin Gothic Book"/>
      <family val="2"/>
    </font>
    <font>
      <b/>
      <vertAlign val="subscript"/>
      <sz val="11"/>
      <name val="Franklin Gothic Book"/>
      <family val="2"/>
    </font>
    <font>
      <b/>
      <vertAlign val="superscript"/>
      <sz val="11"/>
      <name val="Franklin Gothic Book"/>
      <family val="2"/>
    </font>
    <font>
      <sz val="10"/>
      <color indexed="10"/>
      <name val="Franklin Gothic Book"/>
      <family val="2"/>
    </font>
    <font>
      <sz val="10"/>
      <color indexed="46"/>
      <name val="Franklin Gothic Book"/>
      <family val="2"/>
    </font>
    <font>
      <u/>
      <sz val="10"/>
      <color indexed="10"/>
      <name val="Franklin Gothic Book"/>
      <family val="2"/>
    </font>
    <font>
      <b/>
      <i/>
      <sz val="10"/>
      <name val="Franklin Gothic Book"/>
      <family val="2"/>
    </font>
    <font>
      <i/>
      <vertAlign val="subscript"/>
      <sz val="10"/>
      <name val="Franklin Gothic Book"/>
      <family val="2"/>
    </font>
    <font>
      <b/>
      <sz val="10"/>
      <color indexed="10"/>
      <name val="Franklin Gothic Book"/>
      <family val="2"/>
    </font>
    <font>
      <vertAlign val="subscript"/>
      <sz val="8"/>
      <name val="Franklin Gothic Book"/>
      <family val="2"/>
    </font>
    <font>
      <i/>
      <sz val="8"/>
      <name val="Franklin Gothic Book"/>
      <family val="2"/>
    </font>
    <font>
      <b/>
      <sz val="8"/>
      <name val="Franklin Gothic Book"/>
      <family val="2"/>
    </font>
    <font>
      <b/>
      <sz val="10"/>
      <color indexed="9"/>
      <name val="Franklin Gothic Book"/>
      <family val="2"/>
    </font>
    <font>
      <sz val="7"/>
      <name val="Franklin Gothic Book"/>
      <family val="2"/>
    </font>
    <font>
      <b/>
      <sz val="7"/>
      <name val="Franklin Gothic Book"/>
      <family val="2"/>
    </font>
    <font>
      <sz val="10"/>
      <color indexed="9"/>
      <name val="Franklin Gothic Book"/>
      <family val="2"/>
    </font>
    <font>
      <i/>
      <sz val="8"/>
      <color indexed="9"/>
      <name val="Franklin Gothic Book"/>
      <family val="2"/>
    </font>
    <font>
      <b/>
      <sz val="10"/>
      <color indexed="46"/>
      <name val="Franklin Gothic Book"/>
      <family val="2"/>
    </font>
    <font>
      <i/>
      <vertAlign val="subscript"/>
      <sz val="10"/>
      <color indexed="9"/>
      <name val="Franklin Gothic Book"/>
      <family val="2"/>
    </font>
    <font>
      <b/>
      <sz val="10"/>
      <name val="宋体"/>
      <family val="3"/>
      <charset val="134"/>
    </font>
    <font>
      <sz val="11"/>
      <color theme="1"/>
      <name val="宋体"/>
      <family val="3"/>
      <charset val="134"/>
      <scheme val="minor"/>
    </font>
    <font>
      <sz val="10"/>
      <color rgb="FF4D4D4C"/>
      <name val="Verdana"/>
      <family val="2"/>
    </font>
    <font>
      <b/>
      <sz val="10"/>
      <color rgb="FFFF0000"/>
      <name val="Calibri"/>
      <family val="2"/>
    </font>
    <font>
      <sz val="10"/>
      <color theme="1"/>
      <name val="Franklin Gothic Book"/>
      <family val="2"/>
    </font>
    <font>
      <sz val="10"/>
      <color rgb="FF222222"/>
      <name val="Franklin Gothic Book"/>
      <family val="2"/>
    </font>
    <font>
      <b/>
      <sz val="14"/>
      <color rgb="FFFF0000"/>
      <name val="Franklin Gothic Book"/>
      <family val="2"/>
    </font>
    <font>
      <b/>
      <sz val="10"/>
      <color theme="1"/>
      <name val="Franklin Gothic Book"/>
      <family val="2"/>
    </font>
    <font>
      <sz val="10"/>
      <color rgb="FF000000"/>
      <name val="Franklin Gothic Book"/>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rgb="FFE0E0E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s>
  <cellStyleXfs count="12">
    <xf numFmtId="0" fontId="0" fillId="0" borderId="0"/>
    <xf numFmtId="182" fontId="7" fillId="0" borderId="0" applyFont="0" applyFill="0" applyBorder="0" applyAlignment="0" applyProtection="0"/>
    <xf numFmtId="0" fontId="68" fillId="0" borderId="0"/>
    <xf numFmtId="0" fontId="3" fillId="0" borderId="0"/>
    <xf numFmtId="0" fontId="4" fillId="0" borderId="0">
      <alignment vertical="center"/>
    </xf>
    <xf numFmtId="0" fontId="4" fillId="0" borderId="0">
      <alignment vertical="center"/>
    </xf>
    <xf numFmtId="9" fontId="3" fillId="0" borderId="0" applyFont="0" applyFill="0" applyBorder="0" applyAlignment="0" applyProtection="0"/>
    <xf numFmtId="9" fontId="1" fillId="0" borderId="0" applyFont="0" applyFill="0" applyBorder="0" applyAlignment="0" applyProtection="0"/>
    <xf numFmtId="0" fontId="5" fillId="0" borderId="0"/>
    <xf numFmtId="0" fontId="4" fillId="0" borderId="0">
      <alignment vertical="center"/>
    </xf>
    <xf numFmtId="0" fontId="2" fillId="0" borderId="0" applyNumberFormat="0" applyFill="0" applyBorder="0" applyAlignment="0" applyProtection="0">
      <alignment vertical="top"/>
      <protection locked="0"/>
    </xf>
    <xf numFmtId="176" fontId="1" fillId="0" borderId="0" applyFont="0" applyFill="0" applyBorder="0" applyAlignment="0" applyProtection="0"/>
  </cellStyleXfs>
  <cellXfs count="625">
    <xf numFmtId="0" fontId="0" fillId="0" borderId="0" xfId="0"/>
    <xf numFmtId="0" fontId="0" fillId="0" borderId="0" xfId="0" applyBorder="1"/>
    <xf numFmtId="0" fontId="0" fillId="0" borderId="1" xfId="0" applyBorder="1"/>
    <xf numFmtId="0" fontId="6" fillId="0" borderId="0" xfId="0" applyFont="1" applyBorder="1" applyAlignment="1">
      <alignment vertical="center"/>
    </xf>
    <xf numFmtId="184" fontId="69" fillId="0" borderId="0" xfId="0" applyNumberFormat="1" applyFont="1" applyBorder="1"/>
    <xf numFmtId="0" fontId="11" fillId="0" borderId="1" xfId="0" applyFont="1" applyBorder="1"/>
    <xf numFmtId="0" fontId="11" fillId="0" borderId="1" xfId="0" applyFont="1" applyBorder="1" applyAlignment="1">
      <alignment vertical="center"/>
    </xf>
    <xf numFmtId="183" fontId="11" fillId="0" borderId="1" xfId="0" applyNumberFormat="1" applyFont="1" applyBorder="1" applyAlignment="1">
      <alignment vertical="center"/>
    </xf>
    <xf numFmtId="2" fontId="0" fillId="0" borderId="0" xfId="0" applyNumberFormat="1" applyBorder="1"/>
    <xf numFmtId="0" fontId="12" fillId="0" borderId="0" xfId="0" applyFont="1" applyBorder="1"/>
    <xf numFmtId="3" fontId="0" fillId="0" borderId="0" xfId="0" applyNumberFormat="1" applyBorder="1"/>
    <xf numFmtId="0" fontId="11" fillId="0" borderId="1" xfId="0" applyFont="1" applyBorder="1" applyAlignment="1">
      <alignment horizontal="center" vertical="center"/>
    </xf>
    <xf numFmtId="0" fontId="70" fillId="0" borderId="1" xfId="0" applyFont="1" applyBorder="1" applyAlignment="1">
      <alignment horizontal="center" vertical="center"/>
    </xf>
    <xf numFmtId="183" fontId="11" fillId="0" borderId="1" xfId="0" applyNumberFormat="1" applyFont="1" applyBorder="1" applyAlignment="1">
      <alignment horizontal="center" vertical="center"/>
    </xf>
    <xf numFmtId="0" fontId="11" fillId="0" borderId="2" xfId="0" applyFont="1" applyBorder="1" applyAlignment="1">
      <alignment horizontal="center" vertical="center"/>
    </xf>
    <xf numFmtId="183" fontId="11" fillId="0" borderId="2" xfId="0" applyNumberFormat="1" applyFont="1" applyBorder="1" applyAlignment="1">
      <alignment vertical="center"/>
    </xf>
    <xf numFmtId="183" fontId="11" fillId="0" borderId="3" xfId="0" applyNumberFormat="1" applyFont="1" applyBorder="1" applyAlignment="1">
      <alignment vertical="center"/>
    </xf>
    <xf numFmtId="0" fontId="11" fillId="0" borderId="3" xfId="0" applyFont="1" applyBorder="1" applyAlignment="1">
      <alignment vertical="center"/>
    </xf>
    <xf numFmtId="0" fontId="11" fillId="0" borderId="2" xfId="0" applyFont="1" applyBorder="1" applyAlignment="1">
      <alignment vertical="center"/>
    </xf>
    <xf numFmtId="0" fontId="0" fillId="0" borderId="2" xfId="0" applyBorder="1"/>
    <xf numFmtId="0" fontId="19" fillId="5" borderId="4" xfId="0" applyFont="1" applyFill="1" applyBorder="1" applyAlignment="1">
      <alignment horizontal="justify" vertical="center" wrapText="1"/>
    </xf>
    <xf numFmtId="0" fontId="19" fillId="0" borderId="5" xfId="0" applyFont="1" applyBorder="1" applyAlignment="1">
      <alignment horizontal="left" vertical="center" wrapText="1"/>
    </xf>
    <xf numFmtId="0" fontId="19" fillId="5" borderId="6" xfId="0" applyFont="1" applyFill="1" applyBorder="1" applyAlignment="1">
      <alignment horizontal="justify" vertical="center" wrapText="1"/>
    </xf>
    <xf numFmtId="0" fontId="19" fillId="0" borderId="7" xfId="0" applyFont="1" applyBorder="1" applyAlignment="1">
      <alignment horizontal="left" vertical="center"/>
    </xf>
    <xf numFmtId="0" fontId="19" fillId="5" borderId="8" xfId="0" applyFont="1" applyFill="1" applyBorder="1" applyAlignment="1">
      <alignment horizontal="justify" vertical="center" wrapText="1"/>
    </xf>
    <xf numFmtId="0" fontId="19" fillId="0" borderId="9" xfId="0" applyFont="1" applyBorder="1" applyAlignment="1">
      <alignment horizontal="left" vertical="center" wrapText="1"/>
    </xf>
    <xf numFmtId="0" fontId="20" fillId="0" borderId="4" xfId="0" applyFont="1" applyBorder="1" applyAlignment="1">
      <alignment horizontal="center"/>
    </xf>
    <xf numFmtId="0" fontId="20" fillId="0" borderId="10" xfId="0" applyFont="1" applyBorder="1" applyAlignment="1">
      <alignment horizontal="center"/>
    </xf>
    <xf numFmtId="0" fontId="20" fillId="0" borderId="6" xfId="0" applyFont="1" applyBorder="1" applyAlignment="1">
      <alignment horizontal="center"/>
    </xf>
    <xf numFmtId="0" fontId="20" fillId="0" borderId="1" xfId="0" applyFont="1" applyBorder="1" applyAlignment="1">
      <alignment horizontal="center"/>
    </xf>
    <xf numFmtId="0" fontId="20" fillId="0" borderId="1" xfId="0" applyFont="1" applyBorder="1" applyAlignment="1">
      <alignment horizontal="center" wrapText="1"/>
    </xf>
    <xf numFmtId="0" fontId="21" fillId="0" borderId="6" xfId="0" applyFont="1" applyBorder="1"/>
    <xf numFmtId="0" fontId="23" fillId="0" borderId="1" xfId="0" applyFont="1" applyFill="1" applyBorder="1" applyAlignment="1">
      <alignment horizontal="right"/>
    </xf>
    <xf numFmtId="0" fontId="21" fillId="0" borderId="1" xfId="0" applyFont="1" applyBorder="1" applyAlignment="1">
      <alignment horizontal="center"/>
    </xf>
    <xf numFmtId="0" fontId="21" fillId="0" borderId="1" xfId="0" applyFont="1" applyBorder="1" applyAlignment="1">
      <alignment horizontal="center" wrapText="1"/>
    </xf>
    <xf numFmtId="9" fontId="23" fillId="0" borderId="1" xfId="0" applyNumberFormat="1" applyFont="1" applyBorder="1" applyAlignment="1">
      <alignment horizontal="right"/>
    </xf>
    <xf numFmtId="9" fontId="23" fillId="0" borderId="1" xfId="0" applyNumberFormat="1" applyFont="1" applyFill="1" applyBorder="1" applyAlignment="1">
      <alignment horizontal="right"/>
    </xf>
    <xf numFmtId="0" fontId="21" fillId="0" borderId="1" xfId="0" applyFont="1" applyFill="1" applyBorder="1" applyAlignment="1">
      <alignment horizontal="center" wrapText="1"/>
    </xf>
    <xf numFmtId="3" fontId="23" fillId="0" borderId="1" xfId="11" applyNumberFormat="1" applyFont="1" applyFill="1" applyBorder="1" applyAlignment="1">
      <alignment horizontal="right" vertical="center"/>
    </xf>
    <xf numFmtId="17" fontId="21" fillId="0" borderId="6" xfId="0" applyNumberFormat="1" applyFont="1" applyBorder="1"/>
    <xf numFmtId="0" fontId="28" fillId="0" borderId="6" xfId="0" applyFont="1" applyBorder="1"/>
    <xf numFmtId="187" fontId="23" fillId="0" borderId="1" xfId="11" applyNumberFormat="1" applyFont="1" applyFill="1" applyBorder="1" applyAlignment="1">
      <alignment horizontal="right" vertical="center"/>
    </xf>
    <xf numFmtId="0" fontId="21" fillId="0" borderId="6" xfId="0" applyFont="1" applyBorder="1" applyAlignment="1">
      <alignment horizontal="left"/>
    </xf>
    <xf numFmtId="0" fontId="23" fillId="0" borderId="1" xfId="0" applyFont="1" applyBorder="1" applyAlignment="1">
      <alignment horizontal="right"/>
    </xf>
    <xf numFmtId="4" fontId="23" fillId="0" borderId="1" xfId="0" applyNumberFormat="1" applyFont="1" applyBorder="1" applyAlignment="1">
      <alignment horizontal="right"/>
    </xf>
    <xf numFmtId="0" fontId="21" fillId="0" borderId="6" xfId="0" applyFont="1" applyFill="1" applyBorder="1"/>
    <xf numFmtId="0" fontId="21" fillId="0" borderId="3" xfId="0" applyFont="1" applyBorder="1" applyAlignment="1">
      <alignment horizontal="center" wrapText="1"/>
    </xf>
    <xf numFmtId="17" fontId="21" fillId="0" borderId="6" xfId="0" applyNumberFormat="1" applyFont="1" applyBorder="1" applyAlignment="1">
      <alignment horizontal="right"/>
    </xf>
    <xf numFmtId="0" fontId="21" fillId="0" borderId="11" xfId="0" applyFont="1" applyFill="1" applyBorder="1" applyAlignment="1">
      <alignment horizontal="center"/>
    </xf>
    <xf numFmtId="0" fontId="31" fillId="0" borderId="4" xfId="0" applyFont="1" applyBorder="1" applyAlignment="1">
      <alignment horizontal="center"/>
    </xf>
    <xf numFmtId="0" fontId="31" fillId="0" borderId="10" xfId="0" applyFont="1" applyBorder="1" applyAlignment="1">
      <alignment horizontal="center"/>
    </xf>
    <xf numFmtId="0" fontId="23" fillId="0" borderId="0" xfId="0" applyFont="1"/>
    <xf numFmtId="0" fontId="23" fillId="0" borderId="1" xfId="0" applyFont="1" applyBorder="1" applyAlignment="1">
      <alignment horizontal="center"/>
    </xf>
    <xf numFmtId="0" fontId="23" fillId="0" borderId="0" xfId="0" applyFont="1" applyBorder="1"/>
    <xf numFmtId="0" fontId="23" fillId="0" borderId="6" xfId="4" applyFont="1" applyFill="1" applyBorder="1">
      <alignment vertical="center"/>
    </xf>
    <xf numFmtId="185" fontId="23" fillId="0" borderId="1" xfId="4" applyNumberFormat="1" applyFont="1" applyFill="1" applyBorder="1" applyAlignment="1">
      <alignment horizontal="right" vertical="center"/>
    </xf>
    <xf numFmtId="17" fontId="23" fillId="0" borderId="6" xfId="4" applyNumberFormat="1" applyFont="1" applyFill="1" applyBorder="1" applyAlignment="1">
      <alignment horizontal="right" vertical="center"/>
    </xf>
    <xf numFmtId="9" fontId="23" fillId="0" borderId="12" xfId="4" applyNumberFormat="1" applyFont="1" applyFill="1" applyBorder="1" applyAlignment="1">
      <alignment horizontal="center" vertical="center"/>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185" fontId="23" fillId="0" borderId="0" xfId="0" applyNumberFormat="1" applyFont="1"/>
    <xf numFmtId="3" fontId="23" fillId="0" borderId="0" xfId="0" applyNumberFormat="1" applyFont="1"/>
    <xf numFmtId="0" fontId="31" fillId="0" borderId="6" xfId="4" applyFont="1" applyFill="1" applyBorder="1">
      <alignment vertical="center"/>
    </xf>
    <xf numFmtId="3" fontId="23" fillId="0" borderId="1" xfId="4" applyNumberFormat="1" applyFont="1" applyFill="1" applyBorder="1" applyAlignment="1">
      <alignment horizontal="center" vertical="center"/>
    </xf>
    <xf numFmtId="3" fontId="31" fillId="0" borderId="1" xfId="4" applyNumberFormat="1" applyFont="1" applyFill="1" applyBorder="1" applyAlignment="1">
      <alignment horizontal="right" vertical="center"/>
    </xf>
    <xf numFmtId="17" fontId="20" fillId="0" borderId="6" xfId="0" applyNumberFormat="1" applyFont="1" applyBorder="1"/>
    <xf numFmtId="3" fontId="31" fillId="0" borderId="1" xfId="9" applyNumberFormat="1" applyFont="1" applyFill="1" applyBorder="1" applyAlignment="1">
      <alignment vertical="center"/>
    </xf>
    <xf numFmtId="0" fontId="23" fillId="0" borderId="1" xfId="0" applyFont="1" applyFill="1" applyBorder="1" applyAlignment="1">
      <alignment horizontal="center"/>
    </xf>
    <xf numFmtId="177" fontId="31" fillId="0" borderId="1" xfId="0" applyNumberFormat="1" applyFont="1" applyFill="1" applyBorder="1"/>
    <xf numFmtId="17" fontId="21" fillId="0" borderId="8" xfId="0" applyNumberFormat="1" applyFont="1" applyBorder="1"/>
    <xf numFmtId="177" fontId="31" fillId="0" borderId="11" xfId="0" applyNumberFormat="1" applyFont="1" applyFill="1" applyBorder="1"/>
    <xf numFmtId="0" fontId="23" fillId="0" borderId="11" xfId="0" applyFont="1" applyFill="1" applyBorder="1" applyAlignment="1">
      <alignment horizontal="center"/>
    </xf>
    <xf numFmtId="0" fontId="31" fillId="0" borderId="4" xfId="0" applyFont="1" applyFill="1" applyBorder="1" applyAlignment="1">
      <alignment horizontal="center"/>
    </xf>
    <xf numFmtId="0" fontId="31" fillId="0" borderId="10" xfId="0" applyFont="1" applyFill="1" applyBorder="1" applyAlignment="1">
      <alignment horizontal="center"/>
    </xf>
    <xf numFmtId="0" fontId="31" fillId="0" borderId="5" xfId="0" applyFont="1" applyFill="1" applyBorder="1" applyAlignment="1">
      <alignment horizontal="center"/>
    </xf>
    <xf numFmtId="0" fontId="31" fillId="0" borderId="6" xfId="0" applyFont="1" applyFill="1" applyBorder="1" applyAlignment="1">
      <alignment horizontal="center"/>
    </xf>
    <xf numFmtId="0" fontId="31" fillId="0" borderId="1" xfId="0" applyFont="1" applyFill="1" applyBorder="1" applyAlignment="1">
      <alignment horizontal="center"/>
    </xf>
    <xf numFmtId="0" fontId="31" fillId="0" borderId="7" xfId="0" applyFont="1" applyFill="1" applyBorder="1" applyAlignment="1">
      <alignment horizontal="center" wrapText="1"/>
    </xf>
    <xf numFmtId="0" fontId="23" fillId="0" borderId="6" xfId="0" applyFont="1" applyFill="1" applyBorder="1" applyAlignment="1">
      <alignment horizontal="left"/>
    </xf>
    <xf numFmtId="0" fontId="23" fillId="0" borderId="7" xfId="0" applyFont="1" applyFill="1" applyBorder="1" applyAlignment="1">
      <alignment horizontal="center" wrapText="1"/>
    </xf>
    <xf numFmtId="0" fontId="23" fillId="0" borderId="6" xfId="9" applyFont="1" applyFill="1" applyBorder="1">
      <alignment vertical="center"/>
    </xf>
    <xf numFmtId="0" fontId="23" fillId="0" borderId="1" xfId="5" applyFont="1" applyFill="1" applyBorder="1" applyAlignment="1">
      <alignment horizontal="center" vertical="center"/>
    </xf>
    <xf numFmtId="0" fontId="23" fillId="0" borderId="6" xfId="5" applyFont="1" applyFill="1" applyBorder="1">
      <alignment vertical="center"/>
    </xf>
    <xf numFmtId="4" fontId="23" fillId="0" borderId="1" xfId="8" applyNumberFormat="1" applyFont="1" applyFill="1" applyBorder="1" applyAlignment="1">
      <alignment horizontal="center"/>
    </xf>
    <xf numFmtId="0" fontId="23" fillId="0" borderId="1" xfId="5" applyFont="1" applyFill="1" applyBorder="1" applyAlignment="1">
      <alignment horizontal="center" vertical="center" wrapText="1"/>
    </xf>
    <xf numFmtId="0" fontId="23" fillId="0" borderId="7" xfId="5" applyFont="1" applyFill="1" applyBorder="1" applyAlignment="1">
      <alignment horizontal="center" vertical="center" wrapText="1"/>
    </xf>
    <xf numFmtId="17" fontId="23" fillId="0" borderId="6" xfId="5" applyNumberFormat="1" applyFont="1" applyFill="1" applyBorder="1" applyAlignment="1">
      <alignment horizontal="right" vertical="center"/>
    </xf>
    <xf numFmtId="3" fontId="23" fillId="0" borderId="1" xfId="11" applyNumberFormat="1" applyFont="1" applyFill="1" applyBorder="1" applyAlignment="1">
      <alignment horizontal="center" vertical="center"/>
    </xf>
    <xf numFmtId="0" fontId="23" fillId="0" borderId="1" xfId="9" applyFont="1" applyFill="1" applyBorder="1" applyAlignment="1">
      <alignment horizontal="center" vertical="center"/>
    </xf>
    <xf numFmtId="9" fontId="23" fillId="0" borderId="1" xfId="9" applyNumberFormat="1" applyFont="1" applyFill="1" applyBorder="1" applyAlignment="1">
      <alignment horizontal="center" vertical="center"/>
    </xf>
    <xf numFmtId="0" fontId="71" fillId="0" borderId="1" xfId="5" applyFont="1" applyFill="1" applyBorder="1" applyAlignment="1">
      <alignment horizontal="center" vertical="center"/>
    </xf>
    <xf numFmtId="9" fontId="23" fillId="0" borderId="1" xfId="5" applyNumberFormat="1" applyFont="1" applyFill="1" applyBorder="1" applyAlignment="1">
      <alignment horizontal="center" vertical="center"/>
    </xf>
    <xf numFmtId="0" fontId="31" fillId="0" borderId="1" xfId="0" applyFont="1" applyFill="1" applyBorder="1"/>
    <xf numFmtId="0" fontId="21" fillId="0" borderId="7" xfId="0" applyFont="1" applyFill="1" applyBorder="1" applyAlignment="1">
      <alignment horizontal="center" wrapText="1"/>
    </xf>
    <xf numFmtId="17" fontId="23" fillId="0" borderId="15" xfId="9" applyNumberFormat="1" applyFont="1" applyFill="1" applyBorder="1" applyAlignment="1">
      <alignment horizontal="right" vertical="center"/>
    </xf>
    <xf numFmtId="178" fontId="23" fillId="0" borderId="1" xfId="5" applyNumberFormat="1" applyFont="1" applyFill="1" applyBorder="1" applyAlignment="1">
      <alignment horizontal="center" vertical="center"/>
    </xf>
    <xf numFmtId="17" fontId="21" fillId="0" borderId="6" xfId="0" applyNumberFormat="1" applyFont="1" applyFill="1" applyBorder="1"/>
    <xf numFmtId="0" fontId="31" fillId="0" borderId="8" xfId="0" applyFont="1" applyFill="1" applyBorder="1"/>
    <xf numFmtId="0" fontId="38" fillId="0" borderId="4" xfId="0" applyFont="1" applyBorder="1" applyAlignment="1">
      <alignment horizontal="center" vertical="center"/>
    </xf>
    <xf numFmtId="0" fontId="38" fillId="6" borderId="10" xfId="0" applyFont="1" applyFill="1" applyBorder="1" applyAlignment="1">
      <alignment horizontal="center" vertical="center"/>
    </xf>
    <xf numFmtId="0" fontId="38" fillId="0" borderId="5" xfId="0" applyFont="1" applyBorder="1" applyAlignment="1">
      <alignment horizontal="center" vertical="center"/>
    </xf>
    <xf numFmtId="17" fontId="40" fillId="0" borderId="6" xfId="0" applyNumberFormat="1" applyFont="1" applyFill="1" applyBorder="1" applyAlignment="1">
      <alignment horizontal="center" vertical="center"/>
    </xf>
    <xf numFmtId="196" fontId="19" fillId="0" borderId="1" xfId="0" applyNumberFormat="1" applyFont="1" applyFill="1" applyBorder="1" applyAlignment="1">
      <alignment horizontal="center" vertical="center"/>
    </xf>
    <xf numFmtId="196" fontId="19" fillId="6" borderId="1" xfId="0" applyNumberFormat="1" applyFont="1" applyFill="1" applyBorder="1" applyAlignment="1">
      <alignment horizontal="center" vertical="center"/>
    </xf>
    <xf numFmtId="196" fontId="19" fillId="0" borderId="1" xfId="0" applyNumberFormat="1" applyFont="1" applyBorder="1" applyAlignment="1">
      <alignment horizontal="center" vertical="center" wrapText="1"/>
    </xf>
    <xf numFmtId="196" fontId="19" fillId="0" borderId="7" xfId="0" applyNumberFormat="1" applyFont="1" applyBorder="1" applyAlignment="1">
      <alignment horizontal="center" vertical="center"/>
    </xf>
    <xf numFmtId="0" fontId="19" fillId="0" borderId="8" xfId="0" applyFont="1" applyBorder="1" applyAlignment="1">
      <alignment horizontal="center" vertical="center"/>
    </xf>
    <xf numFmtId="196" fontId="19" fillId="0" borderId="11" xfId="0" applyNumberFormat="1" applyFont="1" applyBorder="1" applyAlignment="1">
      <alignment horizontal="center" vertical="center"/>
    </xf>
    <xf numFmtId="196" fontId="19" fillId="0" borderId="9" xfId="0" applyNumberFormat="1" applyFont="1" applyBorder="1" applyAlignment="1">
      <alignment horizontal="center" vertical="center"/>
    </xf>
    <xf numFmtId="0" fontId="23" fillId="0" borderId="6" xfId="0" applyFont="1" applyBorder="1" applyAlignment="1">
      <alignment wrapText="1"/>
    </xf>
    <xf numFmtId="0" fontId="23" fillId="0" borderId="1" xfId="0" applyFont="1" applyBorder="1" applyAlignment="1">
      <alignment wrapText="1"/>
    </xf>
    <xf numFmtId="0" fontId="23" fillId="0" borderId="7" xfId="0" applyFont="1" applyBorder="1" applyAlignment="1">
      <alignment horizontal="center" vertical="center" wrapText="1"/>
    </xf>
    <xf numFmtId="0" fontId="23" fillId="0" borderId="6" xfId="0" applyFont="1" applyBorder="1"/>
    <xf numFmtId="180" fontId="23" fillId="0" borderId="0" xfId="0" applyNumberFormat="1" applyFont="1"/>
    <xf numFmtId="0" fontId="23" fillId="0" borderId="1" xfId="0" applyFont="1" applyBorder="1"/>
    <xf numFmtId="183" fontId="23" fillId="0" borderId="1" xfId="0" applyNumberFormat="1" applyFont="1" applyBorder="1" applyAlignment="1">
      <alignment horizontal="center"/>
    </xf>
    <xf numFmtId="183" fontId="23" fillId="0" borderId="7" xfId="0" applyNumberFormat="1" applyFont="1" applyBorder="1" applyAlignment="1">
      <alignment horizontal="center"/>
    </xf>
    <xf numFmtId="0" fontId="23" fillId="0" borderId="3" xfId="0" applyFont="1" applyBorder="1"/>
    <xf numFmtId="0" fontId="23" fillId="0" borderId="8" xfId="0" applyFont="1" applyBorder="1"/>
    <xf numFmtId="194" fontId="23" fillId="0" borderId="11" xfId="11" applyNumberFormat="1" applyFont="1" applyFill="1" applyBorder="1"/>
    <xf numFmtId="0" fontId="23" fillId="0" borderId="8" xfId="0" applyFont="1" applyFill="1" applyBorder="1"/>
    <xf numFmtId="0" fontId="23" fillId="0" borderId="11" xfId="0" applyFont="1" applyBorder="1"/>
    <xf numFmtId="183" fontId="23" fillId="0" borderId="11" xfId="0" applyNumberFormat="1" applyFont="1" applyBorder="1" applyAlignment="1">
      <alignment horizontal="center"/>
    </xf>
    <xf numFmtId="183" fontId="23" fillId="0" borderId="9" xfId="0" applyNumberFormat="1" applyFont="1" applyBorder="1" applyAlignment="1">
      <alignment horizontal="center"/>
    </xf>
    <xf numFmtId="183" fontId="23" fillId="0" borderId="0" xfId="0" applyNumberFormat="1" applyFont="1" applyBorder="1" applyAlignment="1">
      <alignment horizontal="center"/>
    </xf>
    <xf numFmtId="183" fontId="23" fillId="0" borderId="0" xfId="0" applyNumberFormat="1" applyFont="1"/>
    <xf numFmtId="44" fontId="23" fillId="0" borderId="0" xfId="0" applyNumberFormat="1" applyFont="1"/>
    <xf numFmtId="14" fontId="23" fillId="0" borderId="0" xfId="0" applyNumberFormat="1" applyFont="1"/>
    <xf numFmtId="0" fontId="23" fillId="0" borderId="0" xfId="0" applyFont="1" applyFill="1"/>
    <xf numFmtId="0" fontId="23" fillId="0" borderId="4" xfId="0" applyFont="1" applyBorder="1"/>
    <xf numFmtId="0" fontId="23" fillId="0" borderId="10" xfId="0" applyFont="1" applyBorder="1"/>
    <xf numFmtId="0" fontId="23" fillId="0" borderId="5" xfId="0" applyFont="1" applyBorder="1"/>
    <xf numFmtId="0" fontId="23" fillId="0" borderId="4" xfId="0" applyFont="1" applyFill="1" applyBorder="1"/>
    <xf numFmtId="0" fontId="23" fillId="0" borderId="10" xfId="0" applyFont="1" applyFill="1" applyBorder="1"/>
    <xf numFmtId="0" fontId="23" fillId="0" borderId="5" xfId="0" applyFont="1" applyFill="1" applyBorder="1"/>
    <xf numFmtId="195" fontId="23" fillId="0" borderId="16" xfId="0" applyNumberFormat="1" applyFont="1" applyBorder="1"/>
    <xf numFmtId="2" fontId="23" fillId="0" borderId="17" xfId="0" applyNumberFormat="1" applyFont="1" applyBorder="1"/>
    <xf numFmtId="190" fontId="23" fillId="0" borderId="15" xfId="0" applyNumberFormat="1" applyFont="1" applyFill="1" applyBorder="1" applyAlignment="1">
      <alignment horizontal="center"/>
    </xf>
    <xf numFmtId="0" fontId="23" fillId="0" borderId="16" xfId="0" applyFont="1" applyFill="1" applyBorder="1"/>
    <xf numFmtId="1" fontId="23" fillId="0" borderId="1" xfId="0" applyNumberFormat="1" applyFont="1" applyFill="1" applyBorder="1" applyAlignment="1">
      <alignment horizontal="center"/>
    </xf>
    <xf numFmtId="193" fontId="23" fillId="0" borderId="1" xfId="0" applyNumberFormat="1" applyFont="1" applyFill="1" applyBorder="1" applyAlignment="1">
      <alignment horizontal="center"/>
    </xf>
    <xf numFmtId="2" fontId="23" fillId="0" borderId="16" xfId="0" applyNumberFormat="1" applyFont="1" applyFill="1" applyBorder="1" applyAlignment="1">
      <alignment horizontal="center"/>
    </xf>
    <xf numFmtId="2" fontId="23" fillId="0" borderId="1" xfId="0" applyNumberFormat="1" applyFont="1" applyFill="1" applyBorder="1" applyAlignment="1">
      <alignment horizontal="center"/>
    </xf>
    <xf numFmtId="2" fontId="23" fillId="0" borderId="7" xfId="0" applyNumberFormat="1" applyFont="1" applyFill="1" applyBorder="1" applyAlignment="1">
      <alignment horizontal="center"/>
    </xf>
    <xf numFmtId="0" fontId="23" fillId="0" borderId="0" xfId="0" applyFont="1" applyFill="1" applyBorder="1" applyAlignment="1">
      <alignment horizontal="right"/>
    </xf>
    <xf numFmtId="197" fontId="23" fillId="0" borderId="0" xfId="0" applyNumberFormat="1" applyFont="1"/>
    <xf numFmtId="195" fontId="23" fillId="0" borderId="1" xfId="11" applyNumberFormat="1" applyFont="1" applyBorder="1"/>
    <xf numFmtId="190" fontId="23" fillId="0" borderId="6" xfId="0" applyNumberFormat="1" applyFont="1" applyFill="1" applyBorder="1" applyAlignment="1">
      <alignment horizontal="center"/>
    </xf>
    <xf numFmtId="2" fontId="23" fillId="0" borderId="0" xfId="0" applyNumberFormat="1" applyFont="1"/>
    <xf numFmtId="195" fontId="23" fillId="0" borderId="3" xfId="11" applyNumberFormat="1" applyFont="1" applyBorder="1"/>
    <xf numFmtId="190" fontId="23" fillId="0" borderId="18" xfId="0" applyNumberFormat="1" applyFont="1" applyFill="1" applyBorder="1" applyAlignment="1">
      <alignment horizontal="center"/>
    </xf>
    <xf numFmtId="0" fontId="23" fillId="0" borderId="3" xfId="0" applyFont="1" applyFill="1" applyBorder="1" applyAlignment="1">
      <alignment horizontal="center"/>
    </xf>
    <xf numFmtId="1" fontId="23" fillId="0" borderId="3" xfId="0" applyNumberFormat="1" applyFont="1" applyFill="1" applyBorder="1" applyAlignment="1">
      <alignment horizontal="center"/>
    </xf>
    <xf numFmtId="2" fontId="23" fillId="0" borderId="3" xfId="0" applyNumberFormat="1" applyFont="1" applyFill="1" applyBorder="1" applyAlignment="1">
      <alignment horizontal="center"/>
    </xf>
    <xf numFmtId="195" fontId="23" fillId="0" borderId="11" xfId="11" applyNumberFormat="1" applyFont="1" applyBorder="1"/>
    <xf numFmtId="194" fontId="23" fillId="0" borderId="9" xfId="11" applyNumberFormat="1" applyFont="1" applyBorder="1"/>
    <xf numFmtId="0" fontId="23" fillId="0" borderId="11" xfId="0" applyFont="1" applyFill="1" applyBorder="1"/>
    <xf numFmtId="176" fontId="23" fillId="0" borderId="11" xfId="11" applyFont="1" applyFill="1" applyBorder="1"/>
    <xf numFmtId="2" fontId="23" fillId="0" borderId="9" xfId="0" applyNumberFormat="1" applyFont="1" applyFill="1" applyBorder="1"/>
    <xf numFmtId="43" fontId="23" fillId="0" borderId="0" xfId="0" applyNumberFormat="1" applyFont="1" applyFill="1" applyBorder="1"/>
    <xf numFmtId="2" fontId="23" fillId="0" borderId="0" xfId="0" applyNumberFormat="1" applyFont="1" applyFill="1" applyBorder="1" applyAlignment="1">
      <alignment horizontal="center"/>
    </xf>
    <xf numFmtId="2" fontId="23" fillId="0" borderId="0" xfId="0" applyNumberFormat="1" applyFont="1" applyFill="1"/>
    <xf numFmtId="190" fontId="23" fillId="0" borderId="0" xfId="0" applyNumberFormat="1" applyFont="1" applyBorder="1"/>
    <xf numFmtId="3" fontId="23" fillId="0" borderId="0" xfId="0" applyNumberFormat="1" applyFont="1" applyFill="1"/>
    <xf numFmtId="1" fontId="23" fillId="0" borderId="0" xfId="0" applyNumberFormat="1" applyFont="1"/>
    <xf numFmtId="179" fontId="23" fillId="0" borderId="0" xfId="0" applyNumberFormat="1" applyFont="1" applyFill="1"/>
    <xf numFmtId="0" fontId="72" fillId="0" borderId="0" xfId="0" applyFont="1" applyFill="1"/>
    <xf numFmtId="181" fontId="23" fillId="0" borderId="0" xfId="0" applyNumberFormat="1" applyFont="1" applyFill="1"/>
    <xf numFmtId="179" fontId="23" fillId="0" borderId="0" xfId="0" applyNumberFormat="1" applyFont="1"/>
    <xf numFmtId="2" fontId="23" fillId="0" borderId="0" xfId="0" applyNumberFormat="1" applyFont="1" applyBorder="1"/>
    <xf numFmtId="186" fontId="23" fillId="0" borderId="0" xfId="0" applyNumberFormat="1" applyFont="1"/>
    <xf numFmtId="0" fontId="73" fillId="0" borderId="19" xfId="0" applyFont="1" applyBorder="1" applyAlignment="1">
      <alignment vertical="center"/>
    </xf>
    <xf numFmtId="0" fontId="73" fillId="0" borderId="0" xfId="0" applyFont="1" applyAlignment="1">
      <alignment horizontal="left" vertical="center"/>
    </xf>
    <xf numFmtId="0" fontId="23" fillId="0" borderId="0" xfId="0" applyFont="1" applyAlignment="1">
      <alignment vertical="center"/>
    </xf>
    <xf numFmtId="0" fontId="19" fillId="0" borderId="1" xfId="0" applyFont="1" applyBorder="1" applyAlignment="1">
      <alignment vertical="center"/>
    </xf>
    <xf numFmtId="0" fontId="38" fillId="0" borderId="20" xfId="0" applyFont="1" applyBorder="1" applyAlignment="1">
      <alignment horizontal="center" vertical="center"/>
    </xf>
    <xf numFmtId="0" fontId="38" fillId="0" borderId="1" xfId="0" applyFont="1" applyBorder="1" applyAlignment="1">
      <alignment horizontal="center" vertical="center"/>
    </xf>
    <xf numFmtId="0" fontId="44" fillId="7"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8" borderId="1" xfId="0" applyFont="1" applyFill="1" applyBorder="1" applyAlignment="1">
      <alignment horizontal="center" vertical="center"/>
    </xf>
    <xf numFmtId="0" fontId="44" fillId="8" borderId="1" xfId="0" applyFont="1" applyFill="1" applyBorder="1" applyAlignment="1">
      <alignment horizontal="center" vertical="center" wrapText="1"/>
    </xf>
    <xf numFmtId="1" fontId="19" fillId="0" borderId="1" xfId="0" applyNumberFormat="1" applyFont="1" applyBorder="1" applyAlignment="1">
      <alignment horizontal="center" vertical="center"/>
    </xf>
    <xf numFmtId="179" fontId="44" fillId="7" borderId="1" xfId="0" applyNumberFormat="1" applyFont="1" applyFill="1" applyBorder="1" applyAlignment="1">
      <alignment horizontal="center" vertical="center"/>
    </xf>
    <xf numFmtId="192" fontId="44" fillId="7" borderId="1" xfId="0" applyNumberFormat="1" applyFont="1" applyFill="1" applyBorder="1" applyAlignment="1">
      <alignment horizontal="center" vertical="center" wrapText="1"/>
    </xf>
    <xf numFmtId="192" fontId="23" fillId="7" borderId="1" xfId="0" applyNumberFormat="1" applyFont="1" applyFill="1" applyBorder="1" applyAlignment="1">
      <alignment horizontal="center" vertical="center"/>
    </xf>
    <xf numFmtId="2" fontId="44" fillId="8" borderId="1" xfId="0" applyNumberFormat="1" applyFont="1" applyFill="1" applyBorder="1" applyAlignment="1">
      <alignment horizontal="center" vertical="center"/>
    </xf>
    <xf numFmtId="179" fontId="44" fillId="8" borderId="1" xfId="0" applyNumberFormat="1" applyFont="1" applyFill="1" applyBorder="1" applyAlignment="1">
      <alignment horizontal="center" vertical="center"/>
    </xf>
    <xf numFmtId="1" fontId="44" fillId="8" borderId="1" xfId="0" applyNumberFormat="1" applyFont="1" applyFill="1" applyBorder="1" applyAlignment="1">
      <alignment horizontal="center" vertical="center" wrapText="1"/>
    </xf>
    <xf numFmtId="2" fontId="44" fillId="8" borderId="1" xfId="0" applyNumberFormat="1" applyFont="1" applyFill="1" applyBorder="1" applyAlignment="1">
      <alignment horizontal="center" vertical="center" wrapText="1"/>
    </xf>
    <xf numFmtId="192" fontId="44" fillId="8" borderId="1" xfId="0" applyNumberFormat="1" applyFont="1" applyFill="1" applyBorder="1" applyAlignment="1">
      <alignment horizontal="center" vertical="center" wrapText="1"/>
    </xf>
    <xf numFmtId="2" fontId="44" fillId="7" borderId="1" xfId="0" applyNumberFormat="1" applyFont="1" applyFill="1" applyBorder="1" applyAlignment="1">
      <alignment horizontal="center" vertical="center"/>
    </xf>
    <xf numFmtId="192" fontId="44" fillId="8" borderId="1" xfId="0" applyNumberFormat="1" applyFont="1" applyFill="1" applyBorder="1" applyAlignment="1">
      <alignment horizontal="center" vertical="center"/>
    </xf>
    <xf numFmtId="192" fontId="23" fillId="8" borderId="1" xfId="0" applyNumberFormat="1" applyFont="1" applyFill="1" applyBorder="1" applyAlignment="1">
      <alignment horizontal="center" vertical="center"/>
    </xf>
    <xf numFmtId="179" fontId="44" fillId="9" borderId="21" xfId="0" applyNumberFormat="1" applyFont="1" applyFill="1" applyBorder="1" applyAlignment="1">
      <alignment vertical="center"/>
    </xf>
    <xf numFmtId="186" fontId="44" fillId="9" borderId="1" xfId="0" applyNumberFormat="1" applyFont="1" applyFill="1" applyBorder="1" applyAlignment="1">
      <alignment horizontal="center" vertical="center"/>
    </xf>
    <xf numFmtId="1" fontId="44" fillId="8" borderId="1" xfId="0" applyNumberFormat="1" applyFont="1" applyFill="1" applyBorder="1" applyAlignment="1">
      <alignment horizontal="center" vertical="center"/>
    </xf>
    <xf numFmtId="178" fontId="44" fillId="7" borderId="1" xfId="0" applyNumberFormat="1" applyFont="1" applyFill="1" applyBorder="1" applyAlignment="1">
      <alignment horizontal="center" vertical="center"/>
    </xf>
    <xf numFmtId="178" fontId="44" fillId="8" borderId="1" xfId="0" applyNumberFormat="1" applyFont="1" applyFill="1" applyBorder="1" applyAlignment="1">
      <alignment horizontal="center" vertical="center"/>
    </xf>
    <xf numFmtId="1" fontId="44" fillId="7" borderId="1" xfId="0" applyNumberFormat="1" applyFont="1" applyFill="1" applyBorder="1" applyAlignment="1">
      <alignment horizontal="center" vertical="center"/>
    </xf>
    <xf numFmtId="0" fontId="19" fillId="0" borderId="0" xfId="0" applyFont="1" applyAlignment="1">
      <alignment vertical="center"/>
    </xf>
    <xf numFmtId="0" fontId="73" fillId="0" borderId="0" xfId="0" applyFont="1" applyAlignment="1">
      <alignment vertical="center"/>
    </xf>
    <xf numFmtId="178" fontId="73" fillId="0" borderId="0" xfId="0" applyNumberFormat="1" applyFont="1" applyAlignment="1">
      <alignment vertical="center"/>
    </xf>
    <xf numFmtId="0" fontId="41" fillId="0" borderId="13" xfId="0" applyFont="1" applyBorder="1" applyAlignment="1">
      <alignment vertical="center"/>
    </xf>
    <xf numFmtId="0" fontId="41" fillId="0" borderId="0" xfId="0" applyFont="1" applyAlignment="1">
      <alignment vertical="center"/>
    </xf>
    <xf numFmtId="0" fontId="41" fillId="6" borderId="1" xfId="0" applyFont="1" applyFill="1" applyBorder="1" applyAlignment="1">
      <alignment horizontal="center" vertical="center"/>
    </xf>
    <xf numFmtId="179" fontId="44" fillId="0" borderId="13" xfId="0" applyNumberFormat="1" applyFont="1" applyBorder="1" applyAlignment="1">
      <alignment vertical="center"/>
    </xf>
    <xf numFmtId="179" fontId="44" fillId="0" borderId="0" xfId="0" applyNumberFormat="1" applyFont="1" applyAlignment="1">
      <alignment vertical="center"/>
    </xf>
    <xf numFmtId="0" fontId="41" fillId="0" borderId="0" xfId="0" applyFont="1" applyAlignment="1">
      <alignment horizontal="center" vertical="center"/>
    </xf>
    <xf numFmtId="179" fontId="44" fillId="0" borderId="0" xfId="0" applyNumberFormat="1" applyFont="1" applyAlignment="1">
      <alignment horizontal="left" vertical="center"/>
    </xf>
    <xf numFmtId="179" fontId="44" fillId="0" borderId="13" xfId="0" applyNumberFormat="1" applyFont="1" applyBorder="1" applyAlignment="1">
      <alignment horizontal="left" vertical="center"/>
    </xf>
    <xf numFmtId="0" fontId="44" fillId="0" borderId="13" xfId="0" applyFont="1" applyBorder="1" applyAlignment="1">
      <alignment vertical="center"/>
    </xf>
    <xf numFmtId="0" fontId="44" fillId="0" borderId="0" xfId="0" applyFont="1" applyAlignment="1">
      <alignment vertical="center"/>
    </xf>
    <xf numFmtId="0" fontId="44" fillId="0" borderId="0" xfId="0" applyFont="1" applyAlignment="1">
      <alignment horizontal="left" vertical="center"/>
    </xf>
    <xf numFmtId="186" fontId="38" fillId="0" borderId="1" xfId="0" applyNumberFormat="1" applyFont="1" applyBorder="1" applyAlignment="1">
      <alignment horizontal="center" vertical="center"/>
    </xf>
    <xf numFmtId="179" fontId="44" fillId="0" borderId="0" xfId="0" applyNumberFormat="1" applyFont="1" applyAlignment="1">
      <alignment vertical="center" wrapText="1"/>
    </xf>
    <xf numFmtId="179" fontId="44" fillId="0" borderId="0" xfId="0" applyNumberFormat="1" applyFont="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wrapText="1"/>
    </xf>
    <xf numFmtId="0" fontId="38" fillId="6" borderId="1" xfId="0" applyFont="1" applyFill="1" applyBorder="1" applyAlignment="1">
      <alignment horizontal="center" vertical="center"/>
    </xf>
    <xf numFmtId="0" fontId="38" fillId="0" borderId="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center" vertical="center" wrapText="1"/>
    </xf>
    <xf numFmtId="186" fontId="19" fillId="6" borderId="1" xfId="0" applyNumberFormat="1" applyFont="1" applyFill="1" applyBorder="1" applyAlignment="1">
      <alignment horizontal="center" vertical="center"/>
    </xf>
    <xf numFmtId="179" fontId="19" fillId="6" borderId="1" xfId="0" applyNumberFormat="1" applyFont="1" applyFill="1" applyBorder="1" applyAlignment="1">
      <alignment horizontal="center" vertical="center"/>
    </xf>
    <xf numFmtId="186" fontId="19" fillId="0" borderId="1" xfId="0" applyNumberFormat="1" applyFont="1" applyBorder="1" applyAlignment="1">
      <alignment horizontal="center" vertical="center" wrapText="1"/>
    </xf>
    <xf numFmtId="186" fontId="19" fillId="0" borderId="1" xfId="0" applyNumberFormat="1" applyFont="1" applyBorder="1" applyAlignment="1">
      <alignment horizontal="center" vertical="center"/>
    </xf>
    <xf numFmtId="10" fontId="19" fillId="0" borderId="1" xfId="0" applyNumberFormat="1" applyFont="1" applyBorder="1" applyAlignment="1">
      <alignment horizontal="center" vertical="center"/>
    </xf>
    <xf numFmtId="0" fontId="38" fillId="0" borderId="0"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wrapText="1"/>
    </xf>
    <xf numFmtId="3" fontId="23" fillId="0" borderId="20" xfId="5" applyNumberFormat="1" applyFont="1" applyFill="1" applyBorder="1" applyAlignment="1">
      <alignment horizontal="center" vertical="center"/>
    </xf>
    <xf numFmtId="0" fontId="23" fillId="0" borderId="22" xfId="0" applyFont="1" applyBorder="1" applyAlignment="1">
      <alignment horizontal="center" vertical="center"/>
    </xf>
    <xf numFmtId="17" fontId="23" fillId="0" borderId="6" xfId="0" applyNumberFormat="1" applyFont="1" applyBorder="1" applyAlignment="1">
      <alignment horizontal="right"/>
    </xf>
    <xf numFmtId="17" fontId="23" fillId="0" borderId="15" xfId="0" applyNumberFormat="1" applyFont="1" applyBorder="1" applyAlignment="1">
      <alignment horizontal="right"/>
    </xf>
    <xf numFmtId="0" fontId="38" fillId="0" borderId="0" xfId="0" applyFont="1"/>
    <xf numFmtId="0" fontId="31" fillId="0" borderId="0" xfId="0" applyFont="1"/>
    <xf numFmtId="0" fontId="52" fillId="0" borderId="0" xfId="0" applyFont="1"/>
    <xf numFmtId="0" fontId="31" fillId="3" borderId="0" xfId="0" applyFont="1" applyFill="1"/>
    <xf numFmtId="0" fontId="31" fillId="0" borderId="0" xfId="0" applyFont="1" applyBorder="1"/>
    <xf numFmtId="0" fontId="52" fillId="0" borderId="0" xfId="0" applyFont="1" applyAlignment="1">
      <alignment horizontal="center"/>
    </xf>
    <xf numFmtId="0" fontId="51" fillId="0" borderId="0" xfId="0" applyFont="1"/>
    <xf numFmtId="0" fontId="53" fillId="0" borderId="0" xfId="10" applyFont="1" applyAlignment="1" applyProtection="1"/>
    <xf numFmtId="0" fontId="31" fillId="0" borderId="0" xfId="0" applyFont="1" applyAlignment="1">
      <alignment wrapText="1"/>
    </xf>
    <xf numFmtId="0" fontId="23" fillId="0" borderId="0" xfId="0" applyFont="1" applyAlignment="1"/>
    <xf numFmtId="0" fontId="52" fillId="0" borderId="0" xfId="0" applyFont="1" applyAlignment="1">
      <alignment horizontal="left"/>
    </xf>
    <xf numFmtId="0" fontId="54" fillId="0" borderId="0" xfId="0" applyFont="1" applyAlignment="1"/>
    <xf numFmtId="0" fontId="23" fillId="0" borderId="0" xfId="0" applyFont="1" applyAlignment="1">
      <alignment horizontal="right"/>
    </xf>
    <xf numFmtId="0" fontId="31" fillId="0" borderId="6" xfId="0" applyFont="1" applyBorder="1" applyAlignment="1">
      <alignment horizontal="center"/>
    </xf>
    <xf numFmtId="0" fontId="31" fillId="0" borderId="1" xfId="0" applyFont="1" applyBorder="1" applyAlignment="1">
      <alignment horizontal="center"/>
    </xf>
    <xf numFmtId="1" fontId="23" fillId="0" borderId="1" xfId="0" applyNumberFormat="1" applyFont="1" applyFill="1" applyBorder="1" applyAlignment="1">
      <alignment horizontal="right"/>
    </xf>
    <xf numFmtId="0" fontId="23" fillId="6" borderId="1" xfId="0" applyFont="1" applyFill="1" applyBorder="1" applyAlignment="1">
      <alignment horizontal="right"/>
    </xf>
    <xf numFmtId="2" fontId="23" fillId="6" borderId="1" xfId="0" applyNumberFormat="1" applyFont="1" applyFill="1" applyBorder="1" applyAlignment="1">
      <alignment horizontal="right"/>
    </xf>
    <xf numFmtId="4" fontId="23" fillId="0" borderId="1" xfId="0" applyNumberFormat="1" applyFont="1" applyFill="1" applyBorder="1" applyAlignment="1">
      <alignment horizontal="right"/>
    </xf>
    <xf numFmtId="0" fontId="23" fillId="0" borderId="12" xfId="0" applyFont="1" applyBorder="1" applyAlignment="1">
      <alignment horizontal="center" vertical="center"/>
    </xf>
    <xf numFmtId="4" fontId="23" fillId="6" borderId="1" xfId="11" applyNumberFormat="1" applyFont="1" applyFill="1" applyBorder="1" applyAlignment="1">
      <alignment horizontal="right" vertical="center"/>
    </xf>
    <xf numFmtId="1" fontId="23" fillId="6" borderId="1" xfId="0" applyNumberFormat="1" applyFont="1" applyFill="1" applyBorder="1" applyAlignment="1">
      <alignment horizontal="right"/>
    </xf>
    <xf numFmtId="0" fontId="23" fillId="0" borderId="1" xfId="0" applyFont="1" applyBorder="1" applyAlignment="1">
      <alignment horizontal="center" vertical="center" wrapText="1"/>
    </xf>
    <xf numFmtId="0" fontId="23" fillId="0" borderId="1" xfId="0" applyFont="1" applyFill="1" applyBorder="1"/>
    <xf numFmtId="17" fontId="23" fillId="0" borderId="6" xfId="0" applyNumberFormat="1" applyFont="1" applyFill="1" applyBorder="1" applyAlignment="1">
      <alignment horizontal="right"/>
    </xf>
    <xf numFmtId="0" fontId="23" fillId="0" borderId="11" xfId="0" applyFont="1" applyBorder="1" applyAlignment="1">
      <alignment horizontal="center"/>
    </xf>
    <xf numFmtId="0" fontId="31" fillId="0" borderId="0" xfId="0" applyFont="1" applyFill="1" applyBorder="1"/>
    <xf numFmtId="0" fontId="31" fillId="0" borderId="0" xfId="0" applyFont="1" applyFill="1" applyBorder="1" applyAlignment="1">
      <alignment horizontal="center"/>
    </xf>
    <xf numFmtId="0" fontId="23" fillId="0" borderId="0" xfId="0" applyFont="1" applyBorder="1" applyAlignment="1">
      <alignment horizontal="center"/>
    </xf>
    <xf numFmtId="0" fontId="56" fillId="0" borderId="0" xfId="0" applyFont="1" applyFill="1" applyBorder="1"/>
    <xf numFmtId="0" fontId="54" fillId="0" borderId="0" xfId="0" applyFont="1"/>
    <xf numFmtId="2" fontId="23" fillId="0" borderId="1" xfId="0" applyNumberFormat="1" applyFont="1" applyFill="1" applyBorder="1" applyAlignment="1">
      <alignment horizontal="right"/>
    </xf>
    <xf numFmtId="2" fontId="23" fillId="0" borderId="1" xfId="11" applyNumberFormat="1" applyFont="1" applyBorder="1" applyAlignment="1">
      <alignment horizontal="right"/>
    </xf>
    <xf numFmtId="1" fontId="23" fillId="0" borderId="1" xfId="11" applyNumberFormat="1" applyFont="1" applyBorder="1" applyAlignment="1">
      <alignment horizontal="right"/>
    </xf>
    <xf numFmtId="2" fontId="23" fillId="0" borderId="1" xfId="11" applyNumberFormat="1" applyFont="1" applyFill="1" applyBorder="1" applyAlignment="1">
      <alignment horizontal="right"/>
    </xf>
    <xf numFmtId="0" fontId="31" fillId="0" borderId="21" xfId="0" applyFont="1" applyFill="1" applyBorder="1"/>
    <xf numFmtId="177" fontId="31" fillId="0" borderId="0" xfId="0" applyNumberFormat="1" applyFont="1" applyFill="1" applyBorder="1"/>
    <xf numFmtId="0" fontId="23" fillId="0" borderId="0" xfId="0" applyFont="1" applyFill="1" applyBorder="1"/>
    <xf numFmtId="3" fontId="74" fillId="4" borderId="0" xfId="0" applyNumberFormat="1" applyFont="1" applyFill="1" applyAlignment="1">
      <alignment horizontal="left" wrapText="1"/>
    </xf>
    <xf numFmtId="17" fontId="20" fillId="0" borderId="4" xfId="0" applyNumberFormat="1" applyFont="1" applyBorder="1"/>
    <xf numFmtId="177" fontId="31" fillId="0" borderId="5" xfId="11" applyNumberFormat="1" applyFont="1" applyFill="1" applyBorder="1" applyAlignment="1">
      <alignment horizontal="right"/>
    </xf>
    <xf numFmtId="0" fontId="31" fillId="0" borderId="0" xfId="0" applyFont="1" applyAlignment="1"/>
    <xf numFmtId="3" fontId="56" fillId="0" borderId="0" xfId="0" applyNumberFormat="1" applyFont="1" applyFill="1" applyAlignment="1">
      <alignment horizontal="left" wrapText="1"/>
    </xf>
    <xf numFmtId="17" fontId="20" fillId="0" borderId="8" xfId="0" applyNumberFormat="1" applyFont="1" applyBorder="1"/>
    <xf numFmtId="177" fontId="31" fillId="0" borderId="9" xfId="11" applyNumberFormat="1" applyFont="1" applyFill="1" applyBorder="1" applyAlignment="1">
      <alignment horizontal="right"/>
    </xf>
    <xf numFmtId="0" fontId="23" fillId="0" borderId="0" xfId="9" applyFont="1" applyFill="1" applyBorder="1">
      <alignment vertical="center"/>
    </xf>
    <xf numFmtId="177" fontId="23" fillId="0" borderId="0" xfId="9" applyNumberFormat="1" applyFont="1" applyFill="1" applyBorder="1">
      <alignment vertical="center"/>
    </xf>
    <xf numFmtId="178" fontId="23" fillId="0" borderId="0" xfId="9" applyNumberFormat="1" applyFont="1" applyFill="1" applyBorder="1" applyAlignment="1">
      <alignment horizontal="center" vertical="center"/>
    </xf>
    <xf numFmtId="0" fontId="31" fillId="4" borderId="0" xfId="0" applyFont="1" applyFill="1" applyBorder="1"/>
    <xf numFmtId="0" fontId="23" fillId="4" borderId="0" xfId="0" applyFont="1" applyFill="1"/>
    <xf numFmtId="0" fontId="31" fillId="4" borderId="0" xfId="11" applyNumberFormat="1" applyFont="1" applyFill="1" applyBorder="1"/>
    <xf numFmtId="0" fontId="23" fillId="4" borderId="0" xfId="11" applyNumberFormat="1" applyFont="1" applyFill="1" applyBorder="1"/>
    <xf numFmtId="3" fontId="38" fillId="4" borderId="0" xfId="0" applyNumberFormat="1" applyFont="1" applyFill="1" applyBorder="1" applyAlignment="1">
      <alignment horizontal="left"/>
    </xf>
    <xf numFmtId="176" fontId="23" fillId="0" borderId="0" xfId="0" applyNumberFormat="1" applyFont="1" applyBorder="1"/>
    <xf numFmtId="177" fontId="23" fillId="0" borderId="5" xfId="0" applyNumberFormat="1" applyFont="1" applyBorder="1" applyAlignment="1">
      <alignment horizontal="center"/>
    </xf>
    <xf numFmtId="44" fontId="23" fillId="0" borderId="0" xfId="0" applyNumberFormat="1" applyFont="1" applyAlignment="1">
      <alignment horizontal="center"/>
    </xf>
    <xf numFmtId="0" fontId="23" fillId="0" borderId="0" xfId="0" applyFont="1" applyAlignment="1">
      <alignment horizontal="center"/>
    </xf>
    <xf numFmtId="177" fontId="23" fillId="0" borderId="7" xfId="0" applyNumberFormat="1" applyFont="1" applyBorder="1" applyAlignment="1">
      <alignment horizontal="center"/>
    </xf>
    <xf numFmtId="177" fontId="23" fillId="0" borderId="0" xfId="0" applyNumberFormat="1" applyFont="1" applyAlignment="1">
      <alignment horizontal="center"/>
    </xf>
    <xf numFmtId="177" fontId="23" fillId="0" borderId="9" xfId="0" applyNumberFormat="1" applyFont="1" applyBorder="1"/>
    <xf numFmtId="177" fontId="23" fillId="0" borderId="0" xfId="0" applyNumberFormat="1" applyFont="1"/>
    <xf numFmtId="0" fontId="60" fillId="0" borderId="0" xfId="0" applyFont="1" applyFill="1"/>
    <xf numFmtId="0" fontId="23" fillId="3" borderId="0" xfId="0" applyFont="1" applyFill="1"/>
    <xf numFmtId="0" fontId="31" fillId="0" borderId="0" xfId="4" applyFont="1" applyFill="1" applyAlignment="1"/>
    <xf numFmtId="0" fontId="19" fillId="0" borderId="0" xfId="4" applyFont="1">
      <alignment vertical="center"/>
    </xf>
    <xf numFmtId="0" fontId="52" fillId="0" borderId="0" xfId="9" applyFont="1" applyFill="1" applyAlignment="1">
      <alignment horizontal="left" vertical="center"/>
    </xf>
    <xf numFmtId="0" fontId="19" fillId="0" borderId="0" xfId="9" applyFont="1" applyFill="1">
      <alignment vertical="center"/>
    </xf>
    <xf numFmtId="0" fontId="31" fillId="0" borderId="23" xfId="4" applyFont="1" applyFill="1" applyBorder="1" applyAlignment="1"/>
    <xf numFmtId="0" fontId="31" fillId="0" borderId="24" xfId="0" applyFont="1" applyBorder="1" applyAlignment="1">
      <alignment horizontal="center"/>
    </xf>
    <xf numFmtId="0" fontId="23" fillId="0" borderId="6" xfId="4" applyFont="1" applyFill="1" applyBorder="1" applyAlignment="1"/>
    <xf numFmtId="0" fontId="23" fillId="0" borderId="7" xfId="0" applyFont="1" applyFill="1" applyBorder="1" applyAlignment="1">
      <alignment horizontal="center" vertical="center" wrapText="1"/>
    </xf>
    <xf numFmtId="17" fontId="23" fillId="0" borderId="6" xfId="4" applyNumberFormat="1" applyFont="1" applyFill="1" applyBorder="1" applyAlignment="1">
      <alignment horizontal="right"/>
    </xf>
    <xf numFmtId="0" fontId="23" fillId="0" borderId="1" xfId="4" applyFont="1" applyFill="1" applyBorder="1">
      <alignment vertical="center"/>
    </xf>
    <xf numFmtId="9" fontId="23" fillId="0" borderId="1" xfId="4" applyNumberFormat="1" applyFont="1" applyBorder="1">
      <alignment vertical="center"/>
    </xf>
    <xf numFmtId="0" fontId="31" fillId="0" borderId="6" xfId="4" applyFont="1" applyFill="1" applyBorder="1" applyAlignment="1"/>
    <xf numFmtId="1" fontId="31" fillId="0" borderId="1" xfId="4" applyNumberFormat="1" applyFont="1" applyBorder="1">
      <alignment vertical="center"/>
    </xf>
    <xf numFmtId="2" fontId="31" fillId="0" borderId="1" xfId="4" applyNumberFormat="1" applyFont="1" applyBorder="1">
      <alignment vertical="center"/>
    </xf>
    <xf numFmtId="0" fontId="31" fillId="0" borderId="8" xfId="4" applyFont="1" applyFill="1" applyBorder="1" applyAlignment="1"/>
    <xf numFmtId="1" fontId="38" fillId="0" borderId="11" xfId="4" applyNumberFormat="1" applyFont="1" applyBorder="1">
      <alignment vertical="center"/>
    </xf>
    <xf numFmtId="0" fontId="23" fillId="0" borderId="11" xfId="9" applyFont="1" applyFill="1" applyBorder="1" applyAlignment="1">
      <alignment horizontal="center" vertical="center"/>
    </xf>
    <xf numFmtId="0" fontId="31" fillId="0" borderId="0" xfId="4" applyFont="1" applyFill="1" applyBorder="1" applyAlignment="1"/>
    <xf numFmtId="0" fontId="38" fillId="0" borderId="0" xfId="4" applyFont="1" applyBorder="1">
      <alignment vertical="center"/>
    </xf>
    <xf numFmtId="0" fontId="23" fillId="0" borderId="0" xfId="9" applyFont="1" applyFill="1" applyBorder="1" applyAlignment="1">
      <alignment horizontal="center" vertical="center"/>
    </xf>
    <xf numFmtId="0" fontId="23" fillId="0" borderId="0" xfId="9" applyFont="1" applyFill="1" applyBorder="1" applyAlignment="1">
      <alignment horizontal="center" vertical="center" wrapText="1"/>
    </xf>
    <xf numFmtId="0" fontId="19" fillId="0" borderId="0" xfId="4" applyFont="1" applyBorder="1">
      <alignment vertical="center"/>
    </xf>
    <xf numFmtId="0" fontId="19" fillId="0" borderId="0" xfId="9" applyFont="1" applyFill="1" applyBorder="1">
      <alignment vertical="center"/>
    </xf>
    <xf numFmtId="17" fontId="21" fillId="0" borderId="25" xfId="0" applyNumberFormat="1" applyFont="1" applyBorder="1"/>
    <xf numFmtId="0" fontId="31" fillId="0" borderId="25" xfId="0" applyFont="1" applyFill="1" applyBorder="1"/>
    <xf numFmtId="0" fontId="23" fillId="3" borderId="25" xfId="4" applyFont="1" applyFill="1" applyBorder="1">
      <alignment vertical="center"/>
    </xf>
    <xf numFmtId="0" fontId="23" fillId="0" borderId="0" xfId="4" applyFont="1" applyFill="1" applyBorder="1">
      <alignment vertical="center"/>
    </xf>
    <xf numFmtId="0" fontId="31" fillId="0" borderId="0" xfId="4" applyFont="1" applyFill="1" applyBorder="1">
      <alignment vertical="center"/>
    </xf>
    <xf numFmtId="3" fontId="31" fillId="0" borderId="0" xfId="9" applyNumberFormat="1" applyFont="1" applyFill="1" applyBorder="1" applyAlignment="1">
      <alignment horizontal="right" vertical="center"/>
    </xf>
    <xf numFmtId="0" fontId="31" fillId="0" borderId="4" xfId="4" applyFont="1" applyFill="1" applyBorder="1">
      <alignment vertical="center"/>
    </xf>
    <xf numFmtId="3" fontId="31" fillId="0" borderId="10" xfId="9" applyNumberFormat="1" applyFont="1" applyFill="1" applyBorder="1" applyAlignment="1">
      <alignment horizontal="right" vertical="center"/>
    </xf>
    <xf numFmtId="3" fontId="31" fillId="0" borderId="1" xfId="9" applyNumberFormat="1" applyFont="1" applyFill="1" applyBorder="1" applyAlignment="1">
      <alignment horizontal="right" vertical="center"/>
    </xf>
    <xf numFmtId="0" fontId="23" fillId="0" borderId="7" xfId="0" applyFont="1" applyBorder="1"/>
    <xf numFmtId="185" fontId="23" fillId="0" borderId="1" xfId="9" applyNumberFormat="1" applyFont="1" applyFill="1" applyBorder="1" applyAlignment="1">
      <alignment horizontal="right" vertical="center"/>
    </xf>
    <xf numFmtId="189" fontId="23" fillId="0" borderId="1" xfId="9" applyNumberFormat="1" applyFont="1" applyFill="1" applyBorder="1" applyAlignment="1">
      <alignment horizontal="right" vertical="center"/>
    </xf>
    <xf numFmtId="188" fontId="23" fillId="0" borderId="1" xfId="9" applyNumberFormat="1" applyFont="1" applyFill="1" applyBorder="1" applyAlignment="1">
      <alignment horizontal="right" vertical="center"/>
    </xf>
    <xf numFmtId="9" fontId="23" fillId="0" borderId="1" xfId="7" applyFont="1" applyFill="1" applyBorder="1" applyAlignment="1">
      <alignment horizontal="right" vertical="center"/>
    </xf>
    <xf numFmtId="0" fontId="23" fillId="0" borderId="7" xfId="4" applyFont="1" applyBorder="1" applyAlignment="1">
      <alignment horizontal="center" vertical="center"/>
    </xf>
    <xf numFmtId="191" fontId="23" fillId="0" borderId="1" xfId="9" applyNumberFormat="1" applyFont="1" applyFill="1" applyBorder="1" applyAlignment="1">
      <alignment horizontal="right" vertical="center"/>
    </xf>
    <xf numFmtId="0" fontId="31" fillId="0" borderId="1" xfId="4" applyFont="1" applyFill="1" applyBorder="1">
      <alignment vertical="center"/>
    </xf>
    <xf numFmtId="0" fontId="23" fillId="0" borderId="3" xfId="0" applyFont="1" applyBorder="1" applyAlignment="1">
      <alignment horizontal="center"/>
    </xf>
    <xf numFmtId="17" fontId="23" fillId="0" borderId="15" xfId="4" applyNumberFormat="1" applyFont="1" applyFill="1" applyBorder="1" applyAlignment="1">
      <alignment horizontal="right" vertical="center"/>
    </xf>
    <xf numFmtId="179" fontId="23" fillId="0" borderId="1" xfId="7" applyNumberFormat="1" applyFont="1" applyFill="1" applyBorder="1" applyAlignment="1">
      <alignment horizontal="right" vertical="center"/>
    </xf>
    <xf numFmtId="0" fontId="23" fillId="0" borderId="7" xfId="0" applyFont="1" applyFill="1" applyBorder="1" applyAlignment="1">
      <alignment horizontal="center"/>
    </xf>
    <xf numFmtId="0" fontId="31" fillId="0" borderId="8" xfId="4" applyFont="1" applyFill="1" applyBorder="1">
      <alignment vertical="center"/>
    </xf>
    <xf numFmtId="0" fontId="23" fillId="0" borderId="9" xfId="0" applyFont="1" applyFill="1" applyBorder="1" applyAlignment="1">
      <alignment horizontal="center"/>
    </xf>
    <xf numFmtId="0" fontId="23" fillId="3" borderId="0" xfId="4" applyFont="1" applyFill="1" applyBorder="1">
      <alignment vertical="center"/>
    </xf>
    <xf numFmtId="0" fontId="31" fillId="0" borderId="0" xfId="0" applyFont="1" applyFill="1"/>
    <xf numFmtId="0" fontId="23" fillId="6" borderId="1" xfId="4" applyFont="1" applyFill="1" applyBorder="1" applyAlignment="1">
      <alignment horizontal="right"/>
    </xf>
    <xf numFmtId="2" fontId="23" fillId="6" borderId="1" xfId="4" applyNumberFormat="1" applyFont="1" applyFill="1" applyBorder="1" applyAlignment="1">
      <alignment horizontal="right"/>
    </xf>
    <xf numFmtId="3" fontId="23" fillId="6" borderId="1" xfId="11" applyNumberFormat="1" applyFont="1" applyFill="1" applyBorder="1" applyAlignment="1">
      <alignment horizontal="right" vertical="center"/>
    </xf>
    <xf numFmtId="0" fontId="23" fillId="0" borderId="12" xfId="0" applyFont="1" applyBorder="1" applyAlignment="1">
      <alignment horizontal="center" vertical="center" wrapText="1"/>
    </xf>
    <xf numFmtId="9" fontId="23" fillId="6" borderId="1" xfId="0" applyNumberFormat="1" applyFont="1" applyFill="1" applyBorder="1"/>
    <xf numFmtId="178" fontId="23" fillId="6" borderId="1" xfId="0" applyNumberFormat="1" applyFont="1" applyFill="1" applyBorder="1"/>
    <xf numFmtId="184" fontId="23" fillId="0" borderId="1" xfId="9" applyNumberFormat="1" applyFont="1" applyFill="1" applyBorder="1" applyAlignment="1">
      <alignment horizontal="right" vertical="center"/>
    </xf>
    <xf numFmtId="0" fontId="23" fillId="0" borderId="1" xfId="0" applyFont="1" applyFill="1" applyBorder="1" applyAlignment="1">
      <alignment horizontal="center" vertical="center"/>
    </xf>
    <xf numFmtId="4" fontId="23" fillId="0" borderId="1" xfId="9" applyNumberFormat="1" applyFont="1" applyFill="1" applyBorder="1" applyAlignment="1">
      <alignment horizontal="right" vertical="center"/>
    </xf>
    <xf numFmtId="3" fontId="23" fillId="0" borderId="1" xfId="9" applyNumberFormat="1" applyFont="1" applyFill="1" applyBorder="1" applyAlignment="1">
      <alignment horizontal="right" vertical="center"/>
    </xf>
    <xf numFmtId="178" fontId="23" fillId="0" borderId="1" xfId="7" applyNumberFormat="1" applyFont="1" applyFill="1" applyBorder="1" applyAlignment="1">
      <alignment horizontal="right" vertical="center"/>
    </xf>
    <xf numFmtId="0" fontId="63" fillId="0" borderId="0" xfId="0" applyFont="1" applyFill="1"/>
    <xf numFmtId="0" fontId="63" fillId="0" borderId="0" xfId="0" applyFont="1"/>
    <xf numFmtId="0" fontId="60" fillId="0" borderId="0" xfId="0" applyFont="1"/>
    <xf numFmtId="0" fontId="31" fillId="6" borderId="4" xfId="0" applyFont="1" applyFill="1" applyBorder="1" applyAlignment="1">
      <alignment horizontal="center"/>
    </xf>
    <xf numFmtId="0" fontId="23" fillId="0" borderId="1" xfId="4" applyFont="1" applyFill="1" applyBorder="1" applyAlignment="1">
      <alignment horizontal="right"/>
    </xf>
    <xf numFmtId="0" fontId="23" fillId="0" borderId="1" xfId="4" applyNumberFormat="1" applyFont="1" applyFill="1" applyBorder="1" applyAlignment="1">
      <alignment horizontal="right" vertical="center"/>
    </xf>
    <xf numFmtId="4" fontId="23" fillId="0" borderId="1" xfId="4" applyNumberFormat="1" applyFont="1" applyFill="1" applyBorder="1" applyAlignment="1">
      <alignment horizontal="right"/>
    </xf>
    <xf numFmtId="9" fontId="23" fillId="6" borderId="1" xfId="0" applyNumberFormat="1" applyFont="1" applyFill="1" applyBorder="1" applyAlignment="1">
      <alignment horizontal="right"/>
    </xf>
    <xf numFmtId="2" fontId="23" fillId="0" borderId="1" xfId="0" applyNumberFormat="1" applyFont="1" applyBorder="1" applyAlignment="1">
      <alignment horizontal="right"/>
    </xf>
    <xf numFmtId="3" fontId="31" fillId="0" borderId="0" xfId="0" applyNumberFormat="1" applyFont="1" applyBorder="1" applyAlignment="1">
      <alignment horizontal="right"/>
    </xf>
    <xf numFmtId="0" fontId="63" fillId="0" borderId="0" xfId="0" applyFont="1" applyBorder="1"/>
    <xf numFmtId="0" fontId="60" fillId="0" borderId="0" xfId="0" applyFont="1" applyBorder="1" applyAlignment="1">
      <alignment horizontal="center"/>
    </xf>
    <xf numFmtId="17" fontId="21" fillId="0" borderId="4" xfId="0" applyNumberFormat="1" applyFont="1" applyFill="1" applyBorder="1"/>
    <xf numFmtId="17" fontId="21" fillId="0" borderId="8" xfId="0" applyNumberFormat="1" applyFont="1" applyFill="1" applyBorder="1"/>
    <xf numFmtId="179" fontId="23" fillId="0" borderId="0" xfId="9" applyNumberFormat="1" applyFont="1" applyFill="1" applyBorder="1" applyAlignment="1">
      <alignment horizontal="center" vertical="center"/>
    </xf>
    <xf numFmtId="0" fontId="23" fillId="0" borderId="0" xfId="9" quotePrefix="1" applyFont="1" applyFill="1" applyBorder="1" applyAlignment="1">
      <alignment horizontal="right" vertical="center"/>
    </xf>
    <xf numFmtId="0" fontId="38" fillId="0" borderId="0" xfId="0" applyFont="1" applyFill="1" applyBorder="1"/>
    <xf numFmtId="3" fontId="23" fillId="0" borderId="5" xfId="0" applyNumberFormat="1" applyFont="1" applyBorder="1"/>
    <xf numFmtId="3" fontId="23" fillId="0" borderId="9" xfId="0" applyNumberFormat="1" applyFont="1" applyBorder="1" applyAlignment="1"/>
    <xf numFmtId="177" fontId="23" fillId="0" borderId="0" xfId="0" applyNumberFormat="1" applyFont="1" applyAlignment="1">
      <alignment horizontal="left"/>
    </xf>
    <xf numFmtId="0" fontId="38" fillId="0" borderId="0" xfId="0" applyFont="1" applyFill="1"/>
    <xf numFmtId="0" fontId="23" fillId="0" borderId="0" xfId="0" applyFont="1" applyFill="1" applyAlignment="1">
      <alignment horizontal="center"/>
    </xf>
    <xf numFmtId="0" fontId="52" fillId="0" borderId="0" xfId="0" applyFont="1" applyFill="1" applyAlignment="1">
      <alignment horizontal="center"/>
    </xf>
    <xf numFmtId="0" fontId="52" fillId="0" borderId="0" xfId="0" applyFont="1" applyFill="1" applyAlignment="1">
      <alignment horizontal="left"/>
    </xf>
    <xf numFmtId="0" fontId="31" fillId="0" borderId="7" xfId="0" applyFont="1" applyFill="1" applyBorder="1" applyAlignment="1">
      <alignment horizontal="center"/>
    </xf>
    <xf numFmtId="0" fontId="51" fillId="0" borderId="0" xfId="0" applyFont="1" applyFill="1"/>
    <xf numFmtId="4" fontId="23" fillId="0" borderId="1" xfId="5" applyNumberFormat="1" applyFont="1" applyFill="1" applyBorder="1" applyAlignment="1">
      <alignment horizontal="center" vertical="center"/>
    </xf>
    <xf numFmtId="0" fontId="23" fillId="0" borderId="26" xfId="5" applyFont="1" applyFill="1" applyBorder="1">
      <alignment vertical="center"/>
    </xf>
    <xf numFmtId="0" fontId="31" fillId="0" borderId="6" xfId="5" applyFont="1" applyFill="1" applyBorder="1">
      <alignment vertical="center"/>
    </xf>
    <xf numFmtId="176" fontId="23" fillId="0" borderId="1" xfId="5" applyNumberFormat="1" applyFont="1" applyFill="1" applyBorder="1" applyAlignment="1">
      <alignment horizontal="center" vertical="center"/>
    </xf>
    <xf numFmtId="3" fontId="31" fillId="0" borderId="20" xfId="5" applyNumberFormat="1" applyFont="1" applyFill="1" applyBorder="1" applyAlignment="1">
      <alignment horizontal="center" vertical="center"/>
    </xf>
    <xf numFmtId="3" fontId="31" fillId="0" borderId="21" xfId="5" applyNumberFormat="1" applyFont="1" applyFill="1" applyBorder="1" applyAlignment="1">
      <alignment horizontal="center" vertical="center"/>
    </xf>
    <xf numFmtId="2" fontId="23" fillId="0" borderId="1" xfId="5" applyNumberFormat="1" applyFont="1" applyFill="1" applyBorder="1" applyAlignment="1">
      <alignment horizontal="center" vertical="center"/>
    </xf>
    <xf numFmtId="17" fontId="20" fillId="0" borderId="6" xfId="0" applyNumberFormat="1" applyFont="1" applyFill="1" applyBorder="1"/>
    <xf numFmtId="0" fontId="23" fillId="0" borderId="0" xfId="5" applyFont="1" applyFill="1" applyBorder="1">
      <alignment vertical="center"/>
    </xf>
    <xf numFmtId="177" fontId="32" fillId="0" borderId="0" xfId="5" applyNumberFormat="1" applyFont="1" applyFill="1" applyBorder="1" applyAlignment="1">
      <alignment horizontal="center" vertical="center"/>
    </xf>
    <xf numFmtId="0" fontId="52" fillId="0" borderId="0" xfId="0" applyFont="1" applyFill="1" applyBorder="1" applyAlignment="1">
      <alignment horizontal="left"/>
    </xf>
    <xf numFmtId="0" fontId="23" fillId="0" borderId="0" xfId="0" applyFont="1" applyFill="1" applyBorder="1" applyAlignment="1">
      <alignment horizontal="center" wrapText="1"/>
    </xf>
    <xf numFmtId="3" fontId="23" fillId="0" borderId="1" xfId="0" applyNumberFormat="1" applyFont="1" applyFill="1" applyBorder="1" applyAlignment="1">
      <alignment horizontal="center"/>
    </xf>
    <xf numFmtId="0" fontId="31" fillId="0" borderId="6" xfId="5" applyFont="1" applyFill="1" applyBorder="1" applyAlignment="1"/>
    <xf numFmtId="3" fontId="31" fillId="0" borderId="27" xfId="5" applyNumberFormat="1" applyFont="1" applyFill="1" applyBorder="1" applyAlignment="1">
      <alignment horizontal="center" vertical="center"/>
    </xf>
    <xf numFmtId="17" fontId="23" fillId="0" borderId="6" xfId="5" applyNumberFormat="1" applyFont="1" applyFill="1" applyBorder="1" applyAlignment="1">
      <alignment horizontal="right"/>
    </xf>
    <xf numFmtId="0" fontId="31" fillId="0" borderId="8" xfId="5" applyFont="1" applyFill="1" applyBorder="1">
      <alignment vertical="center"/>
    </xf>
    <xf numFmtId="0" fontId="31" fillId="0" borderId="6" xfId="0" applyFont="1" applyFill="1" applyBorder="1"/>
    <xf numFmtId="178" fontId="23" fillId="0" borderId="1" xfId="9" applyNumberFormat="1" applyFont="1" applyFill="1" applyBorder="1" applyAlignment="1">
      <alignment horizontal="center" vertical="center"/>
    </xf>
    <xf numFmtId="0" fontId="31" fillId="0" borderId="4" xfId="0" applyFont="1" applyFill="1" applyBorder="1"/>
    <xf numFmtId="3" fontId="31" fillId="0" borderId="5" xfId="0" applyNumberFormat="1" applyFont="1" applyFill="1" applyBorder="1" applyAlignment="1">
      <alignment horizontal="center"/>
    </xf>
    <xf numFmtId="3" fontId="31" fillId="0" borderId="7" xfId="0" applyNumberFormat="1" applyFont="1" applyFill="1" applyBorder="1" applyAlignment="1">
      <alignment horizontal="center"/>
    </xf>
    <xf numFmtId="44" fontId="23" fillId="0" borderId="0" xfId="0" applyNumberFormat="1" applyFont="1" applyFill="1"/>
    <xf numFmtId="178" fontId="23" fillId="0" borderId="0" xfId="0" applyNumberFormat="1" applyFont="1" applyFill="1"/>
    <xf numFmtId="0" fontId="23" fillId="0" borderId="6" xfId="0" applyFont="1" applyFill="1" applyBorder="1"/>
    <xf numFmtId="177" fontId="31" fillId="0" borderId="7" xfId="0" applyNumberFormat="1" applyFont="1" applyFill="1" applyBorder="1" applyAlignment="1">
      <alignment horizontal="center"/>
    </xf>
    <xf numFmtId="177" fontId="31" fillId="0" borderId="9" xfId="0" applyNumberFormat="1" applyFont="1" applyFill="1" applyBorder="1" applyAlignment="1">
      <alignment horizontal="center"/>
    </xf>
    <xf numFmtId="177" fontId="31" fillId="0" borderId="0" xfId="0" applyNumberFormat="1" applyFont="1" applyFill="1" applyAlignment="1">
      <alignment horizontal="center"/>
    </xf>
    <xf numFmtId="0" fontId="41" fillId="0" borderId="0" xfId="0" applyFont="1" applyFill="1"/>
    <xf numFmtId="0" fontId="65" fillId="0" borderId="0" xfId="0" applyNumberFormat="1" applyFont="1" applyFill="1" applyAlignment="1">
      <alignment horizontal="center"/>
    </xf>
    <xf numFmtId="3" fontId="23" fillId="0" borderId="0" xfId="0" applyNumberFormat="1" applyFont="1" applyFill="1" applyAlignment="1">
      <alignment horizontal="center"/>
    </xf>
    <xf numFmtId="4" fontId="31" fillId="0" borderId="0" xfId="0" applyNumberFormat="1" applyFont="1" applyFill="1" applyBorder="1"/>
    <xf numFmtId="177" fontId="23" fillId="0" borderId="0" xfId="0" applyNumberFormat="1" applyFont="1" applyFill="1" applyAlignment="1">
      <alignment horizontal="center"/>
    </xf>
    <xf numFmtId="0" fontId="60" fillId="0" borderId="0" xfId="0" applyFont="1" applyFill="1" applyBorder="1"/>
    <xf numFmtId="0" fontId="63" fillId="0" borderId="0" xfId="0" applyFont="1" applyFill="1" applyBorder="1" applyAlignment="1">
      <alignment horizontal="center"/>
    </xf>
    <xf numFmtId="0" fontId="63" fillId="0" borderId="0" xfId="0" applyFont="1" applyFill="1" applyBorder="1"/>
    <xf numFmtId="0" fontId="60" fillId="0" borderId="0" xfId="0" applyFont="1" applyFill="1" applyBorder="1" applyAlignment="1">
      <alignment horizontal="center"/>
    </xf>
    <xf numFmtId="0" fontId="63" fillId="0" borderId="0" xfId="4" applyFont="1" applyFill="1" applyBorder="1">
      <alignment vertical="center"/>
    </xf>
    <xf numFmtId="0" fontId="63" fillId="0" borderId="0" xfId="8" applyFont="1" applyFill="1" applyBorder="1" applyAlignment="1">
      <alignment horizontal="center"/>
    </xf>
    <xf numFmtId="0" fontId="63" fillId="0" borderId="0" xfId="4" applyFont="1" applyFill="1" applyBorder="1" applyAlignment="1">
      <alignment horizontal="center" vertical="center"/>
    </xf>
    <xf numFmtId="0" fontId="63" fillId="0" borderId="0" xfId="0" applyFont="1" applyFill="1" applyBorder="1" applyAlignment="1">
      <alignment horizontal="left"/>
    </xf>
    <xf numFmtId="177" fontId="63" fillId="0" borderId="0" xfId="11" applyNumberFormat="1" applyFont="1" applyFill="1" applyBorder="1" applyAlignment="1">
      <alignment horizontal="center" vertical="center"/>
    </xf>
    <xf numFmtId="0" fontId="63" fillId="0" borderId="0" xfId="9" applyFont="1" applyFill="1" applyBorder="1">
      <alignment vertical="center"/>
    </xf>
    <xf numFmtId="0" fontId="63" fillId="0" borderId="0" xfId="9" applyFont="1" applyFill="1" applyBorder="1" applyAlignment="1">
      <alignment horizontal="center" vertical="center"/>
    </xf>
    <xf numFmtId="9" fontId="63" fillId="0" borderId="0" xfId="9" applyNumberFormat="1" applyFont="1" applyFill="1" applyBorder="1" applyAlignment="1">
      <alignment horizontal="center" vertical="center"/>
    </xf>
    <xf numFmtId="0" fontId="60" fillId="0" borderId="0" xfId="4" applyFont="1" applyFill="1" applyBorder="1">
      <alignment vertical="center"/>
    </xf>
    <xf numFmtId="176" fontId="60" fillId="0" borderId="0" xfId="4" applyNumberFormat="1" applyFont="1" applyFill="1" applyBorder="1" applyAlignment="1">
      <alignment horizontal="center" vertical="center"/>
    </xf>
    <xf numFmtId="177" fontId="60" fillId="0" borderId="0" xfId="0" applyNumberFormat="1" applyFont="1" applyFill="1" applyBorder="1" applyAlignment="1">
      <alignment horizontal="center"/>
    </xf>
    <xf numFmtId="198" fontId="23" fillId="0" borderId="21" xfId="0" applyNumberFormat="1" applyFont="1" applyBorder="1"/>
    <xf numFmtId="198" fontId="23" fillId="0" borderId="1" xfId="11" applyNumberFormat="1" applyFont="1" applyFill="1" applyBorder="1"/>
    <xf numFmtId="15" fontId="19" fillId="0" borderId="7" xfId="0" applyNumberFormat="1" applyFont="1" applyBorder="1" applyAlignment="1">
      <alignment horizontal="left" vertical="center"/>
    </xf>
    <xf numFmtId="0" fontId="23" fillId="0" borderId="7" xfId="0" applyFont="1" applyFill="1" applyBorder="1" applyAlignment="1">
      <alignment horizontal="center" vertical="center"/>
    </xf>
    <xf numFmtId="183" fontId="23" fillId="0" borderId="11" xfId="0" applyNumberFormat="1" applyFont="1" applyFill="1" applyBorder="1"/>
    <xf numFmtId="192" fontId="23" fillId="0" borderId="11" xfId="0" applyNumberFormat="1" applyFont="1" applyFill="1" applyBorder="1"/>
    <xf numFmtId="17" fontId="44" fillId="2" borderId="19" xfId="0" applyNumberFormat="1" applyFont="1" applyFill="1" applyBorder="1" applyAlignment="1">
      <alignment horizontal="right" vertical="center"/>
    </xf>
    <xf numFmtId="0" fontId="23" fillId="0" borderId="0" xfId="0" applyFont="1" applyAlignment="1"/>
    <xf numFmtId="0" fontId="31" fillId="0" borderId="0" xfId="0" applyFont="1" applyAlignment="1">
      <alignment wrapText="1"/>
    </xf>
    <xf numFmtId="0" fontId="23" fillId="0" borderId="0" xfId="0" applyFont="1" applyAlignment="1"/>
    <xf numFmtId="3" fontId="23" fillId="0" borderId="1" xfId="11" applyNumberFormat="1" applyFont="1" applyBorder="1" applyAlignment="1">
      <alignment horizontal="center"/>
    </xf>
    <xf numFmtId="0" fontId="23" fillId="0" borderId="1" xfId="0" applyFont="1" applyBorder="1" applyAlignment="1">
      <alignment horizontal="center" vertical="center"/>
    </xf>
    <xf numFmtId="0" fontId="23" fillId="0" borderId="1" xfId="0" applyFont="1" applyFill="1" applyBorder="1" applyAlignment="1">
      <alignment horizontal="center"/>
    </xf>
    <xf numFmtId="0" fontId="21" fillId="0" borderId="3"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177" fontId="31" fillId="0" borderId="11" xfId="11" applyNumberFormat="1" applyFont="1" applyFill="1" applyBorder="1" applyAlignment="1">
      <alignment horizontal="center"/>
    </xf>
    <xf numFmtId="0" fontId="31" fillId="0" borderId="11" xfId="0" applyFont="1" applyFill="1" applyBorder="1" applyAlignment="1">
      <alignment horizontal="center"/>
    </xf>
    <xf numFmtId="0" fontId="23"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3" fontId="31" fillId="0" borderId="1" xfId="0" applyNumberFormat="1" applyFont="1" applyFill="1" applyBorder="1" applyAlignment="1">
      <alignment horizontal="center"/>
    </xf>
    <xf numFmtId="0" fontId="23" fillId="0" borderId="3" xfId="0" applyFont="1" applyBorder="1" applyAlignment="1">
      <alignment horizontal="center" vertical="center"/>
    </xf>
    <xf numFmtId="3" fontId="32" fillId="4" borderId="29" xfId="0" applyNumberFormat="1" applyFont="1" applyFill="1" applyBorder="1" applyAlignment="1">
      <alignment horizontal="center"/>
    </xf>
    <xf numFmtId="3" fontId="32" fillId="4" borderId="30" xfId="0" applyNumberFormat="1" applyFont="1" applyFill="1" applyBorder="1" applyAlignment="1">
      <alignment horizontal="center"/>
    </xf>
    <xf numFmtId="0" fontId="21" fillId="0" borderId="12"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6" xfId="0" applyFont="1" applyBorder="1" applyAlignment="1">
      <alignment horizontal="center" vertical="center" wrapText="1"/>
    </xf>
    <xf numFmtId="0" fontId="71" fillId="0" borderId="12" xfId="0" applyFont="1" applyFill="1" applyBorder="1" applyAlignment="1">
      <alignment horizontal="center" vertical="center"/>
    </xf>
    <xf numFmtId="0" fontId="71" fillId="0" borderId="28" xfId="0" applyFont="1" applyFill="1" applyBorder="1" applyAlignment="1">
      <alignment horizontal="center" vertical="center"/>
    </xf>
    <xf numFmtId="0" fontId="31" fillId="0" borderId="10" xfId="0" applyFont="1" applyBorder="1" applyAlignment="1">
      <alignment horizontal="center"/>
    </xf>
    <xf numFmtId="0" fontId="31" fillId="0" borderId="5" xfId="0" applyFont="1" applyBorder="1" applyAlignment="1">
      <alignment horizontal="center"/>
    </xf>
    <xf numFmtId="0" fontId="23" fillId="0" borderId="1" xfId="9" applyFont="1" applyFill="1" applyBorder="1" applyAlignment="1">
      <alignment horizontal="center" vertical="center" wrapText="1"/>
    </xf>
    <xf numFmtId="0" fontId="23" fillId="0" borderId="7" xfId="9" applyFont="1" applyFill="1" applyBorder="1" applyAlignment="1">
      <alignment horizontal="center" vertical="center" wrapText="1"/>
    </xf>
    <xf numFmtId="0" fontId="23" fillId="0" borderId="1" xfId="9" applyFont="1" applyFill="1" applyBorder="1" applyAlignment="1">
      <alignment horizontal="center" vertical="center"/>
    </xf>
    <xf numFmtId="0" fontId="23" fillId="0" borderId="7" xfId="9" applyFont="1" applyFill="1" applyBorder="1" applyAlignment="1">
      <alignment horizontal="center" vertical="center"/>
    </xf>
    <xf numFmtId="0" fontId="21" fillId="0" borderId="1" xfId="0" applyFont="1" applyBorder="1" applyAlignment="1">
      <alignment horizontal="center" wrapText="1"/>
    </xf>
    <xf numFmtId="0" fontId="21" fillId="0" borderId="7" xfId="0" applyFont="1" applyBorder="1" applyAlignment="1">
      <alignment horizontal="center" wrapText="1"/>
    </xf>
    <xf numFmtId="0" fontId="23" fillId="0" borderId="7" xfId="0" applyFont="1" applyFill="1" applyBorder="1" applyAlignment="1">
      <alignment horizontal="center" vertical="center" wrapText="1"/>
    </xf>
    <xf numFmtId="9" fontId="23" fillId="0" borderId="3" xfId="4" applyNumberFormat="1" applyFont="1" applyFill="1" applyBorder="1" applyAlignment="1">
      <alignment horizontal="center" vertical="center"/>
    </xf>
    <xf numFmtId="9" fontId="23" fillId="0" borderId="12" xfId="4" applyNumberFormat="1" applyFont="1" applyFill="1" applyBorder="1" applyAlignment="1">
      <alignment horizontal="center" vertical="center"/>
    </xf>
    <xf numFmtId="9" fontId="23" fillId="0" borderId="16" xfId="4" applyNumberFormat="1" applyFont="1" applyFill="1" applyBorder="1" applyAlignment="1">
      <alignment horizontal="center" vertical="center"/>
    </xf>
    <xf numFmtId="0" fontId="23" fillId="0" borderId="3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32" xfId="0" applyFont="1" applyFill="1" applyBorder="1" applyAlignment="1">
      <alignment horizontal="center" vertical="center" wrapText="1"/>
    </xf>
    <xf numFmtId="191" fontId="31" fillId="0" borderId="1" xfId="9" applyNumberFormat="1" applyFont="1" applyFill="1" applyBorder="1" applyAlignment="1">
      <alignment horizontal="center" vertical="center"/>
    </xf>
    <xf numFmtId="0" fontId="23" fillId="0" borderId="3"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3"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1" fillId="0" borderId="16" xfId="0" applyFont="1" applyFill="1" applyBorder="1" applyAlignment="1">
      <alignment horizontal="center" vertical="center"/>
    </xf>
    <xf numFmtId="185" fontId="23" fillId="0" borderId="1" xfId="0" applyNumberFormat="1" applyFont="1" applyFill="1" applyBorder="1" applyAlignment="1">
      <alignment horizontal="center"/>
    </xf>
    <xf numFmtId="191" fontId="31" fillId="0" borderId="11" xfId="9" applyNumberFormat="1" applyFont="1" applyFill="1" applyBorder="1" applyAlignment="1">
      <alignment horizontal="center" vertical="center"/>
    </xf>
    <xf numFmtId="4" fontId="31" fillId="0" borderId="20" xfId="9" applyNumberFormat="1" applyFont="1" applyFill="1" applyBorder="1" applyAlignment="1">
      <alignment horizontal="center" vertical="center"/>
    </xf>
    <xf numFmtId="4" fontId="31" fillId="0" borderId="21" xfId="9" applyNumberFormat="1" applyFont="1" applyFill="1" applyBorder="1" applyAlignment="1">
      <alignment horizontal="center" vertical="center"/>
    </xf>
    <xf numFmtId="3" fontId="23" fillId="0" borderId="20" xfId="0" applyNumberFormat="1" applyFont="1" applyFill="1" applyBorder="1" applyAlignment="1">
      <alignment horizontal="center"/>
    </xf>
    <xf numFmtId="3" fontId="23" fillId="0" borderId="21" xfId="0" applyNumberFormat="1" applyFont="1" applyFill="1" applyBorder="1" applyAlignment="1">
      <alignment horizontal="center"/>
    </xf>
    <xf numFmtId="0" fontId="21" fillId="0" borderId="3" xfId="0" applyFont="1" applyBorder="1" applyAlignment="1">
      <alignment horizontal="center"/>
    </xf>
    <xf numFmtId="0" fontId="21" fillId="0" borderId="12" xfId="0" applyFont="1" applyBorder="1" applyAlignment="1">
      <alignment horizontal="center"/>
    </xf>
    <xf numFmtId="0" fontId="21" fillId="0" borderId="28" xfId="0" applyFont="1" applyBorder="1" applyAlignment="1">
      <alignment horizontal="center"/>
    </xf>
    <xf numFmtId="0" fontId="23" fillId="0" borderId="3" xfId="0" applyFont="1" applyBorder="1" applyAlignment="1">
      <alignment horizontal="center" vertical="center" wrapText="1"/>
    </xf>
    <xf numFmtId="0" fontId="23" fillId="0" borderId="12" xfId="0" applyFont="1" applyBorder="1" applyAlignment="1">
      <alignment horizontal="center" vertical="center" wrapText="1"/>
    </xf>
    <xf numFmtId="3" fontId="31" fillId="0" borderId="11" xfId="0" applyNumberFormat="1" applyFont="1" applyFill="1" applyBorder="1" applyAlignment="1">
      <alignment horizontal="center"/>
    </xf>
    <xf numFmtId="0" fontId="23" fillId="0" borderId="3" xfId="0" applyFont="1" applyFill="1" applyBorder="1" applyAlignment="1">
      <alignment horizontal="center"/>
    </xf>
    <xf numFmtId="0" fontId="23" fillId="0" borderId="12" xfId="0" applyFont="1" applyFill="1" applyBorder="1" applyAlignment="1">
      <alignment horizontal="center"/>
    </xf>
    <xf numFmtId="0" fontId="23" fillId="0" borderId="28" xfId="0" applyFont="1" applyFill="1" applyBorder="1" applyAlignment="1">
      <alignment horizontal="center"/>
    </xf>
    <xf numFmtId="0" fontId="23" fillId="0" borderId="28" xfId="0" applyFont="1" applyBorder="1" applyAlignment="1">
      <alignment horizontal="center" vertical="center" wrapText="1"/>
    </xf>
    <xf numFmtId="3" fontId="31" fillId="0" borderId="11" xfId="9" applyNumberFormat="1" applyFont="1" applyFill="1" applyBorder="1" applyAlignment="1">
      <alignment horizontal="center" vertical="center"/>
    </xf>
    <xf numFmtId="3" fontId="23" fillId="0" borderId="1" xfId="9" applyNumberFormat="1" applyFont="1" applyFill="1" applyBorder="1" applyAlignment="1">
      <alignment horizontal="center" vertical="center"/>
    </xf>
    <xf numFmtId="3" fontId="31" fillId="0" borderId="29" xfId="0" applyNumberFormat="1" applyFont="1" applyFill="1" applyBorder="1" applyAlignment="1">
      <alignment horizontal="center"/>
    </xf>
    <xf numFmtId="3" fontId="31" fillId="0" borderId="38" xfId="0" applyNumberFormat="1" applyFont="1" applyFill="1" applyBorder="1" applyAlignment="1">
      <alignment horizontal="center"/>
    </xf>
    <xf numFmtId="0" fontId="23" fillId="0" borderId="1" xfId="0" applyFont="1" applyFill="1" applyBorder="1" applyAlignment="1">
      <alignment horizontal="center" vertical="center"/>
    </xf>
    <xf numFmtId="0" fontId="23" fillId="0" borderId="11" xfId="0" applyFont="1" applyFill="1" applyBorder="1" applyAlignment="1">
      <alignment horizontal="center" vertical="center"/>
    </xf>
    <xf numFmtId="4" fontId="31" fillId="0" borderId="11" xfId="9" applyNumberFormat="1" applyFont="1" applyFill="1" applyBorder="1" applyAlignment="1">
      <alignment horizontal="center" vertical="center"/>
    </xf>
    <xf numFmtId="3" fontId="31" fillId="0" borderId="39" xfId="0" applyNumberFormat="1" applyFont="1" applyFill="1" applyBorder="1" applyAlignment="1">
      <alignment horizontal="center"/>
    </xf>
    <xf numFmtId="3" fontId="31" fillId="0" borderId="40" xfId="0" applyNumberFormat="1" applyFont="1" applyFill="1" applyBorder="1" applyAlignment="1">
      <alignment horizontal="center"/>
    </xf>
    <xf numFmtId="3" fontId="23" fillId="0" borderId="1" xfId="0" applyNumberFormat="1" applyFont="1" applyBorder="1" applyAlignment="1">
      <alignment horizontal="center"/>
    </xf>
    <xf numFmtId="0" fontId="23" fillId="0" borderId="13" xfId="9" applyFont="1" applyFill="1" applyBorder="1" applyAlignment="1">
      <alignment horizontal="center" vertical="center"/>
    </xf>
    <xf numFmtId="0" fontId="23" fillId="0" borderId="14" xfId="9" applyFont="1" applyFill="1" applyBorder="1" applyAlignment="1">
      <alignment horizontal="center" vertical="center"/>
    </xf>
    <xf numFmtId="0" fontId="23" fillId="0" borderId="31" xfId="9" applyFont="1" applyFill="1" applyBorder="1" applyAlignment="1">
      <alignment horizontal="center" vertical="center"/>
    </xf>
    <xf numFmtId="0" fontId="23" fillId="0" borderId="32" xfId="9" applyFont="1" applyFill="1" applyBorder="1" applyAlignment="1">
      <alignment horizontal="center" vertical="center"/>
    </xf>
    <xf numFmtId="0" fontId="23" fillId="0" borderId="33"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1" xfId="0" applyFont="1" applyBorder="1" applyAlignment="1">
      <alignment horizontal="center" wrapText="1"/>
    </xf>
    <xf numFmtId="0" fontId="23" fillId="0" borderId="7" xfId="0" applyFont="1" applyBorder="1" applyAlignment="1">
      <alignment horizontal="center" wrapText="1"/>
    </xf>
    <xf numFmtId="0" fontId="23" fillId="0" borderId="11" xfId="9" applyFont="1" applyFill="1" applyBorder="1" applyAlignment="1">
      <alignment horizontal="center" vertical="center" wrapText="1"/>
    </xf>
    <xf numFmtId="0" fontId="23" fillId="0" borderId="9" xfId="9" applyFont="1" applyFill="1" applyBorder="1" applyAlignment="1">
      <alignment horizontal="center" vertical="center" wrapText="1"/>
    </xf>
    <xf numFmtId="0" fontId="23" fillId="0" borderId="22"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22" xfId="4" applyFont="1" applyFill="1" applyBorder="1" applyAlignment="1">
      <alignment horizontal="center" vertical="center" wrapText="1"/>
    </xf>
    <xf numFmtId="0" fontId="23" fillId="0" borderId="33" xfId="4" applyFont="1" applyFill="1" applyBorder="1" applyAlignment="1">
      <alignment horizontal="center" vertical="center" wrapText="1"/>
    </xf>
    <xf numFmtId="0" fontId="23" fillId="0" borderId="17" xfId="4"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28" xfId="0" applyFont="1" applyFill="1" applyBorder="1" applyAlignment="1">
      <alignment horizontal="center" vertical="center"/>
    </xf>
    <xf numFmtId="0" fontId="71" fillId="0" borderId="3" xfId="0" applyFont="1" applyBorder="1" applyAlignment="1">
      <alignment horizontal="center" vertical="center"/>
    </xf>
    <xf numFmtId="0" fontId="71" fillId="0" borderId="12" xfId="0" applyFont="1" applyBorder="1" applyAlignment="1">
      <alignment horizontal="center" vertical="center"/>
    </xf>
    <xf numFmtId="0" fontId="71" fillId="0" borderId="16" xfId="0" applyFont="1" applyBorder="1" applyAlignment="1">
      <alignment horizontal="center" vertical="center"/>
    </xf>
    <xf numFmtId="0" fontId="23" fillId="0" borderId="1" xfId="0" applyFont="1" applyBorder="1" applyAlignment="1">
      <alignment horizontal="center" vertical="center" wrapText="1"/>
    </xf>
    <xf numFmtId="3" fontId="23" fillId="0" borderId="20" xfId="5" applyNumberFormat="1" applyFont="1" applyFill="1" applyBorder="1" applyAlignment="1">
      <alignment horizontal="center" vertical="center"/>
    </xf>
    <xf numFmtId="3" fontId="23" fillId="0" borderId="21" xfId="5" applyNumberFormat="1" applyFont="1" applyFill="1" applyBorder="1" applyAlignment="1">
      <alignment horizontal="center" vertical="center"/>
    </xf>
    <xf numFmtId="3" fontId="31" fillId="0" borderId="20" xfId="5" applyNumberFormat="1" applyFont="1" applyFill="1" applyBorder="1" applyAlignment="1">
      <alignment horizontal="center" vertical="center"/>
    </xf>
    <xf numFmtId="3" fontId="31" fillId="0" borderId="21" xfId="5" applyNumberFormat="1" applyFont="1" applyFill="1" applyBorder="1" applyAlignment="1">
      <alignment horizontal="center" vertical="center"/>
    </xf>
    <xf numFmtId="0" fontId="23" fillId="0" borderId="22"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41" xfId="0" applyFont="1" applyFill="1" applyBorder="1" applyAlignment="1">
      <alignment horizontal="center" vertical="center" wrapText="1"/>
    </xf>
    <xf numFmtId="3" fontId="31" fillId="0" borderId="29" xfId="5" applyNumberFormat="1" applyFont="1" applyFill="1" applyBorder="1" applyAlignment="1">
      <alignment horizontal="center" vertical="center"/>
    </xf>
    <xf numFmtId="3" fontId="31" fillId="0" borderId="30" xfId="5" applyNumberFormat="1" applyFont="1" applyFill="1" applyBorder="1" applyAlignment="1">
      <alignment horizontal="center" vertical="center"/>
    </xf>
    <xf numFmtId="3" fontId="23" fillId="0" borderId="1" xfId="5" applyNumberFormat="1" applyFont="1" applyFill="1" applyBorder="1" applyAlignment="1">
      <alignment horizontal="center" vertical="center"/>
    </xf>
    <xf numFmtId="3" fontId="31" fillId="0" borderId="11" xfId="5" applyNumberFormat="1" applyFont="1" applyFill="1" applyBorder="1" applyAlignment="1">
      <alignment horizontal="center" vertical="center"/>
    </xf>
    <xf numFmtId="0" fontId="23" fillId="0" borderId="3" xfId="5" applyFont="1" applyFill="1" applyBorder="1" applyAlignment="1">
      <alignment horizontal="center" vertical="center"/>
    </xf>
    <xf numFmtId="0" fontId="23" fillId="0" borderId="12" xfId="5" applyFont="1" applyFill="1" applyBorder="1" applyAlignment="1">
      <alignment horizontal="center" vertical="center"/>
    </xf>
    <xf numFmtId="0" fontId="23" fillId="0" borderId="16" xfId="5" applyFont="1" applyFill="1" applyBorder="1" applyAlignment="1">
      <alignment horizontal="center" vertical="center"/>
    </xf>
    <xf numFmtId="0" fontId="23" fillId="0" borderId="28" xfId="5" applyFont="1" applyFill="1" applyBorder="1" applyAlignment="1">
      <alignment horizontal="center" vertical="center"/>
    </xf>
    <xf numFmtId="0" fontId="23" fillId="0" borderId="17" xfId="0" applyFont="1" applyFill="1" applyBorder="1" applyAlignment="1">
      <alignment horizontal="center" vertical="center" wrapText="1"/>
    </xf>
    <xf numFmtId="0" fontId="23" fillId="0" borderId="7" xfId="5" applyFont="1" applyFill="1" applyBorder="1" applyAlignment="1">
      <alignment horizontal="center" vertical="center" wrapText="1"/>
    </xf>
    <xf numFmtId="0" fontId="23" fillId="0" borderId="11" xfId="0" applyFont="1" applyFill="1" applyBorder="1" applyAlignment="1">
      <alignment horizontal="center"/>
    </xf>
    <xf numFmtId="0" fontId="23" fillId="0" borderId="1" xfId="5" applyFont="1" applyFill="1" applyBorder="1" applyAlignment="1">
      <alignment horizontal="center" vertical="center" wrapText="1"/>
    </xf>
    <xf numFmtId="0" fontId="23" fillId="0" borderId="33" xfId="5" applyFont="1" applyFill="1" applyBorder="1" applyAlignment="1">
      <alignment horizontal="center" vertical="center"/>
    </xf>
    <xf numFmtId="0" fontId="23" fillId="0" borderId="41" xfId="5" applyFont="1" applyFill="1" applyBorder="1" applyAlignment="1">
      <alignment horizontal="center" vertical="center"/>
    </xf>
    <xf numFmtId="0" fontId="23" fillId="0" borderId="1" xfId="5" applyFont="1" applyFill="1" applyBorder="1" applyAlignment="1">
      <alignment horizontal="center" vertical="center"/>
    </xf>
    <xf numFmtId="0" fontId="23" fillId="0" borderId="7" xfId="5" applyFont="1" applyFill="1" applyBorder="1" applyAlignment="1">
      <alignment horizontal="center" vertical="center"/>
    </xf>
    <xf numFmtId="0" fontId="23" fillId="0" borderId="22" xfId="5" applyFont="1" applyFill="1" applyBorder="1" applyAlignment="1">
      <alignment horizontal="center" vertical="center" wrapText="1"/>
    </xf>
    <xf numFmtId="0" fontId="23" fillId="0" borderId="33" xfId="5" applyFont="1" applyFill="1" applyBorder="1" applyAlignment="1">
      <alignment horizontal="center" vertical="center" wrapText="1"/>
    </xf>
    <xf numFmtId="0" fontId="23" fillId="0" borderId="17" xfId="5" applyFont="1" applyFill="1" applyBorder="1" applyAlignment="1">
      <alignment horizontal="center" vertical="center" wrapText="1"/>
    </xf>
    <xf numFmtId="0" fontId="23" fillId="0" borderId="41" xfId="0" applyFont="1" applyFill="1" applyBorder="1" applyAlignment="1">
      <alignment horizontal="center" vertical="center"/>
    </xf>
    <xf numFmtId="0" fontId="23" fillId="0" borderId="22" xfId="5" applyFont="1" applyFill="1" applyBorder="1" applyAlignment="1">
      <alignment horizontal="center" vertical="center"/>
    </xf>
    <xf numFmtId="0" fontId="23" fillId="0" borderId="17" xfId="5" applyFont="1" applyFill="1" applyBorder="1" applyAlignment="1">
      <alignment horizontal="center" vertical="center"/>
    </xf>
    <xf numFmtId="0" fontId="75" fillId="0" borderId="22" xfId="0" applyFont="1" applyBorder="1" applyAlignment="1">
      <alignment horizontal="center" vertical="center" wrapText="1"/>
    </xf>
    <xf numFmtId="0" fontId="75" fillId="0" borderId="33" xfId="0" applyFont="1" applyBorder="1" applyAlignment="1">
      <alignment horizontal="center" vertical="center" wrapText="1"/>
    </xf>
    <xf numFmtId="0" fontId="75" fillId="0" borderId="41" xfId="0" applyFont="1" applyBorder="1" applyAlignment="1">
      <alignment horizontal="center" vertical="center" wrapText="1"/>
    </xf>
    <xf numFmtId="0" fontId="31" fillId="0" borderId="42" xfId="0" applyFont="1" applyBorder="1" applyAlignment="1">
      <alignment horizontal="center" wrapText="1"/>
    </xf>
    <xf numFmtId="0" fontId="31" fillId="0" borderId="43" xfId="0" applyFont="1" applyBorder="1" applyAlignment="1">
      <alignment horizontal="center" wrapText="1"/>
    </xf>
    <xf numFmtId="0" fontId="31" fillId="0" borderId="40" xfId="0" applyFont="1" applyBorder="1" applyAlignment="1">
      <alignment horizontal="center" wrapText="1"/>
    </xf>
    <xf numFmtId="0" fontId="23" fillId="0" borderId="7" xfId="0" applyFont="1" applyBorder="1" applyAlignment="1">
      <alignment horizontal="center" vertical="center"/>
    </xf>
    <xf numFmtId="0" fontId="23" fillId="0" borderId="18" xfId="0" applyFont="1" applyBorder="1" applyAlignment="1">
      <alignment horizontal="center" vertical="center"/>
    </xf>
    <xf numFmtId="0" fontId="23" fillId="0" borderId="44" xfId="0" applyFont="1" applyBorder="1" applyAlignment="1">
      <alignment horizontal="center" vertical="center"/>
    </xf>
    <xf numFmtId="0" fontId="23" fillId="0" borderId="15" xfId="0" applyFont="1" applyBorder="1" applyAlignment="1">
      <alignment horizontal="center" vertical="center"/>
    </xf>
    <xf numFmtId="179" fontId="44" fillId="6" borderId="1" xfId="0" applyNumberFormat="1" applyFont="1" applyFill="1" applyBorder="1" applyAlignment="1">
      <alignment horizontal="left" vertical="center"/>
    </xf>
    <xf numFmtId="0" fontId="38" fillId="9" borderId="3" xfId="0" applyFont="1" applyFill="1" applyBorder="1" applyAlignment="1">
      <alignment horizontal="center" vertical="center"/>
    </xf>
    <xf numFmtId="0" fontId="38" fillId="9" borderId="16" xfId="0" applyFont="1" applyFill="1" applyBorder="1" applyAlignment="1">
      <alignment horizontal="center" vertical="center"/>
    </xf>
    <xf numFmtId="0" fontId="38" fillId="9" borderId="3" xfId="0" applyFont="1" applyFill="1" applyBorder="1" applyAlignment="1">
      <alignment horizontal="center" vertical="center" wrapText="1"/>
    </xf>
    <xf numFmtId="0" fontId="38" fillId="9" borderId="16" xfId="0" applyFont="1" applyFill="1" applyBorder="1" applyAlignment="1">
      <alignment horizontal="center" vertical="center" wrapText="1"/>
    </xf>
    <xf numFmtId="0" fontId="73" fillId="0" borderId="19" xfId="0" applyFont="1" applyBorder="1" applyAlignment="1">
      <alignment horizontal="left" vertical="center"/>
    </xf>
    <xf numFmtId="0" fontId="41" fillId="7" borderId="20" xfId="0" applyFont="1" applyFill="1" applyBorder="1" applyAlignment="1">
      <alignment horizontal="center" vertical="center"/>
    </xf>
    <xf numFmtId="0" fontId="41" fillId="7" borderId="27" xfId="0" applyFont="1" applyFill="1" applyBorder="1" applyAlignment="1">
      <alignment horizontal="center" vertical="center"/>
    </xf>
    <xf numFmtId="0" fontId="41" fillId="7" borderId="21" xfId="0" applyFont="1" applyFill="1" applyBorder="1" applyAlignment="1">
      <alignment horizontal="center" vertical="center"/>
    </xf>
    <xf numFmtId="0" fontId="41" fillId="8" borderId="20" xfId="0" applyFont="1" applyFill="1" applyBorder="1" applyAlignment="1">
      <alignment horizontal="center" vertical="center"/>
    </xf>
    <xf numFmtId="0" fontId="41" fillId="8" borderId="27" xfId="0" applyFont="1" applyFill="1" applyBorder="1" applyAlignment="1">
      <alignment horizontal="center" vertical="center"/>
    </xf>
    <xf numFmtId="0" fontId="41" fillId="8" borderId="21" xfId="0" applyFont="1" applyFill="1" applyBorder="1" applyAlignment="1">
      <alignment horizontal="center" vertical="center"/>
    </xf>
    <xf numFmtId="0" fontId="41" fillId="10" borderId="1" xfId="0" applyFont="1" applyFill="1" applyBorder="1" applyAlignment="1">
      <alignment horizontal="center" vertical="center"/>
    </xf>
    <xf numFmtId="0" fontId="44" fillId="6" borderId="1" xfId="0" applyFont="1" applyFill="1" applyBorder="1" applyAlignment="1">
      <alignment horizontal="left" vertical="center"/>
    </xf>
    <xf numFmtId="186" fontId="19"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11" fillId="0" borderId="1" xfId="0" applyFont="1" applyBorder="1" applyAlignment="1">
      <alignment horizontal="center" vertical="center"/>
    </xf>
    <xf numFmtId="0" fontId="10" fillId="0" borderId="20" xfId="0" applyFont="1" applyBorder="1" applyAlignment="1">
      <alignment horizontal="center"/>
    </xf>
    <xf numFmtId="0" fontId="10" fillId="0" borderId="27" xfId="0" applyFont="1" applyBorder="1" applyAlignment="1">
      <alignment horizontal="center"/>
    </xf>
    <xf numFmtId="0" fontId="10" fillId="0" borderId="21" xfId="0" applyFont="1" applyBorder="1" applyAlignment="1">
      <alignment horizontal="center"/>
    </xf>
    <xf numFmtId="0" fontId="67" fillId="0" borderId="1" xfId="0" applyFont="1" applyBorder="1" applyAlignment="1">
      <alignment horizontal="left"/>
    </xf>
    <xf numFmtId="0" fontId="15" fillId="0" borderId="1" xfId="0" applyFont="1" applyBorder="1" applyAlignment="1">
      <alignment horizontal="left"/>
    </xf>
    <xf numFmtId="0" fontId="67" fillId="0" borderId="16" xfId="0" applyFont="1" applyBorder="1" applyAlignment="1">
      <alignment horizontal="left"/>
    </xf>
    <xf numFmtId="0" fontId="15" fillId="0" borderId="16" xfId="0" applyFont="1" applyBorder="1" applyAlignment="1">
      <alignment horizontal="left"/>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3" xfId="0" applyFont="1" applyBorder="1" applyAlignment="1">
      <alignment horizontal="center" vertical="center"/>
    </xf>
    <xf numFmtId="0" fontId="11" fillId="0" borderId="16" xfId="0" applyFont="1" applyBorder="1" applyAlignment="1">
      <alignment horizontal="center" vertical="center"/>
    </xf>
    <xf numFmtId="0" fontId="11" fillId="0" borderId="27" xfId="0" applyFont="1" applyBorder="1" applyAlignment="1">
      <alignment horizontal="center" vertical="center"/>
    </xf>
    <xf numFmtId="0" fontId="21" fillId="9" borderId="6" xfId="0" applyFont="1" applyFill="1" applyBorder="1"/>
    <xf numFmtId="10" fontId="23" fillId="9" borderId="1" xfId="0" applyNumberFormat="1" applyFont="1" applyFill="1" applyBorder="1" applyAlignment="1">
      <alignment horizontal="right"/>
    </xf>
    <xf numFmtId="9" fontId="23" fillId="6" borderId="1" xfId="7" applyFont="1" applyFill="1" applyBorder="1" applyAlignment="1">
      <alignment horizontal="right" vertical="center"/>
    </xf>
    <xf numFmtId="0" fontId="23" fillId="0" borderId="25" xfId="0" applyFont="1" applyFill="1" applyBorder="1" applyAlignment="1">
      <alignment horizontal="center"/>
    </xf>
    <xf numFmtId="17" fontId="23" fillId="0" borderId="15" xfId="0" applyNumberFormat="1" applyFont="1" applyBorder="1" applyAlignment="1">
      <alignment horizontal="left"/>
    </xf>
    <xf numFmtId="17" fontId="23" fillId="0" borderId="6" xfId="0" applyNumberFormat="1" applyFont="1" applyBorder="1" applyAlignment="1">
      <alignment horizontal="left"/>
    </xf>
    <xf numFmtId="0" fontId="19" fillId="0" borderId="1" xfId="0" applyFont="1" applyBorder="1" applyAlignment="1">
      <alignment horizontal="left" vertical="center"/>
    </xf>
  </cellXfs>
  <cellStyles count="12">
    <cellStyle name="Euro" xfId="1" xr:uid="{00000000-0005-0000-0000-000000000000}"/>
    <cellStyle name="Normal 2" xfId="2" xr:uid="{00000000-0005-0000-0000-000001000000}"/>
    <cellStyle name="Normal_AMIGO AGRO (HOGS INVTY 06)" xfId="3" xr:uid="{00000000-0005-0000-0000-000002000000}"/>
    <cellStyle name="Normal_Sheet2" xfId="4" xr:uid="{00000000-0005-0000-0000-000003000000}"/>
    <cellStyle name="Normal_Sheet3" xfId="5" xr:uid="{00000000-0005-0000-0000-000004000000}"/>
    <cellStyle name="Percent 2" xfId="6" xr:uid="{00000000-0005-0000-0000-000005000000}"/>
    <cellStyle name="百分比" xfId="7" builtinId="5"/>
    <cellStyle name="常规" xfId="0" builtinId="0"/>
    <cellStyle name="常规_Sheet2" xfId="8" xr:uid="{00000000-0005-0000-0000-000008000000}"/>
    <cellStyle name="常规_范霍夫数－计算结果" xfId="9" xr:uid="{00000000-0005-0000-0000-000009000000}"/>
    <cellStyle name="超链接" xfId="10" builtinId="8"/>
    <cellStyle name="千位分隔" xfId="11" builtinId="3"/>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374</xdr:colOff>
      <xdr:row>2</xdr:row>
      <xdr:rowOff>47625</xdr:rowOff>
    </xdr:to>
    <xdr:pic>
      <xdr:nvPicPr>
        <xdr:cNvPr id="111243" name="Picture 3">
          <a:extLst>
            <a:ext uri="{FF2B5EF4-FFF2-40B4-BE49-F238E27FC236}">
              <a16:creationId xmlns:a16="http://schemas.microsoft.com/office/drawing/2014/main" id="{7C5854EA-536B-1C63-2627-4E43062D9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287655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495300</xdr:colOff>
      <xdr:row>2</xdr:row>
      <xdr:rowOff>31750</xdr:rowOff>
    </xdr:from>
    <xdr:to>
      <xdr:col>4</xdr:col>
      <xdr:colOff>847725</xdr:colOff>
      <xdr:row>6</xdr:row>
      <xdr:rowOff>9525</xdr:rowOff>
    </xdr:to>
    <xdr:pic>
      <xdr:nvPicPr>
        <xdr:cNvPr id="111244" name="Picture 4">
          <a:extLst>
            <a:ext uri="{FF2B5EF4-FFF2-40B4-BE49-F238E27FC236}">
              <a16:creationId xmlns:a16="http://schemas.microsoft.com/office/drawing/2014/main" id="{F1A377CD-E7F1-7B65-49E9-B20AC359E4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2750" y="438150"/>
          <a:ext cx="25463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482600</xdr:colOff>
      <xdr:row>128</xdr:row>
      <xdr:rowOff>6350</xdr:rowOff>
    </xdr:from>
    <xdr:to>
      <xdr:col>2</xdr:col>
      <xdr:colOff>10272</xdr:colOff>
      <xdr:row>131</xdr:row>
      <xdr:rowOff>19049</xdr:rowOff>
    </xdr:to>
    <xdr:pic>
      <xdr:nvPicPr>
        <xdr:cNvPr id="111245" name="Picture 5">
          <a:extLst>
            <a:ext uri="{FF2B5EF4-FFF2-40B4-BE49-F238E27FC236}">
              <a16:creationId xmlns:a16="http://schemas.microsoft.com/office/drawing/2014/main" id="{6D59BCA3-DF4C-2D05-FE49-064D592EF3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600" y="23983950"/>
          <a:ext cx="34480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387350</xdr:colOff>
      <xdr:row>128</xdr:row>
      <xdr:rowOff>25400</xdr:rowOff>
    </xdr:from>
    <xdr:to>
      <xdr:col>4</xdr:col>
      <xdr:colOff>352425</xdr:colOff>
      <xdr:row>130</xdr:row>
      <xdr:rowOff>38100</xdr:rowOff>
    </xdr:to>
    <xdr:pic>
      <xdr:nvPicPr>
        <xdr:cNvPr id="111246" name="Picture 6">
          <a:extLst>
            <a:ext uri="{FF2B5EF4-FFF2-40B4-BE49-F238E27FC236}">
              <a16:creationId xmlns:a16="http://schemas.microsoft.com/office/drawing/2014/main" id="{315ADA21-EE37-88EE-7E89-5F1328400D9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84800" y="24003000"/>
          <a:ext cx="2159000" cy="330200"/>
        </a:xfrm>
        <a:prstGeom prst="rect">
          <a:avLst/>
        </a:prstGeom>
        <a:solidFill>
          <a:srgbClr val="FF00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44450</xdr:colOff>
      <xdr:row>3</xdr:row>
      <xdr:rowOff>44450</xdr:rowOff>
    </xdr:from>
    <xdr:to>
      <xdr:col>3</xdr:col>
      <xdr:colOff>38100</xdr:colOff>
      <xdr:row>7</xdr:row>
      <xdr:rowOff>9711</xdr:rowOff>
    </xdr:to>
    <xdr:pic>
      <xdr:nvPicPr>
        <xdr:cNvPr id="111247" name="图片 1">
          <a:extLst>
            <a:ext uri="{FF2B5EF4-FFF2-40B4-BE49-F238E27FC236}">
              <a16:creationId xmlns:a16="http://schemas.microsoft.com/office/drawing/2014/main" id="{5ED6CB4A-02B2-2878-E380-4EA36217E12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21000" y="654050"/>
          <a:ext cx="2114550" cy="6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122</xdr:row>
      <xdr:rowOff>44450</xdr:rowOff>
    </xdr:from>
    <xdr:to>
      <xdr:col>2</xdr:col>
      <xdr:colOff>10272</xdr:colOff>
      <xdr:row>125</xdr:row>
      <xdr:rowOff>9712</xdr:rowOff>
    </xdr:to>
    <xdr:pic>
      <xdr:nvPicPr>
        <xdr:cNvPr id="111248" name="图片 3">
          <a:extLst>
            <a:ext uri="{FF2B5EF4-FFF2-40B4-BE49-F238E27FC236}">
              <a16:creationId xmlns:a16="http://schemas.microsoft.com/office/drawing/2014/main" id="{49652C41-BEEF-61D5-8012-0EAB461ED25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150" y="23018750"/>
          <a:ext cx="38798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126</xdr:row>
      <xdr:rowOff>0</xdr:rowOff>
    </xdr:from>
    <xdr:to>
      <xdr:col>3</xdr:col>
      <xdr:colOff>581025</xdr:colOff>
      <xdr:row>128</xdr:row>
      <xdr:rowOff>9526</xdr:rowOff>
    </xdr:to>
    <xdr:pic>
      <xdr:nvPicPr>
        <xdr:cNvPr id="111249" name="图片 4">
          <a:extLst>
            <a:ext uri="{FF2B5EF4-FFF2-40B4-BE49-F238E27FC236}">
              <a16:creationId xmlns:a16="http://schemas.microsoft.com/office/drawing/2014/main" id="{9702C403-97F2-8BFB-2AA6-DD276F63818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76550" y="23660100"/>
          <a:ext cx="2698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520700</xdr:colOff>
      <xdr:row>244</xdr:row>
      <xdr:rowOff>44450</xdr:rowOff>
    </xdr:from>
    <xdr:to>
      <xdr:col>2</xdr:col>
      <xdr:colOff>962025</xdr:colOff>
      <xdr:row>246</xdr:row>
      <xdr:rowOff>28574</xdr:rowOff>
    </xdr:to>
    <xdr:pic>
      <xdr:nvPicPr>
        <xdr:cNvPr id="111250" name="图片 5">
          <a:extLst>
            <a:ext uri="{FF2B5EF4-FFF2-40B4-BE49-F238E27FC236}">
              <a16:creationId xmlns:a16="http://schemas.microsoft.com/office/drawing/2014/main" id="{A581EBD3-A5D6-23B7-067A-3F853D775AB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20700" y="43967400"/>
          <a:ext cx="438150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116</xdr:row>
      <xdr:rowOff>6350</xdr:rowOff>
    </xdr:from>
    <xdr:to>
      <xdr:col>2</xdr:col>
      <xdr:colOff>742950</xdr:colOff>
      <xdr:row>119</xdr:row>
      <xdr:rowOff>9712</xdr:rowOff>
    </xdr:to>
    <xdr:pic>
      <xdr:nvPicPr>
        <xdr:cNvPr id="112267" name="Picture 4">
          <a:extLst>
            <a:ext uri="{FF2B5EF4-FFF2-40B4-BE49-F238E27FC236}">
              <a16:creationId xmlns:a16="http://schemas.microsoft.com/office/drawing/2014/main" id="{8A567995-9F41-B34E-BE14-DBCB859A6E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771100"/>
          <a:ext cx="61087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196</xdr:row>
      <xdr:rowOff>6350</xdr:rowOff>
    </xdr:from>
    <xdr:to>
      <xdr:col>1</xdr:col>
      <xdr:colOff>238125</xdr:colOff>
      <xdr:row>199</xdr:row>
      <xdr:rowOff>9711</xdr:rowOff>
    </xdr:to>
    <xdr:pic>
      <xdr:nvPicPr>
        <xdr:cNvPr id="112268" name="Picture 5">
          <a:extLst>
            <a:ext uri="{FF2B5EF4-FFF2-40B4-BE49-F238E27FC236}">
              <a16:creationId xmlns:a16="http://schemas.microsoft.com/office/drawing/2014/main" id="{139659D9-7FCB-619B-4A1D-F91FFD4D0D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433250"/>
          <a:ext cx="41465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292100</xdr:colOff>
      <xdr:row>198</xdr:row>
      <xdr:rowOff>44450</xdr:rowOff>
    </xdr:from>
    <xdr:to>
      <xdr:col>1</xdr:col>
      <xdr:colOff>209550</xdr:colOff>
      <xdr:row>201</xdr:row>
      <xdr:rowOff>9712</xdr:rowOff>
    </xdr:to>
    <xdr:pic>
      <xdr:nvPicPr>
        <xdr:cNvPr id="112269" name="Picture 6">
          <a:extLst>
            <a:ext uri="{FF2B5EF4-FFF2-40B4-BE49-F238E27FC236}">
              <a16:creationId xmlns:a16="http://schemas.microsoft.com/office/drawing/2014/main" id="{996CAA60-288E-AD9C-FC2C-A2D871E65F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2100" y="37814250"/>
          <a:ext cx="38290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82550</xdr:colOff>
      <xdr:row>313</xdr:row>
      <xdr:rowOff>6350</xdr:rowOff>
    </xdr:from>
    <xdr:to>
      <xdr:col>1</xdr:col>
      <xdr:colOff>200025</xdr:colOff>
      <xdr:row>316</xdr:row>
      <xdr:rowOff>9712</xdr:rowOff>
    </xdr:to>
    <xdr:pic>
      <xdr:nvPicPr>
        <xdr:cNvPr id="112270" name="Picture 7">
          <a:extLst>
            <a:ext uri="{FF2B5EF4-FFF2-40B4-BE49-F238E27FC236}">
              <a16:creationId xmlns:a16="http://schemas.microsoft.com/office/drawing/2014/main" id="{1BF6D0A0-3C67-2084-04D2-48B21EDCBD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550" y="58102500"/>
          <a:ext cx="40322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0</xdr:colOff>
      <xdr:row>4</xdr:row>
      <xdr:rowOff>9711</xdr:rowOff>
    </xdr:to>
    <xdr:pic>
      <xdr:nvPicPr>
        <xdr:cNvPr id="112271" name="图片 3">
          <a:extLst>
            <a:ext uri="{FF2B5EF4-FFF2-40B4-BE49-F238E27FC236}">
              <a16:creationId xmlns:a16="http://schemas.microsoft.com/office/drawing/2014/main" id="{258E14C5-7D85-BCC0-1BEE-BCA400B84AD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03200"/>
          <a:ext cx="39116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101600</xdr:colOff>
      <xdr:row>6</xdr:row>
      <xdr:rowOff>88900</xdr:rowOff>
    </xdr:from>
    <xdr:to>
      <xdr:col>1</xdr:col>
      <xdr:colOff>323850</xdr:colOff>
      <xdr:row>9</xdr:row>
      <xdr:rowOff>19050</xdr:rowOff>
    </xdr:to>
    <xdr:pic>
      <xdr:nvPicPr>
        <xdr:cNvPr id="112272" name="图片 4">
          <a:extLst>
            <a:ext uri="{FF2B5EF4-FFF2-40B4-BE49-F238E27FC236}">
              <a16:creationId xmlns:a16="http://schemas.microsoft.com/office/drawing/2014/main" id="{E50E7355-8319-6A0C-687A-0CD23FB266A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1600" y="1149350"/>
          <a:ext cx="41338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58</xdr:row>
      <xdr:rowOff>95250</xdr:rowOff>
    </xdr:from>
    <xdr:to>
      <xdr:col>1</xdr:col>
      <xdr:colOff>371475</xdr:colOff>
      <xdr:row>61</xdr:row>
      <xdr:rowOff>19050</xdr:rowOff>
    </xdr:to>
    <xdr:pic>
      <xdr:nvPicPr>
        <xdr:cNvPr id="112273" name="图片 5">
          <a:extLst>
            <a:ext uri="{FF2B5EF4-FFF2-40B4-BE49-F238E27FC236}">
              <a16:creationId xmlns:a16="http://schemas.microsoft.com/office/drawing/2014/main" id="{C63A3A6F-1385-385C-5414-62E8914BB9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1639550"/>
          <a:ext cx="428625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8</xdr:row>
      <xdr:rowOff>44450</xdr:rowOff>
    </xdr:from>
    <xdr:to>
      <xdr:col>1</xdr:col>
      <xdr:colOff>85725</xdr:colOff>
      <xdr:row>11</xdr:row>
      <xdr:rowOff>95250</xdr:rowOff>
    </xdr:to>
    <xdr:pic>
      <xdr:nvPicPr>
        <xdr:cNvPr id="112274" name="图片 8">
          <a:extLst>
            <a:ext uri="{FF2B5EF4-FFF2-40B4-BE49-F238E27FC236}">
              <a16:creationId xmlns:a16="http://schemas.microsoft.com/office/drawing/2014/main" id="{89BFBC37-B621-23D6-E0D7-B48E5F13CF4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2400" y="1479550"/>
          <a:ext cx="384175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3</xdr:row>
      <xdr:rowOff>0</xdr:rowOff>
    </xdr:to>
    <xdr:pic>
      <xdr:nvPicPr>
        <xdr:cNvPr id="112965" name="Picture 1">
          <a:extLst>
            <a:ext uri="{FF2B5EF4-FFF2-40B4-BE49-F238E27FC236}">
              <a16:creationId xmlns:a16="http://schemas.microsoft.com/office/drawing/2014/main" id="{99AD8243-3CD4-EB6F-57C2-FEC5AA871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33401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31750</xdr:colOff>
      <xdr:row>4</xdr:row>
      <xdr:rowOff>6350</xdr:rowOff>
    </xdr:from>
    <xdr:to>
      <xdr:col>3</xdr:col>
      <xdr:colOff>0</xdr:colOff>
      <xdr:row>17</xdr:row>
      <xdr:rowOff>142875</xdr:rowOff>
    </xdr:to>
    <xdr:pic>
      <xdr:nvPicPr>
        <xdr:cNvPr id="112966" name="Picture 2">
          <a:extLst>
            <a:ext uri="{FF2B5EF4-FFF2-40B4-BE49-F238E27FC236}">
              <a16:creationId xmlns:a16="http://schemas.microsoft.com/office/drawing/2014/main" id="{5C7D632A-ECC2-1648-0A74-05BA99F0ED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50" y="723900"/>
          <a:ext cx="587375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282</xdr:row>
      <xdr:rowOff>0</xdr:rowOff>
    </xdr:from>
    <xdr:to>
      <xdr:col>3</xdr:col>
      <xdr:colOff>95250</xdr:colOff>
      <xdr:row>289</xdr:row>
      <xdr:rowOff>133350</xdr:rowOff>
    </xdr:to>
    <xdr:pic>
      <xdr:nvPicPr>
        <xdr:cNvPr id="112967" name="Picture 3">
          <a:extLst>
            <a:ext uri="{FF2B5EF4-FFF2-40B4-BE49-F238E27FC236}">
              <a16:creationId xmlns:a16="http://schemas.microsoft.com/office/drawing/2014/main" id="{B65EAC71-752E-9A9D-41D7-76B5E6594A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50145950"/>
          <a:ext cx="598170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143</xdr:row>
      <xdr:rowOff>0</xdr:rowOff>
    </xdr:from>
    <xdr:to>
      <xdr:col>3</xdr:col>
      <xdr:colOff>0</xdr:colOff>
      <xdr:row>157</xdr:row>
      <xdr:rowOff>123825</xdr:rowOff>
    </xdr:to>
    <xdr:pic>
      <xdr:nvPicPr>
        <xdr:cNvPr id="112968" name="Picture 4">
          <a:extLst>
            <a:ext uri="{FF2B5EF4-FFF2-40B4-BE49-F238E27FC236}">
              <a16:creationId xmlns:a16="http://schemas.microsoft.com/office/drawing/2014/main" id="{0FF4F31E-1FD4-0016-A88C-2F8E63D7E9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5209500"/>
          <a:ext cx="5905500" cy="252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450850</xdr:colOff>
      <xdr:row>2</xdr:row>
      <xdr:rowOff>44450</xdr:rowOff>
    </xdr:from>
    <xdr:to>
      <xdr:col>10</xdr:col>
      <xdr:colOff>1285875</xdr:colOff>
      <xdr:row>2</xdr:row>
      <xdr:rowOff>390525</xdr:rowOff>
    </xdr:to>
    <xdr:pic>
      <xdr:nvPicPr>
        <xdr:cNvPr id="114260" name="图片 6">
          <a:extLst>
            <a:ext uri="{FF2B5EF4-FFF2-40B4-BE49-F238E27FC236}">
              <a16:creationId xmlns:a16="http://schemas.microsoft.com/office/drawing/2014/main" id="{F8ACC3F7-F419-CD5C-3CBD-E0D476DD6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6400" y="685800"/>
          <a:ext cx="8382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254000</xdr:colOff>
      <xdr:row>2</xdr:row>
      <xdr:rowOff>38100</xdr:rowOff>
    </xdr:from>
    <xdr:to>
      <xdr:col>19</xdr:col>
      <xdr:colOff>1133475</xdr:colOff>
      <xdr:row>3</xdr:row>
      <xdr:rowOff>47625</xdr:rowOff>
    </xdr:to>
    <xdr:pic>
      <xdr:nvPicPr>
        <xdr:cNvPr id="114261" name="图片 6">
          <a:extLst>
            <a:ext uri="{FF2B5EF4-FFF2-40B4-BE49-F238E27FC236}">
              <a16:creationId xmlns:a16="http://schemas.microsoft.com/office/drawing/2014/main" id="{9959F51D-7A41-866B-DF3F-67373F27B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81550" y="679450"/>
          <a:ext cx="88265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342900</xdr:colOff>
      <xdr:row>2</xdr:row>
      <xdr:rowOff>6350</xdr:rowOff>
    </xdr:from>
    <xdr:to>
      <xdr:col>28</xdr:col>
      <xdr:colOff>1285875</xdr:colOff>
      <xdr:row>3</xdr:row>
      <xdr:rowOff>19050</xdr:rowOff>
    </xdr:to>
    <xdr:pic>
      <xdr:nvPicPr>
        <xdr:cNvPr id="114262" name="图片 6">
          <a:extLst>
            <a:ext uri="{FF2B5EF4-FFF2-40B4-BE49-F238E27FC236}">
              <a16:creationId xmlns:a16="http://schemas.microsoft.com/office/drawing/2014/main" id="{02D5B46D-BD2D-2962-EDAA-3E1C1E0BC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63350" y="647700"/>
          <a:ext cx="9461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400050</xdr:colOff>
      <xdr:row>2</xdr:row>
      <xdr:rowOff>107950</xdr:rowOff>
    </xdr:from>
    <xdr:to>
      <xdr:col>38</xdr:col>
      <xdr:colOff>0</xdr:colOff>
      <xdr:row>2</xdr:row>
      <xdr:rowOff>390525</xdr:rowOff>
    </xdr:to>
    <xdr:pic>
      <xdr:nvPicPr>
        <xdr:cNvPr id="114263" name="图片 6">
          <a:extLst>
            <a:ext uri="{FF2B5EF4-FFF2-40B4-BE49-F238E27FC236}">
              <a16:creationId xmlns:a16="http://schemas.microsoft.com/office/drawing/2014/main" id="{25A99BC2-ED9E-C439-FBEA-A2CCF7820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10200" y="749300"/>
          <a:ext cx="86995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034;&#28113;&#20848;/&#21442;&#32771;&#39033;&#30446;/&#20859;&#27542;&#22330;&#39033;&#30446;/3716/ER%20Calculation_Deqingyuan_37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asic data"/>
      <sheetName val="ER"/>
      <sheetName val="Sheet1"/>
      <sheetName val="Sheet2"/>
      <sheetName val="Sheet3"/>
      <sheetName val="Sheet4"/>
      <sheetName val="Sheet5"/>
      <sheetName val="Sheet6"/>
      <sheetName val="Sheet7"/>
      <sheetName val="Wsite"/>
      <sheetName val="Electricity"/>
      <sheetName val="Biogas"/>
      <sheetName val="Temperature"/>
    </sheetNames>
    <sheetDataSet>
      <sheetData sheetId="0"/>
      <sheetData sheetId="1"/>
      <sheetData sheetId="2">
        <row r="1">
          <cell r="B1">
            <v>32861</v>
          </cell>
        </row>
        <row r="2">
          <cell r="B2">
            <v>54261</v>
          </cell>
        </row>
        <row r="8">
          <cell r="B8">
            <v>12282.917114928456</v>
          </cell>
        </row>
        <row r="17">
          <cell r="B17">
            <v>9116.4939179598041</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13"/>
  <sheetViews>
    <sheetView workbookViewId="0">
      <selection activeCell="B16" sqref="B16"/>
    </sheetView>
  </sheetViews>
  <sheetFormatPr defaultRowHeight="12.5" x14ac:dyDescent="0.25"/>
  <cols>
    <col min="1" max="1" width="9.26953125" style="1" customWidth="1"/>
    <col min="2" max="2" width="52.1796875" style="1" customWidth="1"/>
    <col min="3" max="3" width="50.6328125" style="1" customWidth="1"/>
    <col min="4" max="4" width="10.7265625" style="1" bestFit="1" customWidth="1"/>
    <col min="5" max="5" width="11.7265625" style="1" customWidth="1"/>
    <col min="6" max="6" width="9.81640625" style="1" bestFit="1" customWidth="1"/>
    <col min="7" max="7" width="8.7265625" style="1"/>
    <col min="8" max="8" width="12.453125" style="1" bestFit="1" customWidth="1"/>
    <col min="9" max="16384" width="8.7265625" style="1"/>
  </cols>
  <sheetData>
    <row r="4" spans="1:9" ht="13" thickBot="1" x14ac:dyDescent="0.3"/>
    <row r="5" spans="1:9" ht="32" x14ac:dyDescent="0.25">
      <c r="B5" s="20" t="s">
        <v>75</v>
      </c>
      <c r="C5" s="21" t="s">
        <v>136</v>
      </c>
    </row>
    <row r="6" spans="1:9" ht="16" x14ac:dyDescent="0.25">
      <c r="B6" s="22" t="s">
        <v>128</v>
      </c>
      <c r="C6" s="23" t="s">
        <v>137</v>
      </c>
    </row>
    <row r="7" spans="1:9" ht="16" x14ac:dyDescent="0.25">
      <c r="B7" s="22" t="s">
        <v>76</v>
      </c>
      <c r="C7" s="23">
        <v>2</v>
      </c>
    </row>
    <row r="8" spans="1:9" ht="16" x14ac:dyDescent="0.25">
      <c r="B8" s="22" t="s">
        <v>77</v>
      </c>
      <c r="C8" s="435">
        <v>44692</v>
      </c>
    </row>
    <row r="9" spans="1:9" ht="32.5" thickBot="1" x14ac:dyDescent="0.3">
      <c r="A9" s="3"/>
      <c r="B9" s="24" t="s">
        <v>78</v>
      </c>
      <c r="C9" s="25" t="s">
        <v>234</v>
      </c>
    </row>
    <row r="10" spans="1:9" ht="13.5" x14ac:dyDescent="0.3">
      <c r="D10" s="10"/>
      <c r="E10" s="4"/>
      <c r="F10" s="10"/>
      <c r="G10" s="4"/>
      <c r="H10" s="4"/>
      <c r="I10" s="8"/>
    </row>
    <row r="11" spans="1:9" ht="13" x14ac:dyDescent="0.25">
      <c r="C11" s="9"/>
    </row>
    <row r="13" spans="1:9" ht="13" x14ac:dyDescent="0.25">
      <c r="C13" s="9"/>
    </row>
  </sheetData>
  <phoneticPr fontId="8"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46"/>
  <sheetViews>
    <sheetView topLeftCell="A34" zoomScale="55" zoomScaleNormal="55" workbookViewId="0">
      <selection activeCell="M142" sqref="M142"/>
    </sheetView>
  </sheetViews>
  <sheetFormatPr defaultRowHeight="12.5" x14ac:dyDescent="0.25"/>
  <cols>
    <col min="1" max="1" width="21.7265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'2020.7'!A2:G2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26.4</v>
      </c>
      <c r="C5" s="7">
        <v>48.4</v>
      </c>
      <c r="D5" s="7">
        <v>105.2</v>
      </c>
      <c r="E5" s="7">
        <v>28.8</v>
      </c>
      <c r="F5" s="7">
        <v>72.3</v>
      </c>
      <c r="G5" s="7">
        <v>96.6</v>
      </c>
    </row>
    <row r="6" spans="1:7" ht="13" x14ac:dyDescent="0.25">
      <c r="A6" s="11">
        <v>2</v>
      </c>
      <c r="B6" s="7">
        <v>22.3</v>
      </c>
      <c r="C6" s="7">
        <v>51</v>
      </c>
      <c r="D6" s="7">
        <v>70.3</v>
      </c>
      <c r="E6" s="7">
        <v>34.5</v>
      </c>
      <c r="F6" s="7">
        <v>61.6</v>
      </c>
      <c r="G6" s="7">
        <v>105.5</v>
      </c>
    </row>
    <row r="7" spans="1:7" ht="13" x14ac:dyDescent="0.25">
      <c r="A7" s="11">
        <v>3</v>
      </c>
      <c r="B7" s="7">
        <v>22.6</v>
      </c>
      <c r="C7" s="7">
        <v>54.2</v>
      </c>
      <c r="D7" s="7">
        <v>97.3</v>
      </c>
      <c r="E7" s="7">
        <v>41.9</v>
      </c>
      <c r="F7" s="7">
        <v>83.4</v>
      </c>
      <c r="G7" s="7">
        <v>90.5</v>
      </c>
    </row>
    <row r="8" spans="1:7" ht="13" x14ac:dyDescent="0.25">
      <c r="A8" s="11">
        <v>4</v>
      </c>
      <c r="B8" s="7">
        <v>26</v>
      </c>
      <c r="C8" s="7">
        <v>63.7</v>
      </c>
      <c r="D8" s="7">
        <v>65.099999999999994</v>
      </c>
      <c r="E8" s="7">
        <v>38.6</v>
      </c>
      <c r="F8" s="7">
        <v>66.5</v>
      </c>
      <c r="G8" s="7">
        <v>119.3</v>
      </c>
    </row>
    <row r="9" spans="1:7" ht="13" x14ac:dyDescent="0.25">
      <c r="A9" s="11">
        <v>5</v>
      </c>
      <c r="B9" s="7">
        <v>25.7</v>
      </c>
      <c r="C9" s="7">
        <v>62.8</v>
      </c>
      <c r="D9" s="7">
        <v>101.4</v>
      </c>
      <c r="E9" s="7">
        <v>50.9</v>
      </c>
      <c r="F9" s="7">
        <v>61.6</v>
      </c>
      <c r="G9" s="7">
        <v>115.9</v>
      </c>
    </row>
    <row r="10" spans="1:7" ht="13" x14ac:dyDescent="0.25">
      <c r="A10" s="11">
        <v>6</v>
      </c>
      <c r="B10" s="7">
        <v>27.7</v>
      </c>
      <c r="C10" s="7">
        <v>59.2</v>
      </c>
      <c r="D10" s="7">
        <v>77.599999999999994</v>
      </c>
      <c r="E10" s="7">
        <v>53.7</v>
      </c>
      <c r="F10" s="7">
        <v>76.400000000000006</v>
      </c>
      <c r="G10" s="7">
        <v>88</v>
      </c>
    </row>
    <row r="11" spans="1:7" ht="13" x14ac:dyDescent="0.25">
      <c r="A11" s="11">
        <v>7</v>
      </c>
      <c r="B11" s="7">
        <v>24.9</v>
      </c>
      <c r="C11" s="7">
        <v>46.6</v>
      </c>
      <c r="D11" s="7">
        <v>69</v>
      </c>
      <c r="E11" s="7">
        <v>35.299999999999997</v>
      </c>
      <c r="F11" s="7">
        <v>76.900000000000006</v>
      </c>
      <c r="G11" s="7">
        <v>96.7</v>
      </c>
    </row>
    <row r="12" spans="1:7" ht="13" x14ac:dyDescent="0.25">
      <c r="A12" s="11">
        <v>8</v>
      </c>
      <c r="B12" s="7">
        <v>21.7</v>
      </c>
      <c r="C12" s="7">
        <v>51.7</v>
      </c>
      <c r="D12" s="7">
        <v>68.900000000000006</v>
      </c>
      <c r="E12" s="7">
        <v>43.2</v>
      </c>
      <c r="F12" s="7">
        <v>79.400000000000006</v>
      </c>
      <c r="G12" s="7">
        <v>113.1</v>
      </c>
    </row>
    <row r="13" spans="1:7" ht="13" x14ac:dyDescent="0.25">
      <c r="A13" s="11">
        <v>9</v>
      </c>
      <c r="B13" s="7">
        <v>26.7</v>
      </c>
      <c r="C13" s="7">
        <v>46.7</v>
      </c>
      <c r="D13" s="7">
        <v>89.7</v>
      </c>
      <c r="E13" s="7">
        <v>27.5</v>
      </c>
      <c r="F13" s="7">
        <v>67.900000000000006</v>
      </c>
      <c r="G13" s="7">
        <v>92.7</v>
      </c>
    </row>
    <row r="14" spans="1:7" ht="13" x14ac:dyDescent="0.25">
      <c r="A14" s="11">
        <v>10</v>
      </c>
      <c r="B14" s="7"/>
      <c r="C14" s="7"/>
      <c r="D14" s="7"/>
      <c r="E14" s="7">
        <v>26.6</v>
      </c>
      <c r="F14" s="7">
        <v>74.5</v>
      </c>
      <c r="G14" s="7">
        <v>101.8</v>
      </c>
    </row>
    <row r="15" spans="1:7" ht="13" x14ac:dyDescent="0.25">
      <c r="A15" s="11">
        <v>11</v>
      </c>
      <c r="B15" s="7"/>
      <c r="C15" s="7"/>
      <c r="D15" s="7"/>
      <c r="E15" s="7">
        <v>40.299999999999997</v>
      </c>
      <c r="F15" s="7">
        <v>65.2</v>
      </c>
      <c r="G15" s="7">
        <v>98.2</v>
      </c>
    </row>
    <row r="16" spans="1:7" ht="13" x14ac:dyDescent="0.25">
      <c r="A16" s="11">
        <v>12</v>
      </c>
      <c r="B16" s="7"/>
      <c r="C16" s="7"/>
      <c r="D16" s="7"/>
      <c r="E16" s="7">
        <v>29</v>
      </c>
      <c r="F16" s="7">
        <v>75.2</v>
      </c>
      <c r="G16" s="7">
        <v>106.1</v>
      </c>
    </row>
    <row r="17" spans="1:7" ht="13" x14ac:dyDescent="0.25">
      <c r="A17" s="11">
        <v>13</v>
      </c>
      <c r="B17" s="7"/>
      <c r="C17" s="7"/>
      <c r="D17" s="7"/>
      <c r="E17" s="7">
        <v>57.6</v>
      </c>
      <c r="F17" s="7">
        <v>75.599999999999994</v>
      </c>
      <c r="G17" s="7">
        <v>111.5</v>
      </c>
    </row>
    <row r="18" spans="1:7" ht="13" x14ac:dyDescent="0.25">
      <c r="A18" s="11">
        <v>14</v>
      </c>
      <c r="B18" s="7"/>
      <c r="C18" s="7"/>
      <c r="D18" s="7"/>
      <c r="E18" s="7">
        <v>40.9</v>
      </c>
      <c r="F18" s="7">
        <v>75.599999999999994</v>
      </c>
      <c r="G18" s="7">
        <v>105.8</v>
      </c>
    </row>
    <row r="19" spans="1:7" ht="13" x14ac:dyDescent="0.25">
      <c r="A19" s="11">
        <v>15</v>
      </c>
      <c r="B19" s="7"/>
      <c r="C19" s="7"/>
      <c r="D19" s="7"/>
      <c r="E19" s="7">
        <v>34.6</v>
      </c>
      <c r="F19" s="7">
        <v>70.5</v>
      </c>
      <c r="G19" s="7">
        <v>110.1</v>
      </c>
    </row>
    <row r="20" spans="1:7" ht="13.5" thickBot="1" x14ac:dyDescent="0.3">
      <c r="A20" s="14">
        <v>16</v>
      </c>
      <c r="B20" s="15"/>
      <c r="C20" s="15"/>
      <c r="D20" s="15"/>
      <c r="E20" s="7">
        <v>28.1</v>
      </c>
      <c r="F20" s="7">
        <v>70.400000000000006</v>
      </c>
      <c r="G20" s="7">
        <v>116.6</v>
      </c>
    </row>
    <row r="21" spans="1:7" ht="13.5" thickTop="1" x14ac:dyDescent="0.25">
      <c r="A21" s="612" t="str">
        <f>'2020.7'!A21:G21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34.5</v>
      </c>
      <c r="C24" s="7">
        <v>45.8</v>
      </c>
      <c r="D24" s="7">
        <v>71.3</v>
      </c>
      <c r="E24" s="7">
        <v>46.2</v>
      </c>
      <c r="F24" s="7">
        <v>81.5</v>
      </c>
      <c r="G24" s="7">
        <v>104.3</v>
      </c>
    </row>
    <row r="25" spans="1:7" ht="13" x14ac:dyDescent="0.25">
      <c r="A25" s="11">
        <v>2</v>
      </c>
      <c r="B25" s="7">
        <v>24.5</v>
      </c>
      <c r="C25" s="7">
        <v>61.5</v>
      </c>
      <c r="D25" s="7">
        <v>107.6</v>
      </c>
      <c r="E25" s="7">
        <v>36.4</v>
      </c>
      <c r="F25" s="7">
        <v>74.599999999999994</v>
      </c>
      <c r="G25" s="7">
        <v>88.7</v>
      </c>
    </row>
    <row r="26" spans="1:7" ht="13" x14ac:dyDescent="0.25">
      <c r="A26" s="11">
        <v>3</v>
      </c>
      <c r="B26" s="7">
        <v>39.9</v>
      </c>
      <c r="C26" s="7">
        <v>59.5</v>
      </c>
      <c r="D26" s="7">
        <v>84.6</v>
      </c>
      <c r="E26" s="7">
        <v>56.4</v>
      </c>
      <c r="F26" s="7">
        <v>82.3</v>
      </c>
      <c r="G26" s="7">
        <v>113.7</v>
      </c>
    </row>
    <row r="27" spans="1:7" ht="13" x14ac:dyDescent="0.25">
      <c r="A27" s="11">
        <v>4</v>
      </c>
      <c r="B27" s="7">
        <v>44.5</v>
      </c>
      <c r="C27" s="7">
        <v>56.5</v>
      </c>
      <c r="D27" s="7">
        <v>68.3</v>
      </c>
      <c r="E27" s="7">
        <v>57.3</v>
      </c>
      <c r="F27" s="7">
        <v>71.8</v>
      </c>
      <c r="G27" s="7">
        <v>86.5</v>
      </c>
    </row>
    <row r="28" spans="1:7" ht="13" x14ac:dyDescent="0.25">
      <c r="A28" s="11">
        <v>5</v>
      </c>
      <c r="B28" s="7">
        <v>23.8</v>
      </c>
      <c r="C28" s="7">
        <v>50.5</v>
      </c>
      <c r="D28" s="7">
        <v>92.3</v>
      </c>
      <c r="E28" s="7">
        <v>29.8</v>
      </c>
      <c r="F28" s="7">
        <v>84.6</v>
      </c>
      <c r="G28" s="7">
        <v>104.9</v>
      </c>
    </row>
    <row r="29" spans="1:7" ht="13" x14ac:dyDescent="0.25">
      <c r="A29" s="11">
        <v>6</v>
      </c>
      <c r="B29" s="7">
        <v>27.3</v>
      </c>
      <c r="C29" s="7">
        <v>48.3</v>
      </c>
      <c r="D29" s="7">
        <v>83.2</v>
      </c>
      <c r="E29" s="7">
        <v>35.5</v>
      </c>
      <c r="F29" s="7">
        <v>83.8</v>
      </c>
      <c r="G29" s="7">
        <v>101.7</v>
      </c>
    </row>
    <row r="30" spans="1:7" ht="13" x14ac:dyDescent="0.25">
      <c r="A30" s="11">
        <v>7</v>
      </c>
      <c r="B30" s="7">
        <v>35.9</v>
      </c>
      <c r="C30" s="7">
        <v>49.6</v>
      </c>
      <c r="D30" s="7">
        <v>70.2</v>
      </c>
      <c r="E30" s="7">
        <v>58</v>
      </c>
      <c r="F30" s="7">
        <v>73.900000000000006</v>
      </c>
      <c r="G30" s="7">
        <v>113</v>
      </c>
    </row>
    <row r="31" spans="1:7" ht="13" x14ac:dyDescent="0.25">
      <c r="A31" s="11">
        <v>8</v>
      </c>
      <c r="B31" s="7">
        <v>24.6</v>
      </c>
      <c r="C31" s="7">
        <v>56.1</v>
      </c>
      <c r="D31" s="7">
        <v>75.599999999999994</v>
      </c>
      <c r="E31" s="7">
        <v>37.9</v>
      </c>
      <c r="F31" s="7">
        <v>68.2</v>
      </c>
      <c r="G31" s="7">
        <v>112.6</v>
      </c>
    </row>
    <row r="32" spans="1:7" ht="13" x14ac:dyDescent="0.25">
      <c r="A32" s="11">
        <v>9</v>
      </c>
      <c r="B32" s="7">
        <v>29.3</v>
      </c>
      <c r="C32" s="7">
        <v>51.6</v>
      </c>
      <c r="D32" s="7">
        <v>82.2</v>
      </c>
      <c r="E32" s="7">
        <v>30.3</v>
      </c>
      <c r="F32" s="7">
        <v>70.5</v>
      </c>
      <c r="G32" s="7">
        <v>96.7</v>
      </c>
    </row>
    <row r="33" spans="1:7" ht="13" x14ac:dyDescent="0.25">
      <c r="A33" s="11">
        <v>10</v>
      </c>
      <c r="B33" s="7">
        <v>23</v>
      </c>
      <c r="C33" s="7">
        <v>53.5</v>
      </c>
      <c r="D33" s="7">
        <v>98.8</v>
      </c>
      <c r="E33" s="7">
        <v>29</v>
      </c>
      <c r="F33" s="7">
        <v>65.599999999999994</v>
      </c>
      <c r="G33" s="7">
        <v>119.7</v>
      </c>
    </row>
    <row r="34" spans="1:7" ht="13" x14ac:dyDescent="0.25">
      <c r="A34" s="11">
        <v>11</v>
      </c>
      <c r="B34" s="7"/>
      <c r="C34" s="7"/>
      <c r="D34" s="7"/>
      <c r="E34" s="7">
        <v>56.1</v>
      </c>
      <c r="F34" s="7">
        <v>78.099999999999994</v>
      </c>
      <c r="G34" s="7">
        <v>106.9</v>
      </c>
    </row>
    <row r="35" spans="1:7" ht="13" x14ac:dyDescent="0.25">
      <c r="A35" s="11">
        <v>12</v>
      </c>
      <c r="B35" s="7"/>
      <c r="C35" s="7"/>
      <c r="D35" s="7"/>
      <c r="E35" s="7">
        <v>58.9</v>
      </c>
      <c r="F35" s="7">
        <v>81.099999999999994</v>
      </c>
      <c r="G35" s="7">
        <v>111.4</v>
      </c>
    </row>
    <row r="36" spans="1:7" ht="13" x14ac:dyDescent="0.25">
      <c r="A36" s="11">
        <v>13</v>
      </c>
      <c r="B36" s="7"/>
      <c r="C36" s="7"/>
      <c r="D36" s="7"/>
      <c r="E36" s="7">
        <v>53</v>
      </c>
      <c r="F36" s="7">
        <v>85</v>
      </c>
      <c r="G36" s="7">
        <v>113.1</v>
      </c>
    </row>
    <row r="37" spans="1:7" ht="13" x14ac:dyDescent="0.25">
      <c r="A37" s="11">
        <v>14</v>
      </c>
      <c r="B37" s="7"/>
      <c r="C37" s="7"/>
      <c r="D37" s="7"/>
      <c r="E37" s="7">
        <v>51.8</v>
      </c>
      <c r="F37" s="7">
        <v>64.2</v>
      </c>
      <c r="G37" s="7">
        <v>119.2</v>
      </c>
    </row>
    <row r="38" spans="1:7" ht="13" x14ac:dyDescent="0.25">
      <c r="A38" s="11">
        <v>15</v>
      </c>
      <c r="B38" s="7"/>
      <c r="C38" s="7"/>
      <c r="D38" s="7"/>
      <c r="E38" s="7">
        <v>30.5</v>
      </c>
      <c r="F38" s="7">
        <v>82.3</v>
      </c>
      <c r="G38" s="7">
        <v>88.2</v>
      </c>
    </row>
    <row r="39" spans="1:7" ht="13" x14ac:dyDescent="0.25">
      <c r="A39" s="11">
        <v>16</v>
      </c>
      <c r="B39" s="7"/>
      <c r="C39" s="7"/>
      <c r="D39" s="7"/>
      <c r="E39" s="7">
        <v>51.5</v>
      </c>
      <c r="F39" s="7">
        <v>69.3</v>
      </c>
      <c r="G39" s="7">
        <v>102.6</v>
      </c>
    </row>
    <row r="40" spans="1:7" ht="13" x14ac:dyDescent="0.25">
      <c r="A40" s="11">
        <v>17</v>
      </c>
      <c r="B40" s="7"/>
      <c r="C40" s="7"/>
      <c r="D40" s="7"/>
      <c r="E40" s="7">
        <v>30.9</v>
      </c>
      <c r="F40" s="7">
        <v>68.099999999999994</v>
      </c>
      <c r="G40" s="7">
        <v>90.3</v>
      </c>
    </row>
    <row r="41" spans="1:7" ht="13" x14ac:dyDescent="0.25">
      <c r="A41" s="11">
        <v>18</v>
      </c>
      <c r="B41" s="7"/>
      <c r="C41" s="7"/>
      <c r="D41" s="7"/>
      <c r="E41" s="7">
        <v>53.3</v>
      </c>
      <c r="F41" s="7">
        <v>70.3</v>
      </c>
      <c r="G41" s="7">
        <v>116.1</v>
      </c>
    </row>
    <row r="42" spans="1:7" ht="13" x14ac:dyDescent="0.25">
      <c r="A42" s="11">
        <v>19</v>
      </c>
      <c r="B42" s="7"/>
      <c r="C42" s="7"/>
      <c r="D42" s="7"/>
      <c r="E42" s="7">
        <v>59.6</v>
      </c>
      <c r="F42" s="7">
        <v>66.400000000000006</v>
      </c>
      <c r="G42" s="7">
        <v>87.9</v>
      </c>
    </row>
    <row r="43" spans="1:7" ht="13" x14ac:dyDescent="0.25">
      <c r="A43" s="11">
        <v>20</v>
      </c>
      <c r="B43" s="7"/>
      <c r="C43" s="7"/>
      <c r="D43" s="7"/>
      <c r="E43" s="7">
        <v>40.4</v>
      </c>
      <c r="F43" s="7">
        <v>66.599999999999994</v>
      </c>
      <c r="G43" s="7">
        <v>113.7</v>
      </c>
    </row>
    <row r="44" spans="1:7" ht="13" x14ac:dyDescent="0.25">
      <c r="A44" s="11">
        <v>21</v>
      </c>
      <c r="B44" s="7"/>
      <c r="C44" s="7"/>
      <c r="D44" s="7"/>
      <c r="E44" s="7">
        <v>27.8</v>
      </c>
      <c r="F44" s="7">
        <v>75.2</v>
      </c>
      <c r="G44" s="7">
        <v>90</v>
      </c>
    </row>
    <row r="45" spans="1:7" ht="13" x14ac:dyDescent="0.25">
      <c r="A45" s="11">
        <v>22</v>
      </c>
      <c r="B45" s="7"/>
      <c r="C45" s="7"/>
      <c r="D45" s="7"/>
      <c r="E45" s="7">
        <v>34.9</v>
      </c>
      <c r="F45" s="7">
        <v>79.8</v>
      </c>
      <c r="G45" s="7">
        <v>105</v>
      </c>
    </row>
    <row r="46" spans="1:7" ht="13" x14ac:dyDescent="0.25">
      <c r="A46" s="11">
        <v>23</v>
      </c>
      <c r="B46" s="7"/>
      <c r="C46" s="7"/>
      <c r="D46" s="7"/>
      <c r="E46" s="7">
        <v>43.9</v>
      </c>
      <c r="F46" s="7">
        <v>63.3</v>
      </c>
      <c r="G46" s="7">
        <v>103.9</v>
      </c>
    </row>
    <row r="47" spans="1:7" ht="13" x14ac:dyDescent="0.25">
      <c r="A47" s="11">
        <v>24</v>
      </c>
      <c r="B47" s="7"/>
      <c r="C47" s="7"/>
      <c r="D47" s="7"/>
      <c r="E47" s="7">
        <v>48.2</v>
      </c>
      <c r="F47" s="7">
        <v>84.9</v>
      </c>
      <c r="G47" s="7">
        <v>108.3</v>
      </c>
    </row>
    <row r="48" spans="1:7" ht="13" x14ac:dyDescent="0.25">
      <c r="A48" s="11">
        <v>25</v>
      </c>
      <c r="B48" s="7"/>
      <c r="C48" s="7"/>
      <c r="D48" s="7"/>
      <c r="E48" s="7">
        <v>26.1</v>
      </c>
      <c r="F48" s="7">
        <v>73.900000000000006</v>
      </c>
      <c r="G48" s="7">
        <v>112.3</v>
      </c>
    </row>
    <row r="49" spans="1:7" ht="13" x14ac:dyDescent="0.25">
      <c r="A49" s="11">
        <v>26</v>
      </c>
      <c r="B49" s="7"/>
      <c r="C49" s="16"/>
      <c r="D49" s="7"/>
      <c r="E49" s="7">
        <v>29.3</v>
      </c>
      <c r="F49" s="7">
        <v>83.8</v>
      </c>
      <c r="G49" s="7">
        <v>109.1</v>
      </c>
    </row>
    <row r="50" spans="1:7" ht="13" x14ac:dyDescent="0.25">
      <c r="A50" s="11">
        <v>27</v>
      </c>
      <c r="B50" s="7"/>
      <c r="C50" s="16"/>
      <c r="D50" s="7"/>
      <c r="E50" s="7">
        <v>54.7</v>
      </c>
      <c r="F50" s="7">
        <v>66.7</v>
      </c>
      <c r="G50" s="7">
        <v>117.6</v>
      </c>
    </row>
    <row r="51" spans="1:7" ht="13" x14ac:dyDescent="0.25">
      <c r="A51" s="11">
        <v>28</v>
      </c>
      <c r="B51" s="7"/>
      <c r="C51" s="17"/>
      <c r="D51" s="7"/>
      <c r="E51" s="7">
        <v>33</v>
      </c>
      <c r="F51" s="7">
        <v>78</v>
      </c>
      <c r="G51" s="7">
        <v>105.6</v>
      </c>
    </row>
    <row r="52" spans="1:7" ht="13.5" thickBot="1" x14ac:dyDescent="0.3">
      <c r="A52" s="14">
        <v>29</v>
      </c>
      <c r="B52" s="18"/>
      <c r="C52" s="18"/>
      <c r="D52" s="15"/>
      <c r="E52" s="7">
        <v>44.3</v>
      </c>
      <c r="F52" s="7">
        <v>66.5</v>
      </c>
      <c r="G52" s="7">
        <v>87.9</v>
      </c>
    </row>
    <row r="53" spans="1:7" ht="13.5" thickTop="1" x14ac:dyDescent="0.25">
      <c r="A53" s="612" t="str">
        <f>'2020.7'!A53:G53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43.5</v>
      </c>
      <c r="C56" s="7">
        <v>48.4</v>
      </c>
      <c r="D56" s="7">
        <v>108.8</v>
      </c>
      <c r="E56" s="7">
        <v>29</v>
      </c>
      <c r="F56" s="7">
        <v>67.400000000000006</v>
      </c>
      <c r="G56" s="7">
        <v>106</v>
      </c>
    </row>
    <row r="57" spans="1:7" ht="13" x14ac:dyDescent="0.25">
      <c r="A57" s="11">
        <v>2</v>
      </c>
      <c r="B57" s="7">
        <v>27.4</v>
      </c>
      <c r="C57" s="7">
        <v>45.5</v>
      </c>
      <c r="D57" s="7">
        <v>85.1</v>
      </c>
      <c r="E57" s="7">
        <v>48.9</v>
      </c>
      <c r="F57" s="7">
        <v>74.2</v>
      </c>
      <c r="G57" s="7">
        <v>92.7</v>
      </c>
    </row>
    <row r="58" spans="1:7" ht="13" x14ac:dyDescent="0.25">
      <c r="A58" s="11">
        <v>3</v>
      </c>
      <c r="B58" s="7">
        <v>26.2</v>
      </c>
      <c r="C58" s="7">
        <v>56.5</v>
      </c>
      <c r="D58" s="7">
        <v>78</v>
      </c>
      <c r="E58" s="7">
        <v>40.4</v>
      </c>
      <c r="F58" s="7">
        <v>83</v>
      </c>
      <c r="G58" s="7">
        <v>119.3</v>
      </c>
    </row>
    <row r="59" spans="1:7" ht="13" x14ac:dyDescent="0.25">
      <c r="A59" s="11">
        <v>4</v>
      </c>
      <c r="B59" s="7">
        <v>30.4</v>
      </c>
      <c r="C59" s="7">
        <v>47.3</v>
      </c>
      <c r="D59" s="7">
        <v>105.7</v>
      </c>
      <c r="E59" s="7">
        <v>46.1</v>
      </c>
      <c r="F59" s="7">
        <v>66.099999999999994</v>
      </c>
      <c r="G59" s="7">
        <v>113.9</v>
      </c>
    </row>
    <row r="60" spans="1:7" ht="13" x14ac:dyDescent="0.25">
      <c r="A60" s="11">
        <v>5</v>
      </c>
      <c r="B60" s="7">
        <v>35.299999999999997</v>
      </c>
      <c r="C60" s="7">
        <v>60</v>
      </c>
      <c r="D60" s="7">
        <v>90.8</v>
      </c>
      <c r="E60" s="7">
        <v>30.6</v>
      </c>
      <c r="F60" s="7">
        <v>75.900000000000006</v>
      </c>
      <c r="G60" s="7">
        <v>90</v>
      </c>
    </row>
    <row r="61" spans="1:7" ht="13" x14ac:dyDescent="0.25">
      <c r="A61" s="11">
        <v>6</v>
      </c>
      <c r="B61" s="7">
        <v>21.1</v>
      </c>
      <c r="C61" s="7">
        <v>59.2</v>
      </c>
      <c r="D61" s="7">
        <v>89.6</v>
      </c>
      <c r="E61" s="7">
        <v>49.5</v>
      </c>
      <c r="F61" s="7">
        <v>84.8</v>
      </c>
      <c r="G61" s="7">
        <v>97.7</v>
      </c>
    </row>
    <row r="62" spans="1:7" ht="13" x14ac:dyDescent="0.25">
      <c r="A62" s="11">
        <v>7</v>
      </c>
      <c r="B62" s="7">
        <v>26.5</v>
      </c>
      <c r="C62" s="7">
        <v>57.5</v>
      </c>
      <c r="D62" s="7">
        <v>100.4</v>
      </c>
      <c r="E62" s="7">
        <v>52.3</v>
      </c>
      <c r="F62" s="7">
        <v>77.3</v>
      </c>
      <c r="G62" s="7">
        <v>103.5</v>
      </c>
    </row>
    <row r="63" spans="1:7" ht="13" x14ac:dyDescent="0.25">
      <c r="A63" s="11">
        <v>8</v>
      </c>
      <c r="B63" s="7">
        <v>26</v>
      </c>
      <c r="C63" s="7">
        <v>58.2</v>
      </c>
      <c r="D63" s="7">
        <v>67.3</v>
      </c>
      <c r="E63" s="7"/>
      <c r="F63" s="7"/>
      <c r="G63" s="7"/>
    </row>
    <row r="64" spans="1:7" ht="13" x14ac:dyDescent="0.25">
      <c r="A64" s="11">
        <v>9</v>
      </c>
      <c r="B64" s="7">
        <v>20.5</v>
      </c>
      <c r="C64" s="7">
        <v>64.3</v>
      </c>
      <c r="D64" s="7">
        <v>78.8</v>
      </c>
      <c r="E64" s="7"/>
      <c r="F64" s="7"/>
      <c r="G64" s="7"/>
    </row>
    <row r="65" spans="1:7" ht="13" x14ac:dyDescent="0.25">
      <c r="A65" s="11">
        <v>10</v>
      </c>
      <c r="B65" s="7">
        <v>22.8</v>
      </c>
      <c r="C65" s="7">
        <v>48.9</v>
      </c>
      <c r="D65" s="7">
        <v>75.900000000000006</v>
      </c>
      <c r="E65" s="7"/>
      <c r="F65" s="7"/>
      <c r="G65" s="7"/>
    </row>
    <row r="66" spans="1:7" ht="13" x14ac:dyDescent="0.25">
      <c r="A66" s="11">
        <v>11</v>
      </c>
      <c r="B66" s="7">
        <v>23.6</v>
      </c>
      <c r="C66" s="7">
        <v>52.7</v>
      </c>
      <c r="D66" s="7">
        <v>101.6</v>
      </c>
      <c r="E66" s="7"/>
      <c r="F66" s="7"/>
      <c r="G66" s="7"/>
    </row>
    <row r="67" spans="1:7" ht="13.5" thickBot="1" x14ac:dyDescent="0.3">
      <c r="A67" s="14">
        <v>12</v>
      </c>
      <c r="B67" s="7">
        <v>31.4</v>
      </c>
      <c r="C67" s="7">
        <v>50</v>
      </c>
      <c r="D67" s="7">
        <v>72.3</v>
      </c>
      <c r="E67" s="15"/>
      <c r="F67" s="15"/>
      <c r="G67" s="15"/>
    </row>
    <row r="68" spans="1:7" ht="13.5" thickTop="1" x14ac:dyDescent="0.25">
      <c r="A68" s="612" t="str">
        <f>'2020.7'!A68:G68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39</v>
      </c>
      <c r="C71" s="7">
        <v>53.5</v>
      </c>
      <c r="D71" s="7">
        <v>69</v>
      </c>
      <c r="E71" s="7"/>
      <c r="F71" s="7"/>
      <c r="G71" s="7"/>
    </row>
    <row r="72" spans="1:7" ht="13" x14ac:dyDescent="0.25">
      <c r="A72" s="11">
        <v>2</v>
      </c>
      <c r="B72" s="7">
        <v>22.3</v>
      </c>
      <c r="C72" s="7">
        <v>56.9</v>
      </c>
      <c r="D72" s="7">
        <v>105.4</v>
      </c>
      <c r="E72" s="6"/>
      <c r="F72" s="6"/>
      <c r="G72" s="7"/>
    </row>
    <row r="73" spans="1:7" ht="13" x14ac:dyDescent="0.25">
      <c r="A73" s="11">
        <v>3</v>
      </c>
      <c r="B73" s="7">
        <v>34.299999999999997</v>
      </c>
      <c r="C73" s="7">
        <v>64.5</v>
      </c>
      <c r="D73" s="7">
        <v>76.7</v>
      </c>
      <c r="E73" s="6"/>
      <c r="F73" s="6"/>
      <c r="G73" s="6"/>
    </row>
    <row r="74" spans="1:7" ht="13" x14ac:dyDescent="0.25">
      <c r="A74" s="11">
        <v>4</v>
      </c>
      <c r="B74" s="7">
        <v>26.1</v>
      </c>
      <c r="C74" s="7">
        <v>65</v>
      </c>
      <c r="D74" s="7">
        <v>89.9</v>
      </c>
      <c r="E74" s="6"/>
      <c r="F74" s="6"/>
      <c r="G74" s="6"/>
    </row>
    <row r="75" spans="1:7" ht="13" x14ac:dyDescent="0.25">
      <c r="A75" s="11">
        <v>5</v>
      </c>
      <c r="B75" s="7">
        <v>26.1</v>
      </c>
      <c r="C75" s="7">
        <v>52.1</v>
      </c>
      <c r="D75" s="7">
        <v>78.900000000000006</v>
      </c>
      <c r="E75" s="6"/>
      <c r="F75" s="6"/>
      <c r="G75" s="6"/>
    </row>
    <row r="76" spans="1:7" ht="13" x14ac:dyDescent="0.25">
      <c r="A76" s="11">
        <v>6</v>
      </c>
      <c r="B76" s="7">
        <v>27.6</v>
      </c>
      <c r="C76" s="7">
        <v>53.1</v>
      </c>
      <c r="D76" s="7">
        <v>87</v>
      </c>
      <c r="E76" s="6"/>
      <c r="F76" s="6"/>
      <c r="G76" s="6"/>
    </row>
    <row r="77" spans="1:7" ht="13" x14ac:dyDescent="0.25">
      <c r="A77" s="11">
        <v>7</v>
      </c>
      <c r="B77" s="7">
        <v>26.5</v>
      </c>
      <c r="C77" s="7">
        <v>56.6</v>
      </c>
      <c r="D77" s="7">
        <v>73.7</v>
      </c>
      <c r="E77" s="6"/>
      <c r="F77" s="6"/>
      <c r="G77" s="6"/>
    </row>
    <row r="78" spans="1:7" ht="13" x14ac:dyDescent="0.25">
      <c r="A78" s="11">
        <v>8</v>
      </c>
      <c r="B78" s="7">
        <v>40.5</v>
      </c>
      <c r="C78" s="7">
        <v>53.6</v>
      </c>
      <c r="D78" s="7">
        <v>74.400000000000006</v>
      </c>
      <c r="E78" s="6"/>
      <c r="F78" s="6"/>
      <c r="G78" s="6"/>
    </row>
    <row r="79" spans="1:7" ht="13" x14ac:dyDescent="0.25">
      <c r="A79" s="11">
        <v>9</v>
      </c>
      <c r="B79" s="7">
        <v>36</v>
      </c>
      <c r="C79" s="7">
        <v>47.5</v>
      </c>
      <c r="D79" s="7">
        <v>92.7</v>
      </c>
      <c r="E79" s="6"/>
      <c r="F79" s="6"/>
      <c r="G79" s="6"/>
    </row>
    <row r="80" spans="1:7" ht="13" x14ac:dyDescent="0.25">
      <c r="A80" s="11">
        <v>10</v>
      </c>
      <c r="B80" s="7">
        <v>20.100000000000001</v>
      </c>
      <c r="C80" s="7">
        <v>46.8</v>
      </c>
      <c r="D80" s="7">
        <v>83</v>
      </c>
      <c r="E80" s="6"/>
      <c r="F80" s="6"/>
      <c r="G80" s="6"/>
    </row>
    <row r="81" spans="1:7" ht="13" x14ac:dyDescent="0.25">
      <c r="A81" s="11">
        <v>11</v>
      </c>
      <c r="B81" s="7">
        <v>36.200000000000003</v>
      </c>
      <c r="C81" s="7">
        <v>45.2</v>
      </c>
      <c r="D81" s="7">
        <v>102.4</v>
      </c>
      <c r="E81" s="6"/>
      <c r="F81" s="6"/>
      <c r="G81" s="6"/>
    </row>
    <row r="82" spans="1:7" ht="13" x14ac:dyDescent="0.25">
      <c r="A82" s="11">
        <v>12</v>
      </c>
      <c r="B82" s="7">
        <v>24.4</v>
      </c>
      <c r="C82" s="7">
        <v>54.3</v>
      </c>
      <c r="D82" s="7">
        <v>93.2</v>
      </c>
      <c r="E82" s="6"/>
      <c r="F82" s="6"/>
      <c r="G82" s="6"/>
    </row>
    <row r="83" spans="1:7" ht="13" x14ac:dyDescent="0.25">
      <c r="A83" s="11">
        <v>13</v>
      </c>
      <c r="B83" s="7">
        <v>22</v>
      </c>
      <c r="C83" s="7">
        <v>61</v>
      </c>
      <c r="D83" s="7">
        <v>92.5</v>
      </c>
      <c r="E83" s="6"/>
      <c r="F83" s="6"/>
      <c r="G83" s="6"/>
    </row>
    <row r="84" spans="1:7" ht="13" x14ac:dyDescent="0.25">
      <c r="A84" s="11">
        <v>14</v>
      </c>
      <c r="B84" s="7">
        <v>41.4</v>
      </c>
      <c r="C84" s="7">
        <v>53.7</v>
      </c>
      <c r="D84" s="7">
        <v>108.1</v>
      </c>
      <c r="E84" s="6"/>
      <c r="F84" s="6"/>
      <c r="G84" s="6"/>
    </row>
    <row r="85" spans="1:7" ht="13" x14ac:dyDescent="0.25">
      <c r="A85" s="11">
        <v>15</v>
      </c>
      <c r="B85" s="7">
        <v>29.5</v>
      </c>
      <c r="C85" s="7">
        <v>53.2</v>
      </c>
      <c r="D85" s="7">
        <v>69</v>
      </c>
      <c r="E85" s="6"/>
      <c r="F85" s="6"/>
      <c r="G85" s="6"/>
    </row>
    <row r="86" spans="1:7" ht="13" x14ac:dyDescent="0.25">
      <c r="A86" s="11">
        <v>16</v>
      </c>
      <c r="B86" s="7">
        <v>20.3</v>
      </c>
      <c r="C86" s="7">
        <v>59.4</v>
      </c>
      <c r="D86" s="7">
        <v>66.7</v>
      </c>
      <c r="E86" s="6"/>
      <c r="F86" s="6"/>
      <c r="G86" s="6"/>
    </row>
    <row r="87" spans="1:7" ht="13" x14ac:dyDescent="0.25">
      <c r="A87" s="11">
        <v>17</v>
      </c>
      <c r="B87" s="7">
        <v>31.8</v>
      </c>
      <c r="C87" s="7">
        <v>47.2</v>
      </c>
      <c r="D87" s="7">
        <v>67.8</v>
      </c>
      <c r="E87" s="6"/>
      <c r="F87" s="6"/>
      <c r="G87" s="6"/>
    </row>
    <row r="88" spans="1:7" ht="13" x14ac:dyDescent="0.25">
      <c r="A88" s="11">
        <v>18</v>
      </c>
      <c r="B88" s="7">
        <v>31.4</v>
      </c>
      <c r="C88" s="7">
        <v>54.5</v>
      </c>
      <c r="D88" s="7">
        <v>102.9</v>
      </c>
      <c r="E88" s="6"/>
      <c r="F88" s="6"/>
      <c r="G88" s="6"/>
    </row>
    <row r="89" spans="1:7" ht="13" x14ac:dyDescent="0.25">
      <c r="A89" s="11">
        <v>19</v>
      </c>
      <c r="B89" s="7">
        <v>35.5</v>
      </c>
      <c r="C89" s="7">
        <v>45.1</v>
      </c>
      <c r="D89" s="7">
        <v>88.9</v>
      </c>
      <c r="E89" s="6"/>
      <c r="F89" s="6"/>
      <c r="G89" s="6"/>
    </row>
    <row r="90" spans="1:7" ht="13" x14ac:dyDescent="0.25">
      <c r="A90" s="11">
        <v>20</v>
      </c>
      <c r="B90" s="7">
        <v>39.299999999999997</v>
      </c>
      <c r="C90" s="7">
        <v>64.2</v>
      </c>
      <c r="D90" s="7">
        <v>80.599999999999994</v>
      </c>
      <c r="E90" s="6"/>
      <c r="F90" s="6"/>
      <c r="G90" s="6"/>
    </row>
    <row r="91" spans="1:7" ht="13" x14ac:dyDescent="0.25">
      <c r="A91" s="11">
        <v>21</v>
      </c>
      <c r="B91" s="7">
        <v>36.6</v>
      </c>
      <c r="C91" s="7">
        <v>49.8</v>
      </c>
      <c r="D91" s="7">
        <v>101.7</v>
      </c>
      <c r="E91" s="6"/>
      <c r="F91" s="6"/>
      <c r="G91" s="6"/>
    </row>
    <row r="92" spans="1:7" ht="13" x14ac:dyDescent="0.25">
      <c r="A92" s="11">
        <v>22</v>
      </c>
      <c r="B92" s="7">
        <v>33.299999999999997</v>
      </c>
      <c r="C92" s="7">
        <v>62.3</v>
      </c>
      <c r="D92" s="7">
        <v>68.7</v>
      </c>
      <c r="E92" s="6"/>
      <c r="F92" s="6"/>
      <c r="G92" s="6"/>
    </row>
    <row r="93" spans="1:7" ht="13" x14ac:dyDescent="0.25">
      <c r="A93" s="11">
        <v>23</v>
      </c>
      <c r="B93" s="7">
        <v>38.5</v>
      </c>
      <c r="C93" s="7">
        <v>50.5</v>
      </c>
      <c r="D93" s="7">
        <v>73.5</v>
      </c>
      <c r="E93" s="6"/>
      <c r="F93" s="6"/>
      <c r="G93" s="6"/>
    </row>
    <row r="94" spans="1:7" ht="13" x14ac:dyDescent="0.25">
      <c r="A94" s="11">
        <v>24</v>
      </c>
      <c r="B94" s="7">
        <v>25.5</v>
      </c>
      <c r="C94" s="7">
        <v>63.2</v>
      </c>
      <c r="D94" s="7">
        <v>68.2</v>
      </c>
      <c r="E94" s="6"/>
      <c r="F94" s="6"/>
      <c r="G94" s="6"/>
    </row>
    <row r="95" spans="1:7" ht="13" x14ac:dyDescent="0.25">
      <c r="A95" s="11">
        <v>25</v>
      </c>
      <c r="B95" s="7">
        <v>41.2</v>
      </c>
      <c r="C95" s="7">
        <v>62.3</v>
      </c>
      <c r="D95" s="7">
        <v>94.5</v>
      </c>
      <c r="E95" s="6"/>
      <c r="F95" s="6"/>
      <c r="G95" s="6"/>
    </row>
    <row r="96" spans="1:7" ht="13" x14ac:dyDescent="0.25">
      <c r="A96" s="11">
        <v>26</v>
      </c>
      <c r="B96" s="7">
        <v>30.5</v>
      </c>
      <c r="C96" s="7">
        <v>55.1</v>
      </c>
      <c r="D96" s="7">
        <v>80</v>
      </c>
      <c r="E96" s="17"/>
      <c r="F96" s="17"/>
      <c r="G96" s="17"/>
    </row>
    <row r="97" spans="1:7" ht="13" x14ac:dyDescent="0.25">
      <c r="A97" s="11">
        <v>27</v>
      </c>
      <c r="B97" s="7">
        <v>38.700000000000003</v>
      </c>
      <c r="C97" s="7">
        <v>62.4</v>
      </c>
      <c r="D97" s="7">
        <v>78.400000000000006</v>
      </c>
      <c r="E97" s="17"/>
      <c r="F97" s="17"/>
      <c r="G97" s="17"/>
    </row>
    <row r="98" spans="1:7" ht="13" x14ac:dyDescent="0.25">
      <c r="A98" s="11">
        <v>28</v>
      </c>
      <c r="B98" s="7">
        <v>39.299999999999997</v>
      </c>
      <c r="C98" s="7">
        <v>60.9</v>
      </c>
      <c r="D98" s="7">
        <v>103.4</v>
      </c>
      <c r="E98" s="17"/>
      <c r="F98" s="17"/>
      <c r="G98" s="17"/>
    </row>
    <row r="99" spans="1:7" ht="13" x14ac:dyDescent="0.25">
      <c r="A99" s="11">
        <v>29</v>
      </c>
      <c r="B99" s="7">
        <v>36.9</v>
      </c>
      <c r="C99" s="7">
        <v>56.5</v>
      </c>
      <c r="D99" s="7">
        <v>97.2</v>
      </c>
      <c r="E99" s="6"/>
      <c r="F99" s="6"/>
      <c r="G99" s="6"/>
    </row>
    <row r="100" spans="1:7" ht="13" x14ac:dyDescent="0.25">
      <c r="A100" s="11">
        <v>30</v>
      </c>
      <c r="B100" s="7">
        <v>35.799999999999997</v>
      </c>
      <c r="C100" s="7">
        <v>48.2</v>
      </c>
      <c r="D100" s="7">
        <v>89.5</v>
      </c>
      <c r="E100" s="2"/>
      <c r="F100" s="2"/>
      <c r="G100" s="2"/>
    </row>
    <row r="101" spans="1:7" ht="13" x14ac:dyDescent="0.25">
      <c r="A101" s="11">
        <v>31</v>
      </c>
      <c r="B101" s="7">
        <v>21</v>
      </c>
      <c r="C101" s="7">
        <v>61.8</v>
      </c>
      <c r="D101" s="7">
        <v>73.3</v>
      </c>
      <c r="E101" s="2"/>
      <c r="F101" s="2"/>
      <c r="G101" s="2"/>
    </row>
    <row r="102" spans="1:7" ht="13" x14ac:dyDescent="0.25">
      <c r="A102" s="11">
        <v>32</v>
      </c>
      <c r="B102" s="7">
        <v>21.7</v>
      </c>
      <c r="C102" s="7">
        <v>51.7</v>
      </c>
      <c r="D102" s="7">
        <v>81.099999999999994</v>
      </c>
      <c r="E102" s="2"/>
      <c r="F102" s="2"/>
      <c r="G102" s="2"/>
    </row>
    <row r="103" spans="1:7" ht="13" x14ac:dyDescent="0.25">
      <c r="A103" s="11">
        <v>33</v>
      </c>
      <c r="B103" s="7">
        <v>40.700000000000003</v>
      </c>
      <c r="C103" s="7">
        <v>45.8</v>
      </c>
      <c r="D103" s="7">
        <v>85.8</v>
      </c>
      <c r="E103" s="2"/>
      <c r="F103" s="2"/>
      <c r="G103" s="2"/>
    </row>
    <row r="104" spans="1:7" ht="13" x14ac:dyDescent="0.25">
      <c r="A104" s="11">
        <v>34</v>
      </c>
      <c r="B104" s="7">
        <v>42</v>
      </c>
      <c r="C104" s="7">
        <v>56.9</v>
      </c>
      <c r="D104" s="7">
        <v>77.2</v>
      </c>
      <c r="E104" s="2"/>
      <c r="F104" s="2"/>
      <c r="G104" s="2"/>
    </row>
    <row r="105" spans="1:7" ht="13" x14ac:dyDescent="0.25">
      <c r="A105" s="11">
        <v>35</v>
      </c>
      <c r="B105" s="7">
        <v>31.2</v>
      </c>
      <c r="C105" s="7">
        <v>52.3</v>
      </c>
      <c r="D105" s="7">
        <v>90.4</v>
      </c>
      <c r="E105" s="2"/>
      <c r="F105" s="2"/>
      <c r="G105" s="2"/>
    </row>
    <row r="106" spans="1:7" ht="13" x14ac:dyDescent="0.25">
      <c r="A106" s="11">
        <v>36</v>
      </c>
      <c r="B106" s="7">
        <v>37.799999999999997</v>
      </c>
      <c r="C106" s="7">
        <v>56.4</v>
      </c>
      <c r="D106" s="7">
        <v>86.4</v>
      </c>
      <c r="E106" s="2"/>
      <c r="F106" s="2"/>
      <c r="G106" s="2"/>
    </row>
    <row r="107" spans="1:7" ht="13" x14ac:dyDescent="0.25">
      <c r="A107" s="11">
        <v>37</v>
      </c>
      <c r="B107" s="7">
        <v>40.4</v>
      </c>
      <c r="C107" s="7">
        <v>57.6</v>
      </c>
      <c r="D107" s="7">
        <v>104.6</v>
      </c>
      <c r="E107" s="2"/>
      <c r="F107" s="2"/>
      <c r="G107" s="2"/>
    </row>
    <row r="108" spans="1:7" ht="13" x14ac:dyDescent="0.25">
      <c r="A108" s="11">
        <v>38</v>
      </c>
      <c r="B108" s="7">
        <v>44.7</v>
      </c>
      <c r="C108" s="7">
        <v>48.9</v>
      </c>
      <c r="D108" s="7">
        <v>77.599999999999994</v>
      </c>
      <c r="E108" s="2"/>
      <c r="F108" s="2"/>
      <c r="G108" s="2"/>
    </row>
    <row r="109" spans="1:7" ht="13" x14ac:dyDescent="0.25">
      <c r="A109" s="11">
        <v>39</v>
      </c>
      <c r="B109" s="7">
        <v>26.2</v>
      </c>
      <c r="C109" s="7">
        <v>56.3</v>
      </c>
      <c r="D109" s="7">
        <v>74.8</v>
      </c>
      <c r="E109" s="2"/>
      <c r="F109" s="2"/>
      <c r="G109" s="2"/>
    </row>
    <row r="110" spans="1:7" ht="13" x14ac:dyDescent="0.25">
      <c r="A110" s="11">
        <v>40</v>
      </c>
      <c r="B110" s="7">
        <v>38.4</v>
      </c>
      <c r="C110" s="7">
        <v>62.9</v>
      </c>
      <c r="D110" s="7">
        <v>90.7</v>
      </c>
      <c r="E110" s="2"/>
      <c r="F110" s="2"/>
      <c r="G110" s="2"/>
    </row>
    <row r="111" spans="1:7" ht="13" x14ac:dyDescent="0.25">
      <c r="A111" s="11">
        <v>41</v>
      </c>
      <c r="B111" s="7">
        <v>20.6</v>
      </c>
      <c r="C111" s="7">
        <v>59.7</v>
      </c>
      <c r="D111" s="7">
        <v>100.9</v>
      </c>
      <c r="E111" s="2"/>
      <c r="F111" s="2"/>
      <c r="G111" s="2"/>
    </row>
    <row r="112" spans="1:7" ht="13" x14ac:dyDescent="0.25">
      <c r="A112" s="11">
        <v>42</v>
      </c>
      <c r="B112" s="7">
        <v>26.9</v>
      </c>
      <c r="C112" s="7">
        <v>62.8</v>
      </c>
      <c r="D112" s="7">
        <v>97.2</v>
      </c>
      <c r="E112" s="2"/>
      <c r="F112" s="2"/>
      <c r="G112" s="2"/>
    </row>
    <row r="113" spans="1:7" ht="13" x14ac:dyDescent="0.25">
      <c r="A113" s="11">
        <v>43</v>
      </c>
      <c r="B113" s="7">
        <v>36.700000000000003</v>
      </c>
      <c r="C113" s="7">
        <v>57.2</v>
      </c>
      <c r="D113" s="7">
        <v>103.9</v>
      </c>
      <c r="E113" s="2"/>
      <c r="F113" s="2"/>
      <c r="G113" s="2"/>
    </row>
    <row r="114" spans="1:7" ht="13" x14ac:dyDescent="0.25">
      <c r="A114" s="11">
        <v>44</v>
      </c>
      <c r="B114" s="7">
        <v>31.6</v>
      </c>
      <c r="C114" s="7">
        <v>53.5</v>
      </c>
      <c r="D114" s="7">
        <v>96.4</v>
      </c>
      <c r="E114" s="2"/>
      <c r="F114" s="2"/>
      <c r="G114" s="2"/>
    </row>
    <row r="115" spans="1:7" ht="13" x14ac:dyDescent="0.25">
      <c r="A115" s="11">
        <v>45</v>
      </c>
      <c r="B115" s="7">
        <v>36.299999999999997</v>
      </c>
      <c r="C115" s="7">
        <v>64</v>
      </c>
      <c r="D115" s="7">
        <v>98.7</v>
      </c>
      <c r="E115" s="2"/>
      <c r="F115" s="2"/>
      <c r="G115" s="2"/>
    </row>
    <row r="116" spans="1:7" ht="13" x14ac:dyDescent="0.25">
      <c r="A116" s="11">
        <v>46</v>
      </c>
      <c r="B116" s="7">
        <v>42.6</v>
      </c>
      <c r="C116" s="7">
        <v>60.3</v>
      </c>
      <c r="D116" s="7">
        <v>108.2</v>
      </c>
      <c r="E116" s="2"/>
      <c r="F116" s="2"/>
      <c r="G116" s="2"/>
    </row>
    <row r="117" spans="1:7" ht="13" x14ac:dyDescent="0.25">
      <c r="A117" s="11">
        <v>47</v>
      </c>
      <c r="B117" s="7">
        <v>38.200000000000003</v>
      </c>
      <c r="C117" s="7">
        <v>45</v>
      </c>
      <c r="D117" s="7">
        <v>108.6</v>
      </c>
      <c r="E117" s="2"/>
      <c r="F117" s="2"/>
      <c r="G117" s="2"/>
    </row>
    <row r="118" spans="1:7" ht="13" x14ac:dyDescent="0.25">
      <c r="A118" s="11">
        <v>48</v>
      </c>
      <c r="B118" s="7">
        <v>26.8</v>
      </c>
      <c r="C118" s="7">
        <v>53.6</v>
      </c>
      <c r="D118" s="7">
        <v>97.1</v>
      </c>
      <c r="E118" s="2"/>
      <c r="F118" s="2"/>
      <c r="G118" s="2"/>
    </row>
    <row r="119" spans="1:7" ht="13" x14ac:dyDescent="0.25">
      <c r="A119" s="11">
        <v>49</v>
      </c>
      <c r="B119" s="7">
        <v>36.299999999999997</v>
      </c>
      <c r="C119" s="7">
        <v>62.6</v>
      </c>
      <c r="D119" s="7">
        <v>96.3</v>
      </c>
      <c r="E119" s="2"/>
      <c r="F119" s="2"/>
      <c r="G119" s="2"/>
    </row>
    <row r="120" spans="1:7" ht="13" x14ac:dyDescent="0.25">
      <c r="A120" s="11">
        <v>50</v>
      </c>
      <c r="B120" s="7">
        <v>20.6</v>
      </c>
      <c r="C120" s="7">
        <v>56</v>
      </c>
      <c r="D120" s="7">
        <v>74.3</v>
      </c>
      <c r="E120" s="2"/>
      <c r="F120" s="2"/>
      <c r="G120" s="2"/>
    </row>
    <row r="121" spans="1:7" ht="13" x14ac:dyDescent="0.25">
      <c r="A121" s="11">
        <v>51</v>
      </c>
      <c r="B121" s="7">
        <v>24</v>
      </c>
      <c r="C121" s="7">
        <v>64.900000000000006</v>
      </c>
      <c r="D121" s="7">
        <v>89.8</v>
      </c>
      <c r="E121" s="2"/>
      <c r="F121" s="2"/>
      <c r="G121" s="2"/>
    </row>
    <row r="122" spans="1:7" ht="13" x14ac:dyDescent="0.25">
      <c r="A122" s="11">
        <v>52</v>
      </c>
      <c r="B122" s="7">
        <v>34.200000000000003</v>
      </c>
      <c r="C122" s="7">
        <v>50.6</v>
      </c>
      <c r="D122" s="7">
        <v>90.1</v>
      </c>
      <c r="E122" s="2"/>
      <c r="F122" s="2"/>
      <c r="G122" s="2"/>
    </row>
    <row r="123" spans="1:7" ht="13" x14ac:dyDescent="0.25">
      <c r="A123" s="11">
        <v>53</v>
      </c>
      <c r="B123" s="7">
        <v>41.9</v>
      </c>
      <c r="C123" s="7">
        <v>64.099999999999994</v>
      </c>
      <c r="D123" s="7">
        <v>66.900000000000006</v>
      </c>
      <c r="E123" s="2"/>
      <c r="F123" s="2"/>
      <c r="G123" s="2"/>
    </row>
    <row r="124" spans="1:7" ht="13" x14ac:dyDescent="0.25">
      <c r="A124" s="11">
        <v>54</v>
      </c>
      <c r="B124" s="7">
        <v>40.700000000000003</v>
      </c>
      <c r="C124" s="7">
        <v>50.5</v>
      </c>
      <c r="D124" s="7">
        <v>65.099999999999994</v>
      </c>
      <c r="E124" s="2"/>
      <c r="F124" s="2"/>
      <c r="G124" s="2"/>
    </row>
    <row r="125" spans="1:7" ht="13" x14ac:dyDescent="0.25">
      <c r="A125" s="11">
        <v>55</v>
      </c>
      <c r="B125" s="7">
        <v>41.5</v>
      </c>
      <c r="C125" s="7">
        <v>46.6</v>
      </c>
      <c r="D125" s="7">
        <v>65.2</v>
      </c>
      <c r="E125" s="2"/>
      <c r="F125" s="2"/>
      <c r="G125" s="2"/>
    </row>
    <row r="126" spans="1:7" ht="13" x14ac:dyDescent="0.25">
      <c r="A126" s="11">
        <v>56</v>
      </c>
      <c r="B126" s="7">
        <v>25.3</v>
      </c>
      <c r="C126" s="7">
        <v>51.1</v>
      </c>
      <c r="D126" s="7">
        <v>99.2</v>
      </c>
      <c r="E126" s="2"/>
      <c r="F126" s="2"/>
      <c r="G126" s="2"/>
    </row>
    <row r="127" spans="1:7" ht="13" x14ac:dyDescent="0.25">
      <c r="A127" s="11">
        <v>57</v>
      </c>
      <c r="B127" s="7">
        <v>39.4</v>
      </c>
      <c r="C127" s="7">
        <v>50.7</v>
      </c>
      <c r="D127" s="7">
        <v>85.8</v>
      </c>
      <c r="E127" s="2"/>
      <c r="F127" s="2"/>
      <c r="G127" s="2"/>
    </row>
    <row r="128" spans="1:7" ht="13" x14ac:dyDescent="0.25">
      <c r="A128" s="11">
        <v>58</v>
      </c>
      <c r="B128" s="7">
        <v>42.3</v>
      </c>
      <c r="C128" s="7">
        <v>49.4</v>
      </c>
      <c r="D128" s="7">
        <v>89.9</v>
      </c>
      <c r="E128" s="2"/>
      <c r="F128" s="2"/>
      <c r="G128" s="2"/>
    </row>
    <row r="129" spans="1:7" ht="13" x14ac:dyDescent="0.25">
      <c r="A129" s="11">
        <v>59</v>
      </c>
      <c r="B129" s="7">
        <v>39.5</v>
      </c>
      <c r="C129" s="7">
        <v>45.8</v>
      </c>
      <c r="D129" s="7">
        <v>92.6</v>
      </c>
      <c r="E129" s="2"/>
      <c r="F129" s="2"/>
      <c r="G129" s="2"/>
    </row>
    <row r="130" spans="1:7" ht="13" x14ac:dyDescent="0.25">
      <c r="A130" s="11">
        <v>60</v>
      </c>
      <c r="B130" s="7">
        <v>41.5</v>
      </c>
      <c r="C130" s="7">
        <v>61.8</v>
      </c>
      <c r="D130" s="7">
        <v>96.7</v>
      </c>
      <c r="E130" s="2"/>
      <c r="F130" s="2"/>
      <c r="G130" s="2"/>
    </row>
    <row r="131" spans="1:7" ht="13" x14ac:dyDescent="0.25">
      <c r="A131" s="11">
        <v>61</v>
      </c>
      <c r="B131" s="7">
        <v>36.5</v>
      </c>
      <c r="C131" s="7">
        <v>58.2</v>
      </c>
      <c r="D131" s="7">
        <v>77</v>
      </c>
      <c r="E131" s="2"/>
      <c r="F131" s="2"/>
      <c r="G131" s="2"/>
    </row>
    <row r="132" spans="1:7" ht="13" x14ac:dyDescent="0.25">
      <c r="A132" s="11">
        <v>62</v>
      </c>
      <c r="B132" s="7">
        <v>31.5</v>
      </c>
      <c r="C132" s="7">
        <v>56</v>
      </c>
      <c r="D132" s="7">
        <v>79.3</v>
      </c>
      <c r="E132" s="2"/>
      <c r="F132" s="2"/>
      <c r="G132" s="2"/>
    </row>
    <row r="133" spans="1:7" ht="13.5" thickBot="1" x14ac:dyDescent="0.3">
      <c r="A133" s="14">
        <v>63</v>
      </c>
      <c r="B133" s="7">
        <v>29.6</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53.8</v>
      </c>
      <c r="C138" s="13">
        <f>ROUNDDOWN(AVERAGE(E5:G20),1)</f>
        <v>71.5</v>
      </c>
      <c r="D138" s="11">
        <f>'2020.7'!D138</f>
        <v>8438</v>
      </c>
      <c r="E138" s="11">
        <v>15948</v>
      </c>
      <c r="F138" s="11">
        <f>B138*D138</f>
        <v>453964.39999999997</v>
      </c>
      <c r="G138" s="11">
        <f>C138*E138</f>
        <v>1140282</v>
      </c>
    </row>
    <row r="139" spans="1:7" ht="13" x14ac:dyDescent="0.25">
      <c r="A139" s="6" t="str">
        <f>A21</f>
        <v>Dongtai Jianggang Farm</v>
      </c>
      <c r="B139" s="13">
        <f>ROUNDDOWN(AVERAGE(B24:D33),1)</f>
        <v>55.8</v>
      </c>
      <c r="C139" s="13">
        <f>ROUNDDOWN(AVERAGE(E24:G52),1)</f>
        <v>73.900000000000006</v>
      </c>
      <c r="D139" s="11">
        <f>'2020.7'!D139</f>
        <v>9440</v>
      </c>
      <c r="E139" s="11">
        <v>29474</v>
      </c>
      <c r="F139" s="11">
        <f t="shared" ref="F139:G141" si="0">B139*D139</f>
        <v>526752</v>
      </c>
      <c r="G139" s="11">
        <f t="shared" si="0"/>
        <v>2178128.6</v>
      </c>
    </row>
    <row r="140" spans="1:7" ht="13" x14ac:dyDescent="0.25">
      <c r="A140" s="6" t="str">
        <f>A53</f>
        <v>Sheyang Linhai Farm</v>
      </c>
      <c r="B140" s="13">
        <f>ROUNDDOWN(AVERAGE(B56:D67),1)</f>
        <v>56.5</v>
      </c>
      <c r="C140" s="13">
        <f>ROUNDDOWN(AVERAGE(E56:G62),1)</f>
        <v>73.7</v>
      </c>
      <c r="D140" s="11">
        <f>'2020.7'!D140</f>
        <v>11825</v>
      </c>
      <c r="E140" s="11">
        <v>6420</v>
      </c>
      <c r="F140" s="11">
        <f t="shared" si="0"/>
        <v>668112.5</v>
      </c>
      <c r="G140" s="11">
        <f t="shared" si="0"/>
        <v>473154</v>
      </c>
    </row>
    <row r="141" spans="1:7" ht="13" x14ac:dyDescent="0.25">
      <c r="A141" s="6" t="str">
        <f>A68</f>
        <v>Siyang Nanliuji</v>
      </c>
      <c r="B141" s="13">
        <f>ROUNDDOWN(AVERAGE(B71:D133),1)</f>
        <v>58.3</v>
      </c>
      <c r="C141" s="11">
        <f>ROUNDDOWN(AVERAGE(0),1)</f>
        <v>0</v>
      </c>
      <c r="D141" s="11">
        <f>'2020.7'!D141</f>
        <v>65005</v>
      </c>
      <c r="E141" s="11">
        <v>0</v>
      </c>
      <c r="F141" s="11">
        <f t="shared" si="0"/>
        <v>3789791.5</v>
      </c>
      <c r="G141" s="11">
        <f t="shared" si="0"/>
        <v>0</v>
      </c>
    </row>
    <row r="142" spans="1:7" ht="13" x14ac:dyDescent="0.25">
      <c r="A142" s="613" t="s">
        <v>154</v>
      </c>
      <c r="B142" s="617"/>
      <c r="C142" s="614"/>
      <c r="D142" s="11">
        <f>SUM(D138:D141)</f>
        <v>94708</v>
      </c>
      <c r="E142" s="11">
        <v>51842</v>
      </c>
      <c r="F142" s="11">
        <f>SUM(F138:F141)</f>
        <v>5438620.4000000004</v>
      </c>
      <c r="G142" s="11">
        <f>SUM(G138:G141)</f>
        <v>3791564.6</v>
      </c>
    </row>
    <row r="144" spans="1:7" ht="13" x14ac:dyDescent="0.25">
      <c r="C144" s="613" t="s">
        <v>155</v>
      </c>
      <c r="D144" s="614"/>
    </row>
    <row r="145" spans="3:4" ht="13" x14ac:dyDescent="0.25">
      <c r="C145" s="11" t="s">
        <v>152</v>
      </c>
      <c r="D145" s="11" t="s">
        <v>153</v>
      </c>
    </row>
    <row r="146" spans="3:4" ht="13" x14ac:dyDescent="0.25">
      <c r="C146" s="12">
        <f>ROUNDDOWN(F142/D142,1)</f>
        <v>57.4</v>
      </c>
      <c r="D146" s="12">
        <f>ROUNDDOWN(G142/E142,1)</f>
        <v>73.099999999999994</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46"/>
  <sheetViews>
    <sheetView workbookViewId="0">
      <selection activeCell="E146" sqref="E146"/>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'2020.8'!A2:G2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35.5</v>
      </c>
      <c r="C5" s="7">
        <v>61.6</v>
      </c>
      <c r="D5" s="7">
        <v>76.599999999999994</v>
      </c>
      <c r="E5" s="7">
        <v>42.1</v>
      </c>
      <c r="F5" s="7">
        <v>78.8</v>
      </c>
      <c r="G5" s="7">
        <v>89.5</v>
      </c>
    </row>
    <row r="6" spans="1:7" ht="13" x14ac:dyDescent="0.25">
      <c r="A6" s="11">
        <v>2</v>
      </c>
      <c r="B6" s="7">
        <v>35.1</v>
      </c>
      <c r="C6" s="7">
        <v>62.2</v>
      </c>
      <c r="D6" s="7">
        <v>86.4</v>
      </c>
      <c r="E6" s="7">
        <v>36.4</v>
      </c>
      <c r="F6" s="7">
        <v>71.900000000000006</v>
      </c>
      <c r="G6" s="7">
        <v>112.9</v>
      </c>
    </row>
    <row r="7" spans="1:7" ht="13" x14ac:dyDescent="0.25">
      <c r="A7" s="11">
        <v>3</v>
      </c>
      <c r="B7" s="7">
        <v>21.6</v>
      </c>
      <c r="C7" s="7">
        <v>63.6</v>
      </c>
      <c r="D7" s="7">
        <v>83.2</v>
      </c>
      <c r="E7" s="7">
        <v>49.2</v>
      </c>
      <c r="F7" s="7">
        <v>72.099999999999994</v>
      </c>
      <c r="G7" s="7">
        <v>118.3</v>
      </c>
    </row>
    <row r="8" spans="1:7" ht="13" x14ac:dyDescent="0.25">
      <c r="A8" s="11">
        <v>4</v>
      </c>
      <c r="B8" s="7">
        <v>33.799999999999997</v>
      </c>
      <c r="C8" s="7">
        <v>60.6</v>
      </c>
      <c r="D8" s="7">
        <v>74.5</v>
      </c>
      <c r="E8" s="7">
        <v>50</v>
      </c>
      <c r="F8" s="7">
        <v>69.400000000000006</v>
      </c>
      <c r="G8" s="7">
        <v>111.5</v>
      </c>
    </row>
    <row r="9" spans="1:7" ht="13" x14ac:dyDescent="0.25">
      <c r="A9" s="11">
        <v>5</v>
      </c>
      <c r="B9" s="7">
        <v>24.7</v>
      </c>
      <c r="C9" s="7">
        <v>57.5</v>
      </c>
      <c r="D9" s="7">
        <v>100.5</v>
      </c>
      <c r="E9" s="7">
        <v>32.1</v>
      </c>
      <c r="F9" s="7">
        <v>72.599999999999994</v>
      </c>
      <c r="G9" s="7">
        <v>111.1</v>
      </c>
    </row>
    <row r="10" spans="1:7" ht="13" x14ac:dyDescent="0.25">
      <c r="A10" s="11">
        <v>6</v>
      </c>
      <c r="B10" s="7">
        <v>33.4</v>
      </c>
      <c r="C10" s="7">
        <v>50.5</v>
      </c>
      <c r="D10" s="7">
        <v>72.3</v>
      </c>
      <c r="E10" s="7">
        <v>29.6</v>
      </c>
      <c r="F10" s="7">
        <v>62.3</v>
      </c>
      <c r="G10" s="7">
        <v>92.1</v>
      </c>
    </row>
    <row r="11" spans="1:7" ht="13" x14ac:dyDescent="0.25">
      <c r="A11" s="11">
        <v>7</v>
      </c>
      <c r="B11" s="7">
        <v>41.2</v>
      </c>
      <c r="C11" s="7">
        <v>48.3</v>
      </c>
      <c r="D11" s="7">
        <v>88.5</v>
      </c>
      <c r="E11" s="7">
        <v>58.9</v>
      </c>
      <c r="F11" s="7">
        <v>65.3</v>
      </c>
      <c r="G11" s="7">
        <v>101.6</v>
      </c>
    </row>
    <row r="12" spans="1:7" ht="13" x14ac:dyDescent="0.25">
      <c r="A12" s="11">
        <v>8</v>
      </c>
      <c r="B12" s="7">
        <v>22.4</v>
      </c>
      <c r="C12" s="7">
        <v>58.5</v>
      </c>
      <c r="D12" s="7">
        <v>75.5</v>
      </c>
      <c r="E12" s="7">
        <v>36.200000000000003</v>
      </c>
      <c r="F12" s="7">
        <v>84.6</v>
      </c>
      <c r="G12" s="7">
        <v>99.4</v>
      </c>
    </row>
    <row r="13" spans="1:7" ht="13" x14ac:dyDescent="0.25">
      <c r="A13" s="11">
        <v>9</v>
      </c>
      <c r="B13" s="7">
        <v>29.5</v>
      </c>
      <c r="C13" s="7">
        <v>56.4</v>
      </c>
      <c r="D13" s="7">
        <v>99</v>
      </c>
      <c r="E13" s="7">
        <v>48.9</v>
      </c>
      <c r="F13" s="7">
        <v>71.7</v>
      </c>
      <c r="G13" s="7">
        <v>116.4</v>
      </c>
    </row>
    <row r="14" spans="1:7" ht="13" x14ac:dyDescent="0.25">
      <c r="A14" s="11">
        <v>10</v>
      </c>
      <c r="B14" s="7"/>
      <c r="C14" s="7"/>
      <c r="D14" s="7"/>
      <c r="E14" s="7">
        <v>36.1</v>
      </c>
      <c r="F14" s="7">
        <v>78.099999999999994</v>
      </c>
      <c r="G14" s="7">
        <v>104.4</v>
      </c>
    </row>
    <row r="15" spans="1:7" ht="13" x14ac:dyDescent="0.25">
      <c r="A15" s="11">
        <v>11</v>
      </c>
      <c r="B15" s="7"/>
      <c r="C15" s="7"/>
      <c r="D15" s="7"/>
      <c r="E15" s="7">
        <v>39.4</v>
      </c>
      <c r="F15" s="7">
        <v>71.400000000000006</v>
      </c>
      <c r="G15" s="7">
        <v>100.3</v>
      </c>
    </row>
    <row r="16" spans="1:7" ht="13" x14ac:dyDescent="0.25">
      <c r="A16" s="11">
        <v>12</v>
      </c>
      <c r="B16" s="7"/>
      <c r="C16" s="7"/>
      <c r="D16" s="7"/>
      <c r="E16" s="7">
        <v>33.5</v>
      </c>
      <c r="F16" s="7">
        <v>66.8</v>
      </c>
      <c r="G16" s="7">
        <v>93</v>
      </c>
    </row>
    <row r="17" spans="1:7" ht="13" x14ac:dyDescent="0.25">
      <c r="A17" s="11">
        <v>13</v>
      </c>
      <c r="B17" s="7"/>
      <c r="C17" s="7"/>
      <c r="D17" s="7"/>
      <c r="E17" s="7">
        <v>25.1</v>
      </c>
      <c r="F17" s="7">
        <v>70.099999999999994</v>
      </c>
      <c r="G17" s="7">
        <v>104.5</v>
      </c>
    </row>
    <row r="18" spans="1:7" ht="13" x14ac:dyDescent="0.25">
      <c r="A18" s="11">
        <v>14</v>
      </c>
      <c r="B18" s="7"/>
      <c r="C18" s="7"/>
      <c r="D18" s="7"/>
      <c r="E18" s="7">
        <v>51.3</v>
      </c>
      <c r="F18" s="7">
        <v>63.2</v>
      </c>
      <c r="G18" s="7">
        <v>93.7</v>
      </c>
    </row>
    <row r="19" spans="1:7" ht="13" x14ac:dyDescent="0.25">
      <c r="A19" s="11">
        <v>15</v>
      </c>
      <c r="B19" s="7"/>
      <c r="C19" s="7"/>
      <c r="D19" s="7"/>
      <c r="E19" s="7">
        <v>41.7</v>
      </c>
      <c r="F19" s="7">
        <v>72</v>
      </c>
      <c r="G19" s="7">
        <v>119</v>
      </c>
    </row>
    <row r="20" spans="1:7" ht="13.5" thickBot="1" x14ac:dyDescent="0.3">
      <c r="A20" s="14">
        <v>16</v>
      </c>
      <c r="B20" s="15"/>
      <c r="C20" s="15"/>
      <c r="D20" s="15"/>
      <c r="E20" s="7">
        <v>27.8</v>
      </c>
      <c r="F20" s="7">
        <v>68.400000000000006</v>
      </c>
      <c r="G20" s="7">
        <v>116</v>
      </c>
    </row>
    <row r="21" spans="1:7" ht="13.5" thickTop="1" x14ac:dyDescent="0.25">
      <c r="A21" s="612" t="str">
        <f>'2020.8'!A21:G21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37.9</v>
      </c>
      <c r="C24" s="7">
        <v>63.2</v>
      </c>
      <c r="D24" s="7">
        <v>109.7</v>
      </c>
      <c r="E24" s="7">
        <v>39.4</v>
      </c>
      <c r="F24" s="7">
        <v>71.900000000000006</v>
      </c>
      <c r="G24" s="7">
        <v>107.7</v>
      </c>
    </row>
    <row r="25" spans="1:7" ht="13" x14ac:dyDescent="0.25">
      <c r="A25" s="11">
        <v>2</v>
      </c>
      <c r="B25" s="7">
        <v>21.5</v>
      </c>
      <c r="C25" s="7">
        <v>64.599999999999994</v>
      </c>
      <c r="D25" s="7">
        <v>68.3</v>
      </c>
      <c r="E25" s="7">
        <v>53.8</v>
      </c>
      <c r="F25" s="7">
        <v>74.3</v>
      </c>
      <c r="G25" s="7">
        <v>104</v>
      </c>
    </row>
    <row r="26" spans="1:7" ht="13" x14ac:dyDescent="0.25">
      <c r="A26" s="11">
        <v>3</v>
      </c>
      <c r="B26" s="7">
        <v>24.8</v>
      </c>
      <c r="C26" s="7">
        <v>51.2</v>
      </c>
      <c r="D26" s="7">
        <v>86.3</v>
      </c>
      <c r="E26" s="7">
        <v>26.5</v>
      </c>
      <c r="F26" s="7">
        <v>68.7</v>
      </c>
      <c r="G26" s="7">
        <v>111</v>
      </c>
    </row>
    <row r="27" spans="1:7" ht="13" x14ac:dyDescent="0.25">
      <c r="A27" s="11">
        <v>4</v>
      </c>
      <c r="B27" s="7">
        <v>32.799999999999997</v>
      </c>
      <c r="C27" s="7">
        <v>49.1</v>
      </c>
      <c r="D27" s="7">
        <v>98.5</v>
      </c>
      <c r="E27" s="7">
        <v>46.8</v>
      </c>
      <c r="F27" s="7">
        <v>63.4</v>
      </c>
      <c r="G27" s="7">
        <v>111.4</v>
      </c>
    </row>
    <row r="28" spans="1:7" ht="13" x14ac:dyDescent="0.25">
      <c r="A28" s="11">
        <v>5</v>
      </c>
      <c r="B28" s="7">
        <v>29.8</v>
      </c>
      <c r="C28" s="7">
        <v>46.2</v>
      </c>
      <c r="D28" s="7">
        <v>83.8</v>
      </c>
      <c r="E28" s="7">
        <v>26.1</v>
      </c>
      <c r="F28" s="7">
        <v>60.5</v>
      </c>
      <c r="G28" s="7">
        <v>103.7</v>
      </c>
    </row>
    <row r="29" spans="1:7" ht="13" x14ac:dyDescent="0.25">
      <c r="A29" s="11">
        <v>6</v>
      </c>
      <c r="B29" s="7">
        <v>33.5</v>
      </c>
      <c r="C29" s="7">
        <v>62.4</v>
      </c>
      <c r="D29" s="7">
        <v>94.8</v>
      </c>
      <c r="E29" s="7">
        <v>26.8</v>
      </c>
      <c r="F29" s="7">
        <v>63.7</v>
      </c>
      <c r="G29" s="7">
        <v>116.8</v>
      </c>
    </row>
    <row r="30" spans="1:7" ht="13" x14ac:dyDescent="0.25">
      <c r="A30" s="11">
        <v>7</v>
      </c>
      <c r="B30" s="7">
        <v>39.299999999999997</v>
      </c>
      <c r="C30" s="7">
        <v>55.8</v>
      </c>
      <c r="D30" s="7">
        <v>84.3</v>
      </c>
      <c r="E30" s="7">
        <v>49.4</v>
      </c>
      <c r="F30" s="7">
        <v>61.5</v>
      </c>
      <c r="G30" s="7">
        <v>104.1</v>
      </c>
    </row>
    <row r="31" spans="1:7" ht="13" x14ac:dyDescent="0.25">
      <c r="A31" s="11">
        <v>8</v>
      </c>
      <c r="B31" s="7">
        <v>26.6</v>
      </c>
      <c r="C31" s="7">
        <v>61</v>
      </c>
      <c r="D31" s="7">
        <v>76.599999999999994</v>
      </c>
      <c r="E31" s="7">
        <v>43.5</v>
      </c>
      <c r="F31" s="7">
        <v>75.900000000000006</v>
      </c>
      <c r="G31" s="7">
        <v>114.6</v>
      </c>
    </row>
    <row r="32" spans="1:7" ht="13" x14ac:dyDescent="0.25">
      <c r="A32" s="11">
        <v>9</v>
      </c>
      <c r="B32" s="7">
        <v>20.8</v>
      </c>
      <c r="C32" s="7">
        <v>48</v>
      </c>
      <c r="D32" s="7">
        <v>106.7</v>
      </c>
      <c r="E32" s="7">
        <v>47</v>
      </c>
      <c r="F32" s="7">
        <v>72.400000000000006</v>
      </c>
      <c r="G32" s="7">
        <v>111.6</v>
      </c>
    </row>
    <row r="33" spans="1:7" ht="13" x14ac:dyDescent="0.25">
      <c r="A33" s="11">
        <v>10</v>
      </c>
      <c r="B33" s="7">
        <v>26.6</v>
      </c>
      <c r="C33" s="7">
        <v>46.5</v>
      </c>
      <c r="D33" s="7">
        <v>103.9</v>
      </c>
      <c r="E33" s="7">
        <v>42.9</v>
      </c>
      <c r="F33" s="7">
        <v>76.400000000000006</v>
      </c>
      <c r="G33" s="7">
        <v>101.1</v>
      </c>
    </row>
    <row r="34" spans="1:7" ht="13" x14ac:dyDescent="0.25">
      <c r="A34" s="11">
        <v>11</v>
      </c>
      <c r="B34" s="7"/>
      <c r="C34" s="7"/>
      <c r="D34" s="7"/>
      <c r="E34" s="7">
        <v>25.6</v>
      </c>
      <c r="F34" s="7">
        <v>75</v>
      </c>
      <c r="G34" s="7">
        <v>109.8</v>
      </c>
    </row>
    <row r="35" spans="1:7" ht="13" x14ac:dyDescent="0.25">
      <c r="A35" s="11">
        <v>12</v>
      </c>
      <c r="B35" s="7"/>
      <c r="C35" s="7"/>
      <c r="D35" s="7"/>
      <c r="E35" s="7">
        <v>35.799999999999997</v>
      </c>
      <c r="F35" s="7">
        <v>70</v>
      </c>
      <c r="G35" s="7">
        <v>107</v>
      </c>
    </row>
    <row r="36" spans="1:7" ht="13" x14ac:dyDescent="0.25">
      <c r="A36" s="11">
        <v>13</v>
      </c>
      <c r="B36" s="7"/>
      <c r="C36" s="7"/>
      <c r="D36" s="7"/>
      <c r="E36" s="7">
        <v>44.9</v>
      </c>
      <c r="F36" s="7">
        <v>65.8</v>
      </c>
      <c r="G36" s="7">
        <v>103.2</v>
      </c>
    </row>
    <row r="37" spans="1:7" ht="13" x14ac:dyDescent="0.25">
      <c r="A37" s="11">
        <v>14</v>
      </c>
      <c r="B37" s="7"/>
      <c r="C37" s="7"/>
      <c r="D37" s="7"/>
      <c r="E37" s="7">
        <v>32.700000000000003</v>
      </c>
      <c r="F37" s="7">
        <v>60.4</v>
      </c>
      <c r="G37" s="7">
        <v>110.9</v>
      </c>
    </row>
    <row r="38" spans="1:7" ht="13" x14ac:dyDescent="0.25">
      <c r="A38" s="11">
        <v>15</v>
      </c>
      <c r="B38" s="7"/>
      <c r="C38" s="7"/>
      <c r="D38" s="7"/>
      <c r="E38" s="7">
        <v>29.4</v>
      </c>
      <c r="F38" s="7">
        <v>78.8</v>
      </c>
      <c r="G38" s="7">
        <v>90</v>
      </c>
    </row>
    <row r="39" spans="1:7" ht="13" x14ac:dyDescent="0.25">
      <c r="A39" s="11">
        <v>16</v>
      </c>
      <c r="B39" s="7"/>
      <c r="C39" s="7"/>
      <c r="D39" s="7"/>
      <c r="E39" s="7">
        <v>55.4</v>
      </c>
      <c r="F39" s="7">
        <v>80.599999999999994</v>
      </c>
      <c r="G39" s="7">
        <v>88.9</v>
      </c>
    </row>
    <row r="40" spans="1:7" ht="13" x14ac:dyDescent="0.25">
      <c r="A40" s="11">
        <v>17</v>
      </c>
      <c r="B40" s="7"/>
      <c r="C40" s="7"/>
      <c r="D40" s="7"/>
      <c r="E40" s="7">
        <v>43</v>
      </c>
      <c r="F40" s="7">
        <v>80.099999999999994</v>
      </c>
      <c r="G40" s="7">
        <v>107.1</v>
      </c>
    </row>
    <row r="41" spans="1:7" ht="13" x14ac:dyDescent="0.25">
      <c r="A41" s="11">
        <v>18</v>
      </c>
      <c r="B41" s="7"/>
      <c r="C41" s="7"/>
      <c r="D41" s="7"/>
      <c r="E41" s="7">
        <v>25.9</v>
      </c>
      <c r="F41" s="7">
        <v>65.8</v>
      </c>
      <c r="G41" s="7">
        <v>115.7</v>
      </c>
    </row>
    <row r="42" spans="1:7" ht="13" x14ac:dyDescent="0.25">
      <c r="A42" s="11">
        <v>19</v>
      </c>
      <c r="B42" s="7"/>
      <c r="C42" s="7"/>
      <c r="D42" s="7"/>
      <c r="E42" s="7">
        <v>54.1</v>
      </c>
      <c r="F42" s="7">
        <v>74.099999999999994</v>
      </c>
      <c r="G42" s="7">
        <v>109.7</v>
      </c>
    </row>
    <row r="43" spans="1:7" ht="13" x14ac:dyDescent="0.25">
      <c r="A43" s="11">
        <v>20</v>
      </c>
      <c r="B43" s="7"/>
      <c r="C43" s="7"/>
      <c r="D43" s="7"/>
      <c r="E43" s="7">
        <v>37.1</v>
      </c>
      <c r="F43" s="7">
        <v>75</v>
      </c>
      <c r="G43" s="7">
        <v>96.2</v>
      </c>
    </row>
    <row r="44" spans="1:7" ht="13" x14ac:dyDescent="0.25">
      <c r="A44" s="11">
        <v>21</v>
      </c>
      <c r="B44" s="7"/>
      <c r="C44" s="7"/>
      <c r="D44" s="7"/>
      <c r="E44" s="7">
        <v>48.4</v>
      </c>
      <c r="F44" s="7">
        <v>67.8</v>
      </c>
      <c r="G44" s="7">
        <v>89.4</v>
      </c>
    </row>
    <row r="45" spans="1:7" ht="13" x14ac:dyDescent="0.25">
      <c r="A45" s="11">
        <v>22</v>
      </c>
      <c r="B45" s="7"/>
      <c r="C45" s="7"/>
      <c r="D45" s="7"/>
      <c r="E45" s="7">
        <v>33.4</v>
      </c>
      <c r="F45" s="7">
        <v>82.5</v>
      </c>
      <c r="G45" s="7">
        <v>86.7</v>
      </c>
    </row>
    <row r="46" spans="1:7" ht="13" x14ac:dyDescent="0.25">
      <c r="A46" s="11">
        <v>23</v>
      </c>
      <c r="B46" s="7"/>
      <c r="C46" s="7"/>
      <c r="D46" s="7"/>
      <c r="E46" s="7">
        <v>56.2</v>
      </c>
      <c r="F46" s="7">
        <v>78.3</v>
      </c>
      <c r="G46" s="7">
        <v>100.9</v>
      </c>
    </row>
    <row r="47" spans="1:7" ht="13" x14ac:dyDescent="0.25">
      <c r="A47" s="11">
        <v>24</v>
      </c>
      <c r="B47" s="7"/>
      <c r="C47" s="7"/>
      <c r="D47" s="7"/>
      <c r="E47" s="7">
        <v>39.1</v>
      </c>
      <c r="F47" s="7">
        <v>79.599999999999994</v>
      </c>
      <c r="G47" s="7">
        <v>105.1</v>
      </c>
    </row>
    <row r="48" spans="1:7" ht="13" x14ac:dyDescent="0.25">
      <c r="A48" s="11">
        <v>25</v>
      </c>
      <c r="B48" s="7"/>
      <c r="C48" s="7"/>
      <c r="D48" s="7"/>
      <c r="E48" s="7">
        <v>48.8</v>
      </c>
      <c r="F48" s="7">
        <v>66.099999999999994</v>
      </c>
      <c r="G48" s="7">
        <v>112.5</v>
      </c>
    </row>
    <row r="49" spans="1:7" ht="13" x14ac:dyDescent="0.25">
      <c r="A49" s="11">
        <v>26</v>
      </c>
      <c r="B49" s="7"/>
      <c r="C49" s="16"/>
      <c r="D49" s="7"/>
      <c r="E49" s="7">
        <v>53.7</v>
      </c>
      <c r="F49" s="7">
        <v>78.099999999999994</v>
      </c>
      <c r="G49" s="7">
        <v>99.4</v>
      </c>
    </row>
    <row r="50" spans="1:7" ht="13" x14ac:dyDescent="0.25">
      <c r="A50" s="11">
        <v>27</v>
      </c>
      <c r="B50" s="7"/>
      <c r="C50" s="16"/>
      <c r="D50" s="7"/>
      <c r="E50" s="7">
        <v>31.9</v>
      </c>
      <c r="F50" s="7">
        <v>68.2</v>
      </c>
      <c r="G50" s="7">
        <v>102.4</v>
      </c>
    </row>
    <row r="51" spans="1:7" ht="13" x14ac:dyDescent="0.25">
      <c r="A51" s="11">
        <v>28</v>
      </c>
      <c r="B51" s="7"/>
      <c r="C51" s="17"/>
      <c r="D51" s="7"/>
      <c r="E51" s="7">
        <v>28.5</v>
      </c>
      <c r="F51" s="7">
        <v>63.7</v>
      </c>
      <c r="G51" s="7">
        <v>108.9</v>
      </c>
    </row>
    <row r="52" spans="1:7" ht="13.5" thickBot="1" x14ac:dyDescent="0.3">
      <c r="A52" s="14">
        <v>29</v>
      </c>
      <c r="B52" s="18"/>
      <c r="C52" s="18"/>
      <c r="D52" s="15"/>
      <c r="E52" s="7">
        <v>59.8</v>
      </c>
      <c r="F52" s="7">
        <v>82.4</v>
      </c>
      <c r="G52" s="7">
        <v>91.1</v>
      </c>
    </row>
    <row r="53" spans="1:7" ht="13.5" thickTop="1" x14ac:dyDescent="0.25">
      <c r="A53" s="612" t="str">
        <f>'2020.8'!A53:G53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21.8</v>
      </c>
      <c r="C56" s="7">
        <v>64.599999999999994</v>
      </c>
      <c r="D56" s="7">
        <v>100.8</v>
      </c>
      <c r="E56" s="7">
        <v>29.3</v>
      </c>
      <c r="F56" s="7">
        <v>74.8</v>
      </c>
      <c r="G56" s="7">
        <v>102.8</v>
      </c>
    </row>
    <row r="57" spans="1:7" ht="13" x14ac:dyDescent="0.25">
      <c r="A57" s="11">
        <v>2</v>
      </c>
      <c r="B57" s="7">
        <v>34.4</v>
      </c>
      <c r="C57" s="7">
        <v>52.9</v>
      </c>
      <c r="D57" s="7">
        <v>90.4</v>
      </c>
      <c r="E57" s="7">
        <v>55.3</v>
      </c>
      <c r="F57" s="7">
        <v>78.099999999999994</v>
      </c>
      <c r="G57" s="7">
        <v>98.2</v>
      </c>
    </row>
    <row r="58" spans="1:7" ht="13" x14ac:dyDescent="0.25">
      <c r="A58" s="11">
        <v>3</v>
      </c>
      <c r="B58" s="7">
        <v>40.1</v>
      </c>
      <c r="C58" s="7">
        <v>58</v>
      </c>
      <c r="D58" s="7">
        <v>80.8</v>
      </c>
      <c r="E58" s="7">
        <v>58.8</v>
      </c>
      <c r="F58" s="7">
        <v>66.3</v>
      </c>
      <c r="G58" s="7">
        <v>99.8</v>
      </c>
    </row>
    <row r="59" spans="1:7" ht="13" x14ac:dyDescent="0.25">
      <c r="A59" s="11">
        <v>4</v>
      </c>
      <c r="B59" s="7">
        <v>44.2</v>
      </c>
      <c r="C59" s="7">
        <v>54.4</v>
      </c>
      <c r="D59" s="7">
        <v>104.2</v>
      </c>
      <c r="E59" s="7">
        <v>29.3</v>
      </c>
      <c r="F59" s="7">
        <v>79.2</v>
      </c>
      <c r="G59" s="7">
        <v>107.2</v>
      </c>
    </row>
    <row r="60" spans="1:7" ht="13" x14ac:dyDescent="0.25">
      <c r="A60" s="11">
        <v>5</v>
      </c>
      <c r="B60" s="7">
        <v>37.700000000000003</v>
      </c>
      <c r="C60" s="7">
        <v>56.3</v>
      </c>
      <c r="D60" s="7">
        <v>101.8</v>
      </c>
      <c r="E60" s="7">
        <v>51.3</v>
      </c>
      <c r="F60" s="7">
        <v>84.8</v>
      </c>
      <c r="G60" s="7">
        <v>106.5</v>
      </c>
    </row>
    <row r="61" spans="1:7" ht="13" x14ac:dyDescent="0.25">
      <c r="A61" s="11">
        <v>6</v>
      </c>
      <c r="B61" s="7">
        <v>21.3</v>
      </c>
      <c r="C61" s="7">
        <v>49.9</v>
      </c>
      <c r="D61" s="7">
        <v>93.2</v>
      </c>
      <c r="E61" s="7">
        <v>33.6</v>
      </c>
      <c r="F61" s="7">
        <v>67.5</v>
      </c>
      <c r="G61" s="7">
        <v>107.6</v>
      </c>
    </row>
    <row r="62" spans="1:7" ht="13" x14ac:dyDescent="0.25">
      <c r="A62" s="11">
        <v>7</v>
      </c>
      <c r="B62" s="7">
        <v>21.3</v>
      </c>
      <c r="C62" s="7">
        <v>55</v>
      </c>
      <c r="D62" s="7">
        <v>81.599999999999994</v>
      </c>
      <c r="E62" s="7">
        <v>29.5</v>
      </c>
      <c r="F62" s="7">
        <v>73.099999999999994</v>
      </c>
      <c r="G62" s="7">
        <v>108.8</v>
      </c>
    </row>
    <row r="63" spans="1:7" ht="13" x14ac:dyDescent="0.25">
      <c r="A63" s="11">
        <v>8</v>
      </c>
      <c r="B63" s="7">
        <v>31.2</v>
      </c>
      <c r="C63" s="7">
        <v>57.6</v>
      </c>
      <c r="D63" s="7">
        <v>84.5</v>
      </c>
      <c r="E63" s="7"/>
      <c r="F63" s="7"/>
      <c r="G63" s="7"/>
    </row>
    <row r="64" spans="1:7" ht="13" x14ac:dyDescent="0.25">
      <c r="A64" s="11">
        <v>9</v>
      </c>
      <c r="B64" s="7">
        <v>44.6</v>
      </c>
      <c r="C64" s="7">
        <v>46.9</v>
      </c>
      <c r="D64" s="7">
        <v>106.8</v>
      </c>
      <c r="E64" s="7"/>
      <c r="F64" s="7"/>
      <c r="G64" s="7"/>
    </row>
    <row r="65" spans="1:7" ht="13" x14ac:dyDescent="0.25">
      <c r="A65" s="11">
        <v>10</v>
      </c>
      <c r="B65" s="7">
        <v>21.8</v>
      </c>
      <c r="C65" s="7">
        <v>49.7</v>
      </c>
      <c r="D65" s="7">
        <v>70.099999999999994</v>
      </c>
      <c r="E65" s="7"/>
      <c r="F65" s="7"/>
      <c r="G65" s="7"/>
    </row>
    <row r="66" spans="1:7" ht="13" x14ac:dyDescent="0.25">
      <c r="A66" s="11">
        <v>11</v>
      </c>
      <c r="B66" s="7">
        <v>41.8</v>
      </c>
      <c r="C66" s="7">
        <v>51.2</v>
      </c>
      <c r="D66" s="7">
        <v>90.4</v>
      </c>
      <c r="E66" s="7"/>
      <c r="F66" s="7"/>
      <c r="G66" s="7"/>
    </row>
    <row r="67" spans="1:7" ht="13.5" thickBot="1" x14ac:dyDescent="0.3">
      <c r="A67" s="14">
        <v>12</v>
      </c>
      <c r="B67" s="7">
        <v>39</v>
      </c>
      <c r="C67" s="7">
        <v>57.7</v>
      </c>
      <c r="D67" s="7">
        <v>72.8</v>
      </c>
      <c r="E67" s="15"/>
      <c r="F67" s="15"/>
      <c r="G67" s="15"/>
    </row>
    <row r="68" spans="1:7" ht="13.5" thickTop="1" x14ac:dyDescent="0.25">
      <c r="A68" s="612" t="str">
        <f>'2020.8'!A68:G68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22.1</v>
      </c>
      <c r="C71" s="7">
        <v>50</v>
      </c>
      <c r="D71" s="7">
        <v>88.6</v>
      </c>
      <c r="E71" s="7"/>
      <c r="F71" s="7"/>
      <c r="G71" s="7"/>
    </row>
    <row r="72" spans="1:7" ht="13" x14ac:dyDescent="0.25">
      <c r="A72" s="11">
        <v>2</v>
      </c>
      <c r="B72" s="7">
        <v>36.799999999999997</v>
      </c>
      <c r="C72" s="7">
        <v>52.2</v>
      </c>
      <c r="D72" s="7">
        <v>87.8</v>
      </c>
      <c r="E72" s="6"/>
      <c r="F72" s="6"/>
      <c r="G72" s="7"/>
    </row>
    <row r="73" spans="1:7" ht="13" x14ac:dyDescent="0.25">
      <c r="A73" s="11">
        <v>3</v>
      </c>
      <c r="B73" s="7">
        <v>26.1</v>
      </c>
      <c r="C73" s="7">
        <v>53.3</v>
      </c>
      <c r="D73" s="7">
        <v>104.2</v>
      </c>
      <c r="E73" s="6"/>
      <c r="F73" s="6"/>
      <c r="G73" s="6"/>
    </row>
    <row r="74" spans="1:7" ht="13" x14ac:dyDescent="0.25">
      <c r="A74" s="11">
        <v>4</v>
      </c>
      <c r="B74" s="7">
        <v>24.1</v>
      </c>
      <c r="C74" s="7">
        <v>59</v>
      </c>
      <c r="D74" s="7">
        <v>91.1</v>
      </c>
      <c r="E74" s="6"/>
      <c r="F74" s="6"/>
      <c r="G74" s="6"/>
    </row>
    <row r="75" spans="1:7" ht="13" x14ac:dyDescent="0.25">
      <c r="A75" s="11">
        <v>5</v>
      </c>
      <c r="B75" s="7">
        <v>38.700000000000003</v>
      </c>
      <c r="C75" s="7">
        <v>63.6</v>
      </c>
      <c r="D75" s="7">
        <v>66</v>
      </c>
      <c r="E75" s="6"/>
      <c r="F75" s="6"/>
      <c r="G75" s="6"/>
    </row>
    <row r="76" spans="1:7" ht="13" x14ac:dyDescent="0.25">
      <c r="A76" s="11">
        <v>6</v>
      </c>
      <c r="B76" s="7">
        <v>41.5</v>
      </c>
      <c r="C76" s="7">
        <v>61.6</v>
      </c>
      <c r="D76" s="7">
        <v>76.7</v>
      </c>
      <c r="E76" s="6"/>
      <c r="F76" s="6"/>
      <c r="G76" s="6"/>
    </row>
    <row r="77" spans="1:7" ht="13" x14ac:dyDescent="0.25">
      <c r="A77" s="11">
        <v>7</v>
      </c>
      <c r="B77" s="7">
        <v>44.9</v>
      </c>
      <c r="C77" s="7">
        <v>62.2</v>
      </c>
      <c r="D77" s="7">
        <v>70.099999999999994</v>
      </c>
      <c r="E77" s="6"/>
      <c r="F77" s="6"/>
      <c r="G77" s="6"/>
    </row>
    <row r="78" spans="1:7" ht="13" x14ac:dyDescent="0.25">
      <c r="A78" s="11">
        <v>8</v>
      </c>
      <c r="B78" s="7">
        <v>36.799999999999997</v>
      </c>
      <c r="C78" s="7">
        <v>49.8</v>
      </c>
      <c r="D78" s="7">
        <v>102.6</v>
      </c>
      <c r="E78" s="6"/>
      <c r="F78" s="6"/>
      <c r="G78" s="6"/>
    </row>
    <row r="79" spans="1:7" ht="13" x14ac:dyDescent="0.25">
      <c r="A79" s="11">
        <v>9</v>
      </c>
      <c r="B79" s="7">
        <v>34.9</v>
      </c>
      <c r="C79" s="7">
        <v>61.9</v>
      </c>
      <c r="D79" s="7">
        <v>91.8</v>
      </c>
      <c r="E79" s="6"/>
      <c r="F79" s="6"/>
      <c r="G79" s="6"/>
    </row>
    <row r="80" spans="1:7" ht="13" x14ac:dyDescent="0.25">
      <c r="A80" s="11">
        <v>10</v>
      </c>
      <c r="B80" s="7">
        <v>41.3</v>
      </c>
      <c r="C80" s="7">
        <v>57.8</v>
      </c>
      <c r="D80" s="7">
        <v>70.599999999999994</v>
      </c>
      <c r="E80" s="6"/>
      <c r="F80" s="6"/>
      <c r="G80" s="6"/>
    </row>
    <row r="81" spans="1:7" ht="13" x14ac:dyDescent="0.25">
      <c r="A81" s="11">
        <v>11</v>
      </c>
      <c r="B81" s="7">
        <v>32.700000000000003</v>
      </c>
      <c r="C81" s="7">
        <v>52.6</v>
      </c>
      <c r="D81" s="7">
        <v>87.5</v>
      </c>
      <c r="E81" s="6"/>
      <c r="F81" s="6"/>
      <c r="G81" s="6"/>
    </row>
    <row r="82" spans="1:7" ht="13" x14ac:dyDescent="0.25">
      <c r="A82" s="11">
        <v>12</v>
      </c>
      <c r="B82" s="7">
        <v>31.1</v>
      </c>
      <c r="C82" s="7">
        <v>46</v>
      </c>
      <c r="D82" s="7">
        <v>85.5</v>
      </c>
      <c r="E82" s="6"/>
      <c r="F82" s="6"/>
      <c r="G82" s="6"/>
    </row>
    <row r="83" spans="1:7" ht="13" x14ac:dyDescent="0.25">
      <c r="A83" s="11">
        <v>13</v>
      </c>
      <c r="B83" s="7">
        <v>34.1</v>
      </c>
      <c r="C83" s="7">
        <v>63</v>
      </c>
      <c r="D83" s="7">
        <v>68</v>
      </c>
      <c r="E83" s="6"/>
      <c r="F83" s="6"/>
      <c r="G83" s="6"/>
    </row>
    <row r="84" spans="1:7" ht="13" x14ac:dyDescent="0.25">
      <c r="A84" s="11">
        <v>14</v>
      </c>
      <c r="B84" s="7">
        <v>38.1</v>
      </c>
      <c r="C84" s="7">
        <v>63.7</v>
      </c>
      <c r="D84" s="7">
        <v>89.7</v>
      </c>
      <c r="E84" s="6"/>
      <c r="F84" s="6"/>
      <c r="G84" s="6"/>
    </row>
    <row r="85" spans="1:7" ht="13" x14ac:dyDescent="0.25">
      <c r="A85" s="11">
        <v>15</v>
      </c>
      <c r="B85" s="7">
        <v>41.7</v>
      </c>
      <c r="C85" s="7">
        <v>46.2</v>
      </c>
      <c r="D85" s="7">
        <v>97.1</v>
      </c>
      <c r="E85" s="6"/>
      <c r="F85" s="6"/>
      <c r="G85" s="6"/>
    </row>
    <row r="86" spans="1:7" ht="13" x14ac:dyDescent="0.25">
      <c r="A86" s="11">
        <v>16</v>
      </c>
      <c r="B86" s="7">
        <v>22.5</v>
      </c>
      <c r="C86" s="7">
        <v>61.3</v>
      </c>
      <c r="D86" s="7">
        <v>109.3</v>
      </c>
      <c r="E86" s="6"/>
      <c r="F86" s="6"/>
      <c r="G86" s="6"/>
    </row>
    <row r="87" spans="1:7" ht="13" x14ac:dyDescent="0.25">
      <c r="A87" s="11">
        <v>17</v>
      </c>
      <c r="B87" s="7">
        <v>33.700000000000003</v>
      </c>
      <c r="C87" s="7">
        <v>53.7</v>
      </c>
      <c r="D87" s="7">
        <v>91.6</v>
      </c>
      <c r="E87" s="6"/>
      <c r="F87" s="6"/>
      <c r="G87" s="6"/>
    </row>
    <row r="88" spans="1:7" ht="13" x14ac:dyDescent="0.25">
      <c r="A88" s="11">
        <v>18</v>
      </c>
      <c r="B88" s="7">
        <v>24.2</v>
      </c>
      <c r="C88" s="7">
        <v>53.2</v>
      </c>
      <c r="D88" s="7">
        <v>81.3</v>
      </c>
      <c r="E88" s="6"/>
      <c r="F88" s="6"/>
      <c r="G88" s="6"/>
    </row>
    <row r="89" spans="1:7" ht="13" x14ac:dyDescent="0.25">
      <c r="A89" s="11">
        <v>19</v>
      </c>
      <c r="B89" s="7">
        <v>35.200000000000003</v>
      </c>
      <c r="C89" s="7">
        <v>63.7</v>
      </c>
      <c r="D89" s="7">
        <v>109.2</v>
      </c>
      <c r="E89" s="6"/>
      <c r="F89" s="6"/>
      <c r="G89" s="6"/>
    </row>
    <row r="90" spans="1:7" ht="13" x14ac:dyDescent="0.25">
      <c r="A90" s="11">
        <v>20</v>
      </c>
      <c r="B90" s="7">
        <v>20.3</v>
      </c>
      <c r="C90" s="7">
        <v>58.2</v>
      </c>
      <c r="D90" s="7">
        <v>79.400000000000006</v>
      </c>
      <c r="E90" s="6"/>
      <c r="F90" s="6"/>
      <c r="G90" s="6"/>
    </row>
    <row r="91" spans="1:7" ht="13" x14ac:dyDescent="0.25">
      <c r="A91" s="11">
        <v>21</v>
      </c>
      <c r="B91" s="7">
        <v>43.8</v>
      </c>
      <c r="C91" s="7">
        <v>62.4</v>
      </c>
      <c r="D91" s="7">
        <v>106.2</v>
      </c>
      <c r="E91" s="6"/>
      <c r="F91" s="6"/>
      <c r="G91" s="6"/>
    </row>
    <row r="92" spans="1:7" ht="13" x14ac:dyDescent="0.25">
      <c r="A92" s="11">
        <v>22</v>
      </c>
      <c r="B92" s="7">
        <v>43.2</v>
      </c>
      <c r="C92" s="7">
        <v>54.6</v>
      </c>
      <c r="D92" s="7">
        <v>103.1</v>
      </c>
      <c r="E92" s="6"/>
      <c r="F92" s="6"/>
      <c r="G92" s="6"/>
    </row>
    <row r="93" spans="1:7" ht="13" x14ac:dyDescent="0.25">
      <c r="A93" s="11">
        <v>23</v>
      </c>
      <c r="B93" s="7">
        <v>39.799999999999997</v>
      </c>
      <c r="C93" s="7">
        <v>58.6</v>
      </c>
      <c r="D93" s="7">
        <v>77.3</v>
      </c>
      <c r="E93" s="6"/>
      <c r="F93" s="6"/>
      <c r="G93" s="6"/>
    </row>
    <row r="94" spans="1:7" ht="13" x14ac:dyDescent="0.25">
      <c r="A94" s="11">
        <v>24</v>
      </c>
      <c r="B94" s="7">
        <v>29.3</v>
      </c>
      <c r="C94" s="7">
        <v>49.1</v>
      </c>
      <c r="D94" s="7">
        <v>97.9</v>
      </c>
      <c r="E94" s="6"/>
      <c r="F94" s="6"/>
      <c r="G94" s="6"/>
    </row>
    <row r="95" spans="1:7" ht="13" x14ac:dyDescent="0.25">
      <c r="A95" s="11">
        <v>25</v>
      </c>
      <c r="B95" s="7">
        <v>38.200000000000003</v>
      </c>
      <c r="C95" s="7">
        <v>58.1</v>
      </c>
      <c r="D95" s="7">
        <v>78.3</v>
      </c>
      <c r="E95" s="6"/>
      <c r="F95" s="6"/>
      <c r="G95" s="6"/>
    </row>
    <row r="96" spans="1:7" ht="13" x14ac:dyDescent="0.25">
      <c r="A96" s="11">
        <v>26</v>
      </c>
      <c r="B96" s="7">
        <v>27.9</v>
      </c>
      <c r="C96" s="7">
        <v>46.3</v>
      </c>
      <c r="D96" s="7">
        <v>94.4</v>
      </c>
      <c r="E96" s="17"/>
      <c r="F96" s="17"/>
      <c r="G96" s="17"/>
    </row>
    <row r="97" spans="1:7" ht="13" x14ac:dyDescent="0.25">
      <c r="A97" s="11">
        <v>27</v>
      </c>
      <c r="B97" s="7">
        <v>39.299999999999997</v>
      </c>
      <c r="C97" s="7">
        <v>56.9</v>
      </c>
      <c r="D97" s="7">
        <v>66.5</v>
      </c>
      <c r="E97" s="17"/>
      <c r="F97" s="17"/>
      <c r="G97" s="17"/>
    </row>
    <row r="98" spans="1:7" ht="13" x14ac:dyDescent="0.25">
      <c r="A98" s="11">
        <v>28</v>
      </c>
      <c r="B98" s="7">
        <v>32.5</v>
      </c>
      <c r="C98" s="7">
        <v>50.2</v>
      </c>
      <c r="D98" s="7">
        <v>102</v>
      </c>
      <c r="E98" s="17"/>
      <c r="F98" s="17"/>
      <c r="G98" s="17"/>
    </row>
    <row r="99" spans="1:7" ht="13" x14ac:dyDescent="0.25">
      <c r="A99" s="11">
        <v>29</v>
      </c>
      <c r="B99" s="7">
        <v>43.4</v>
      </c>
      <c r="C99" s="7">
        <v>50.6</v>
      </c>
      <c r="D99" s="7">
        <v>88.5</v>
      </c>
      <c r="E99" s="6"/>
      <c r="F99" s="6"/>
      <c r="G99" s="6"/>
    </row>
    <row r="100" spans="1:7" ht="13" x14ac:dyDescent="0.25">
      <c r="A100" s="11">
        <v>30</v>
      </c>
      <c r="B100" s="7">
        <v>43</v>
      </c>
      <c r="C100" s="7">
        <v>51.1</v>
      </c>
      <c r="D100" s="7">
        <v>80</v>
      </c>
      <c r="E100" s="2"/>
      <c r="F100" s="2"/>
      <c r="G100" s="2"/>
    </row>
    <row r="101" spans="1:7" ht="13" x14ac:dyDescent="0.25">
      <c r="A101" s="11">
        <v>31</v>
      </c>
      <c r="B101" s="7">
        <v>36.6</v>
      </c>
      <c r="C101" s="7">
        <v>47.1</v>
      </c>
      <c r="D101" s="7">
        <v>66.8</v>
      </c>
      <c r="E101" s="2"/>
      <c r="F101" s="2"/>
      <c r="G101" s="2"/>
    </row>
    <row r="102" spans="1:7" ht="13" x14ac:dyDescent="0.25">
      <c r="A102" s="11">
        <v>32</v>
      </c>
      <c r="B102" s="7">
        <v>43.8</v>
      </c>
      <c r="C102" s="7">
        <v>45.4</v>
      </c>
      <c r="D102" s="7">
        <v>94</v>
      </c>
      <c r="E102" s="2"/>
      <c r="F102" s="2"/>
      <c r="G102" s="2"/>
    </row>
    <row r="103" spans="1:7" ht="13" x14ac:dyDescent="0.25">
      <c r="A103" s="11">
        <v>33</v>
      </c>
      <c r="B103" s="7">
        <v>38.4</v>
      </c>
      <c r="C103" s="7">
        <v>50</v>
      </c>
      <c r="D103" s="7">
        <v>108.1</v>
      </c>
      <c r="E103" s="2"/>
      <c r="F103" s="2"/>
      <c r="G103" s="2"/>
    </row>
    <row r="104" spans="1:7" ht="13" x14ac:dyDescent="0.25">
      <c r="A104" s="11">
        <v>34</v>
      </c>
      <c r="B104" s="7">
        <v>33.4</v>
      </c>
      <c r="C104" s="7">
        <v>63.6</v>
      </c>
      <c r="D104" s="7">
        <v>100.2</v>
      </c>
      <c r="E104" s="2"/>
      <c r="F104" s="2"/>
      <c r="G104" s="2"/>
    </row>
    <row r="105" spans="1:7" ht="13" x14ac:dyDescent="0.25">
      <c r="A105" s="11">
        <v>35</v>
      </c>
      <c r="B105" s="7">
        <v>40.5</v>
      </c>
      <c r="C105" s="7">
        <v>49</v>
      </c>
      <c r="D105" s="7">
        <v>97.7</v>
      </c>
      <c r="E105" s="2"/>
      <c r="F105" s="2"/>
      <c r="G105" s="2"/>
    </row>
    <row r="106" spans="1:7" ht="13" x14ac:dyDescent="0.25">
      <c r="A106" s="11">
        <v>36</v>
      </c>
      <c r="B106" s="7">
        <v>22.1</v>
      </c>
      <c r="C106" s="7">
        <v>59.5</v>
      </c>
      <c r="D106" s="7">
        <v>99.4</v>
      </c>
      <c r="E106" s="2"/>
      <c r="F106" s="2"/>
      <c r="G106" s="2"/>
    </row>
    <row r="107" spans="1:7" ht="13" x14ac:dyDescent="0.25">
      <c r="A107" s="11">
        <v>37</v>
      </c>
      <c r="B107" s="7">
        <v>26.1</v>
      </c>
      <c r="C107" s="7">
        <v>56.7</v>
      </c>
      <c r="D107" s="7">
        <v>76.599999999999994</v>
      </c>
      <c r="E107" s="2"/>
      <c r="F107" s="2"/>
      <c r="G107" s="2"/>
    </row>
    <row r="108" spans="1:7" ht="13" x14ac:dyDescent="0.25">
      <c r="A108" s="11">
        <v>38</v>
      </c>
      <c r="B108" s="7">
        <v>24.3</v>
      </c>
      <c r="C108" s="7">
        <v>50.2</v>
      </c>
      <c r="D108" s="7">
        <v>69.400000000000006</v>
      </c>
      <c r="E108" s="2"/>
      <c r="F108" s="2"/>
      <c r="G108" s="2"/>
    </row>
    <row r="109" spans="1:7" ht="13" x14ac:dyDescent="0.25">
      <c r="A109" s="11">
        <v>39</v>
      </c>
      <c r="B109" s="7">
        <v>37.700000000000003</v>
      </c>
      <c r="C109" s="7">
        <v>53.8</v>
      </c>
      <c r="D109" s="7">
        <v>69.099999999999994</v>
      </c>
      <c r="E109" s="2"/>
      <c r="F109" s="2"/>
      <c r="G109" s="2"/>
    </row>
    <row r="110" spans="1:7" ht="13" x14ac:dyDescent="0.25">
      <c r="A110" s="11">
        <v>40</v>
      </c>
      <c r="B110" s="7">
        <v>32.700000000000003</v>
      </c>
      <c r="C110" s="7">
        <v>56.2</v>
      </c>
      <c r="D110" s="7">
        <v>106.1</v>
      </c>
      <c r="E110" s="2"/>
      <c r="F110" s="2"/>
      <c r="G110" s="2"/>
    </row>
    <row r="111" spans="1:7" ht="13" x14ac:dyDescent="0.25">
      <c r="A111" s="11">
        <v>41</v>
      </c>
      <c r="B111" s="7">
        <v>41.4</v>
      </c>
      <c r="C111" s="7">
        <v>62.8</v>
      </c>
      <c r="D111" s="7">
        <v>101.1</v>
      </c>
      <c r="E111" s="2"/>
      <c r="F111" s="2"/>
      <c r="G111" s="2"/>
    </row>
    <row r="112" spans="1:7" ht="13" x14ac:dyDescent="0.25">
      <c r="A112" s="11">
        <v>42</v>
      </c>
      <c r="B112" s="7">
        <v>25.8</v>
      </c>
      <c r="C112" s="7">
        <v>48.5</v>
      </c>
      <c r="D112" s="7">
        <v>105.4</v>
      </c>
      <c r="E112" s="2"/>
      <c r="F112" s="2"/>
      <c r="G112" s="2"/>
    </row>
    <row r="113" spans="1:7" ht="13" x14ac:dyDescent="0.25">
      <c r="A113" s="11">
        <v>43</v>
      </c>
      <c r="B113" s="7">
        <v>29.7</v>
      </c>
      <c r="C113" s="7">
        <v>59.2</v>
      </c>
      <c r="D113" s="7">
        <v>84.1</v>
      </c>
      <c r="E113" s="2"/>
      <c r="F113" s="2"/>
      <c r="G113" s="2"/>
    </row>
    <row r="114" spans="1:7" ht="13" x14ac:dyDescent="0.25">
      <c r="A114" s="11">
        <v>44</v>
      </c>
      <c r="B114" s="7">
        <v>43.8</v>
      </c>
      <c r="C114" s="7">
        <v>55.3</v>
      </c>
      <c r="D114" s="7">
        <v>74.900000000000006</v>
      </c>
      <c r="E114" s="2"/>
      <c r="F114" s="2"/>
      <c r="G114" s="2"/>
    </row>
    <row r="115" spans="1:7" ht="13" x14ac:dyDescent="0.25">
      <c r="A115" s="11">
        <v>45</v>
      </c>
      <c r="B115" s="7">
        <v>27.4</v>
      </c>
      <c r="C115" s="7">
        <v>55.7</v>
      </c>
      <c r="D115" s="7">
        <v>91.9</v>
      </c>
      <c r="E115" s="2"/>
      <c r="F115" s="2"/>
      <c r="G115" s="2"/>
    </row>
    <row r="116" spans="1:7" ht="13" x14ac:dyDescent="0.25">
      <c r="A116" s="11">
        <v>46</v>
      </c>
      <c r="B116" s="7">
        <v>27.5</v>
      </c>
      <c r="C116" s="7">
        <v>47.5</v>
      </c>
      <c r="D116" s="7">
        <v>103.9</v>
      </c>
      <c r="E116" s="2"/>
      <c r="F116" s="2"/>
      <c r="G116" s="2"/>
    </row>
    <row r="117" spans="1:7" ht="13" x14ac:dyDescent="0.25">
      <c r="A117" s="11">
        <v>47</v>
      </c>
      <c r="B117" s="7">
        <v>34.9</v>
      </c>
      <c r="C117" s="7">
        <v>61</v>
      </c>
      <c r="D117" s="7">
        <v>93.3</v>
      </c>
      <c r="E117" s="2"/>
      <c r="F117" s="2"/>
      <c r="G117" s="2"/>
    </row>
    <row r="118" spans="1:7" ht="13" x14ac:dyDescent="0.25">
      <c r="A118" s="11">
        <v>48</v>
      </c>
      <c r="B118" s="7">
        <v>34</v>
      </c>
      <c r="C118" s="7">
        <v>51.9</v>
      </c>
      <c r="D118" s="7">
        <v>79.099999999999994</v>
      </c>
      <c r="E118" s="2"/>
      <c r="F118" s="2"/>
      <c r="G118" s="2"/>
    </row>
    <row r="119" spans="1:7" ht="13" x14ac:dyDescent="0.25">
      <c r="A119" s="11">
        <v>49</v>
      </c>
      <c r="B119" s="7">
        <v>28.7</v>
      </c>
      <c r="C119" s="7">
        <v>62.9</v>
      </c>
      <c r="D119" s="7">
        <v>72.7</v>
      </c>
      <c r="E119" s="2"/>
      <c r="F119" s="2"/>
      <c r="G119" s="2"/>
    </row>
    <row r="120" spans="1:7" ht="13" x14ac:dyDescent="0.25">
      <c r="A120" s="11">
        <v>50</v>
      </c>
      <c r="B120" s="7">
        <v>44.9</v>
      </c>
      <c r="C120" s="7">
        <v>58.5</v>
      </c>
      <c r="D120" s="7">
        <v>95.5</v>
      </c>
      <c r="E120" s="2"/>
      <c r="F120" s="2"/>
      <c r="G120" s="2"/>
    </row>
    <row r="121" spans="1:7" ht="13" x14ac:dyDescent="0.25">
      <c r="A121" s="11">
        <v>51</v>
      </c>
      <c r="B121" s="7">
        <v>29.6</v>
      </c>
      <c r="C121" s="7">
        <v>58.2</v>
      </c>
      <c r="D121" s="7">
        <v>109</v>
      </c>
      <c r="E121" s="2"/>
      <c r="F121" s="2"/>
      <c r="G121" s="2"/>
    </row>
    <row r="122" spans="1:7" ht="13" x14ac:dyDescent="0.25">
      <c r="A122" s="11">
        <v>52</v>
      </c>
      <c r="B122" s="7">
        <v>26.1</v>
      </c>
      <c r="C122" s="7">
        <v>61.8</v>
      </c>
      <c r="D122" s="7">
        <v>105.5</v>
      </c>
      <c r="E122" s="2"/>
      <c r="F122" s="2"/>
      <c r="G122" s="2"/>
    </row>
    <row r="123" spans="1:7" ht="13" x14ac:dyDescent="0.25">
      <c r="A123" s="11">
        <v>53</v>
      </c>
      <c r="B123" s="7">
        <v>33.200000000000003</v>
      </c>
      <c r="C123" s="7">
        <v>45.4</v>
      </c>
      <c r="D123" s="7">
        <v>77.8</v>
      </c>
      <c r="E123" s="2"/>
      <c r="F123" s="2"/>
      <c r="G123" s="2"/>
    </row>
    <row r="124" spans="1:7" ht="13" x14ac:dyDescent="0.25">
      <c r="A124" s="11">
        <v>54</v>
      </c>
      <c r="B124" s="7">
        <v>31.6</v>
      </c>
      <c r="C124" s="7">
        <v>58.8</v>
      </c>
      <c r="D124" s="7">
        <v>109.3</v>
      </c>
      <c r="E124" s="2"/>
      <c r="F124" s="2"/>
      <c r="G124" s="2"/>
    </row>
    <row r="125" spans="1:7" ht="13" x14ac:dyDescent="0.25">
      <c r="A125" s="11">
        <v>55</v>
      </c>
      <c r="B125" s="7">
        <v>36.4</v>
      </c>
      <c r="C125" s="7">
        <v>51.8</v>
      </c>
      <c r="D125" s="7">
        <v>106.3</v>
      </c>
      <c r="E125" s="2"/>
      <c r="F125" s="2"/>
      <c r="G125" s="2"/>
    </row>
    <row r="126" spans="1:7" ht="13" x14ac:dyDescent="0.25">
      <c r="A126" s="11">
        <v>56</v>
      </c>
      <c r="B126" s="7">
        <v>20</v>
      </c>
      <c r="C126" s="7">
        <v>48.4</v>
      </c>
      <c r="D126" s="7">
        <v>75.400000000000006</v>
      </c>
      <c r="E126" s="2"/>
      <c r="F126" s="2"/>
      <c r="G126" s="2"/>
    </row>
    <row r="127" spans="1:7" ht="13" x14ac:dyDescent="0.25">
      <c r="A127" s="11">
        <v>57</v>
      </c>
      <c r="B127" s="7">
        <v>20.2</v>
      </c>
      <c r="C127" s="7">
        <v>59.5</v>
      </c>
      <c r="D127" s="7">
        <v>94.6</v>
      </c>
      <c r="E127" s="2"/>
      <c r="F127" s="2"/>
      <c r="G127" s="2"/>
    </row>
    <row r="128" spans="1:7" ht="13" x14ac:dyDescent="0.25">
      <c r="A128" s="11">
        <v>58</v>
      </c>
      <c r="B128" s="7">
        <v>35.5</v>
      </c>
      <c r="C128" s="7">
        <v>50.7</v>
      </c>
      <c r="D128" s="7">
        <v>66.599999999999994</v>
      </c>
      <c r="E128" s="2"/>
      <c r="F128" s="2"/>
      <c r="G128" s="2"/>
    </row>
    <row r="129" spans="1:7" ht="13" x14ac:dyDescent="0.25">
      <c r="A129" s="11">
        <v>59</v>
      </c>
      <c r="B129" s="7">
        <v>24.7</v>
      </c>
      <c r="C129" s="7">
        <v>58.3</v>
      </c>
      <c r="D129" s="7">
        <v>90.3</v>
      </c>
      <c r="E129" s="2"/>
      <c r="F129" s="2"/>
      <c r="G129" s="2"/>
    </row>
    <row r="130" spans="1:7" ht="13" x14ac:dyDescent="0.25">
      <c r="A130" s="11">
        <v>60</v>
      </c>
      <c r="B130" s="7">
        <v>42.5</v>
      </c>
      <c r="C130" s="7">
        <v>56.2</v>
      </c>
      <c r="D130" s="7">
        <v>92</v>
      </c>
      <c r="E130" s="2"/>
      <c r="F130" s="2"/>
      <c r="G130" s="2"/>
    </row>
    <row r="131" spans="1:7" ht="13" x14ac:dyDescent="0.25">
      <c r="A131" s="11">
        <v>61</v>
      </c>
      <c r="B131" s="7">
        <v>41.9</v>
      </c>
      <c r="C131" s="7">
        <v>64.400000000000006</v>
      </c>
      <c r="D131" s="7">
        <v>108</v>
      </c>
      <c r="E131" s="2"/>
      <c r="F131" s="2"/>
      <c r="G131" s="2"/>
    </row>
    <row r="132" spans="1:7" ht="13" x14ac:dyDescent="0.25">
      <c r="A132" s="11">
        <v>62</v>
      </c>
      <c r="B132" s="7">
        <v>22.7</v>
      </c>
      <c r="C132" s="7">
        <v>62.2</v>
      </c>
      <c r="D132" s="7">
        <v>93.6</v>
      </c>
      <c r="E132" s="2"/>
      <c r="F132" s="2"/>
      <c r="G132" s="2"/>
    </row>
    <row r="133" spans="1:7" ht="13.5" thickBot="1" x14ac:dyDescent="0.3">
      <c r="A133" s="14">
        <v>63</v>
      </c>
      <c r="B133" s="7">
        <v>21.7</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11" t="str">
        <f>A2</f>
        <v>Siyang Aiyuan Farm</v>
      </c>
      <c r="B138" s="13">
        <f>ROUNDDOWN(AVERAGE(B5:D13),1)</f>
        <v>57.5</v>
      </c>
      <c r="C138" s="13">
        <f>ROUNDDOWN(AVERAGE(E5:G20),1)</f>
        <v>72</v>
      </c>
      <c r="D138" s="11">
        <f>'2020.8'!D138</f>
        <v>8438</v>
      </c>
      <c r="E138" s="11">
        <v>15975</v>
      </c>
      <c r="F138" s="11">
        <f>B138*D138</f>
        <v>485185</v>
      </c>
      <c r="G138" s="11">
        <f>C138*E138</f>
        <v>1150200</v>
      </c>
    </row>
    <row r="139" spans="1:7" ht="13" x14ac:dyDescent="0.25">
      <c r="A139" s="11" t="str">
        <f>A21</f>
        <v>Dongtai Jianggang Farm</v>
      </c>
      <c r="B139" s="13">
        <f>ROUNDDOWN(AVERAGE(B24:D33),1)</f>
        <v>58.4</v>
      </c>
      <c r="C139" s="13">
        <f>ROUNDDOWN(AVERAGE(E24:G52),1)</f>
        <v>72.2</v>
      </c>
      <c r="D139" s="11">
        <f>'2020.8'!D139</f>
        <v>9440</v>
      </c>
      <c r="E139" s="11">
        <v>29463</v>
      </c>
      <c r="F139" s="11">
        <f t="shared" ref="F139:G141" si="0">B139*D139</f>
        <v>551296</v>
      </c>
      <c r="G139" s="11">
        <f t="shared" si="0"/>
        <v>2127228.6</v>
      </c>
    </row>
    <row r="140" spans="1:7" ht="13" x14ac:dyDescent="0.25">
      <c r="A140" s="11" t="str">
        <f>A53</f>
        <v>Sheyang Linhai Farm</v>
      </c>
      <c r="B140" s="13">
        <f>ROUNDDOWN(AVERAGE(B56:D67),1)</f>
        <v>59.1</v>
      </c>
      <c r="C140" s="13">
        <f>ROUNDDOWN(AVERAGE(E56:G62),1)</f>
        <v>73.400000000000006</v>
      </c>
      <c r="D140" s="11">
        <f>'2020.8'!D140</f>
        <v>11825</v>
      </c>
      <c r="E140" s="11">
        <v>6417</v>
      </c>
      <c r="F140" s="11">
        <f t="shared" si="0"/>
        <v>698857.5</v>
      </c>
      <c r="G140" s="11">
        <f t="shared" si="0"/>
        <v>471007.80000000005</v>
      </c>
    </row>
    <row r="141" spans="1:7" ht="13" x14ac:dyDescent="0.25">
      <c r="A141" s="11" t="str">
        <f>A68</f>
        <v>Siyang Nanliuji</v>
      </c>
      <c r="B141" s="13">
        <f>ROUNDDOWN(AVERAGE(B71:D133),1)</f>
        <v>59.3</v>
      </c>
      <c r="C141" s="11">
        <f>ROUNDDOWN(AVERAGE(0),1)</f>
        <v>0</v>
      </c>
      <c r="D141" s="11">
        <f>'2020.8'!D141</f>
        <v>65005</v>
      </c>
      <c r="E141" s="11">
        <v>0</v>
      </c>
      <c r="F141" s="11">
        <f t="shared" si="0"/>
        <v>3854796.5</v>
      </c>
      <c r="G141" s="11">
        <f t="shared" si="0"/>
        <v>0</v>
      </c>
    </row>
    <row r="142" spans="1:7" ht="13" x14ac:dyDescent="0.25">
      <c r="A142" s="613" t="s">
        <v>154</v>
      </c>
      <c r="B142" s="617"/>
      <c r="C142" s="614"/>
      <c r="D142" s="11">
        <f>SUM(D138:D141)</f>
        <v>94708</v>
      </c>
      <c r="E142" s="11">
        <f>SUM(E138:E141)</f>
        <v>51855</v>
      </c>
      <c r="F142" s="11">
        <f>SUM(F138:F141)</f>
        <v>5590135</v>
      </c>
      <c r="G142" s="11">
        <f>SUM(G138:G141)</f>
        <v>3748436.4000000004</v>
      </c>
    </row>
    <row r="144" spans="1:7" ht="13" x14ac:dyDescent="0.25">
      <c r="C144" s="613" t="s">
        <v>155</v>
      </c>
      <c r="D144" s="614"/>
    </row>
    <row r="145" spans="3:4" ht="13" x14ac:dyDescent="0.25">
      <c r="C145" s="11" t="s">
        <v>152</v>
      </c>
      <c r="D145" s="11" t="s">
        <v>153</v>
      </c>
    </row>
    <row r="146" spans="3:4" ht="13" x14ac:dyDescent="0.25">
      <c r="C146" s="12">
        <f>ROUNDDOWN(F142/D142,1)</f>
        <v>59</v>
      </c>
      <c r="D146" s="12">
        <f>ROUNDDOWN(G142/E142,1)</f>
        <v>72.2</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46"/>
  <sheetViews>
    <sheetView workbookViewId="0">
      <selection activeCell="F142" sqref="F142"/>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'2020.9'!A2:G2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36.4</v>
      </c>
      <c r="C5" s="7">
        <v>50.1</v>
      </c>
      <c r="D5" s="7">
        <v>93.2</v>
      </c>
      <c r="E5" s="7">
        <v>39.299999999999997</v>
      </c>
      <c r="F5" s="7">
        <v>78.599999999999994</v>
      </c>
      <c r="G5" s="7">
        <v>113.7</v>
      </c>
    </row>
    <row r="6" spans="1:7" ht="13" x14ac:dyDescent="0.25">
      <c r="A6" s="11">
        <v>2</v>
      </c>
      <c r="B6" s="7">
        <v>20.2</v>
      </c>
      <c r="C6" s="7">
        <v>59.7</v>
      </c>
      <c r="D6" s="7">
        <v>74.7</v>
      </c>
      <c r="E6" s="7">
        <v>56.5</v>
      </c>
      <c r="F6" s="7">
        <v>64.8</v>
      </c>
      <c r="G6" s="7">
        <v>108.5</v>
      </c>
    </row>
    <row r="7" spans="1:7" ht="13" x14ac:dyDescent="0.25">
      <c r="A7" s="11">
        <v>3</v>
      </c>
      <c r="B7" s="7">
        <v>21.5</v>
      </c>
      <c r="C7" s="7">
        <v>51.3</v>
      </c>
      <c r="D7" s="7">
        <v>99.2</v>
      </c>
      <c r="E7" s="7">
        <v>27.8</v>
      </c>
      <c r="F7" s="7">
        <v>66.099999999999994</v>
      </c>
      <c r="G7" s="7">
        <v>88.4</v>
      </c>
    </row>
    <row r="8" spans="1:7" ht="13" x14ac:dyDescent="0.25">
      <c r="A8" s="11">
        <v>4</v>
      </c>
      <c r="B8" s="7">
        <v>33.799999999999997</v>
      </c>
      <c r="C8" s="7">
        <v>46.3</v>
      </c>
      <c r="D8" s="7">
        <v>106.9</v>
      </c>
      <c r="E8" s="7">
        <v>43.2</v>
      </c>
      <c r="F8" s="7">
        <v>72.099999999999994</v>
      </c>
      <c r="G8" s="7">
        <v>99.6</v>
      </c>
    </row>
    <row r="9" spans="1:7" ht="13" x14ac:dyDescent="0.25">
      <c r="A9" s="11">
        <v>5</v>
      </c>
      <c r="B9" s="7">
        <v>33.4</v>
      </c>
      <c r="C9" s="7">
        <v>64.099999999999994</v>
      </c>
      <c r="D9" s="7">
        <v>108</v>
      </c>
      <c r="E9" s="7">
        <v>27.5</v>
      </c>
      <c r="F9" s="7">
        <v>77.2</v>
      </c>
      <c r="G9" s="7">
        <v>116.9</v>
      </c>
    </row>
    <row r="10" spans="1:7" ht="13" x14ac:dyDescent="0.25">
      <c r="A10" s="11">
        <v>6</v>
      </c>
      <c r="B10" s="7">
        <v>20</v>
      </c>
      <c r="C10" s="7">
        <v>56.8</v>
      </c>
      <c r="D10" s="7">
        <v>66.7</v>
      </c>
      <c r="E10" s="7">
        <v>27.8</v>
      </c>
      <c r="F10" s="7">
        <v>65.3</v>
      </c>
      <c r="G10" s="7">
        <v>113</v>
      </c>
    </row>
    <row r="11" spans="1:7" ht="13" x14ac:dyDescent="0.25">
      <c r="A11" s="11">
        <v>7</v>
      </c>
      <c r="B11" s="7">
        <v>40.9</v>
      </c>
      <c r="C11" s="7">
        <v>54</v>
      </c>
      <c r="D11" s="7">
        <v>82.3</v>
      </c>
      <c r="E11" s="7">
        <v>25.9</v>
      </c>
      <c r="F11" s="7">
        <v>70</v>
      </c>
      <c r="G11" s="7">
        <v>119.8</v>
      </c>
    </row>
    <row r="12" spans="1:7" ht="13" x14ac:dyDescent="0.25">
      <c r="A12" s="11">
        <v>8</v>
      </c>
      <c r="B12" s="7">
        <v>39.200000000000003</v>
      </c>
      <c r="C12" s="7">
        <v>63.6</v>
      </c>
      <c r="D12" s="7">
        <v>89.8</v>
      </c>
      <c r="E12" s="7">
        <v>26.2</v>
      </c>
      <c r="F12" s="7">
        <v>80.2</v>
      </c>
      <c r="G12" s="7">
        <v>95.2</v>
      </c>
    </row>
    <row r="13" spans="1:7" ht="13" x14ac:dyDescent="0.25">
      <c r="A13" s="11">
        <v>9</v>
      </c>
      <c r="B13" s="7">
        <v>27.7</v>
      </c>
      <c r="C13" s="7">
        <v>59.5</v>
      </c>
      <c r="D13" s="7">
        <v>74</v>
      </c>
      <c r="E13" s="7">
        <v>33.299999999999997</v>
      </c>
      <c r="F13" s="7">
        <v>84.4</v>
      </c>
      <c r="G13" s="7">
        <v>113.7</v>
      </c>
    </row>
    <row r="14" spans="1:7" ht="13" x14ac:dyDescent="0.25">
      <c r="A14" s="11">
        <v>10</v>
      </c>
      <c r="B14" s="7"/>
      <c r="C14" s="7"/>
      <c r="D14" s="7"/>
      <c r="E14" s="7">
        <v>55.3</v>
      </c>
      <c r="F14" s="7">
        <v>65.900000000000006</v>
      </c>
      <c r="G14" s="7">
        <v>91</v>
      </c>
    </row>
    <row r="15" spans="1:7" ht="13" x14ac:dyDescent="0.25">
      <c r="A15" s="11">
        <v>11</v>
      </c>
      <c r="B15" s="7"/>
      <c r="C15" s="7"/>
      <c r="D15" s="7"/>
      <c r="E15" s="7">
        <v>30.1</v>
      </c>
      <c r="F15" s="7">
        <v>66.400000000000006</v>
      </c>
      <c r="G15" s="7">
        <v>111.7</v>
      </c>
    </row>
    <row r="16" spans="1:7" ht="13" x14ac:dyDescent="0.25">
      <c r="A16" s="11">
        <v>12</v>
      </c>
      <c r="B16" s="7"/>
      <c r="C16" s="7"/>
      <c r="D16" s="7"/>
      <c r="E16" s="7">
        <v>35.6</v>
      </c>
      <c r="F16" s="7">
        <v>60.6</v>
      </c>
      <c r="G16" s="7">
        <v>95.2</v>
      </c>
    </row>
    <row r="17" spans="1:7" ht="13" x14ac:dyDescent="0.25">
      <c r="A17" s="11">
        <v>13</v>
      </c>
      <c r="B17" s="7"/>
      <c r="C17" s="7"/>
      <c r="D17" s="7"/>
      <c r="E17" s="7">
        <v>54.4</v>
      </c>
      <c r="F17" s="7">
        <v>61.4</v>
      </c>
      <c r="G17" s="7">
        <v>96.3</v>
      </c>
    </row>
    <row r="18" spans="1:7" ht="13" x14ac:dyDescent="0.25">
      <c r="A18" s="11">
        <v>14</v>
      </c>
      <c r="B18" s="7"/>
      <c r="C18" s="7"/>
      <c r="D18" s="7"/>
      <c r="E18" s="7">
        <v>58.1</v>
      </c>
      <c r="F18" s="7">
        <v>61.4</v>
      </c>
      <c r="G18" s="7">
        <v>105.1</v>
      </c>
    </row>
    <row r="19" spans="1:7" ht="13" x14ac:dyDescent="0.25">
      <c r="A19" s="11">
        <v>15</v>
      </c>
      <c r="B19" s="7"/>
      <c r="C19" s="7"/>
      <c r="D19" s="7"/>
      <c r="E19" s="7">
        <v>48.7</v>
      </c>
      <c r="F19" s="7">
        <v>80.599999999999994</v>
      </c>
      <c r="G19" s="7">
        <v>101.3</v>
      </c>
    </row>
    <row r="20" spans="1:7" ht="13.5" thickBot="1" x14ac:dyDescent="0.3">
      <c r="A20" s="14">
        <v>16</v>
      </c>
      <c r="B20" s="15"/>
      <c r="C20" s="15"/>
      <c r="D20" s="15"/>
      <c r="E20" s="7">
        <v>56.3</v>
      </c>
      <c r="F20" s="7">
        <v>83.6</v>
      </c>
      <c r="G20" s="7">
        <v>90.1</v>
      </c>
    </row>
    <row r="21" spans="1:7" ht="13.5" thickTop="1" x14ac:dyDescent="0.25">
      <c r="A21" s="612" t="str">
        <f>'2020.9'!A21:G21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33.200000000000003</v>
      </c>
      <c r="C24" s="7">
        <v>57.6</v>
      </c>
      <c r="D24" s="7">
        <v>92.3</v>
      </c>
      <c r="E24" s="7">
        <v>25</v>
      </c>
      <c r="F24" s="7">
        <v>84.6</v>
      </c>
      <c r="G24" s="7">
        <v>96</v>
      </c>
    </row>
    <row r="25" spans="1:7" ht="13" x14ac:dyDescent="0.25">
      <c r="A25" s="11">
        <v>2</v>
      </c>
      <c r="B25" s="7">
        <v>40</v>
      </c>
      <c r="C25" s="7">
        <v>62.3</v>
      </c>
      <c r="D25" s="7">
        <v>65.7</v>
      </c>
      <c r="E25" s="7">
        <v>44.2</v>
      </c>
      <c r="F25" s="7">
        <v>76.5</v>
      </c>
      <c r="G25" s="7">
        <v>103.5</v>
      </c>
    </row>
    <row r="26" spans="1:7" ht="13" x14ac:dyDescent="0.25">
      <c r="A26" s="11">
        <v>3</v>
      </c>
      <c r="B26" s="7">
        <v>42.5</v>
      </c>
      <c r="C26" s="7">
        <v>58.2</v>
      </c>
      <c r="D26" s="7">
        <v>100.6</v>
      </c>
      <c r="E26" s="7">
        <v>48.7</v>
      </c>
      <c r="F26" s="7">
        <v>73.8</v>
      </c>
      <c r="G26" s="7">
        <v>98.9</v>
      </c>
    </row>
    <row r="27" spans="1:7" ht="13" x14ac:dyDescent="0.25">
      <c r="A27" s="11">
        <v>4</v>
      </c>
      <c r="B27" s="7">
        <v>20.8</v>
      </c>
      <c r="C27" s="7">
        <v>55.2</v>
      </c>
      <c r="D27" s="7">
        <v>84</v>
      </c>
      <c r="E27" s="7">
        <v>28.6</v>
      </c>
      <c r="F27" s="7">
        <v>66</v>
      </c>
      <c r="G27" s="7">
        <v>92</v>
      </c>
    </row>
    <row r="28" spans="1:7" ht="13" x14ac:dyDescent="0.25">
      <c r="A28" s="11">
        <v>5</v>
      </c>
      <c r="B28" s="7">
        <v>35.299999999999997</v>
      </c>
      <c r="C28" s="7">
        <v>47.5</v>
      </c>
      <c r="D28" s="7">
        <v>66.5</v>
      </c>
      <c r="E28" s="7">
        <v>33.700000000000003</v>
      </c>
      <c r="F28" s="7">
        <v>63.6</v>
      </c>
      <c r="G28" s="7">
        <v>112.9</v>
      </c>
    </row>
    <row r="29" spans="1:7" ht="13" x14ac:dyDescent="0.25">
      <c r="A29" s="11">
        <v>6</v>
      </c>
      <c r="B29" s="7">
        <v>30.7</v>
      </c>
      <c r="C29" s="7">
        <v>47.7</v>
      </c>
      <c r="D29" s="7">
        <v>77.3</v>
      </c>
      <c r="E29" s="7">
        <v>52.9</v>
      </c>
      <c r="F29" s="7">
        <v>60.6</v>
      </c>
      <c r="G29" s="7">
        <v>118.6</v>
      </c>
    </row>
    <row r="30" spans="1:7" ht="13" x14ac:dyDescent="0.25">
      <c r="A30" s="11">
        <v>7</v>
      </c>
      <c r="B30" s="7">
        <v>22.6</v>
      </c>
      <c r="C30" s="7">
        <v>48.8</v>
      </c>
      <c r="D30" s="7">
        <v>102.5</v>
      </c>
      <c r="E30" s="7">
        <v>57.9</v>
      </c>
      <c r="F30" s="7">
        <v>82.2</v>
      </c>
      <c r="G30" s="7">
        <v>92.9</v>
      </c>
    </row>
    <row r="31" spans="1:7" ht="13" x14ac:dyDescent="0.25">
      <c r="A31" s="11">
        <v>8</v>
      </c>
      <c r="B31" s="7">
        <v>33.4</v>
      </c>
      <c r="C31" s="7">
        <v>58.8</v>
      </c>
      <c r="D31" s="7">
        <v>109.3</v>
      </c>
      <c r="E31" s="7">
        <v>35.299999999999997</v>
      </c>
      <c r="F31" s="7">
        <v>66.7</v>
      </c>
      <c r="G31" s="7">
        <v>98.7</v>
      </c>
    </row>
    <row r="32" spans="1:7" ht="13" x14ac:dyDescent="0.25">
      <c r="A32" s="11">
        <v>9</v>
      </c>
      <c r="B32" s="7">
        <v>34.4</v>
      </c>
      <c r="C32" s="7">
        <v>48.9</v>
      </c>
      <c r="D32" s="7">
        <v>90.5</v>
      </c>
      <c r="E32" s="7">
        <v>33</v>
      </c>
      <c r="F32" s="7">
        <v>71.599999999999994</v>
      </c>
      <c r="G32" s="7">
        <v>107.6</v>
      </c>
    </row>
    <row r="33" spans="1:7" ht="13" x14ac:dyDescent="0.25">
      <c r="A33" s="11">
        <v>10</v>
      </c>
      <c r="B33" s="7">
        <v>33.6</v>
      </c>
      <c r="C33" s="7">
        <v>53.6</v>
      </c>
      <c r="D33" s="7">
        <v>84.1</v>
      </c>
      <c r="E33" s="7">
        <v>46.2</v>
      </c>
      <c r="F33" s="7">
        <v>80</v>
      </c>
      <c r="G33" s="7">
        <v>104.4</v>
      </c>
    </row>
    <row r="34" spans="1:7" ht="13" x14ac:dyDescent="0.25">
      <c r="A34" s="11">
        <v>11</v>
      </c>
      <c r="B34" s="7"/>
      <c r="C34" s="7"/>
      <c r="D34" s="7"/>
      <c r="E34" s="7">
        <v>57.8</v>
      </c>
      <c r="F34" s="7">
        <v>74.8</v>
      </c>
      <c r="G34" s="7">
        <v>94</v>
      </c>
    </row>
    <row r="35" spans="1:7" ht="13" x14ac:dyDescent="0.25">
      <c r="A35" s="11">
        <v>12</v>
      </c>
      <c r="B35" s="7"/>
      <c r="C35" s="7"/>
      <c r="D35" s="7"/>
      <c r="E35" s="7">
        <v>50.4</v>
      </c>
      <c r="F35" s="7">
        <v>81.3</v>
      </c>
      <c r="G35" s="7">
        <v>110.5</v>
      </c>
    </row>
    <row r="36" spans="1:7" ht="13" x14ac:dyDescent="0.25">
      <c r="A36" s="11">
        <v>13</v>
      </c>
      <c r="B36" s="7"/>
      <c r="C36" s="7"/>
      <c r="D36" s="7"/>
      <c r="E36" s="7">
        <v>28.9</v>
      </c>
      <c r="F36" s="7">
        <v>80</v>
      </c>
      <c r="G36" s="7">
        <v>115.6</v>
      </c>
    </row>
    <row r="37" spans="1:7" ht="13" x14ac:dyDescent="0.25">
      <c r="A37" s="11">
        <v>14</v>
      </c>
      <c r="B37" s="7"/>
      <c r="C37" s="7"/>
      <c r="D37" s="7"/>
      <c r="E37" s="7">
        <v>29.7</v>
      </c>
      <c r="F37" s="7">
        <v>69.5</v>
      </c>
      <c r="G37" s="7">
        <v>111.3</v>
      </c>
    </row>
    <row r="38" spans="1:7" ht="13" x14ac:dyDescent="0.25">
      <c r="A38" s="11">
        <v>15</v>
      </c>
      <c r="B38" s="7"/>
      <c r="C38" s="7"/>
      <c r="D38" s="7"/>
      <c r="E38" s="7">
        <v>57.6</v>
      </c>
      <c r="F38" s="7">
        <v>77.099999999999994</v>
      </c>
      <c r="G38" s="7">
        <v>91.9</v>
      </c>
    </row>
    <row r="39" spans="1:7" ht="13" x14ac:dyDescent="0.25">
      <c r="A39" s="11">
        <v>16</v>
      </c>
      <c r="B39" s="7"/>
      <c r="C39" s="7"/>
      <c r="D39" s="7"/>
      <c r="E39" s="7">
        <v>49.9</v>
      </c>
      <c r="F39" s="7">
        <v>61.4</v>
      </c>
      <c r="G39" s="7">
        <v>86</v>
      </c>
    </row>
    <row r="40" spans="1:7" ht="13" x14ac:dyDescent="0.25">
      <c r="A40" s="11">
        <v>17</v>
      </c>
      <c r="B40" s="7"/>
      <c r="C40" s="7"/>
      <c r="D40" s="7"/>
      <c r="E40" s="7">
        <v>25.5</v>
      </c>
      <c r="F40" s="7">
        <v>60.8</v>
      </c>
      <c r="G40" s="7">
        <v>119.3</v>
      </c>
    </row>
    <row r="41" spans="1:7" ht="13" x14ac:dyDescent="0.25">
      <c r="A41" s="11">
        <v>18</v>
      </c>
      <c r="B41" s="7"/>
      <c r="C41" s="7"/>
      <c r="D41" s="7"/>
      <c r="E41" s="7">
        <v>42.9</v>
      </c>
      <c r="F41" s="7">
        <v>63.2</v>
      </c>
      <c r="G41" s="7">
        <v>115.1</v>
      </c>
    </row>
    <row r="42" spans="1:7" ht="13" x14ac:dyDescent="0.25">
      <c r="A42" s="11">
        <v>19</v>
      </c>
      <c r="B42" s="7"/>
      <c r="C42" s="7"/>
      <c r="D42" s="7"/>
      <c r="E42" s="7">
        <v>29.8</v>
      </c>
      <c r="F42" s="7">
        <v>70.8</v>
      </c>
      <c r="G42" s="7">
        <v>94.7</v>
      </c>
    </row>
    <row r="43" spans="1:7" ht="13" x14ac:dyDescent="0.25">
      <c r="A43" s="11">
        <v>20</v>
      </c>
      <c r="B43" s="7"/>
      <c r="C43" s="7"/>
      <c r="D43" s="7"/>
      <c r="E43" s="7">
        <v>48</v>
      </c>
      <c r="F43" s="7">
        <v>72.3</v>
      </c>
      <c r="G43" s="7">
        <v>100.1</v>
      </c>
    </row>
    <row r="44" spans="1:7" ht="13" x14ac:dyDescent="0.25">
      <c r="A44" s="11">
        <v>21</v>
      </c>
      <c r="B44" s="7"/>
      <c r="C44" s="7"/>
      <c r="D44" s="7"/>
      <c r="E44" s="7">
        <v>35.200000000000003</v>
      </c>
      <c r="F44" s="7">
        <v>77</v>
      </c>
      <c r="G44" s="7">
        <v>89.1</v>
      </c>
    </row>
    <row r="45" spans="1:7" ht="13" x14ac:dyDescent="0.25">
      <c r="A45" s="11">
        <v>22</v>
      </c>
      <c r="B45" s="7"/>
      <c r="C45" s="7"/>
      <c r="D45" s="7"/>
      <c r="E45" s="7">
        <v>48.6</v>
      </c>
      <c r="F45" s="7">
        <v>71.7</v>
      </c>
      <c r="G45" s="7">
        <v>113.2</v>
      </c>
    </row>
    <row r="46" spans="1:7" ht="13" x14ac:dyDescent="0.25">
      <c r="A46" s="11">
        <v>23</v>
      </c>
      <c r="B46" s="7"/>
      <c r="C46" s="7"/>
      <c r="D46" s="7"/>
      <c r="E46" s="7">
        <v>55.1</v>
      </c>
      <c r="F46" s="7">
        <v>78</v>
      </c>
      <c r="G46" s="7">
        <v>100.2</v>
      </c>
    </row>
    <row r="47" spans="1:7" ht="13" x14ac:dyDescent="0.25">
      <c r="A47" s="11">
        <v>24</v>
      </c>
      <c r="B47" s="7"/>
      <c r="C47" s="7"/>
      <c r="D47" s="7"/>
      <c r="E47" s="7">
        <v>35.9</v>
      </c>
      <c r="F47" s="7">
        <v>78.900000000000006</v>
      </c>
      <c r="G47" s="7">
        <v>111.3</v>
      </c>
    </row>
    <row r="48" spans="1:7" ht="13" x14ac:dyDescent="0.25">
      <c r="A48" s="11">
        <v>25</v>
      </c>
      <c r="B48" s="7"/>
      <c r="C48" s="7"/>
      <c r="D48" s="7"/>
      <c r="E48" s="7">
        <v>35.299999999999997</v>
      </c>
      <c r="F48" s="7">
        <v>83.7</v>
      </c>
      <c r="G48" s="7">
        <v>103.3</v>
      </c>
    </row>
    <row r="49" spans="1:7" ht="13" x14ac:dyDescent="0.25">
      <c r="A49" s="11">
        <v>26</v>
      </c>
      <c r="B49" s="7"/>
      <c r="C49" s="16"/>
      <c r="D49" s="7"/>
      <c r="E49" s="7">
        <v>31.4</v>
      </c>
      <c r="F49" s="7">
        <v>69.3</v>
      </c>
      <c r="G49" s="7">
        <v>87.8</v>
      </c>
    </row>
    <row r="50" spans="1:7" ht="13" x14ac:dyDescent="0.25">
      <c r="A50" s="11">
        <v>27</v>
      </c>
      <c r="B50" s="7"/>
      <c r="C50" s="16"/>
      <c r="D50" s="7"/>
      <c r="E50" s="7">
        <v>28.5</v>
      </c>
      <c r="F50" s="7">
        <v>66.900000000000006</v>
      </c>
      <c r="G50" s="7">
        <v>90.9</v>
      </c>
    </row>
    <row r="51" spans="1:7" ht="13" x14ac:dyDescent="0.25">
      <c r="A51" s="11">
        <v>28</v>
      </c>
      <c r="B51" s="7"/>
      <c r="C51" s="17"/>
      <c r="D51" s="7"/>
      <c r="E51" s="7">
        <v>35.700000000000003</v>
      </c>
      <c r="F51" s="7">
        <v>71</v>
      </c>
      <c r="G51" s="7">
        <v>115.5</v>
      </c>
    </row>
    <row r="52" spans="1:7" ht="13.5" thickBot="1" x14ac:dyDescent="0.3">
      <c r="A52" s="14">
        <v>29</v>
      </c>
      <c r="B52" s="18"/>
      <c r="C52" s="18"/>
      <c r="D52" s="15"/>
      <c r="E52" s="7">
        <v>58.8</v>
      </c>
      <c r="F52" s="7">
        <v>61.8</v>
      </c>
      <c r="G52" s="7">
        <v>108.6</v>
      </c>
    </row>
    <row r="53" spans="1:7" ht="13.5" thickTop="1" x14ac:dyDescent="0.25">
      <c r="A53" s="612" t="str">
        <f>'2020.9'!A53:G53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41.1</v>
      </c>
      <c r="C56" s="7">
        <v>59.2</v>
      </c>
      <c r="D56" s="7">
        <v>83.9</v>
      </c>
      <c r="E56" s="7">
        <v>25</v>
      </c>
      <c r="F56" s="7">
        <v>65.900000000000006</v>
      </c>
      <c r="G56" s="7">
        <v>85.2</v>
      </c>
    </row>
    <row r="57" spans="1:7" ht="13" x14ac:dyDescent="0.25">
      <c r="A57" s="11">
        <v>2</v>
      </c>
      <c r="B57" s="7">
        <v>37.4</v>
      </c>
      <c r="C57" s="7">
        <v>57.9</v>
      </c>
      <c r="D57" s="7">
        <v>68.8</v>
      </c>
      <c r="E57" s="7">
        <v>49.2</v>
      </c>
      <c r="F57" s="7">
        <v>65.900000000000006</v>
      </c>
      <c r="G57" s="7">
        <v>89.6</v>
      </c>
    </row>
    <row r="58" spans="1:7" ht="13" x14ac:dyDescent="0.25">
      <c r="A58" s="11">
        <v>3</v>
      </c>
      <c r="B58" s="7">
        <v>39.799999999999997</v>
      </c>
      <c r="C58" s="7">
        <v>52</v>
      </c>
      <c r="D58" s="7">
        <v>105.1</v>
      </c>
      <c r="E58" s="7">
        <v>47.1</v>
      </c>
      <c r="F58" s="7">
        <v>75.599999999999994</v>
      </c>
      <c r="G58" s="7">
        <v>109.3</v>
      </c>
    </row>
    <row r="59" spans="1:7" ht="13" x14ac:dyDescent="0.25">
      <c r="A59" s="11">
        <v>4</v>
      </c>
      <c r="B59" s="7">
        <v>37.6</v>
      </c>
      <c r="C59" s="7">
        <v>50.8</v>
      </c>
      <c r="D59" s="7">
        <v>66.900000000000006</v>
      </c>
      <c r="E59" s="7">
        <v>50.1</v>
      </c>
      <c r="F59" s="7">
        <v>73.5</v>
      </c>
      <c r="G59" s="7">
        <v>108.9</v>
      </c>
    </row>
    <row r="60" spans="1:7" ht="13" x14ac:dyDescent="0.25">
      <c r="A60" s="11">
        <v>5</v>
      </c>
      <c r="B60" s="7">
        <v>26.2</v>
      </c>
      <c r="C60" s="7">
        <v>52.3</v>
      </c>
      <c r="D60" s="7">
        <v>81.3</v>
      </c>
      <c r="E60" s="7">
        <v>28.1</v>
      </c>
      <c r="F60" s="7">
        <v>61.1</v>
      </c>
      <c r="G60" s="7">
        <v>104.8</v>
      </c>
    </row>
    <row r="61" spans="1:7" ht="13" x14ac:dyDescent="0.25">
      <c r="A61" s="11">
        <v>6</v>
      </c>
      <c r="B61" s="7">
        <v>33.200000000000003</v>
      </c>
      <c r="C61" s="7">
        <v>55.7</v>
      </c>
      <c r="D61" s="7">
        <v>101.6</v>
      </c>
      <c r="E61" s="7">
        <v>46.8</v>
      </c>
      <c r="F61" s="7">
        <v>74.400000000000006</v>
      </c>
      <c r="G61" s="7">
        <v>117.2</v>
      </c>
    </row>
    <row r="62" spans="1:7" ht="13" x14ac:dyDescent="0.25">
      <c r="A62" s="11">
        <v>7</v>
      </c>
      <c r="B62" s="7">
        <v>23.3</v>
      </c>
      <c r="C62" s="7">
        <v>54.4</v>
      </c>
      <c r="D62" s="7">
        <v>107.3</v>
      </c>
      <c r="E62" s="7">
        <v>37</v>
      </c>
      <c r="F62" s="7">
        <v>63.8</v>
      </c>
      <c r="G62" s="7">
        <v>107</v>
      </c>
    </row>
    <row r="63" spans="1:7" ht="13" x14ac:dyDescent="0.25">
      <c r="A63" s="11">
        <v>8</v>
      </c>
      <c r="B63" s="7">
        <v>31.7</v>
      </c>
      <c r="C63" s="7">
        <v>57.5</v>
      </c>
      <c r="D63" s="7">
        <v>71.3</v>
      </c>
      <c r="E63" s="7"/>
      <c r="F63" s="7"/>
      <c r="G63" s="7"/>
    </row>
    <row r="64" spans="1:7" ht="13" x14ac:dyDescent="0.25">
      <c r="A64" s="11">
        <v>9</v>
      </c>
      <c r="B64" s="7">
        <v>33.299999999999997</v>
      </c>
      <c r="C64" s="7">
        <v>57.8</v>
      </c>
      <c r="D64" s="7">
        <v>104.9</v>
      </c>
      <c r="E64" s="7"/>
      <c r="F64" s="7"/>
      <c r="G64" s="7"/>
    </row>
    <row r="65" spans="1:7" ht="13" x14ac:dyDescent="0.25">
      <c r="A65" s="11">
        <v>10</v>
      </c>
      <c r="B65" s="7">
        <v>23.9</v>
      </c>
      <c r="C65" s="7">
        <v>63.6</v>
      </c>
      <c r="D65" s="7">
        <v>107.9</v>
      </c>
      <c r="E65" s="7"/>
      <c r="F65" s="7"/>
      <c r="G65" s="7"/>
    </row>
    <row r="66" spans="1:7" ht="13" x14ac:dyDescent="0.25">
      <c r="A66" s="11">
        <v>11</v>
      </c>
      <c r="B66" s="7">
        <v>30.2</v>
      </c>
      <c r="C66" s="7">
        <v>47.4</v>
      </c>
      <c r="D66" s="7">
        <v>102.9</v>
      </c>
      <c r="E66" s="7"/>
      <c r="F66" s="7"/>
      <c r="G66" s="7"/>
    </row>
    <row r="67" spans="1:7" ht="13.5" thickBot="1" x14ac:dyDescent="0.3">
      <c r="A67" s="14">
        <v>12</v>
      </c>
      <c r="B67" s="7">
        <v>24.2</v>
      </c>
      <c r="C67" s="7">
        <v>56</v>
      </c>
      <c r="D67" s="7">
        <v>65.5</v>
      </c>
      <c r="E67" s="15"/>
      <c r="F67" s="15"/>
      <c r="G67" s="15"/>
    </row>
    <row r="68" spans="1:7" ht="13.5" thickTop="1" x14ac:dyDescent="0.25">
      <c r="A68" s="612" t="str">
        <f>'2020.9'!A68:G68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21.2</v>
      </c>
      <c r="C71" s="7">
        <v>48</v>
      </c>
      <c r="D71" s="7">
        <v>85.4</v>
      </c>
      <c r="E71" s="7"/>
      <c r="F71" s="7"/>
      <c r="G71" s="7"/>
    </row>
    <row r="72" spans="1:7" ht="13" x14ac:dyDescent="0.25">
      <c r="A72" s="11">
        <v>2</v>
      </c>
      <c r="B72" s="7">
        <v>41.7</v>
      </c>
      <c r="C72" s="7">
        <v>60.7</v>
      </c>
      <c r="D72" s="7">
        <v>79.3</v>
      </c>
      <c r="E72" s="6"/>
      <c r="F72" s="6"/>
      <c r="G72" s="7"/>
    </row>
    <row r="73" spans="1:7" ht="13" x14ac:dyDescent="0.25">
      <c r="A73" s="11">
        <v>3</v>
      </c>
      <c r="B73" s="7">
        <v>28.1</v>
      </c>
      <c r="C73" s="7">
        <v>61.2</v>
      </c>
      <c r="D73" s="7">
        <v>97.9</v>
      </c>
      <c r="E73" s="6"/>
      <c r="F73" s="6"/>
      <c r="G73" s="6"/>
    </row>
    <row r="74" spans="1:7" ht="13" x14ac:dyDescent="0.25">
      <c r="A74" s="11">
        <v>4</v>
      </c>
      <c r="B74" s="7">
        <v>37</v>
      </c>
      <c r="C74" s="7">
        <v>47.2</v>
      </c>
      <c r="D74" s="7">
        <v>75.2</v>
      </c>
      <c r="E74" s="6"/>
      <c r="F74" s="6"/>
      <c r="G74" s="6"/>
    </row>
    <row r="75" spans="1:7" ht="13" x14ac:dyDescent="0.25">
      <c r="A75" s="11">
        <v>5</v>
      </c>
      <c r="B75" s="7">
        <v>32.299999999999997</v>
      </c>
      <c r="C75" s="7">
        <v>50.3</v>
      </c>
      <c r="D75" s="7">
        <v>97.4</v>
      </c>
      <c r="E75" s="6"/>
      <c r="F75" s="6"/>
      <c r="G75" s="6"/>
    </row>
    <row r="76" spans="1:7" ht="13" x14ac:dyDescent="0.25">
      <c r="A76" s="11">
        <v>6</v>
      </c>
      <c r="B76" s="7">
        <v>39.700000000000003</v>
      </c>
      <c r="C76" s="7">
        <v>56.2</v>
      </c>
      <c r="D76" s="7">
        <v>105.3</v>
      </c>
      <c r="E76" s="6"/>
      <c r="F76" s="6"/>
      <c r="G76" s="6"/>
    </row>
    <row r="77" spans="1:7" ht="13" x14ac:dyDescent="0.25">
      <c r="A77" s="11">
        <v>7</v>
      </c>
      <c r="B77" s="7">
        <v>37.9</v>
      </c>
      <c r="C77" s="7">
        <v>56.2</v>
      </c>
      <c r="D77" s="7">
        <v>98.8</v>
      </c>
      <c r="E77" s="6"/>
      <c r="F77" s="6"/>
      <c r="G77" s="6"/>
    </row>
    <row r="78" spans="1:7" ht="13" x14ac:dyDescent="0.25">
      <c r="A78" s="11">
        <v>8</v>
      </c>
      <c r="B78" s="7">
        <v>35.9</v>
      </c>
      <c r="C78" s="7">
        <v>61.7</v>
      </c>
      <c r="D78" s="7">
        <v>85.6</v>
      </c>
      <c r="E78" s="6"/>
      <c r="F78" s="6"/>
      <c r="G78" s="6"/>
    </row>
    <row r="79" spans="1:7" ht="13" x14ac:dyDescent="0.25">
      <c r="A79" s="11">
        <v>9</v>
      </c>
      <c r="B79" s="7">
        <v>30.5</v>
      </c>
      <c r="C79" s="7">
        <v>59.6</v>
      </c>
      <c r="D79" s="7">
        <v>84.8</v>
      </c>
      <c r="E79" s="6"/>
      <c r="F79" s="6"/>
      <c r="G79" s="6"/>
    </row>
    <row r="80" spans="1:7" ht="13" x14ac:dyDescent="0.25">
      <c r="A80" s="11">
        <v>10</v>
      </c>
      <c r="B80" s="7">
        <v>41.9</v>
      </c>
      <c r="C80" s="7">
        <v>53.9</v>
      </c>
      <c r="D80" s="7">
        <v>108.5</v>
      </c>
      <c r="E80" s="6"/>
      <c r="F80" s="6"/>
      <c r="G80" s="6"/>
    </row>
    <row r="81" spans="1:7" ht="13" x14ac:dyDescent="0.25">
      <c r="A81" s="11">
        <v>11</v>
      </c>
      <c r="B81" s="7">
        <v>43.5</v>
      </c>
      <c r="C81" s="7">
        <v>63.2</v>
      </c>
      <c r="D81" s="7">
        <v>91.8</v>
      </c>
      <c r="E81" s="6"/>
      <c r="F81" s="6"/>
      <c r="G81" s="6"/>
    </row>
    <row r="82" spans="1:7" ht="13" x14ac:dyDescent="0.25">
      <c r="A82" s="11">
        <v>12</v>
      </c>
      <c r="B82" s="7">
        <v>35.700000000000003</v>
      </c>
      <c r="C82" s="7">
        <v>51</v>
      </c>
      <c r="D82" s="7">
        <v>70.2</v>
      </c>
      <c r="E82" s="6"/>
      <c r="F82" s="6"/>
      <c r="G82" s="6"/>
    </row>
    <row r="83" spans="1:7" ht="13" x14ac:dyDescent="0.25">
      <c r="A83" s="11">
        <v>13</v>
      </c>
      <c r="B83" s="7">
        <v>42.3</v>
      </c>
      <c r="C83" s="7">
        <v>52.6</v>
      </c>
      <c r="D83" s="7">
        <v>72.599999999999994</v>
      </c>
      <c r="E83" s="6"/>
      <c r="F83" s="6"/>
      <c r="G83" s="6"/>
    </row>
    <row r="84" spans="1:7" ht="13" x14ac:dyDescent="0.25">
      <c r="A84" s="11">
        <v>14</v>
      </c>
      <c r="B84" s="7">
        <v>22.6</v>
      </c>
      <c r="C84" s="7">
        <v>52.9</v>
      </c>
      <c r="D84" s="7">
        <v>102.4</v>
      </c>
      <c r="E84" s="6"/>
      <c r="F84" s="6"/>
      <c r="G84" s="6"/>
    </row>
    <row r="85" spans="1:7" ht="13" x14ac:dyDescent="0.25">
      <c r="A85" s="11">
        <v>15</v>
      </c>
      <c r="B85" s="7">
        <v>39.1</v>
      </c>
      <c r="C85" s="7">
        <v>59</v>
      </c>
      <c r="D85" s="7">
        <v>79.400000000000006</v>
      </c>
      <c r="E85" s="6"/>
      <c r="F85" s="6"/>
      <c r="G85" s="6"/>
    </row>
    <row r="86" spans="1:7" ht="13" x14ac:dyDescent="0.25">
      <c r="A86" s="11">
        <v>16</v>
      </c>
      <c r="B86" s="7">
        <v>43</v>
      </c>
      <c r="C86" s="7">
        <v>60.8</v>
      </c>
      <c r="D86" s="7">
        <v>85.1</v>
      </c>
      <c r="E86" s="6"/>
      <c r="F86" s="6"/>
      <c r="G86" s="6"/>
    </row>
    <row r="87" spans="1:7" ht="13" x14ac:dyDescent="0.25">
      <c r="A87" s="11">
        <v>17</v>
      </c>
      <c r="B87" s="7">
        <v>27.2</v>
      </c>
      <c r="C87" s="7">
        <v>62.4</v>
      </c>
      <c r="D87" s="7">
        <v>110</v>
      </c>
      <c r="E87" s="6"/>
      <c r="F87" s="6"/>
      <c r="G87" s="6"/>
    </row>
    <row r="88" spans="1:7" ht="13" x14ac:dyDescent="0.25">
      <c r="A88" s="11">
        <v>18</v>
      </c>
      <c r="B88" s="7">
        <v>25.8</v>
      </c>
      <c r="C88" s="7">
        <v>48.2</v>
      </c>
      <c r="D88" s="7">
        <v>105.1</v>
      </c>
      <c r="E88" s="6"/>
      <c r="F88" s="6"/>
      <c r="G88" s="6"/>
    </row>
    <row r="89" spans="1:7" ht="13" x14ac:dyDescent="0.25">
      <c r="A89" s="11">
        <v>19</v>
      </c>
      <c r="B89" s="7">
        <v>37.200000000000003</v>
      </c>
      <c r="C89" s="7">
        <v>53.2</v>
      </c>
      <c r="D89" s="7">
        <v>106.2</v>
      </c>
      <c r="E89" s="6"/>
      <c r="F89" s="6"/>
      <c r="G89" s="6"/>
    </row>
    <row r="90" spans="1:7" ht="13" x14ac:dyDescent="0.25">
      <c r="A90" s="11">
        <v>20</v>
      </c>
      <c r="B90" s="7">
        <v>29.5</v>
      </c>
      <c r="C90" s="7">
        <v>54.7</v>
      </c>
      <c r="D90" s="7">
        <v>108.2</v>
      </c>
      <c r="E90" s="6"/>
      <c r="F90" s="6"/>
      <c r="G90" s="6"/>
    </row>
    <row r="91" spans="1:7" ht="13" x14ac:dyDescent="0.25">
      <c r="A91" s="11">
        <v>21</v>
      </c>
      <c r="B91" s="7">
        <v>34.4</v>
      </c>
      <c r="C91" s="7">
        <v>63.8</v>
      </c>
      <c r="D91" s="7">
        <v>86.4</v>
      </c>
      <c r="E91" s="6"/>
      <c r="F91" s="6"/>
      <c r="G91" s="6"/>
    </row>
    <row r="92" spans="1:7" ht="13" x14ac:dyDescent="0.25">
      <c r="A92" s="11">
        <v>22</v>
      </c>
      <c r="B92" s="7">
        <v>27.9</v>
      </c>
      <c r="C92" s="7">
        <v>53</v>
      </c>
      <c r="D92" s="7">
        <v>104.8</v>
      </c>
      <c r="E92" s="6"/>
      <c r="F92" s="6"/>
      <c r="G92" s="6"/>
    </row>
    <row r="93" spans="1:7" ht="13" x14ac:dyDescent="0.25">
      <c r="A93" s="11">
        <v>23</v>
      </c>
      <c r="B93" s="7">
        <v>25.9</v>
      </c>
      <c r="C93" s="7">
        <v>48.3</v>
      </c>
      <c r="D93" s="7">
        <v>96.6</v>
      </c>
      <c r="E93" s="6"/>
      <c r="F93" s="6"/>
      <c r="G93" s="6"/>
    </row>
    <row r="94" spans="1:7" ht="13" x14ac:dyDescent="0.25">
      <c r="A94" s="11">
        <v>24</v>
      </c>
      <c r="B94" s="7">
        <v>38</v>
      </c>
      <c r="C94" s="7">
        <v>54.4</v>
      </c>
      <c r="D94" s="7">
        <v>92.9</v>
      </c>
      <c r="E94" s="6"/>
      <c r="F94" s="6"/>
      <c r="G94" s="6"/>
    </row>
    <row r="95" spans="1:7" ht="13" x14ac:dyDescent="0.25">
      <c r="A95" s="11">
        <v>25</v>
      </c>
      <c r="B95" s="7">
        <v>42.3</v>
      </c>
      <c r="C95" s="7">
        <v>55.5</v>
      </c>
      <c r="D95" s="7">
        <v>104.5</v>
      </c>
      <c r="E95" s="6"/>
      <c r="F95" s="6"/>
      <c r="G95" s="6"/>
    </row>
    <row r="96" spans="1:7" ht="13" x14ac:dyDescent="0.25">
      <c r="A96" s="11">
        <v>26</v>
      </c>
      <c r="B96" s="7">
        <v>23.8</v>
      </c>
      <c r="C96" s="7">
        <v>59.8</v>
      </c>
      <c r="D96" s="7">
        <v>95</v>
      </c>
      <c r="E96" s="17"/>
      <c r="F96" s="17"/>
      <c r="G96" s="17"/>
    </row>
    <row r="97" spans="1:7" ht="13" x14ac:dyDescent="0.25">
      <c r="A97" s="11">
        <v>27</v>
      </c>
      <c r="B97" s="7">
        <v>43.2</v>
      </c>
      <c r="C97" s="7">
        <v>62.7</v>
      </c>
      <c r="D97" s="7">
        <v>74.7</v>
      </c>
      <c r="E97" s="17"/>
      <c r="F97" s="17"/>
      <c r="G97" s="17"/>
    </row>
    <row r="98" spans="1:7" ht="13" x14ac:dyDescent="0.25">
      <c r="A98" s="11">
        <v>28</v>
      </c>
      <c r="B98" s="7">
        <v>22.6</v>
      </c>
      <c r="C98" s="7">
        <v>61.3</v>
      </c>
      <c r="D98" s="7">
        <v>97.1</v>
      </c>
      <c r="E98" s="17"/>
      <c r="F98" s="17"/>
      <c r="G98" s="17"/>
    </row>
    <row r="99" spans="1:7" ht="13" x14ac:dyDescent="0.25">
      <c r="A99" s="11">
        <v>29</v>
      </c>
      <c r="B99" s="7">
        <v>37.4</v>
      </c>
      <c r="C99" s="7">
        <v>60.3</v>
      </c>
      <c r="D99" s="7">
        <v>65.7</v>
      </c>
      <c r="E99" s="6"/>
      <c r="F99" s="6"/>
      <c r="G99" s="6"/>
    </row>
    <row r="100" spans="1:7" ht="13" x14ac:dyDescent="0.25">
      <c r="A100" s="11">
        <v>30</v>
      </c>
      <c r="B100" s="7">
        <v>41.4</v>
      </c>
      <c r="C100" s="7">
        <v>63.4</v>
      </c>
      <c r="D100" s="7">
        <v>95.6</v>
      </c>
      <c r="E100" s="2"/>
      <c r="F100" s="2"/>
      <c r="G100" s="2"/>
    </row>
    <row r="101" spans="1:7" ht="13" x14ac:dyDescent="0.25">
      <c r="A101" s="11">
        <v>31</v>
      </c>
      <c r="B101" s="7">
        <v>41.1</v>
      </c>
      <c r="C101" s="7">
        <v>50.7</v>
      </c>
      <c r="D101" s="7">
        <v>101.4</v>
      </c>
      <c r="E101" s="2"/>
      <c r="F101" s="2"/>
      <c r="G101" s="2"/>
    </row>
    <row r="102" spans="1:7" ht="13" x14ac:dyDescent="0.25">
      <c r="A102" s="11">
        <v>32</v>
      </c>
      <c r="B102" s="7">
        <v>42.4</v>
      </c>
      <c r="C102" s="7">
        <v>47</v>
      </c>
      <c r="D102" s="7">
        <v>65</v>
      </c>
      <c r="E102" s="2"/>
      <c r="F102" s="2"/>
      <c r="G102" s="2"/>
    </row>
    <row r="103" spans="1:7" ht="13" x14ac:dyDescent="0.25">
      <c r="A103" s="11">
        <v>33</v>
      </c>
      <c r="B103" s="7">
        <v>28</v>
      </c>
      <c r="C103" s="7">
        <v>49.4</v>
      </c>
      <c r="D103" s="7">
        <v>102.2</v>
      </c>
      <c r="E103" s="2"/>
      <c r="F103" s="2"/>
      <c r="G103" s="2"/>
    </row>
    <row r="104" spans="1:7" ht="13" x14ac:dyDescent="0.25">
      <c r="A104" s="11">
        <v>34</v>
      </c>
      <c r="B104" s="7">
        <v>27.4</v>
      </c>
      <c r="C104" s="7">
        <v>54.9</v>
      </c>
      <c r="D104" s="7">
        <v>79.2</v>
      </c>
      <c r="E104" s="2"/>
      <c r="F104" s="2"/>
      <c r="G104" s="2"/>
    </row>
    <row r="105" spans="1:7" ht="13" x14ac:dyDescent="0.25">
      <c r="A105" s="11">
        <v>35</v>
      </c>
      <c r="B105" s="7">
        <v>37</v>
      </c>
      <c r="C105" s="7">
        <v>54.5</v>
      </c>
      <c r="D105" s="7">
        <v>107</v>
      </c>
      <c r="E105" s="2"/>
      <c r="F105" s="2"/>
      <c r="G105" s="2"/>
    </row>
    <row r="106" spans="1:7" ht="13" x14ac:dyDescent="0.25">
      <c r="A106" s="11">
        <v>36</v>
      </c>
      <c r="B106" s="7">
        <v>40.6</v>
      </c>
      <c r="C106" s="7">
        <v>51.6</v>
      </c>
      <c r="D106" s="7">
        <v>90.6</v>
      </c>
      <c r="E106" s="2"/>
      <c r="F106" s="2"/>
      <c r="G106" s="2"/>
    </row>
    <row r="107" spans="1:7" ht="13" x14ac:dyDescent="0.25">
      <c r="A107" s="11">
        <v>37</v>
      </c>
      <c r="B107" s="7">
        <v>35.299999999999997</v>
      </c>
      <c r="C107" s="7">
        <v>49.9</v>
      </c>
      <c r="D107" s="7">
        <v>99.6</v>
      </c>
      <c r="E107" s="2"/>
      <c r="F107" s="2"/>
      <c r="G107" s="2"/>
    </row>
    <row r="108" spans="1:7" ht="13" x14ac:dyDescent="0.25">
      <c r="A108" s="11">
        <v>38</v>
      </c>
      <c r="B108" s="7">
        <v>23.6</v>
      </c>
      <c r="C108" s="7">
        <v>54.6</v>
      </c>
      <c r="D108" s="7">
        <v>108</v>
      </c>
      <c r="E108" s="2"/>
      <c r="F108" s="2"/>
      <c r="G108" s="2"/>
    </row>
    <row r="109" spans="1:7" ht="13" x14ac:dyDescent="0.25">
      <c r="A109" s="11">
        <v>39</v>
      </c>
      <c r="B109" s="7">
        <v>29.4</v>
      </c>
      <c r="C109" s="7">
        <v>54.2</v>
      </c>
      <c r="D109" s="7">
        <v>73.599999999999994</v>
      </c>
      <c r="E109" s="2"/>
      <c r="F109" s="2"/>
      <c r="G109" s="2"/>
    </row>
    <row r="110" spans="1:7" ht="13" x14ac:dyDescent="0.25">
      <c r="A110" s="11">
        <v>40</v>
      </c>
      <c r="B110" s="7">
        <v>40.1</v>
      </c>
      <c r="C110" s="7">
        <v>56.4</v>
      </c>
      <c r="D110" s="7">
        <v>77.2</v>
      </c>
      <c r="E110" s="2"/>
      <c r="F110" s="2"/>
      <c r="G110" s="2"/>
    </row>
    <row r="111" spans="1:7" ht="13" x14ac:dyDescent="0.25">
      <c r="A111" s="11">
        <v>41</v>
      </c>
      <c r="B111" s="7">
        <v>44</v>
      </c>
      <c r="C111" s="7">
        <v>50.6</v>
      </c>
      <c r="D111" s="7">
        <v>106</v>
      </c>
      <c r="E111" s="2"/>
      <c r="F111" s="2"/>
      <c r="G111" s="2"/>
    </row>
    <row r="112" spans="1:7" ht="13" x14ac:dyDescent="0.25">
      <c r="A112" s="11">
        <v>42</v>
      </c>
      <c r="B112" s="7">
        <v>22.3</v>
      </c>
      <c r="C112" s="7">
        <v>52.1</v>
      </c>
      <c r="D112" s="7">
        <v>103.6</v>
      </c>
      <c r="E112" s="2"/>
      <c r="F112" s="2"/>
      <c r="G112" s="2"/>
    </row>
    <row r="113" spans="1:7" ht="13" x14ac:dyDescent="0.25">
      <c r="A113" s="11">
        <v>43</v>
      </c>
      <c r="B113" s="7">
        <v>41.4</v>
      </c>
      <c r="C113" s="7">
        <v>45.4</v>
      </c>
      <c r="D113" s="7">
        <v>92.3</v>
      </c>
      <c r="E113" s="2"/>
      <c r="F113" s="2"/>
      <c r="G113" s="2"/>
    </row>
    <row r="114" spans="1:7" ht="13" x14ac:dyDescent="0.25">
      <c r="A114" s="11">
        <v>44</v>
      </c>
      <c r="B114" s="7">
        <v>40.9</v>
      </c>
      <c r="C114" s="7">
        <v>60.8</v>
      </c>
      <c r="D114" s="7">
        <v>67.2</v>
      </c>
      <c r="E114" s="2"/>
      <c r="F114" s="2"/>
      <c r="G114" s="2"/>
    </row>
    <row r="115" spans="1:7" ht="13" x14ac:dyDescent="0.25">
      <c r="A115" s="11">
        <v>45</v>
      </c>
      <c r="B115" s="7">
        <v>30.8</v>
      </c>
      <c r="C115" s="7">
        <v>47.6</v>
      </c>
      <c r="D115" s="7">
        <v>96.5</v>
      </c>
      <c r="E115" s="2"/>
      <c r="F115" s="2"/>
      <c r="G115" s="2"/>
    </row>
    <row r="116" spans="1:7" ht="13" x14ac:dyDescent="0.25">
      <c r="A116" s="11">
        <v>46</v>
      </c>
      <c r="B116" s="7">
        <v>26.2</v>
      </c>
      <c r="C116" s="7">
        <v>48.3</v>
      </c>
      <c r="D116" s="7">
        <v>77</v>
      </c>
      <c r="E116" s="2"/>
      <c r="F116" s="2"/>
      <c r="G116" s="2"/>
    </row>
    <row r="117" spans="1:7" ht="13" x14ac:dyDescent="0.25">
      <c r="A117" s="11">
        <v>47</v>
      </c>
      <c r="B117" s="7">
        <v>42.6</v>
      </c>
      <c r="C117" s="7">
        <v>61.6</v>
      </c>
      <c r="D117" s="7">
        <v>73.900000000000006</v>
      </c>
      <c r="E117" s="2"/>
      <c r="F117" s="2"/>
      <c r="G117" s="2"/>
    </row>
    <row r="118" spans="1:7" ht="13" x14ac:dyDescent="0.25">
      <c r="A118" s="11">
        <v>48</v>
      </c>
      <c r="B118" s="7">
        <v>24.2</v>
      </c>
      <c r="C118" s="7">
        <v>53.5</v>
      </c>
      <c r="D118" s="7">
        <v>77.2</v>
      </c>
      <c r="E118" s="2"/>
      <c r="F118" s="2"/>
      <c r="G118" s="2"/>
    </row>
    <row r="119" spans="1:7" ht="13" x14ac:dyDescent="0.25">
      <c r="A119" s="11">
        <v>49</v>
      </c>
      <c r="B119" s="7">
        <v>34.9</v>
      </c>
      <c r="C119" s="7">
        <v>50.4</v>
      </c>
      <c r="D119" s="7">
        <v>83.5</v>
      </c>
      <c r="E119" s="2"/>
      <c r="F119" s="2"/>
      <c r="G119" s="2"/>
    </row>
    <row r="120" spans="1:7" ht="13" x14ac:dyDescent="0.25">
      <c r="A120" s="11">
        <v>50</v>
      </c>
      <c r="B120" s="7">
        <v>24</v>
      </c>
      <c r="C120" s="7">
        <v>60.3</v>
      </c>
      <c r="D120" s="7">
        <v>70</v>
      </c>
      <c r="E120" s="2"/>
      <c r="F120" s="2"/>
      <c r="G120" s="2"/>
    </row>
    <row r="121" spans="1:7" ht="13" x14ac:dyDescent="0.25">
      <c r="A121" s="11">
        <v>51</v>
      </c>
      <c r="B121" s="7">
        <v>38.799999999999997</v>
      </c>
      <c r="C121" s="7">
        <v>59</v>
      </c>
      <c r="D121" s="7">
        <v>66.8</v>
      </c>
      <c r="E121" s="2"/>
      <c r="F121" s="2"/>
      <c r="G121" s="2"/>
    </row>
    <row r="122" spans="1:7" ht="13" x14ac:dyDescent="0.25">
      <c r="A122" s="11">
        <v>52</v>
      </c>
      <c r="B122" s="7">
        <v>39.6</v>
      </c>
      <c r="C122" s="7">
        <v>64.400000000000006</v>
      </c>
      <c r="D122" s="7">
        <v>86.2</v>
      </c>
      <c r="E122" s="2"/>
      <c r="F122" s="2"/>
      <c r="G122" s="2"/>
    </row>
    <row r="123" spans="1:7" ht="13" x14ac:dyDescent="0.25">
      <c r="A123" s="11">
        <v>53</v>
      </c>
      <c r="B123" s="7">
        <v>26.8</v>
      </c>
      <c r="C123" s="7">
        <v>58.8</v>
      </c>
      <c r="D123" s="7">
        <v>81.5</v>
      </c>
      <c r="E123" s="2"/>
      <c r="F123" s="2"/>
      <c r="G123" s="2"/>
    </row>
    <row r="124" spans="1:7" ht="13" x14ac:dyDescent="0.25">
      <c r="A124" s="11">
        <v>54</v>
      </c>
      <c r="B124" s="7">
        <v>33.799999999999997</v>
      </c>
      <c r="C124" s="7">
        <v>64.099999999999994</v>
      </c>
      <c r="D124" s="7">
        <v>77.8</v>
      </c>
      <c r="E124" s="2"/>
      <c r="F124" s="2"/>
      <c r="G124" s="2"/>
    </row>
    <row r="125" spans="1:7" ht="13" x14ac:dyDescent="0.25">
      <c r="A125" s="11">
        <v>55</v>
      </c>
      <c r="B125" s="7">
        <v>22.7</v>
      </c>
      <c r="C125" s="7">
        <v>61.9</v>
      </c>
      <c r="D125" s="7">
        <v>79.8</v>
      </c>
      <c r="E125" s="2"/>
      <c r="F125" s="2"/>
      <c r="G125" s="2"/>
    </row>
    <row r="126" spans="1:7" ht="13" x14ac:dyDescent="0.25">
      <c r="A126" s="11">
        <v>56</v>
      </c>
      <c r="B126" s="7">
        <v>22.7</v>
      </c>
      <c r="C126" s="7">
        <v>47.9</v>
      </c>
      <c r="D126" s="7">
        <v>73</v>
      </c>
      <c r="E126" s="2"/>
      <c r="F126" s="2"/>
      <c r="G126" s="2"/>
    </row>
    <row r="127" spans="1:7" ht="13" x14ac:dyDescent="0.25">
      <c r="A127" s="11">
        <v>57</v>
      </c>
      <c r="B127" s="7">
        <v>22.4</v>
      </c>
      <c r="C127" s="7">
        <v>46.4</v>
      </c>
      <c r="D127" s="7">
        <v>94.9</v>
      </c>
      <c r="E127" s="2"/>
      <c r="F127" s="2"/>
      <c r="G127" s="2"/>
    </row>
    <row r="128" spans="1:7" ht="13" x14ac:dyDescent="0.25">
      <c r="A128" s="11">
        <v>58</v>
      </c>
      <c r="B128" s="7">
        <v>36.200000000000003</v>
      </c>
      <c r="C128" s="7">
        <v>50.8</v>
      </c>
      <c r="D128" s="7">
        <v>79.3</v>
      </c>
      <c r="E128" s="2"/>
      <c r="F128" s="2"/>
      <c r="G128" s="2"/>
    </row>
    <row r="129" spans="1:7" ht="13" x14ac:dyDescent="0.25">
      <c r="A129" s="11">
        <v>59</v>
      </c>
      <c r="B129" s="7">
        <v>28</v>
      </c>
      <c r="C129" s="7">
        <v>49</v>
      </c>
      <c r="D129" s="7">
        <v>96.1</v>
      </c>
      <c r="E129" s="2"/>
      <c r="F129" s="2"/>
      <c r="G129" s="2"/>
    </row>
    <row r="130" spans="1:7" ht="13" x14ac:dyDescent="0.25">
      <c r="A130" s="11">
        <v>60</v>
      </c>
      <c r="B130" s="7">
        <v>20.7</v>
      </c>
      <c r="C130" s="7">
        <v>58.1</v>
      </c>
      <c r="D130" s="7">
        <v>72.400000000000006</v>
      </c>
      <c r="E130" s="2"/>
      <c r="F130" s="2"/>
      <c r="G130" s="2"/>
    </row>
    <row r="131" spans="1:7" ht="13" x14ac:dyDescent="0.25">
      <c r="A131" s="11">
        <v>61</v>
      </c>
      <c r="B131" s="7">
        <v>42.4</v>
      </c>
      <c r="C131" s="7">
        <v>54.5</v>
      </c>
      <c r="D131" s="7">
        <v>81</v>
      </c>
      <c r="E131" s="2"/>
      <c r="F131" s="2"/>
      <c r="G131" s="2"/>
    </row>
    <row r="132" spans="1:7" ht="13" x14ac:dyDescent="0.25">
      <c r="A132" s="11">
        <v>62</v>
      </c>
      <c r="B132" s="7">
        <v>37.9</v>
      </c>
      <c r="C132" s="7">
        <v>61.6</v>
      </c>
      <c r="D132" s="7">
        <v>70.2</v>
      </c>
      <c r="E132" s="2"/>
      <c r="F132" s="2"/>
      <c r="G132" s="2"/>
    </row>
    <row r="133" spans="1:7" ht="13.5" thickBot="1" x14ac:dyDescent="0.3">
      <c r="A133" s="14">
        <v>63</v>
      </c>
      <c r="B133" s="7">
        <v>38.9</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11" t="str">
        <f>A2</f>
        <v>Siyang Aiyuan Farm</v>
      </c>
      <c r="B138" s="13">
        <f>ROUNDDOWN(AVERAGE(B5:D13),1)</f>
        <v>58.2</v>
      </c>
      <c r="C138" s="13">
        <f>ROUNDDOWN(AVERAGE(E5:G20),1)</f>
        <v>71.7</v>
      </c>
      <c r="D138" s="11">
        <f>'2020.9'!D138</f>
        <v>8438</v>
      </c>
      <c r="E138" s="11">
        <v>15942</v>
      </c>
      <c r="F138" s="11">
        <f>B138*D138</f>
        <v>491091.60000000003</v>
      </c>
      <c r="G138" s="11">
        <f>C138*E138</f>
        <v>1143041.4000000001</v>
      </c>
    </row>
    <row r="139" spans="1:7" ht="13" x14ac:dyDescent="0.25">
      <c r="A139" s="11" t="str">
        <f>A21</f>
        <v>Dongtai Jianggang Farm</v>
      </c>
      <c r="B139" s="13">
        <f>ROUNDDOWN(AVERAGE(B24:D33),1)</f>
        <v>57.9</v>
      </c>
      <c r="C139" s="13">
        <f>ROUNDDOWN(AVERAGE(E24:G52),1)</f>
        <v>72</v>
      </c>
      <c r="D139" s="11">
        <f>'2020.9'!D139</f>
        <v>9440</v>
      </c>
      <c r="E139" s="11">
        <v>29440</v>
      </c>
      <c r="F139" s="11">
        <f t="shared" ref="F139:G141" si="0">B139*D139</f>
        <v>546576</v>
      </c>
      <c r="G139" s="11">
        <f t="shared" si="0"/>
        <v>2119680</v>
      </c>
    </row>
    <row r="140" spans="1:7" ht="13" x14ac:dyDescent="0.25">
      <c r="A140" s="11" t="str">
        <f>A53</f>
        <v>Sheyang Linhai Farm</v>
      </c>
      <c r="B140" s="13">
        <f>ROUNDDOWN(AVERAGE(B56:D67),1)</f>
        <v>58.7</v>
      </c>
      <c r="C140" s="13">
        <f>ROUNDDOWN(AVERAGE(E56:G62),1)</f>
        <v>70.7</v>
      </c>
      <c r="D140" s="11">
        <f>'2020.9'!D140</f>
        <v>11825</v>
      </c>
      <c r="E140" s="11">
        <v>6426</v>
      </c>
      <c r="F140" s="11">
        <f t="shared" si="0"/>
        <v>694127.5</v>
      </c>
      <c r="G140" s="11">
        <f t="shared" si="0"/>
        <v>454318.2</v>
      </c>
    </row>
    <row r="141" spans="1:7" ht="13" x14ac:dyDescent="0.25">
      <c r="A141" s="11" t="str">
        <f>A68</f>
        <v>Siyang Nanliuji</v>
      </c>
      <c r="B141" s="13">
        <f>ROUNDDOWN(AVERAGE(B71:D133),1)</f>
        <v>58.9</v>
      </c>
      <c r="C141" s="11">
        <f>ROUNDDOWN(AVERAGE(0),1)</f>
        <v>0</v>
      </c>
      <c r="D141" s="11">
        <f>'2020.9'!D141</f>
        <v>65005</v>
      </c>
      <c r="E141" s="11">
        <v>0</v>
      </c>
      <c r="F141" s="11">
        <f t="shared" si="0"/>
        <v>3828794.5</v>
      </c>
      <c r="G141" s="11">
        <f t="shared" si="0"/>
        <v>0</v>
      </c>
    </row>
    <row r="142" spans="1:7" ht="13" x14ac:dyDescent="0.25">
      <c r="A142" s="613" t="s">
        <v>154</v>
      </c>
      <c r="B142" s="617"/>
      <c r="C142" s="614"/>
      <c r="D142" s="11">
        <f>SUM(D138:D141)</f>
        <v>94708</v>
      </c>
      <c r="E142" s="11">
        <f>SUM(E138:E141)</f>
        <v>51808</v>
      </c>
      <c r="F142" s="11">
        <f>SUM(F138:F141)</f>
        <v>5560589.5999999996</v>
      </c>
      <c r="G142" s="11">
        <f>SUM(G138:G141)</f>
        <v>3717039.6000000006</v>
      </c>
    </row>
    <row r="144" spans="1:7" ht="13" x14ac:dyDescent="0.25">
      <c r="C144" s="613" t="s">
        <v>155</v>
      </c>
      <c r="D144" s="614"/>
    </row>
    <row r="145" spans="3:4" ht="13" x14ac:dyDescent="0.25">
      <c r="C145" s="11" t="s">
        <v>152</v>
      </c>
      <c r="D145" s="11" t="s">
        <v>153</v>
      </c>
    </row>
    <row r="146" spans="3:4" ht="13" x14ac:dyDescent="0.25">
      <c r="C146" s="12">
        <f>ROUNDDOWN(F142/D142,1)</f>
        <v>58.7</v>
      </c>
      <c r="D146" s="12">
        <f>ROUNDDOWN(G142/E142,1)</f>
        <v>71.7</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46"/>
  <sheetViews>
    <sheetView workbookViewId="0">
      <selection activeCell="A3" sqref="A3"/>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'2020.10'!A2:G2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42.3</v>
      </c>
      <c r="C5" s="7">
        <v>45.8</v>
      </c>
      <c r="D5" s="7">
        <v>96.6</v>
      </c>
      <c r="E5" s="7">
        <v>28.5</v>
      </c>
      <c r="F5" s="7">
        <v>85</v>
      </c>
      <c r="G5" s="7">
        <v>89.7</v>
      </c>
    </row>
    <row r="6" spans="1:7" ht="13" x14ac:dyDescent="0.25">
      <c r="A6" s="11">
        <v>2</v>
      </c>
      <c r="B6" s="7">
        <v>24</v>
      </c>
      <c r="C6" s="7">
        <v>63.2</v>
      </c>
      <c r="D6" s="7">
        <v>99.4</v>
      </c>
      <c r="E6" s="7">
        <v>50.5</v>
      </c>
      <c r="F6" s="7">
        <v>75.400000000000006</v>
      </c>
      <c r="G6" s="7">
        <v>91.3</v>
      </c>
    </row>
    <row r="7" spans="1:7" ht="13" x14ac:dyDescent="0.25">
      <c r="A7" s="11">
        <v>3</v>
      </c>
      <c r="B7" s="7">
        <v>21</v>
      </c>
      <c r="C7" s="7">
        <v>52</v>
      </c>
      <c r="D7" s="7">
        <v>92.8</v>
      </c>
      <c r="E7" s="7">
        <v>52.5</v>
      </c>
      <c r="F7" s="7">
        <v>72.8</v>
      </c>
      <c r="G7" s="7">
        <v>98.8</v>
      </c>
    </row>
    <row r="8" spans="1:7" ht="13" x14ac:dyDescent="0.25">
      <c r="A8" s="11">
        <v>4</v>
      </c>
      <c r="B8" s="7">
        <v>43</v>
      </c>
      <c r="C8" s="7">
        <v>46.2</v>
      </c>
      <c r="D8" s="7">
        <v>100.2</v>
      </c>
      <c r="E8" s="7">
        <v>38.4</v>
      </c>
      <c r="F8" s="7">
        <v>76.3</v>
      </c>
      <c r="G8" s="7">
        <v>98.7</v>
      </c>
    </row>
    <row r="9" spans="1:7" ht="13" x14ac:dyDescent="0.25">
      <c r="A9" s="11">
        <v>5</v>
      </c>
      <c r="B9" s="7">
        <v>34</v>
      </c>
      <c r="C9" s="7">
        <v>54.2</v>
      </c>
      <c r="D9" s="7">
        <v>108.4</v>
      </c>
      <c r="E9" s="7">
        <v>55.5</v>
      </c>
      <c r="F9" s="7">
        <v>76.5</v>
      </c>
      <c r="G9" s="7">
        <v>94.4</v>
      </c>
    </row>
    <row r="10" spans="1:7" ht="13" x14ac:dyDescent="0.25">
      <c r="A10" s="11">
        <v>6</v>
      </c>
      <c r="B10" s="7">
        <v>28.2</v>
      </c>
      <c r="C10" s="7">
        <v>58.2</v>
      </c>
      <c r="D10" s="7">
        <v>94.9</v>
      </c>
      <c r="E10" s="7">
        <v>36.9</v>
      </c>
      <c r="F10" s="7">
        <v>82.4</v>
      </c>
      <c r="G10" s="7">
        <v>95.7</v>
      </c>
    </row>
    <row r="11" spans="1:7" ht="13" x14ac:dyDescent="0.25">
      <c r="A11" s="11">
        <v>7</v>
      </c>
      <c r="B11" s="7">
        <v>36.1</v>
      </c>
      <c r="C11" s="7">
        <v>59.8</v>
      </c>
      <c r="D11" s="7">
        <v>89</v>
      </c>
      <c r="E11" s="7">
        <v>25</v>
      </c>
      <c r="F11" s="7">
        <v>63</v>
      </c>
      <c r="G11" s="7">
        <v>109.7</v>
      </c>
    </row>
    <row r="12" spans="1:7" ht="13" x14ac:dyDescent="0.25">
      <c r="A12" s="11">
        <v>8</v>
      </c>
      <c r="B12" s="7">
        <v>20.399999999999999</v>
      </c>
      <c r="C12" s="7">
        <v>51.8</v>
      </c>
      <c r="D12" s="7">
        <v>85.8</v>
      </c>
      <c r="E12" s="7">
        <v>43.2</v>
      </c>
      <c r="F12" s="7">
        <v>61.3</v>
      </c>
      <c r="G12" s="7">
        <v>99.5</v>
      </c>
    </row>
    <row r="13" spans="1:7" ht="13" x14ac:dyDescent="0.25">
      <c r="A13" s="11">
        <v>9</v>
      </c>
      <c r="B13" s="7">
        <v>32.299999999999997</v>
      </c>
      <c r="C13" s="7">
        <v>63.5</v>
      </c>
      <c r="D13" s="7">
        <v>82.8</v>
      </c>
      <c r="E13" s="7">
        <v>33.700000000000003</v>
      </c>
      <c r="F13" s="7">
        <v>81.8</v>
      </c>
      <c r="G13" s="7">
        <v>99.1</v>
      </c>
    </row>
    <row r="14" spans="1:7" ht="13" x14ac:dyDescent="0.25">
      <c r="A14" s="11">
        <v>10</v>
      </c>
      <c r="B14" s="7"/>
      <c r="C14" s="7"/>
      <c r="D14" s="7"/>
      <c r="E14" s="7">
        <v>33.6</v>
      </c>
      <c r="F14" s="7">
        <v>69</v>
      </c>
      <c r="G14" s="7">
        <v>107.5</v>
      </c>
    </row>
    <row r="15" spans="1:7" ht="13" x14ac:dyDescent="0.25">
      <c r="A15" s="11">
        <v>11</v>
      </c>
      <c r="B15" s="7"/>
      <c r="C15" s="7"/>
      <c r="D15" s="7"/>
      <c r="E15" s="7">
        <v>33.6</v>
      </c>
      <c r="F15" s="7">
        <v>69.2</v>
      </c>
      <c r="G15" s="7">
        <v>106.4</v>
      </c>
    </row>
    <row r="16" spans="1:7" ht="13" x14ac:dyDescent="0.25">
      <c r="A16" s="11">
        <v>12</v>
      </c>
      <c r="B16" s="7"/>
      <c r="C16" s="7"/>
      <c r="D16" s="7"/>
      <c r="E16" s="7">
        <v>59.1</v>
      </c>
      <c r="F16" s="7">
        <v>75.8</v>
      </c>
      <c r="G16" s="7">
        <v>95.6</v>
      </c>
    </row>
    <row r="17" spans="1:7" ht="13" x14ac:dyDescent="0.25">
      <c r="A17" s="11">
        <v>13</v>
      </c>
      <c r="B17" s="7"/>
      <c r="C17" s="7"/>
      <c r="D17" s="7"/>
      <c r="E17" s="7">
        <v>53.4</v>
      </c>
      <c r="F17" s="7">
        <v>66.3</v>
      </c>
      <c r="G17" s="7">
        <v>99.9</v>
      </c>
    </row>
    <row r="18" spans="1:7" ht="13" x14ac:dyDescent="0.25">
      <c r="A18" s="11">
        <v>14</v>
      </c>
      <c r="B18" s="7"/>
      <c r="C18" s="7"/>
      <c r="D18" s="7"/>
      <c r="E18" s="7">
        <v>42.9</v>
      </c>
      <c r="F18" s="7">
        <v>69.7</v>
      </c>
      <c r="G18" s="7">
        <v>103.6</v>
      </c>
    </row>
    <row r="19" spans="1:7" ht="13" x14ac:dyDescent="0.25">
      <c r="A19" s="11">
        <v>15</v>
      </c>
      <c r="B19" s="7"/>
      <c r="C19" s="7"/>
      <c r="D19" s="7"/>
      <c r="E19" s="7">
        <v>26.6</v>
      </c>
      <c r="F19" s="7">
        <v>64.900000000000006</v>
      </c>
      <c r="G19" s="7">
        <v>116.1</v>
      </c>
    </row>
    <row r="20" spans="1:7" ht="13.5" thickBot="1" x14ac:dyDescent="0.3">
      <c r="A20" s="14">
        <v>16</v>
      </c>
      <c r="B20" s="15"/>
      <c r="C20" s="15"/>
      <c r="D20" s="15"/>
      <c r="E20" s="7">
        <v>55.8</v>
      </c>
      <c r="F20" s="7">
        <v>78.5</v>
      </c>
      <c r="G20" s="7">
        <v>118.9</v>
      </c>
    </row>
    <row r="21" spans="1:7" ht="13.5" thickTop="1" x14ac:dyDescent="0.25">
      <c r="A21" s="612" t="str">
        <f>'2020.10'!A21:G21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27.5</v>
      </c>
      <c r="C24" s="7">
        <v>57.3</v>
      </c>
      <c r="D24" s="7">
        <v>93.4</v>
      </c>
      <c r="E24" s="7">
        <v>55.6</v>
      </c>
      <c r="F24" s="7">
        <v>78.2</v>
      </c>
      <c r="G24" s="7">
        <v>93.5</v>
      </c>
    </row>
    <row r="25" spans="1:7" ht="13" x14ac:dyDescent="0.25">
      <c r="A25" s="11">
        <v>2</v>
      </c>
      <c r="B25" s="7">
        <v>37.1</v>
      </c>
      <c r="C25" s="7">
        <v>47.3</v>
      </c>
      <c r="D25" s="7">
        <v>76.8</v>
      </c>
      <c r="E25" s="7">
        <v>25.7</v>
      </c>
      <c r="F25" s="7">
        <v>76.099999999999994</v>
      </c>
      <c r="G25" s="7">
        <v>106.3</v>
      </c>
    </row>
    <row r="26" spans="1:7" ht="13" x14ac:dyDescent="0.25">
      <c r="A26" s="11">
        <v>3</v>
      </c>
      <c r="B26" s="7">
        <v>32.700000000000003</v>
      </c>
      <c r="C26" s="7">
        <v>62.2</v>
      </c>
      <c r="D26" s="7">
        <v>102.2</v>
      </c>
      <c r="E26" s="7">
        <v>51.8</v>
      </c>
      <c r="F26" s="7">
        <v>62.2</v>
      </c>
      <c r="G26" s="7">
        <v>115.2</v>
      </c>
    </row>
    <row r="27" spans="1:7" ht="13" x14ac:dyDescent="0.25">
      <c r="A27" s="11">
        <v>4</v>
      </c>
      <c r="B27" s="7">
        <v>27.4</v>
      </c>
      <c r="C27" s="7">
        <v>57.3</v>
      </c>
      <c r="D27" s="7">
        <v>100.2</v>
      </c>
      <c r="E27" s="7">
        <v>51.2</v>
      </c>
      <c r="F27" s="7">
        <v>73.400000000000006</v>
      </c>
      <c r="G27" s="7">
        <v>115.6</v>
      </c>
    </row>
    <row r="28" spans="1:7" ht="13" x14ac:dyDescent="0.25">
      <c r="A28" s="11">
        <v>5</v>
      </c>
      <c r="B28" s="7">
        <v>31.3</v>
      </c>
      <c r="C28" s="7">
        <v>64.099999999999994</v>
      </c>
      <c r="D28" s="7">
        <v>103.7</v>
      </c>
      <c r="E28" s="7">
        <v>41.2</v>
      </c>
      <c r="F28" s="7">
        <v>70.900000000000006</v>
      </c>
      <c r="G28" s="7">
        <v>92.5</v>
      </c>
    </row>
    <row r="29" spans="1:7" ht="13" x14ac:dyDescent="0.25">
      <c r="A29" s="11">
        <v>6</v>
      </c>
      <c r="B29" s="7">
        <v>35.299999999999997</v>
      </c>
      <c r="C29" s="7">
        <v>56.8</v>
      </c>
      <c r="D29" s="7">
        <v>80.599999999999994</v>
      </c>
      <c r="E29" s="7">
        <v>58.1</v>
      </c>
      <c r="F29" s="7">
        <v>71.2</v>
      </c>
      <c r="G29" s="7">
        <v>107.3</v>
      </c>
    </row>
    <row r="30" spans="1:7" ht="13" x14ac:dyDescent="0.25">
      <c r="A30" s="11">
        <v>7</v>
      </c>
      <c r="B30" s="7">
        <v>42.5</v>
      </c>
      <c r="C30" s="7">
        <v>57.9</v>
      </c>
      <c r="D30" s="7">
        <v>105.5</v>
      </c>
      <c r="E30" s="7">
        <v>42.6</v>
      </c>
      <c r="F30" s="7">
        <v>71.7</v>
      </c>
      <c r="G30" s="7">
        <v>92.7</v>
      </c>
    </row>
    <row r="31" spans="1:7" ht="13" x14ac:dyDescent="0.25">
      <c r="A31" s="11">
        <v>8</v>
      </c>
      <c r="B31" s="7">
        <v>30.5</v>
      </c>
      <c r="C31" s="7">
        <v>52.7</v>
      </c>
      <c r="D31" s="7">
        <v>78.900000000000006</v>
      </c>
      <c r="E31" s="7">
        <v>29.1</v>
      </c>
      <c r="F31" s="7">
        <v>77.400000000000006</v>
      </c>
      <c r="G31" s="7">
        <v>106.1</v>
      </c>
    </row>
    <row r="32" spans="1:7" ht="13" x14ac:dyDescent="0.25">
      <c r="A32" s="11">
        <v>9</v>
      </c>
      <c r="B32" s="7">
        <v>21.8</v>
      </c>
      <c r="C32" s="7">
        <v>62.1</v>
      </c>
      <c r="D32" s="7">
        <v>65.2</v>
      </c>
      <c r="E32" s="7">
        <v>36</v>
      </c>
      <c r="F32" s="7">
        <v>71.900000000000006</v>
      </c>
      <c r="G32" s="7">
        <v>94</v>
      </c>
    </row>
    <row r="33" spans="1:7" ht="13" x14ac:dyDescent="0.25">
      <c r="A33" s="11">
        <v>10</v>
      </c>
      <c r="B33" s="7">
        <v>33.799999999999997</v>
      </c>
      <c r="C33" s="7">
        <v>64.099999999999994</v>
      </c>
      <c r="D33" s="7">
        <v>87.5</v>
      </c>
      <c r="E33" s="7">
        <v>50.4</v>
      </c>
      <c r="F33" s="7">
        <v>67.900000000000006</v>
      </c>
      <c r="G33" s="7">
        <v>112.8</v>
      </c>
    </row>
    <row r="34" spans="1:7" ht="13" x14ac:dyDescent="0.25">
      <c r="A34" s="11">
        <v>11</v>
      </c>
      <c r="B34" s="7"/>
      <c r="C34" s="7"/>
      <c r="D34" s="7"/>
      <c r="E34" s="7">
        <v>40.9</v>
      </c>
      <c r="F34" s="7">
        <v>82.6</v>
      </c>
      <c r="G34" s="7">
        <v>109.1</v>
      </c>
    </row>
    <row r="35" spans="1:7" ht="13" x14ac:dyDescent="0.25">
      <c r="A35" s="11">
        <v>12</v>
      </c>
      <c r="B35" s="7"/>
      <c r="C35" s="7"/>
      <c r="D35" s="7"/>
      <c r="E35" s="7">
        <v>58.1</v>
      </c>
      <c r="F35" s="7">
        <v>82.3</v>
      </c>
      <c r="G35" s="7">
        <v>115.7</v>
      </c>
    </row>
    <row r="36" spans="1:7" ht="13" x14ac:dyDescent="0.25">
      <c r="A36" s="11">
        <v>13</v>
      </c>
      <c r="B36" s="7"/>
      <c r="C36" s="7"/>
      <c r="D36" s="7"/>
      <c r="E36" s="7">
        <v>53.5</v>
      </c>
      <c r="F36" s="7">
        <v>69.8</v>
      </c>
      <c r="G36" s="7">
        <v>96.1</v>
      </c>
    </row>
    <row r="37" spans="1:7" ht="13" x14ac:dyDescent="0.25">
      <c r="A37" s="11">
        <v>14</v>
      </c>
      <c r="B37" s="7"/>
      <c r="C37" s="7"/>
      <c r="D37" s="7"/>
      <c r="E37" s="7">
        <v>59.3</v>
      </c>
      <c r="F37" s="7">
        <v>61.7</v>
      </c>
      <c r="G37" s="7">
        <v>90.6</v>
      </c>
    </row>
    <row r="38" spans="1:7" ht="13" x14ac:dyDescent="0.25">
      <c r="A38" s="11">
        <v>15</v>
      </c>
      <c r="B38" s="7"/>
      <c r="C38" s="7"/>
      <c r="D38" s="7"/>
      <c r="E38" s="7">
        <v>54.4</v>
      </c>
      <c r="F38" s="7">
        <v>68.400000000000006</v>
      </c>
      <c r="G38" s="7">
        <v>119.3</v>
      </c>
    </row>
    <row r="39" spans="1:7" ht="13" x14ac:dyDescent="0.25">
      <c r="A39" s="11">
        <v>16</v>
      </c>
      <c r="B39" s="7"/>
      <c r="C39" s="7"/>
      <c r="D39" s="7"/>
      <c r="E39" s="7">
        <v>54.1</v>
      </c>
      <c r="F39" s="7">
        <v>73.599999999999994</v>
      </c>
      <c r="G39" s="7">
        <v>107.9</v>
      </c>
    </row>
    <row r="40" spans="1:7" ht="13" x14ac:dyDescent="0.25">
      <c r="A40" s="11">
        <v>17</v>
      </c>
      <c r="B40" s="7"/>
      <c r="C40" s="7"/>
      <c r="D40" s="7"/>
      <c r="E40" s="7">
        <v>39.4</v>
      </c>
      <c r="F40" s="7">
        <v>62</v>
      </c>
      <c r="G40" s="7">
        <v>107.9</v>
      </c>
    </row>
    <row r="41" spans="1:7" ht="13" x14ac:dyDescent="0.25">
      <c r="A41" s="11">
        <v>18</v>
      </c>
      <c r="B41" s="7"/>
      <c r="C41" s="7"/>
      <c r="D41" s="7"/>
      <c r="E41" s="7">
        <v>40.9</v>
      </c>
      <c r="F41" s="7">
        <v>64.099999999999994</v>
      </c>
      <c r="G41" s="7">
        <v>116.7</v>
      </c>
    </row>
    <row r="42" spans="1:7" ht="13" x14ac:dyDescent="0.25">
      <c r="A42" s="11">
        <v>19</v>
      </c>
      <c r="B42" s="7"/>
      <c r="C42" s="7"/>
      <c r="D42" s="7"/>
      <c r="E42" s="7">
        <v>42</v>
      </c>
      <c r="F42" s="7">
        <v>76.900000000000006</v>
      </c>
      <c r="G42" s="7">
        <v>103.3</v>
      </c>
    </row>
    <row r="43" spans="1:7" ht="13" x14ac:dyDescent="0.25">
      <c r="A43" s="11">
        <v>20</v>
      </c>
      <c r="B43" s="7"/>
      <c r="C43" s="7"/>
      <c r="D43" s="7"/>
      <c r="E43" s="7">
        <v>56.1</v>
      </c>
      <c r="F43" s="7">
        <v>67.5</v>
      </c>
      <c r="G43" s="7">
        <v>96.6</v>
      </c>
    </row>
    <row r="44" spans="1:7" ht="13" x14ac:dyDescent="0.25">
      <c r="A44" s="11">
        <v>21</v>
      </c>
      <c r="B44" s="7"/>
      <c r="C44" s="7"/>
      <c r="D44" s="7"/>
      <c r="E44" s="7">
        <v>58</v>
      </c>
      <c r="F44" s="7">
        <v>79.099999999999994</v>
      </c>
      <c r="G44" s="7">
        <v>105.7</v>
      </c>
    </row>
    <row r="45" spans="1:7" ht="13" x14ac:dyDescent="0.25">
      <c r="A45" s="11">
        <v>22</v>
      </c>
      <c r="B45" s="7"/>
      <c r="C45" s="7"/>
      <c r="D45" s="7"/>
      <c r="E45" s="7">
        <v>56.1</v>
      </c>
      <c r="F45" s="7">
        <v>85</v>
      </c>
      <c r="G45" s="7">
        <v>104.1</v>
      </c>
    </row>
    <row r="46" spans="1:7" ht="13" x14ac:dyDescent="0.25">
      <c r="A46" s="11">
        <v>23</v>
      </c>
      <c r="B46" s="7"/>
      <c r="C46" s="7"/>
      <c r="D46" s="7"/>
      <c r="E46" s="7">
        <v>27.4</v>
      </c>
      <c r="F46" s="7">
        <v>71.5</v>
      </c>
      <c r="G46" s="7">
        <v>101</v>
      </c>
    </row>
    <row r="47" spans="1:7" ht="13" x14ac:dyDescent="0.25">
      <c r="A47" s="11">
        <v>24</v>
      </c>
      <c r="B47" s="7"/>
      <c r="C47" s="7"/>
      <c r="D47" s="7"/>
      <c r="E47" s="7">
        <v>26.7</v>
      </c>
      <c r="F47" s="7">
        <v>68.099999999999994</v>
      </c>
      <c r="G47" s="7">
        <v>85.5</v>
      </c>
    </row>
    <row r="48" spans="1:7" ht="13" x14ac:dyDescent="0.25">
      <c r="A48" s="11">
        <v>25</v>
      </c>
      <c r="B48" s="7"/>
      <c r="C48" s="7"/>
      <c r="D48" s="7"/>
      <c r="E48" s="7">
        <v>35</v>
      </c>
      <c r="F48" s="7">
        <v>77.7</v>
      </c>
      <c r="G48" s="7">
        <v>114.6</v>
      </c>
    </row>
    <row r="49" spans="1:7" ht="13" x14ac:dyDescent="0.25">
      <c r="A49" s="11">
        <v>26</v>
      </c>
      <c r="B49" s="7"/>
      <c r="C49" s="16"/>
      <c r="D49" s="7"/>
      <c r="E49" s="7">
        <v>51.5</v>
      </c>
      <c r="F49" s="7">
        <v>73.3</v>
      </c>
      <c r="G49" s="7">
        <v>90.4</v>
      </c>
    </row>
    <row r="50" spans="1:7" ht="13" x14ac:dyDescent="0.25">
      <c r="A50" s="11">
        <v>27</v>
      </c>
      <c r="B50" s="7"/>
      <c r="C50" s="16"/>
      <c r="D50" s="7"/>
      <c r="E50" s="7">
        <v>39.299999999999997</v>
      </c>
      <c r="F50" s="7">
        <v>82.3</v>
      </c>
      <c r="G50" s="7">
        <v>115.8</v>
      </c>
    </row>
    <row r="51" spans="1:7" ht="13" x14ac:dyDescent="0.25">
      <c r="A51" s="11">
        <v>28</v>
      </c>
      <c r="B51" s="7"/>
      <c r="C51" s="17"/>
      <c r="D51" s="7"/>
      <c r="E51" s="7">
        <v>42.7</v>
      </c>
      <c r="F51" s="7">
        <v>68</v>
      </c>
      <c r="G51" s="7">
        <v>90.9</v>
      </c>
    </row>
    <row r="52" spans="1:7" ht="13.5" thickBot="1" x14ac:dyDescent="0.3">
      <c r="A52" s="14">
        <v>29</v>
      </c>
      <c r="B52" s="18"/>
      <c r="C52" s="18"/>
      <c r="D52" s="15"/>
      <c r="E52" s="7">
        <v>39.5</v>
      </c>
      <c r="F52" s="7">
        <v>82.7</v>
      </c>
      <c r="G52" s="7">
        <v>100.7</v>
      </c>
    </row>
    <row r="53" spans="1:7" ht="13.5" thickTop="1" x14ac:dyDescent="0.25">
      <c r="A53" s="612" t="str">
        <f>'2020.10'!A53:G53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33.9</v>
      </c>
      <c r="C56" s="7">
        <v>64.3</v>
      </c>
      <c r="D56" s="7">
        <v>101.8</v>
      </c>
      <c r="E56" s="7">
        <v>39</v>
      </c>
      <c r="F56" s="7">
        <v>75.400000000000006</v>
      </c>
      <c r="G56" s="7">
        <v>109.7</v>
      </c>
    </row>
    <row r="57" spans="1:7" ht="13" x14ac:dyDescent="0.25">
      <c r="A57" s="11">
        <v>2</v>
      </c>
      <c r="B57" s="7">
        <v>33.1</v>
      </c>
      <c r="C57" s="7">
        <v>63.3</v>
      </c>
      <c r="D57" s="7">
        <v>66.8</v>
      </c>
      <c r="E57" s="7">
        <v>35</v>
      </c>
      <c r="F57" s="7">
        <v>66.7</v>
      </c>
      <c r="G57" s="7">
        <v>99</v>
      </c>
    </row>
    <row r="58" spans="1:7" ht="13" x14ac:dyDescent="0.25">
      <c r="A58" s="11">
        <v>3</v>
      </c>
      <c r="B58" s="7">
        <v>27.8</v>
      </c>
      <c r="C58" s="7">
        <v>59</v>
      </c>
      <c r="D58" s="7">
        <v>107.3</v>
      </c>
      <c r="E58" s="7">
        <v>36.299999999999997</v>
      </c>
      <c r="F58" s="7">
        <v>73.7</v>
      </c>
      <c r="G58" s="7">
        <v>116.2</v>
      </c>
    </row>
    <row r="59" spans="1:7" ht="13" x14ac:dyDescent="0.25">
      <c r="A59" s="11">
        <v>4</v>
      </c>
      <c r="B59" s="7">
        <v>38.4</v>
      </c>
      <c r="C59" s="7">
        <v>50.7</v>
      </c>
      <c r="D59" s="7">
        <v>76.8</v>
      </c>
      <c r="E59" s="7">
        <v>53.9</v>
      </c>
      <c r="F59" s="7">
        <v>82.1</v>
      </c>
      <c r="G59" s="7">
        <v>87.1</v>
      </c>
    </row>
    <row r="60" spans="1:7" ht="13" x14ac:dyDescent="0.25">
      <c r="A60" s="11">
        <v>5</v>
      </c>
      <c r="B60" s="7">
        <v>39.799999999999997</v>
      </c>
      <c r="C60" s="7">
        <v>58.2</v>
      </c>
      <c r="D60" s="7">
        <v>76</v>
      </c>
      <c r="E60" s="7">
        <v>55.1</v>
      </c>
      <c r="F60" s="7">
        <v>83.6</v>
      </c>
      <c r="G60" s="7">
        <v>90.4</v>
      </c>
    </row>
    <row r="61" spans="1:7" ht="13" x14ac:dyDescent="0.25">
      <c r="A61" s="11">
        <v>6</v>
      </c>
      <c r="B61" s="7">
        <v>24.3</v>
      </c>
      <c r="C61" s="7">
        <v>45</v>
      </c>
      <c r="D61" s="7">
        <v>97.3</v>
      </c>
      <c r="E61" s="7">
        <v>41.1</v>
      </c>
      <c r="F61" s="7">
        <v>74.2</v>
      </c>
      <c r="G61" s="7">
        <v>111.8</v>
      </c>
    </row>
    <row r="62" spans="1:7" ht="13" x14ac:dyDescent="0.25">
      <c r="A62" s="11">
        <v>7</v>
      </c>
      <c r="B62" s="7">
        <v>26.3</v>
      </c>
      <c r="C62" s="7">
        <v>58.8</v>
      </c>
      <c r="D62" s="7">
        <v>107.2</v>
      </c>
      <c r="E62" s="7">
        <v>46.1</v>
      </c>
      <c r="F62" s="7">
        <v>61.8</v>
      </c>
      <c r="G62" s="7">
        <v>96</v>
      </c>
    </row>
    <row r="63" spans="1:7" ht="13" x14ac:dyDescent="0.25">
      <c r="A63" s="11">
        <v>8</v>
      </c>
      <c r="B63" s="7">
        <v>21.7</v>
      </c>
      <c r="C63" s="7">
        <v>51.1</v>
      </c>
      <c r="D63" s="7">
        <v>93.4</v>
      </c>
      <c r="E63" s="7"/>
      <c r="F63" s="7"/>
      <c r="G63" s="7"/>
    </row>
    <row r="64" spans="1:7" ht="13" x14ac:dyDescent="0.25">
      <c r="A64" s="11">
        <v>9</v>
      </c>
      <c r="B64" s="7">
        <v>24.5</v>
      </c>
      <c r="C64" s="7">
        <v>46</v>
      </c>
      <c r="D64" s="7">
        <v>72.2</v>
      </c>
      <c r="E64" s="7"/>
      <c r="F64" s="7"/>
      <c r="G64" s="7"/>
    </row>
    <row r="65" spans="1:7" ht="13" x14ac:dyDescent="0.25">
      <c r="A65" s="11">
        <v>10</v>
      </c>
      <c r="B65" s="7">
        <v>31.5</v>
      </c>
      <c r="C65" s="7">
        <v>51.6</v>
      </c>
      <c r="D65" s="7">
        <v>96.2</v>
      </c>
      <c r="E65" s="7"/>
      <c r="F65" s="7"/>
      <c r="G65" s="7"/>
    </row>
    <row r="66" spans="1:7" ht="13" x14ac:dyDescent="0.25">
      <c r="A66" s="11">
        <v>11</v>
      </c>
      <c r="B66" s="7">
        <v>22.1</v>
      </c>
      <c r="C66" s="7">
        <v>54</v>
      </c>
      <c r="D66" s="7">
        <v>78.599999999999994</v>
      </c>
      <c r="E66" s="7"/>
      <c r="F66" s="7"/>
      <c r="G66" s="7"/>
    </row>
    <row r="67" spans="1:7" ht="13.5" thickBot="1" x14ac:dyDescent="0.3">
      <c r="A67" s="14">
        <v>12</v>
      </c>
      <c r="B67" s="7">
        <v>26.4</v>
      </c>
      <c r="C67" s="7">
        <v>49.6</v>
      </c>
      <c r="D67" s="7">
        <v>76.400000000000006</v>
      </c>
      <c r="E67" s="15"/>
      <c r="F67" s="15"/>
      <c r="G67" s="15"/>
    </row>
    <row r="68" spans="1:7" ht="13.5" thickTop="1" x14ac:dyDescent="0.25">
      <c r="A68" s="612" t="str">
        <f>'2020.10'!A68:G68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31.8</v>
      </c>
      <c r="C71" s="7">
        <v>51.1</v>
      </c>
      <c r="D71" s="7">
        <v>106.1</v>
      </c>
      <c r="E71" s="7"/>
      <c r="F71" s="7"/>
      <c r="G71" s="7"/>
    </row>
    <row r="72" spans="1:7" ht="13" x14ac:dyDescent="0.25">
      <c r="A72" s="11">
        <v>2</v>
      </c>
      <c r="B72" s="7">
        <v>20.9</v>
      </c>
      <c r="C72" s="7">
        <v>56.9</v>
      </c>
      <c r="D72" s="7">
        <v>82.9</v>
      </c>
      <c r="E72" s="6"/>
      <c r="F72" s="6"/>
      <c r="G72" s="7"/>
    </row>
    <row r="73" spans="1:7" ht="13" x14ac:dyDescent="0.25">
      <c r="A73" s="11">
        <v>3</v>
      </c>
      <c r="B73" s="7">
        <v>20.5</v>
      </c>
      <c r="C73" s="7">
        <v>63.4</v>
      </c>
      <c r="D73" s="7">
        <v>69.5</v>
      </c>
      <c r="E73" s="6"/>
      <c r="F73" s="6"/>
      <c r="G73" s="6"/>
    </row>
    <row r="74" spans="1:7" ht="13" x14ac:dyDescent="0.25">
      <c r="A74" s="11">
        <v>4</v>
      </c>
      <c r="B74" s="7">
        <v>35.799999999999997</v>
      </c>
      <c r="C74" s="7">
        <v>52.4</v>
      </c>
      <c r="D74" s="7">
        <v>109.5</v>
      </c>
      <c r="E74" s="6"/>
      <c r="F74" s="6"/>
      <c r="G74" s="6"/>
    </row>
    <row r="75" spans="1:7" ht="13" x14ac:dyDescent="0.25">
      <c r="A75" s="11">
        <v>5</v>
      </c>
      <c r="B75" s="7">
        <v>20.6</v>
      </c>
      <c r="C75" s="7">
        <v>53.4</v>
      </c>
      <c r="D75" s="7">
        <v>89.5</v>
      </c>
      <c r="E75" s="6"/>
      <c r="F75" s="6"/>
      <c r="G75" s="6"/>
    </row>
    <row r="76" spans="1:7" ht="13" x14ac:dyDescent="0.25">
      <c r="A76" s="11">
        <v>6</v>
      </c>
      <c r="B76" s="7">
        <v>22.4</v>
      </c>
      <c r="C76" s="7">
        <v>64.2</v>
      </c>
      <c r="D76" s="7">
        <v>83.7</v>
      </c>
      <c r="E76" s="6"/>
      <c r="F76" s="6"/>
      <c r="G76" s="6"/>
    </row>
    <row r="77" spans="1:7" ht="13" x14ac:dyDescent="0.25">
      <c r="A77" s="11">
        <v>7</v>
      </c>
      <c r="B77" s="7">
        <v>27.5</v>
      </c>
      <c r="C77" s="7">
        <v>51.1</v>
      </c>
      <c r="D77" s="7">
        <v>70.900000000000006</v>
      </c>
      <c r="E77" s="6"/>
      <c r="F77" s="6"/>
      <c r="G77" s="6"/>
    </row>
    <row r="78" spans="1:7" ht="13" x14ac:dyDescent="0.25">
      <c r="A78" s="11">
        <v>8</v>
      </c>
      <c r="B78" s="7">
        <v>21.4</v>
      </c>
      <c r="C78" s="7">
        <v>63.8</v>
      </c>
      <c r="D78" s="7">
        <v>65.8</v>
      </c>
      <c r="E78" s="6"/>
      <c r="F78" s="6"/>
      <c r="G78" s="6"/>
    </row>
    <row r="79" spans="1:7" ht="13" x14ac:dyDescent="0.25">
      <c r="A79" s="11">
        <v>9</v>
      </c>
      <c r="B79" s="7">
        <v>22.6</v>
      </c>
      <c r="C79" s="7">
        <v>48.1</v>
      </c>
      <c r="D79" s="7">
        <v>101.3</v>
      </c>
      <c r="E79" s="6"/>
      <c r="F79" s="6"/>
      <c r="G79" s="6"/>
    </row>
    <row r="80" spans="1:7" ht="13" x14ac:dyDescent="0.25">
      <c r="A80" s="11">
        <v>10</v>
      </c>
      <c r="B80" s="7">
        <v>33.299999999999997</v>
      </c>
      <c r="C80" s="7">
        <v>50</v>
      </c>
      <c r="D80" s="7">
        <v>72.2</v>
      </c>
      <c r="E80" s="6"/>
      <c r="F80" s="6"/>
      <c r="G80" s="6"/>
    </row>
    <row r="81" spans="1:7" ht="13" x14ac:dyDescent="0.25">
      <c r="A81" s="11">
        <v>11</v>
      </c>
      <c r="B81" s="7">
        <v>25</v>
      </c>
      <c r="C81" s="7">
        <v>56</v>
      </c>
      <c r="D81" s="7">
        <v>75.5</v>
      </c>
      <c r="E81" s="6"/>
      <c r="F81" s="6"/>
      <c r="G81" s="6"/>
    </row>
    <row r="82" spans="1:7" ht="13" x14ac:dyDescent="0.25">
      <c r="A82" s="11">
        <v>12</v>
      </c>
      <c r="B82" s="7">
        <v>39.9</v>
      </c>
      <c r="C82" s="7">
        <v>59.1</v>
      </c>
      <c r="D82" s="7">
        <v>96.9</v>
      </c>
      <c r="E82" s="6"/>
      <c r="F82" s="6"/>
      <c r="G82" s="6"/>
    </row>
    <row r="83" spans="1:7" ht="13" x14ac:dyDescent="0.25">
      <c r="A83" s="11">
        <v>13</v>
      </c>
      <c r="B83" s="7">
        <v>36.200000000000003</v>
      </c>
      <c r="C83" s="7">
        <v>63.4</v>
      </c>
      <c r="D83" s="7">
        <v>103</v>
      </c>
      <c r="E83" s="6"/>
      <c r="F83" s="6"/>
      <c r="G83" s="6"/>
    </row>
    <row r="84" spans="1:7" ht="13" x14ac:dyDescent="0.25">
      <c r="A84" s="11">
        <v>14</v>
      </c>
      <c r="B84" s="7">
        <v>35.6</v>
      </c>
      <c r="C84" s="7">
        <v>49.3</v>
      </c>
      <c r="D84" s="7">
        <v>103.8</v>
      </c>
      <c r="E84" s="6"/>
      <c r="F84" s="6"/>
      <c r="G84" s="6"/>
    </row>
    <row r="85" spans="1:7" ht="13" x14ac:dyDescent="0.25">
      <c r="A85" s="11">
        <v>15</v>
      </c>
      <c r="B85" s="7">
        <v>40.4</v>
      </c>
      <c r="C85" s="7">
        <v>61.9</v>
      </c>
      <c r="D85" s="7">
        <v>90.4</v>
      </c>
      <c r="E85" s="6"/>
      <c r="F85" s="6"/>
      <c r="G85" s="6"/>
    </row>
    <row r="86" spans="1:7" ht="13" x14ac:dyDescent="0.25">
      <c r="A86" s="11">
        <v>16</v>
      </c>
      <c r="B86" s="7">
        <v>41</v>
      </c>
      <c r="C86" s="7">
        <v>63.3</v>
      </c>
      <c r="D86" s="7">
        <v>69.5</v>
      </c>
      <c r="E86" s="6"/>
      <c r="F86" s="6"/>
      <c r="G86" s="6"/>
    </row>
    <row r="87" spans="1:7" ht="13" x14ac:dyDescent="0.25">
      <c r="A87" s="11">
        <v>17</v>
      </c>
      <c r="B87" s="7">
        <v>40</v>
      </c>
      <c r="C87" s="7">
        <v>52.7</v>
      </c>
      <c r="D87" s="7">
        <v>69.8</v>
      </c>
      <c r="E87" s="6"/>
      <c r="F87" s="6"/>
      <c r="G87" s="6"/>
    </row>
    <row r="88" spans="1:7" ht="13" x14ac:dyDescent="0.25">
      <c r="A88" s="11">
        <v>18</v>
      </c>
      <c r="B88" s="7">
        <v>21.3</v>
      </c>
      <c r="C88" s="7">
        <v>56.3</v>
      </c>
      <c r="D88" s="7">
        <v>72.099999999999994</v>
      </c>
      <c r="E88" s="6"/>
      <c r="F88" s="6"/>
      <c r="G88" s="6"/>
    </row>
    <row r="89" spans="1:7" ht="13" x14ac:dyDescent="0.25">
      <c r="A89" s="11">
        <v>19</v>
      </c>
      <c r="B89" s="7">
        <v>37.700000000000003</v>
      </c>
      <c r="C89" s="7">
        <v>63.5</v>
      </c>
      <c r="D89" s="7">
        <v>75.900000000000006</v>
      </c>
      <c r="E89" s="6"/>
      <c r="F89" s="6"/>
      <c r="G89" s="6"/>
    </row>
    <row r="90" spans="1:7" ht="13" x14ac:dyDescent="0.25">
      <c r="A90" s="11">
        <v>20</v>
      </c>
      <c r="B90" s="7">
        <v>44.6</v>
      </c>
      <c r="C90" s="7">
        <v>51.1</v>
      </c>
      <c r="D90" s="7">
        <v>89.7</v>
      </c>
      <c r="E90" s="6"/>
      <c r="F90" s="6"/>
      <c r="G90" s="6"/>
    </row>
    <row r="91" spans="1:7" ht="13" x14ac:dyDescent="0.25">
      <c r="A91" s="11">
        <v>21</v>
      </c>
      <c r="B91" s="7">
        <v>36.6</v>
      </c>
      <c r="C91" s="7">
        <v>56.5</v>
      </c>
      <c r="D91" s="7">
        <v>73</v>
      </c>
      <c r="E91" s="6"/>
      <c r="F91" s="6"/>
      <c r="G91" s="6"/>
    </row>
    <row r="92" spans="1:7" ht="13" x14ac:dyDescent="0.25">
      <c r="A92" s="11">
        <v>22</v>
      </c>
      <c r="B92" s="7">
        <v>28.8</v>
      </c>
      <c r="C92" s="7">
        <v>45.7</v>
      </c>
      <c r="D92" s="7">
        <v>103.9</v>
      </c>
      <c r="E92" s="6"/>
      <c r="F92" s="6"/>
      <c r="G92" s="6"/>
    </row>
    <row r="93" spans="1:7" ht="13" x14ac:dyDescent="0.25">
      <c r="A93" s="11">
        <v>23</v>
      </c>
      <c r="B93" s="7">
        <v>41.6</v>
      </c>
      <c r="C93" s="7">
        <v>61.1</v>
      </c>
      <c r="D93" s="7">
        <v>98</v>
      </c>
      <c r="E93" s="6"/>
      <c r="F93" s="6"/>
      <c r="G93" s="6"/>
    </row>
    <row r="94" spans="1:7" ht="13" x14ac:dyDescent="0.25">
      <c r="A94" s="11">
        <v>24</v>
      </c>
      <c r="B94" s="7">
        <v>39.200000000000003</v>
      </c>
      <c r="C94" s="7">
        <v>52.5</v>
      </c>
      <c r="D94" s="7">
        <v>69.5</v>
      </c>
      <c r="E94" s="6"/>
      <c r="F94" s="6"/>
      <c r="G94" s="6"/>
    </row>
    <row r="95" spans="1:7" ht="13" x14ac:dyDescent="0.25">
      <c r="A95" s="11">
        <v>25</v>
      </c>
      <c r="B95" s="7">
        <v>36.299999999999997</v>
      </c>
      <c r="C95" s="7">
        <v>62</v>
      </c>
      <c r="D95" s="7">
        <v>102.9</v>
      </c>
      <c r="E95" s="6"/>
      <c r="F95" s="6"/>
      <c r="G95" s="6"/>
    </row>
    <row r="96" spans="1:7" ht="13" x14ac:dyDescent="0.25">
      <c r="A96" s="11">
        <v>26</v>
      </c>
      <c r="B96" s="7">
        <v>44.7</v>
      </c>
      <c r="C96" s="7">
        <v>56.1</v>
      </c>
      <c r="D96" s="7">
        <v>108.4</v>
      </c>
      <c r="E96" s="17"/>
      <c r="F96" s="17"/>
      <c r="G96" s="17"/>
    </row>
    <row r="97" spans="1:7" ht="13" x14ac:dyDescent="0.25">
      <c r="A97" s="11">
        <v>27</v>
      </c>
      <c r="B97" s="7">
        <v>37.9</v>
      </c>
      <c r="C97" s="7">
        <v>56.9</v>
      </c>
      <c r="D97" s="7">
        <v>98.9</v>
      </c>
      <c r="E97" s="17"/>
      <c r="F97" s="17"/>
      <c r="G97" s="17"/>
    </row>
    <row r="98" spans="1:7" ht="13" x14ac:dyDescent="0.25">
      <c r="A98" s="11">
        <v>28</v>
      </c>
      <c r="B98" s="7">
        <v>38.9</v>
      </c>
      <c r="C98" s="7">
        <v>45.5</v>
      </c>
      <c r="D98" s="7">
        <v>81.8</v>
      </c>
      <c r="E98" s="17"/>
      <c r="F98" s="17"/>
      <c r="G98" s="17"/>
    </row>
    <row r="99" spans="1:7" ht="13" x14ac:dyDescent="0.25">
      <c r="A99" s="11">
        <v>29</v>
      </c>
      <c r="B99" s="7">
        <v>27.8</v>
      </c>
      <c r="C99" s="7">
        <v>62.1</v>
      </c>
      <c r="D99" s="7">
        <v>79.400000000000006</v>
      </c>
      <c r="E99" s="6"/>
      <c r="F99" s="6"/>
      <c r="G99" s="6"/>
    </row>
    <row r="100" spans="1:7" ht="13" x14ac:dyDescent="0.25">
      <c r="A100" s="11">
        <v>30</v>
      </c>
      <c r="B100" s="7">
        <v>29.4</v>
      </c>
      <c r="C100" s="7">
        <v>64</v>
      </c>
      <c r="D100" s="7">
        <v>91.8</v>
      </c>
      <c r="E100" s="2"/>
      <c r="F100" s="2"/>
      <c r="G100" s="2"/>
    </row>
    <row r="101" spans="1:7" ht="13" x14ac:dyDescent="0.25">
      <c r="A101" s="11">
        <v>31</v>
      </c>
      <c r="B101" s="7">
        <v>24.4</v>
      </c>
      <c r="C101" s="7">
        <v>53.9</v>
      </c>
      <c r="D101" s="7">
        <v>79.7</v>
      </c>
      <c r="E101" s="2"/>
      <c r="F101" s="2"/>
      <c r="G101" s="2"/>
    </row>
    <row r="102" spans="1:7" ht="13" x14ac:dyDescent="0.25">
      <c r="A102" s="11">
        <v>32</v>
      </c>
      <c r="B102" s="7">
        <v>23.2</v>
      </c>
      <c r="C102" s="7">
        <v>60.3</v>
      </c>
      <c r="D102" s="7">
        <v>96.1</v>
      </c>
      <c r="E102" s="2"/>
      <c r="F102" s="2"/>
      <c r="G102" s="2"/>
    </row>
    <row r="103" spans="1:7" ht="13" x14ac:dyDescent="0.25">
      <c r="A103" s="11">
        <v>33</v>
      </c>
      <c r="B103" s="7">
        <v>27.9</v>
      </c>
      <c r="C103" s="7">
        <v>55.7</v>
      </c>
      <c r="D103" s="7">
        <v>72</v>
      </c>
      <c r="E103" s="2"/>
      <c r="F103" s="2"/>
      <c r="G103" s="2"/>
    </row>
    <row r="104" spans="1:7" ht="13" x14ac:dyDescent="0.25">
      <c r="A104" s="11">
        <v>34</v>
      </c>
      <c r="B104" s="7">
        <v>26.1</v>
      </c>
      <c r="C104" s="7">
        <v>54.9</v>
      </c>
      <c r="D104" s="7">
        <v>108.5</v>
      </c>
      <c r="E104" s="2"/>
      <c r="F104" s="2"/>
      <c r="G104" s="2"/>
    </row>
    <row r="105" spans="1:7" ht="13" x14ac:dyDescent="0.25">
      <c r="A105" s="11">
        <v>35</v>
      </c>
      <c r="B105" s="7">
        <v>26</v>
      </c>
      <c r="C105" s="7">
        <v>60.5</v>
      </c>
      <c r="D105" s="7">
        <v>100.3</v>
      </c>
      <c r="E105" s="2"/>
      <c r="F105" s="2"/>
      <c r="G105" s="2"/>
    </row>
    <row r="106" spans="1:7" ht="13" x14ac:dyDescent="0.25">
      <c r="A106" s="11">
        <v>36</v>
      </c>
      <c r="B106" s="7">
        <v>35.700000000000003</v>
      </c>
      <c r="C106" s="7">
        <v>53.6</v>
      </c>
      <c r="D106" s="7">
        <v>80.7</v>
      </c>
      <c r="E106" s="2"/>
      <c r="F106" s="2"/>
      <c r="G106" s="2"/>
    </row>
    <row r="107" spans="1:7" ht="13" x14ac:dyDescent="0.25">
      <c r="A107" s="11">
        <v>37</v>
      </c>
      <c r="B107" s="7">
        <v>36.6</v>
      </c>
      <c r="C107" s="7">
        <v>47.7</v>
      </c>
      <c r="D107" s="7">
        <v>99</v>
      </c>
      <c r="E107" s="2"/>
      <c r="F107" s="2"/>
      <c r="G107" s="2"/>
    </row>
    <row r="108" spans="1:7" ht="13" x14ac:dyDescent="0.25">
      <c r="A108" s="11">
        <v>38</v>
      </c>
      <c r="B108" s="7">
        <v>26.9</v>
      </c>
      <c r="C108" s="7">
        <v>58.7</v>
      </c>
      <c r="D108" s="7">
        <v>101.8</v>
      </c>
      <c r="E108" s="2"/>
      <c r="F108" s="2"/>
      <c r="G108" s="2"/>
    </row>
    <row r="109" spans="1:7" ht="13" x14ac:dyDescent="0.25">
      <c r="A109" s="11">
        <v>39</v>
      </c>
      <c r="B109" s="7">
        <v>35.700000000000003</v>
      </c>
      <c r="C109" s="7">
        <v>55.2</v>
      </c>
      <c r="D109" s="7">
        <v>81.900000000000006</v>
      </c>
      <c r="E109" s="2"/>
      <c r="F109" s="2"/>
      <c r="G109" s="2"/>
    </row>
    <row r="110" spans="1:7" ht="13" x14ac:dyDescent="0.25">
      <c r="A110" s="11">
        <v>40</v>
      </c>
      <c r="B110" s="7">
        <v>42.7</v>
      </c>
      <c r="C110" s="7">
        <v>64</v>
      </c>
      <c r="D110" s="7">
        <v>71.400000000000006</v>
      </c>
      <c r="E110" s="2"/>
      <c r="F110" s="2"/>
      <c r="G110" s="2"/>
    </row>
    <row r="111" spans="1:7" ht="13" x14ac:dyDescent="0.25">
      <c r="A111" s="11">
        <v>41</v>
      </c>
      <c r="B111" s="7">
        <v>29.5</v>
      </c>
      <c r="C111" s="7">
        <v>63.4</v>
      </c>
      <c r="D111" s="7">
        <v>99</v>
      </c>
      <c r="E111" s="2"/>
      <c r="F111" s="2"/>
      <c r="G111" s="2"/>
    </row>
    <row r="112" spans="1:7" ht="13" x14ac:dyDescent="0.25">
      <c r="A112" s="11">
        <v>42</v>
      </c>
      <c r="B112" s="7">
        <v>44.4</v>
      </c>
      <c r="C112" s="7">
        <v>60.6</v>
      </c>
      <c r="D112" s="7">
        <v>84.6</v>
      </c>
      <c r="E112" s="2"/>
      <c r="F112" s="2"/>
      <c r="G112" s="2"/>
    </row>
    <row r="113" spans="1:7" ht="13" x14ac:dyDescent="0.25">
      <c r="A113" s="11">
        <v>43</v>
      </c>
      <c r="B113" s="7">
        <v>44.2</v>
      </c>
      <c r="C113" s="7">
        <v>64.3</v>
      </c>
      <c r="D113" s="7">
        <v>78.2</v>
      </c>
      <c r="E113" s="2"/>
      <c r="F113" s="2"/>
      <c r="G113" s="2"/>
    </row>
    <row r="114" spans="1:7" ht="13" x14ac:dyDescent="0.25">
      <c r="A114" s="11">
        <v>44</v>
      </c>
      <c r="B114" s="7">
        <v>40.5</v>
      </c>
      <c r="C114" s="7">
        <v>64.5</v>
      </c>
      <c r="D114" s="7">
        <v>74.3</v>
      </c>
      <c r="E114" s="2"/>
      <c r="F114" s="2"/>
      <c r="G114" s="2"/>
    </row>
    <row r="115" spans="1:7" ht="13" x14ac:dyDescent="0.25">
      <c r="A115" s="11">
        <v>45</v>
      </c>
      <c r="B115" s="7">
        <v>29.3</v>
      </c>
      <c r="C115" s="7">
        <v>50.8</v>
      </c>
      <c r="D115" s="7">
        <v>86.1</v>
      </c>
      <c r="E115" s="2"/>
      <c r="F115" s="2"/>
      <c r="G115" s="2"/>
    </row>
    <row r="116" spans="1:7" ht="13" x14ac:dyDescent="0.25">
      <c r="A116" s="11">
        <v>46</v>
      </c>
      <c r="B116" s="7">
        <v>28.5</v>
      </c>
      <c r="C116" s="7">
        <v>55.4</v>
      </c>
      <c r="D116" s="7">
        <v>66.3</v>
      </c>
      <c r="E116" s="2"/>
      <c r="F116" s="2"/>
      <c r="G116" s="2"/>
    </row>
    <row r="117" spans="1:7" ht="13" x14ac:dyDescent="0.25">
      <c r="A117" s="11">
        <v>47</v>
      </c>
      <c r="B117" s="7">
        <v>28.2</v>
      </c>
      <c r="C117" s="7">
        <v>48.2</v>
      </c>
      <c r="D117" s="7">
        <v>74.099999999999994</v>
      </c>
      <c r="E117" s="2"/>
      <c r="F117" s="2"/>
      <c r="G117" s="2"/>
    </row>
    <row r="118" spans="1:7" ht="13" x14ac:dyDescent="0.25">
      <c r="A118" s="11">
        <v>48</v>
      </c>
      <c r="B118" s="7">
        <v>21.1</v>
      </c>
      <c r="C118" s="7">
        <v>56.1</v>
      </c>
      <c r="D118" s="7">
        <v>97.5</v>
      </c>
      <c r="E118" s="2"/>
      <c r="F118" s="2"/>
      <c r="G118" s="2"/>
    </row>
    <row r="119" spans="1:7" ht="13" x14ac:dyDescent="0.25">
      <c r="A119" s="11">
        <v>49</v>
      </c>
      <c r="B119" s="7">
        <v>36.1</v>
      </c>
      <c r="C119" s="7">
        <v>49.3</v>
      </c>
      <c r="D119" s="7">
        <v>109.5</v>
      </c>
      <c r="E119" s="2"/>
      <c r="F119" s="2"/>
      <c r="G119" s="2"/>
    </row>
    <row r="120" spans="1:7" ht="13" x14ac:dyDescent="0.25">
      <c r="A120" s="11">
        <v>50</v>
      </c>
      <c r="B120" s="7">
        <v>22.2</v>
      </c>
      <c r="C120" s="7">
        <v>46.2</v>
      </c>
      <c r="D120" s="7">
        <v>105.9</v>
      </c>
      <c r="E120" s="2"/>
      <c r="F120" s="2"/>
      <c r="G120" s="2"/>
    </row>
    <row r="121" spans="1:7" ht="13" x14ac:dyDescent="0.25">
      <c r="A121" s="11">
        <v>51</v>
      </c>
      <c r="B121" s="7">
        <v>32.299999999999997</v>
      </c>
      <c r="C121" s="7">
        <v>62.9</v>
      </c>
      <c r="D121" s="7">
        <v>79.099999999999994</v>
      </c>
      <c r="E121" s="2"/>
      <c r="F121" s="2"/>
      <c r="G121" s="2"/>
    </row>
    <row r="122" spans="1:7" ht="13" x14ac:dyDescent="0.25">
      <c r="A122" s="11">
        <v>52</v>
      </c>
      <c r="B122" s="7">
        <v>40.200000000000003</v>
      </c>
      <c r="C122" s="7">
        <v>54.5</v>
      </c>
      <c r="D122" s="7">
        <v>105</v>
      </c>
      <c r="E122" s="2"/>
      <c r="F122" s="2"/>
      <c r="G122" s="2"/>
    </row>
    <row r="123" spans="1:7" ht="13" x14ac:dyDescent="0.25">
      <c r="A123" s="11">
        <v>53</v>
      </c>
      <c r="B123" s="7">
        <v>33.700000000000003</v>
      </c>
      <c r="C123" s="7">
        <v>58.5</v>
      </c>
      <c r="D123" s="7">
        <v>68.400000000000006</v>
      </c>
      <c r="E123" s="2"/>
      <c r="F123" s="2"/>
      <c r="G123" s="2"/>
    </row>
    <row r="124" spans="1:7" ht="13" x14ac:dyDescent="0.25">
      <c r="A124" s="11">
        <v>54</v>
      </c>
      <c r="B124" s="7">
        <v>34.700000000000003</v>
      </c>
      <c r="C124" s="7">
        <v>46.9</v>
      </c>
      <c r="D124" s="7">
        <v>84.5</v>
      </c>
      <c r="E124" s="2"/>
      <c r="F124" s="2"/>
      <c r="G124" s="2"/>
    </row>
    <row r="125" spans="1:7" ht="13" x14ac:dyDescent="0.25">
      <c r="A125" s="11">
        <v>55</v>
      </c>
      <c r="B125" s="7">
        <v>32.1</v>
      </c>
      <c r="C125" s="7">
        <v>63.8</v>
      </c>
      <c r="D125" s="7">
        <v>100.1</v>
      </c>
      <c r="E125" s="2"/>
      <c r="F125" s="2"/>
      <c r="G125" s="2"/>
    </row>
    <row r="126" spans="1:7" ht="13" x14ac:dyDescent="0.25">
      <c r="A126" s="11">
        <v>56</v>
      </c>
      <c r="B126" s="7">
        <v>32.700000000000003</v>
      </c>
      <c r="C126" s="7">
        <v>60.1</v>
      </c>
      <c r="D126" s="7">
        <v>97.1</v>
      </c>
      <c r="E126" s="2"/>
      <c r="F126" s="2"/>
      <c r="G126" s="2"/>
    </row>
    <row r="127" spans="1:7" ht="13" x14ac:dyDescent="0.25">
      <c r="A127" s="11">
        <v>57</v>
      </c>
      <c r="B127" s="7">
        <v>26.3</v>
      </c>
      <c r="C127" s="7">
        <v>45.7</v>
      </c>
      <c r="D127" s="7">
        <v>73.8</v>
      </c>
      <c r="E127" s="2"/>
      <c r="F127" s="2"/>
      <c r="G127" s="2"/>
    </row>
    <row r="128" spans="1:7" ht="13" x14ac:dyDescent="0.25">
      <c r="A128" s="11">
        <v>58</v>
      </c>
      <c r="B128" s="7">
        <v>27.8</v>
      </c>
      <c r="C128" s="7">
        <v>61.8</v>
      </c>
      <c r="D128" s="7">
        <v>94</v>
      </c>
      <c r="E128" s="2"/>
      <c r="F128" s="2"/>
      <c r="G128" s="2"/>
    </row>
    <row r="129" spans="1:7" ht="13" x14ac:dyDescent="0.25">
      <c r="A129" s="11">
        <v>59</v>
      </c>
      <c r="B129" s="7">
        <v>28.3</v>
      </c>
      <c r="C129" s="7">
        <v>50.9</v>
      </c>
      <c r="D129" s="7">
        <v>94.5</v>
      </c>
      <c r="E129" s="2"/>
      <c r="F129" s="2"/>
      <c r="G129" s="2"/>
    </row>
    <row r="130" spans="1:7" ht="13" x14ac:dyDescent="0.25">
      <c r="A130" s="11">
        <v>60</v>
      </c>
      <c r="B130" s="7">
        <v>42</v>
      </c>
      <c r="C130" s="7">
        <v>55.1</v>
      </c>
      <c r="D130" s="7">
        <v>100.5</v>
      </c>
      <c r="E130" s="2"/>
      <c r="F130" s="2"/>
      <c r="G130" s="2"/>
    </row>
    <row r="131" spans="1:7" ht="13" x14ac:dyDescent="0.25">
      <c r="A131" s="11">
        <v>61</v>
      </c>
      <c r="B131" s="7">
        <v>44.3</v>
      </c>
      <c r="C131" s="7">
        <v>49.1</v>
      </c>
      <c r="D131" s="7">
        <v>85.7</v>
      </c>
      <c r="E131" s="2"/>
      <c r="F131" s="2"/>
      <c r="G131" s="2"/>
    </row>
    <row r="132" spans="1:7" ht="13" x14ac:dyDescent="0.25">
      <c r="A132" s="11">
        <v>62</v>
      </c>
      <c r="B132" s="7">
        <v>30.3</v>
      </c>
      <c r="C132" s="7">
        <v>47.1</v>
      </c>
      <c r="D132" s="7">
        <v>91.2</v>
      </c>
      <c r="E132" s="2"/>
      <c r="F132" s="2"/>
      <c r="G132" s="2"/>
    </row>
    <row r="133" spans="1:7" ht="13.5" thickBot="1" x14ac:dyDescent="0.3">
      <c r="A133" s="14">
        <v>63</v>
      </c>
      <c r="B133" s="7">
        <v>44.6</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60.2</v>
      </c>
      <c r="C138" s="13">
        <f>ROUNDDOWN(AVERAGE(E5:G20),1)</f>
        <v>72.099999999999994</v>
      </c>
      <c r="D138" s="11">
        <f>'2020.10'!D138</f>
        <v>8438</v>
      </c>
      <c r="E138" s="11">
        <v>15966</v>
      </c>
      <c r="F138" s="11">
        <f>B138*D138</f>
        <v>507967.60000000003</v>
      </c>
      <c r="G138" s="11">
        <f>C138*E138</f>
        <v>1151148.5999999999</v>
      </c>
    </row>
    <row r="139" spans="1:7" ht="13" x14ac:dyDescent="0.25">
      <c r="A139" s="6" t="str">
        <f>A21</f>
        <v>Dongtai Jianggang Farm</v>
      </c>
      <c r="B139" s="13">
        <f>ROUNDDOWN(AVERAGE(B24:D33),1)</f>
        <v>59.8</v>
      </c>
      <c r="C139" s="13">
        <f>ROUNDDOWN(AVERAGE(E24:G52),1)</f>
        <v>74</v>
      </c>
      <c r="D139" s="11">
        <f>'2020.10'!D139</f>
        <v>9440</v>
      </c>
      <c r="E139" s="11">
        <v>29477</v>
      </c>
      <c r="F139" s="11">
        <f t="shared" ref="F139:G141" si="0">B139*D139</f>
        <v>564512</v>
      </c>
      <c r="G139" s="11">
        <f t="shared" si="0"/>
        <v>2181298</v>
      </c>
    </row>
    <row r="140" spans="1:7" ht="13" x14ac:dyDescent="0.25">
      <c r="A140" s="6" t="str">
        <f>A53</f>
        <v>Sheyang Linhai Farm</v>
      </c>
      <c r="B140" s="13">
        <f>ROUNDDOWN(AVERAGE(B56:D67),1)</f>
        <v>56.9</v>
      </c>
      <c r="C140" s="13">
        <f>ROUNDDOWN(AVERAGE(E56:G62),1)</f>
        <v>73</v>
      </c>
      <c r="D140" s="11">
        <f>'2020.10'!D140</f>
        <v>11825</v>
      </c>
      <c r="E140" s="11">
        <v>6415</v>
      </c>
      <c r="F140" s="11">
        <f t="shared" si="0"/>
        <v>672842.5</v>
      </c>
      <c r="G140" s="11">
        <f t="shared" si="0"/>
        <v>468295</v>
      </c>
    </row>
    <row r="141" spans="1:7" ht="13" x14ac:dyDescent="0.25">
      <c r="A141" s="6" t="str">
        <f>A68</f>
        <v>Siyang Nanliuji</v>
      </c>
      <c r="B141" s="13">
        <f>ROUNDDOWN(AVERAGE(B71:D133),1)</f>
        <v>58.7</v>
      </c>
      <c r="C141" s="11">
        <f>ROUNDDOWN(AVERAGE(0),1)</f>
        <v>0</v>
      </c>
      <c r="D141" s="11">
        <f>'2020.10'!D141</f>
        <v>65005</v>
      </c>
      <c r="E141" s="11">
        <v>0</v>
      </c>
      <c r="F141" s="11">
        <f t="shared" si="0"/>
        <v>3815793.5</v>
      </c>
      <c r="G141" s="11">
        <f t="shared" si="0"/>
        <v>0</v>
      </c>
    </row>
    <row r="142" spans="1:7" ht="13" x14ac:dyDescent="0.25">
      <c r="A142" s="613" t="s">
        <v>154</v>
      </c>
      <c r="B142" s="617"/>
      <c r="C142" s="614"/>
      <c r="D142" s="11">
        <f>SUM(D138:D141)</f>
        <v>94708</v>
      </c>
      <c r="E142" s="11">
        <f>SUM(E138:E141)</f>
        <v>51858</v>
      </c>
      <c r="F142" s="11">
        <f>SUM(F138:F141)</f>
        <v>5561115.5999999996</v>
      </c>
      <c r="G142" s="11">
        <f>SUM(G138:G141)</f>
        <v>3800741.5999999996</v>
      </c>
    </row>
    <row r="144" spans="1:7" ht="13" x14ac:dyDescent="0.25">
      <c r="C144" s="613" t="s">
        <v>155</v>
      </c>
      <c r="D144" s="614"/>
    </row>
    <row r="145" spans="3:4" ht="13" x14ac:dyDescent="0.25">
      <c r="C145" s="11" t="s">
        <v>152</v>
      </c>
      <c r="D145" s="11" t="s">
        <v>153</v>
      </c>
    </row>
    <row r="146" spans="3:4" ht="13" x14ac:dyDescent="0.25">
      <c r="C146" s="12">
        <f>ROUNDDOWN(F142/D142,1)</f>
        <v>58.7</v>
      </c>
      <c r="D146" s="12">
        <f>ROUNDDOWN(G142/E142,1)</f>
        <v>73.2</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46"/>
  <sheetViews>
    <sheetView topLeftCell="A61" workbookViewId="0">
      <selection activeCell="D129" sqref="D129"/>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'2020.11'!A2:G2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20</v>
      </c>
      <c r="C5" s="7">
        <v>62.4</v>
      </c>
      <c r="D5" s="7">
        <v>106.8</v>
      </c>
      <c r="E5" s="7">
        <v>53.2</v>
      </c>
      <c r="F5" s="7">
        <v>71.400000000000006</v>
      </c>
      <c r="G5" s="7">
        <v>99.5</v>
      </c>
    </row>
    <row r="6" spans="1:7" ht="13" x14ac:dyDescent="0.25">
      <c r="A6" s="11">
        <v>2</v>
      </c>
      <c r="B6" s="7">
        <v>27.2</v>
      </c>
      <c r="C6" s="7">
        <v>49.9</v>
      </c>
      <c r="D6" s="7">
        <v>69.5</v>
      </c>
      <c r="E6" s="7">
        <v>39.6</v>
      </c>
      <c r="F6" s="7">
        <v>67</v>
      </c>
      <c r="G6" s="7">
        <v>94.5</v>
      </c>
    </row>
    <row r="7" spans="1:7" ht="13" x14ac:dyDescent="0.25">
      <c r="A7" s="11">
        <v>3</v>
      </c>
      <c r="B7" s="7">
        <v>24.1</v>
      </c>
      <c r="C7" s="7">
        <v>63.4</v>
      </c>
      <c r="D7" s="7">
        <v>67.2</v>
      </c>
      <c r="E7" s="7">
        <v>56</v>
      </c>
      <c r="F7" s="7">
        <v>67.7</v>
      </c>
      <c r="G7" s="7">
        <v>116.7</v>
      </c>
    </row>
    <row r="8" spans="1:7" ht="13" x14ac:dyDescent="0.25">
      <c r="A8" s="11">
        <v>4</v>
      </c>
      <c r="B8" s="7">
        <v>38.200000000000003</v>
      </c>
      <c r="C8" s="7">
        <v>56.1</v>
      </c>
      <c r="D8" s="7">
        <v>106.6</v>
      </c>
      <c r="E8" s="7">
        <v>46</v>
      </c>
      <c r="F8" s="7">
        <v>72.7</v>
      </c>
      <c r="G8" s="7">
        <v>92.9</v>
      </c>
    </row>
    <row r="9" spans="1:7" ht="13" x14ac:dyDescent="0.25">
      <c r="A9" s="11">
        <v>5</v>
      </c>
      <c r="B9" s="7">
        <v>29.9</v>
      </c>
      <c r="C9" s="7">
        <v>45.5</v>
      </c>
      <c r="D9" s="7">
        <v>97</v>
      </c>
      <c r="E9" s="7">
        <v>57.1</v>
      </c>
      <c r="F9" s="7">
        <v>75.099999999999994</v>
      </c>
      <c r="G9" s="7">
        <v>93.1</v>
      </c>
    </row>
    <row r="10" spans="1:7" ht="13" x14ac:dyDescent="0.25">
      <c r="A10" s="11">
        <v>6</v>
      </c>
      <c r="B10" s="7">
        <v>35</v>
      </c>
      <c r="C10" s="7">
        <v>51.4</v>
      </c>
      <c r="D10" s="7">
        <v>69.8</v>
      </c>
      <c r="E10" s="7">
        <v>54.4</v>
      </c>
      <c r="F10" s="7">
        <v>84.3</v>
      </c>
      <c r="G10" s="7">
        <v>105.7</v>
      </c>
    </row>
    <row r="11" spans="1:7" ht="13" x14ac:dyDescent="0.25">
      <c r="A11" s="11">
        <v>7</v>
      </c>
      <c r="B11" s="7">
        <v>26.4</v>
      </c>
      <c r="C11" s="7">
        <v>52</v>
      </c>
      <c r="D11" s="7">
        <v>100.3</v>
      </c>
      <c r="E11" s="7">
        <v>56.8</v>
      </c>
      <c r="F11" s="7">
        <v>61.1</v>
      </c>
      <c r="G11" s="7">
        <v>117.4</v>
      </c>
    </row>
    <row r="12" spans="1:7" ht="13" x14ac:dyDescent="0.25">
      <c r="A12" s="11">
        <v>8</v>
      </c>
      <c r="B12" s="7">
        <v>34.200000000000003</v>
      </c>
      <c r="C12" s="7">
        <v>47.7</v>
      </c>
      <c r="D12" s="7">
        <v>70.3</v>
      </c>
      <c r="E12" s="7">
        <v>32.6</v>
      </c>
      <c r="F12" s="7">
        <v>83.7</v>
      </c>
      <c r="G12" s="7">
        <v>94.2</v>
      </c>
    </row>
    <row r="13" spans="1:7" ht="13" x14ac:dyDescent="0.25">
      <c r="A13" s="11">
        <v>9</v>
      </c>
      <c r="B13" s="7">
        <v>28.3</v>
      </c>
      <c r="C13" s="7">
        <v>46.3</v>
      </c>
      <c r="D13" s="7">
        <v>69.7</v>
      </c>
      <c r="E13" s="7">
        <v>52.2</v>
      </c>
      <c r="F13" s="7">
        <v>67.099999999999994</v>
      </c>
      <c r="G13" s="7">
        <v>114</v>
      </c>
    </row>
    <row r="14" spans="1:7" ht="13" x14ac:dyDescent="0.25">
      <c r="A14" s="11">
        <v>10</v>
      </c>
      <c r="B14" s="7"/>
      <c r="C14" s="7"/>
      <c r="D14" s="7"/>
      <c r="E14" s="7">
        <v>44.2</v>
      </c>
      <c r="F14" s="7">
        <v>73.3</v>
      </c>
      <c r="G14" s="7">
        <v>88.8</v>
      </c>
    </row>
    <row r="15" spans="1:7" ht="13" x14ac:dyDescent="0.25">
      <c r="A15" s="11">
        <v>11</v>
      </c>
      <c r="B15" s="7"/>
      <c r="C15" s="7"/>
      <c r="D15" s="7"/>
      <c r="E15" s="7">
        <v>59.5</v>
      </c>
      <c r="F15" s="7">
        <v>73.099999999999994</v>
      </c>
      <c r="G15" s="7">
        <v>113.2</v>
      </c>
    </row>
    <row r="16" spans="1:7" ht="13" x14ac:dyDescent="0.25">
      <c r="A16" s="11">
        <v>12</v>
      </c>
      <c r="B16" s="7"/>
      <c r="C16" s="7"/>
      <c r="D16" s="7"/>
      <c r="E16" s="7">
        <v>31.5</v>
      </c>
      <c r="F16" s="7">
        <v>73.599999999999994</v>
      </c>
      <c r="G16" s="7">
        <v>106.4</v>
      </c>
    </row>
    <row r="17" spans="1:7" ht="13" x14ac:dyDescent="0.25">
      <c r="A17" s="11">
        <v>13</v>
      </c>
      <c r="B17" s="7"/>
      <c r="C17" s="7"/>
      <c r="D17" s="7"/>
      <c r="E17" s="7">
        <v>57.1</v>
      </c>
      <c r="F17" s="7">
        <v>73.8</v>
      </c>
      <c r="G17" s="7">
        <v>103.4</v>
      </c>
    </row>
    <row r="18" spans="1:7" ht="13" x14ac:dyDescent="0.25">
      <c r="A18" s="11">
        <v>14</v>
      </c>
      <c r="B18" s="7"/>
      <c r="C18" s="7"/>
      <c r="D18" s="7"/>
      <c r="E18" s="7">
        <v>51.9</v>
      </c>
      <c r="F18" s="7">
        <v>77.8</v>
      </c>
      <c r="G18" s="7">
        <v>112.8</v>
      </c>
    </row>
    <row r="19" spans="1:7" ht="13" x14ac:dyDescent="0.25">
      <c r="A19" s="11">
        <v>15</v>
      </c>
      <c r="B19" s="7"/>
      <c r="C19" s="7"/>
      <c r="D19" s="7"/>
      <c r="E19" s="7">
        <v>50.2</v>
      </c>
      <c r="F19" s="7">
        <v>61.6</v>
      </c>
      <c r="G19" s="7">
        <v>108.4</v>
      </c>
    </row>
    <row r="20" spans="1:7" ht="13.5" thickBot="1" x14ac:dyDescent="0.3">
      <c r="A20" s="14">
        <v>16</v>
      </c>
      <c r="B20" s="15"/>
      <c r="C20" s="15"/>
      <c r="D20" s="15"/>
      <c r="E20" s="7">
        <v>55.5</v>
      </c>
      <c r="F20" s="7">
        <v>65.400000000000006</v>
      </c>
      <c r="G20" s="7">
        <v>119</v>
      </c>
    </row>
    <row r="21" spans="1:7" ht="13.5" thickTop="1" x14ac:dyDescent="0.25">
      <c r="A21" s="612" t="str">
        <f>'2020.11'!A21:G21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32.9</v>
      </c>
      <c r="C24" s="7">
        <v>54.4</v>
      </c>
      <c r="D24" s="7">
        <v>98.9</v>
      </c>
      <c r="E24" s="7">
        <v>35.700000000000003</v>
      </c>
      <c r="F24" s="7">
        <v>68.3</v>
      </c>
      <c r="G24" s="7">
        <v>115.9</v>
      </c>
    </row>
    <row r="25" spans="1:7" ht="13" x14ac:dyDescent="0.25">
      <c r="A25" s="11">
        <v>2</v>
      </c>
      <c r="B25" s="7">
        <v>44.1</v>
      </c>
      <c r="C25" s="7">
        <v>53.6</v>
      </c>
      <c r="D25" s="7">
        <v>73.099999999999994</v>
      </c>
      <c r="E25" s="7">
        <v>26.8</v>
      </c>
      <c r="F25" s="7">
        <v>81</v>
      </c>
      <c r="G25" s="7">
        <v>113</v>
      </c>
    </row>
    <row r="26" spans="1:7" ht="13" x14ac:dyDescent="0.25">
      <c r="A26" s="11">
        <v>3</v>
      </c>
      <c r="B26" s="7">
        <v>28.1</v>
      </c>
      <c r="C26" s="7">
        <v>53.8</v>
      </c>
      <c r="D26" s="7">
        <v>80.3</v>
      </c>
      <c r="E26" s="7">
        <v>49.3</v>
      </c>
      <c r="F26" s="7">
        <v>80.3</v>
      </c>
      <c r="G26" s="7">
        <v>116.5</v>
      </c>
    </row>
    <row r="27" spans="1:7" ht="13" x14ac:dyDescent="0.25">
      <c r="A27" s="11">
        <v>4</v>
      </c>
      <c r="B27" s="7">
        <v>40.1</v>
      </c>
      <c r="C27" s="7">
        <v>61.3</v>
      </c>
      <c r="D27" s="7">
        <v>103.9</v>
      </c>
      <c r="E27" s="7">
        <v>50.9</v>
      </c>
      <c r="F27" s="7">
        <v>75.2</v>
      </c>
      <c r="G27" s="7">
        <v>110.5</v>
      </c>
    </row>
    <row r="28" spans="1:7" ht="13" x14ac:dyDescent="0.25">
      <c r="A28" s="11">
        <v>5</v>
      </c>
      <c r="B28" s="7">
        <v>41.3</v>
      </c>
      <c r="C28" s="7">
        <v>60.5</v>
      </c>
      <c r="D28" s="7">
        <v>104.1</v>
      </c>
      <c r="E28" s="7">
        <v>53</v>
      </c>
      <c r="F28" s="7">
        <v>84.6</v>
      </c>
      <c r="G28" s="7">
        <v>97.1</v>
      </c>
    </row>
    <row r="29" spans="1:7" ht="13" x14ac:dyDescent="0.25">
      <c r="A29" s="11">
        <v>6</v>
      </c>
      <c r="B29" s="7">
        <v>32.299999999999997</v>
      </c>
      <c r="C29" s="7">
        <v>49.8</v>
      </c>
      <c r="D29" s="7">
        <v>106.4</v>
      </c>
      <c r="E29" s="7">
        <v>32.299999999999997</v>
      </c>
      <c r="F29" s="7">
        <v>66.5</v>
      </c>
      <c r="G29" s="7">
        <v>116.2</v>
      </c>
    </row>
    <row r="30" spans="1:7" ht="13" x14ac:dyDescent="0.25">
      <c r="A30" s="11">
        <v>7</v>
      </c>
      <c r="B30" s="7">
        <v>29</v>
      </c>
      <c r="C30" s="7">
        <v>51.7</v>
      </c>
      <c r="D30" s="7">
        <v>76.099999999999994</v>
      </c>
      <c r="E30" s="7">
        <v>53.7</v>
      </c>
      <c r="F30" s="7">
        <v>62.6</v>
      </c>
      <c r="G30" s="7">
        <v>103.9</v>
      </c>
    </row>
    <row r="31" spans="1:7" ht="13" x14ac:dyDescent="0.25">
      <c r="A31" s="11">
        <v>8</v>
      </c>
      <c r="B31" s="7">
        <v>27</v>
      </c>
      <c r="C31" s="7">
        <v>47.3</v>
      </c>
      <c r="D31" s="7">
        <v>70.8</v>
      </c>
      <c r="E31" s="7">
        <v>25.1</v>
      </c>
      <c r="F31" s="7">
        <v>69.900000000000006</v>
      </c>
      <c r="G31" s="7">
        <v>93</v>
      </c>
    </row>
    <row r="32" spans="1:7" ht="13" x14ac:dyDescent="0.25">
      <c r="A32" s="11">
        <v>9</v>
      </c>
      <c r="B32" s="7">
        <v>21.3</v>
      </c>
      <c r="C32" s="7">
        <v>58.7</v>
      </c>
      <c r="D32" s="7">
        <v>84.6</v>
      </c>
      <c r="E32" s="7">
        <v>57.2</v>
      </c>
      <c r="F32" s="7">
        <v>66.099999999999994</v>
      </c>
      <c r="G32" s="7">
        <v>113.7</v>
      </c>
    </row>
    <row r="33" spans="1:7" ht="13" x14ac:dyDescent="0.25">
      <c r="A33" s="11">
        <v>10</v>
      </c>
      <c r="B33" s="7">
        <v>26.9</v>
      </c>
      <c r="C33" s="7">
        <v>54.3</v>
      </c>
      <c r="D33" s="7">
        <v>86.8</v>
      </c>
      <c r="E33" s="7">
        <v>26.3</v>
      </c>
      <c r="F33" s="7">
        <v>70.900000000000006</v>
      </c>
      <c r="G33" s="7">
        <v>86.8</v>
      </c>
    </row>
    <row r="34" spans="1:7" ht="13" x14ac:dyDescent="0.25">
      <c r="A34" s="11">
        <v>11</v>
      </c>
      <c r="B34" s="7"/>
      <c r="C34" s="7"/>
      <c r="D34" s="7"/>
      <c r="E34" s="7">
        <v>49</v>
      </c>
      <c r="F34" s="7">
        <v>77.599999999999994</v>
      </c>
      <c r="G34" s="7">
        <v>99.7</v>
      </c>
    </row>
    <row r="35" spans="1:7" ht="13" x14ac:dyDescent="0.25">
      <c r="A35" s="11">
        <v>12</v>
      </c>
      <c r="B35" s="7"/>
      <c r="C35" s="7"/>
      <c r="D35" s="7"/>
      <c r="E35" s="7">
        <v>42</v>
      </c>
      <c r="F35" s="7">
        <v>79.599999999999994</v>
      </c>
      <c r="G35" s="7">
        <v>115.9</v>
      </c>
    </row>
    <row r="36" spans="1:7" ht="13" x14ac:dyDescent="0.25">
      <c r="A36" s="11">
        <v>13</v>
      </c>
      <c r="B36" s="7"/>
      <c r="C36" s="7"/>
      <c r="D36" s="7"/>
      <c r="E36" s="7">
        <v>52.4</v>
      </c>
      <c r="F36" s="7">
        <v>65.5</v>
      </c>
      <c r="G36" s="7">
        <v>120</v>
      </c>
    </row>
    <row r="37" spans="1:7" ht="13" x14ac:dyDescent="0.25">
      <c r="A37" s="11">
        <v>14</v>
      </c>
      <c r="B37" s="7"/>
      <c r="C37" s="7"/>
      <c r="D37" s="7"/>
      <c r="E37" s="7">
        <v>34.6</v>
      </c>
      <c r="F37" s="7">
        <v>69.3</v>
      </c>
      <c r="G37" s="7">
        <v>97.8</v>
      </c>
    </row>
    <row r="38" spans="1:7" ht="13" x14ac:dyDescent="0.25">
      <c r="A38" s="11">
        <v>15</v>
      </c>
      <c r="B38" s="7"/>
      <c r="C38" s="7"/>
      <c r="D38" s="7"/>
      <c r="E38" s="7">
        <v>59.6</v>
      </c>
      <c r="F38" s="7">
        <v>74.5</v>
      </c>
      <c r="G38" s="7">
        <v>109.6</v>
      </c>
    </row>
    <row r="39" spans="1:7" ht="13" x14ac:dyDescent="0.25">
      <c r="A39" s="11">
        <v>16</v>
      </c>
      <c r="B39" s="7"/>
      <c r="C39" s="7"/>
      <c r="D39" s="7"/>
      <c r="E39" s="7">
        <v>35.200000000000003</v>
      </c>
      <c r="F39" s="7">
        <v>82.3</v>
      </c>
      <c r="G39" s="7">
        <v>104.5</v>
      </c>
    </row>
    <row r="40" spans="1:7" ht="13" x14ac:dyDescent="0.25">
      <c r="A40" s="11">
        <v>17</v>
      </c>
      <c r="B40" s="7"/>
      <c r="C40" s="7"/>
      <c r="D40" s="7"/>
      <c r="E40" s="7">
        <v>44.5</v>
      </c>
      <c r="F40" s="7">
        <v>76.900000000000006</v>
      </c>
      <c r="G40" s="7">
        <v>99.9</v>
      </c>
    </row>
    <row r="41" spans="1:7" ht="13" x14ac:dyDescent="0.25">
      <c r="A41" s="11">
        <v>18</v>
      </c>
      <c r="B41" s="7"/>
      <c r="C41" s="7"/>
      <c r="D41" s="7"/>
      <c r="E41" s="7">
        <v>51.7</v>
      </c>
      <c r="F41" s="7">
        <v>68.5</v>
      </c>
      <c r="G41" s="7">
        <v>115.9</v>
      </c>
    </row>
    <row r="42" spans="1:7" ht="13" x14ac:dyDescent="0.25">
      <c r="A42" s="11">
        <v>19</v>
      </c>
      <c r="B42" s="7"/>
      <c r="C42" s="7"/>
      <c r="D42" s="7"/>
      <c r="E42" s="7">
        <v>58.3</v>
      </c>
      <c r="F42" s="7">
        <v>78.2</v>
      </c>
      <c r="G42" s="7">
        <v>88.3</v>
      </c>
    </row>
    <row r="43" spans="1:7" ht="13" x14ac:dyDescent="0.25">
      <c r="A43" s="11">
        <v>20</v>
      </c>
      <c r="B43" s="7"/>
      <c r="C43" s="7"/>
      <c r="D43" s="7"/>
      <c r="E43" s="7">
        <v>35.4</v>
      </c>
      <c r="F43" s="7">
        <v>76.099999999999994</v>
      </c>
      <c r="G43" s="7">
        <v>119.3</v>
      </c>
    </row>
    <row r="44" spans="1:7" ht="13" x14ac:dyDescent="0.25">
      <c r="A44" s="11">
        <v>21</v>
      </c>
      <c r="B44" s="7"/>
      <c r="C44" s="7"/>
      <c r="D44" s="7"/>
      <c r="E44" s="7">
        <v>59.8</v>
      </c>
      <c r="F44" s="7">
        <v>70.099999999999994</v>
      </c>
      <c r="G44" s="7">
        <v>86.3</v>
      </c>
    </row>
    <row r="45" spans="1:7" ht="13" x14ac:dyDescent="0.25">
      <c r="A45" s="11">
        <v>22</v>
      </c>
      <c r="B45" s="7"/>
      <c r="C45" s="7"/>
      <c r="D45" s="7"/>
      <c r="E45" s="7">
        <v>43.1</v>
      </c>
      <c r="F45" s="7">
        <v>84.1</v>
      </c>
      <c r="G45" s="7">
        <v>111.4</v>
      </c>
    </row>
    <row r="46" spans="1:7" ht="13" x14ac:dyDescent="0.25">
      <c r="A46" s="11">
        <v>23</v>
      </c>
      <c r="B46" s="7"/>
      <c r="C46" s="7"/>
      <c r="D46" s="7"/>
      <c r="E46" s="7">
        <v>26.6</v>
      </c>
      <c r="F46" s="7">
        <v>73.5</v>
      </c>
      <c r="G46" s="7">
        <v>110.4</v>
      </c>
    </row>
    <row r="47" spans="1:7" ht="13" x14ac:dyDescent="0.25">
      <c r="A47" s="11">
        <v>24</v>
      </c>
      <c r="B47" s="7"/>
      <c r="C47" s="7"/>
      <c r="D47" s="7"/>
      <c r="E47" s="7">
        <v>27.5</v>
      </c>
      <c r="F47" s="7">
        <v>61.1</v>
      </c>
      <c r="G47" s="7">
        <v>103.1</v>
      </c>
    </row>
    <row r="48" spans="1:7" ht="13" x14ac:dyDescent="0.25">
      <c r="A48" s="11">
        <v>25</v>
      </c>
      <c r="B48" s="7"/>
      <c r="C48" s="7"/>
      <c r="D48" s="7"/>
      <c r="E48" s="7">
        <v>50.1</v>
      </c>
      <c r="F48" s="7">
        <v>81.900000000000006</v>
      </c>
      <c r="G48" s="7">
        <v>90.7</v>
      </c>
    </row>
    <row r="49" spans="1:7" ht="13" x14ac:dyDescent="0.25">
      <c r="A49" s="11">
        <v>26</v>
      </c>
      <c r="B49" s="7"/>
      <c r="C49" s="16"/>
      <c r="D49" s="7"/>
      <c r="E49" s="7">
        <v>48.1</v>
      </c>
      <c r="F49" s="7">
        <v>65.8</v>
      </c>
      <c r="G49" s="7">
        <v>90.8</v>
      </c>
    </row>
    <row r="50" spans="1:7" ht="13" x14ac:dyDescent="0.25">
      <c r="A50" s="11">
        <v>27</v>
      </c>
      <c r="B50" s="7"/>
      <c r="C50" s="16"/>
      <c r="D50" s="7"/>
      <c r="E50" s="7">
        <v>37.4</v>
      </c>
      <c r="F50" s="7">
        <v>71.599999999999994</v>
      </c>
      <c r="G50" s="7">
        <v>119.8</v>
      </c>
    </row>
    <row r="51" spans="1:7" ht="13" x14ac:dyDescent="0.25">
      <c r="A51" s="11">
        <v>28</v>
      </c>
      <c r="B51" s="7"/>
      <c r="C51" s="17"/>
      <c r="D51" s="7"/>
      <c r="E51" s="7">
        <v>27.3</v>
      </c>
      <c r="F51" s="7">
        <v>80.900000000000006</v>
      </c>
      <c r="G51" s="7">
        <v>97.5</v>
      </c>
    </row>
    <row r="52" spans="1:7" ht="13.5" thickBot="1" x14ac:dyDescent="0.3">
      <c r="A52" s="14">
        <v>29</v>
      </c>
      <c r="B52" s="18"/>
      <c r="C52" s="18"/>
      <c r="D52" s="15"/>
      <c r="E52" s="7">
        <v>40.4</v>
      </c>
      <c r="F52" s="7">
        <v>60.9</v>
      </c>
      <c r="G52" s="7">
        <v>112.9</v>
      </c>
    </row>
    <row r="53" spans="1:7" ht="13.5" thickTop="1" x14ac:dyDescent="0.25">
      <c r="A53" s="612" t="str">
        <f>'2020.11'!A53:G53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30.3</v>
      </c>
      <c r="C56" s="7">
        <v>48.1</v>
      </c>
      <c r="D56" s="7">
        <v>108.6</v>
      </c>
      <c r="E56" s="7">
        <v>38</v>
      </c>
      <c r="F56" s="7">
        <v>65.400000000000006</v>
      </c>
      <c r="G56" s="7">
        <v>115.6</v>
      </c>
    </row>
    <row r="57" spans="1:7" ht="13" x14ac:dyDescent="0.25">
      <c r="A57" s="11">
        <v>2</v>
      </c>
      <c r="B57" s="7">
        <v>36.1</v>
      </c>
      <c r="C57" s="7">
        <v>46.6</v>
      </c>
      <c r="D57" s="7">
        <v>97.3</v>
      </c>
      <c r="E57" s="7">
        <v>28.3</v>
      </c>
      <c r="F57" s="7">
        <v>80</v>
      </c>
      <c r="G57" s="7">
        <v>116.1</v>
      </c>
    </row>
    <row r="58" spans="1:7" ht="13" x14ac:dyDescent="0.25">
      <c r="A58" s="11">
        <v>3</v>
      </c>
      <c r="B58" s="7">
        <v>20.3</v>
      </c>
      <c r="C58" s="7">
        <v>54.7</v>
      </c>
      <c r="D58" s="7">
        <v>82</v>
      </c>
      <c r="E58" s="7">
        <v>45.1</v>
      </c>
      <c r="F58" s="7">
        <v>70.7</v>
      </c>
      <c r="G58" s="7">
        <v>106.7</v>
      </c>
    </row>
    <row r="59" spans="1:7" ht="13" x14ac:dyDescent="0.25">
      <c r="A59" s="11">
        <v>4</v>
      </c>
      <c r="B59" s="7">
        <v>24.2</v>
      </c>
      <c r="C59" s="7">
        <v>58</v>
      </c>
      <c r="D59" s="7">
        <v>88.3</v>
      </c>
      <c r="E59" s="7">
        <v>53.4</v>
      </c>
      <c r="F59" s="7">
        <v>72.3</v>
      </c>
      <c r="G59" s="7">
        <v>119.7</v>
      </c>
    </row>
    <row r="60" spans="1:7" ht="13" x14ac:dyDescent="0.25">
      <c r="A60" s="11">
        <v>5</v>
      </c>
      <c r="B60" s="7">
        <v>27.2</v>
      </c>
      <c r="C60" s="7">
        <v>50.8</v>
      </c>
      <c r="D60" s="7">
        <v>82</v>
      </c>
      <c r="E60" s="7">
        <v>33</v>
      </c>
      <c r="F60" s="7">
        <v>75.8</v>
      </c>
      <c r="G60" s="7">
        <v>101.1</v>
      </c>
    </row>
    <row r="61" spans="1:7" ht="13" x14ac:dyDescent="0.25">
      <c r="A61" s="11">
        <v>6</v>
      </c>
      <c r="B61" s="7">
        <v>21.1</v>
      </c>
      <c r="C61" s="7">
        <v>53.5</v>
      </c>
      <c r="D61" s="7">
        <v>98.9</v>
      </c>
      <c r="E61" s="7">
        <v>32.799999999999997</v>
      </c>
      <c r="F61" s="7">
        <v>83.3</v>
      </c>
      <c r="G61" s="7">
        <v>94.8</v>
      </c>
    </row>
    <row r="62" spans="1:7" ht="13" x14ac:dyDescent="0.25">
      <c r="A62" s="11">
        <v>7</v>
      </c>
      <c r="B62" s="7">
        <v>24.3</v>
      </c>
      <c r="C62" s="7">
        <v>52.9</v>
      </c>
      <c r="D62" s="7">
        <v>73.599999999999994</v>
      </c>
      <c r="E62" s="7">
        <v>36.1</v>
      </c>
      <c r="F62" s="7">
        <v>67.7</v>
      </c>
      <c r="G62" s="7">
        <v>106.3</v>
      </c>
    </row>
    <row r="63" spans="1:7" ht="13" x14ac:dyDescent="0.25">
      <c r="A63" s="11">
        <v>8</v>
      </c>
      <c r="B63" s="7">
        <v>27.7</v>
      </c>
      <c r="C63" s="7">
        <v>59.1</v>
      </c>
      <c r="D63" s="7">
        <v>90.9</v>
      </c>
      <c r="E63" s="7"/>
      <c r="F63" s="7"/>
      <c r="G63" s="7"/>
    </row>
    <row r="64" spans="1:7" ht="13" x14ac:dyDescent="0.25">
      <c r="A64" s="11">
        <v>9</v>
      </c>
      <c r="B64" s="7">
        <v>41</v>
      </c>
      <c r="C64" s="7">
        <v>62.5</v>
      </c>
      <c r="D64" s="7">
        <v>72.400000000000006</v>
      </c>
      <c r="E64" s="7"/>
      <c r="F64" s="7"/>
      <c r="G64" s="7"/>
    </row>
    <row r="65" spans="1:7" ht="13" x14ac:dyDescent="0.25">
      <c r="A65" s="11">
        <v>10</v>
      </c>
      <c r="B65" s="7">
        <v>31.6</v>
      </c>
      <c r="C65" s="7">
        <v>55.9</v>
      </c>
      <c r="D65" s="7">
        <v>106.7</v>
      </c>
      <c r="E65" s="7"/>
      <c r="F65" s="7"/>
      <c r="G65" s="7"/>
    </row>
    <row r="66" spans="1:7" ht="13" x14ac:dyDescent="0.25">
      <c r="A66" s="11">
        <v>11</v>
      </c>
      <c r="B66" s="7">
        <v>43.8</v>
      </c>
      <c r="C66" s="7">
        <v>45.1</v>
      </c>
      <c r="D66" s="7">
        <v>87.6</v>
      </c>
      <c r="E66" s="7"/>
      <c r="F66" s="7"/>
      <c r="G66" s="7"/>
    </row>
    <row r="67" spans="1:7" ht="13.5" thickBot="1" x14ac:dyDescent="0.3">
      <c r="A67" s="14">
        <v>12</v>
      </c>
      <c r="B67" s="7">
        <v>22.1</v>
      </c>
      <c r="C67" s="7">
        <v>49.6</v>
      </c>
      <c r="D67" s="7">
        <v>93.8</v>
      </c>
      <c r="E67" s="15"/>
      <c r="F67" s="15"/>
      <c r="G67" s="15"/>
    </row>
    <row r="68" spans="1:7" ht="13.5" thickTop="1" x14ac:dyDescent="0.25">
      <c r="A68" s="612" t="str">
        <f>'2020.11'!A68:G68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37.200000000000003</v>
      </c>
      <c r="C71" s="7">
        <v>50.2</v>
      </c>
      <c r="D71" s="7">
        <v>103.4</v>
      </c>
      <c r="E71" s="7"/>
      <c r="F71" s="7"/>
      <c r="G71" s="7"/>
    </row>
    <row r="72" spans="1:7" ht="13" x14ac:dyDescent="0.25">
      <c r="A72" s="11">
        <v>2</v>
      </c>
      <c r="B72" s="7">
        <v>35.5</v>
      </c>
      <c r="C72" s="7">
        <v>53.8</v>
      </c>
      <c r="D72" s="7">
        <v>67.2</v>
      </c>
      <c r="E72" s="6"/>
      <c r="F72" s="6"/>
      <c r="G72" s="7"/>
    </row>
    <row r="73" spans="1:7" ht="13" x14ac:dyDescent="0.25">
      <c r="A73" s="11">
        <v>3</v>
      </c>
      <c r="B73" s="7">
        <v>42.6</v>
      </c>
      <c r="C73" s="7">
        <v>59.2</v>
      </c>
      <c r="D73" s="7">
        <v>94.2</v>
      </c>
      <c r="E73" s="6"/>
      <c r="F73" s="6"/>
      <c r="G73" s="6"/>
    </row>
    <row r="74" spans="1:7" ht="13" x14ac:dyDescent="0.25">
      <c r="A74" s="11">
        <v>4</v>
      </c>
      <c r="B74" s="7">
        <v>36.9</v>
      </c>
      <c r="C74" s="7">
        <v>45.7</v>
      </c>
      <c r="D74" s="7">
        <v>88.6</v>
      </c>
      <c r="E74" s="6"/>
      <c r="F74" s="6"/>
      <c r="G74" s="6"/>
    </row>
    <row r="75" spans="1:7" ht="13" x14ac:dyDescent="0.25">
      <c r="A75" s="11">
        <v>5</v>
      </c>
      <c r="B75" s="7">
        <v>26.7</v>
      </c>
      <c r="C75" s="7">
        <v>59.7</v>
      </c>
      <c r="D75" s="7">
        <v>104.7</v>
      </c>
      <c r="E75" s="6"/>
      <c r="F75" s="6"/>
      <c r="G75" s="6"/>
    </row>
    <row r="76" spans="1:7" ht="13" x14ac:dyDescent="0.25">
      <c r="A76" s="11">
        <v>6</v>
      </c>
      <c r="B76" s="7">
        <v>43.7</v>
      </c>
      <c r="C76" s="7">
        <v>49</v>
      </c>
      <c r="D76" s="7">
        <v>96.5</v>
      </c>
      <c r="E76" s="6"/>
      <c r="F76" s="6"/>
      <c r="G76" s="6"/>
    </row>
    <row r="77" spans="1:7" ht="13" x14ac:dyDescent="0.25">
      <c r="A77" s="11">
        <v>7</v>
      </c>
      <c r="B77" s="7">
        <v>21.8</v>
      </c>
      <c r="C77" s="7">
        <v>62.6</v>
      </c>
      <c r="D77" s="7">
        <v>96.9</v>
      </c>
      <c r="E77" s="6"/>
      <c r="F77" s="6"/>
      <c r="G77" s="6"/>
    </row>
    <row r="78" spans="1:7" ht="13" x14ac:dyDescent="0.25">
      <c r="A78" s="11">
        <v>8</v>
      </c>
      <c r="B78" s="7">
        <v>26.2</v>
      </c>
      <c r="C78" s="7">
        <v>47.2</v>
      </c>
      <c r="D78" s="7">
        <v>101.6</v>
      </c>
      <c r="E78" s="6"/>
      <c r="F78" s="6"/>
      <c r="G78" s="6"/>
    </row>
    <row r="79" spans="1:7" ht="13" x14ac:dyDescent="0.25">
      <c r="A79" s="11">
        <v>9</v>
      </c>
      <c r="B79" s="7">
        <v>37.5</v>
      </c>
      <c r="C79" s="7">
        <v>49</v>
      </c>
      <c r="D79" s="7">
        <v>100.8</v>
      </c>
      <c r="E79" s="6"/>
      <c r="F79" s="6"/>
      <c r="G79" s="6"/>
    </row>
    <row r="80" spans="1:7" ht="13" x14ac:dyDescent="0.25">
      <c r="A80" s="11">
        <v>10</v>
      </c>
      <c r="B80" s="7">
        <v>24.1</v>
      </c>
      <c r="C80" s="7">
        <v>55.1</v>
      </c>
      <c r="D80" s="7">
        <v>95</v>
      </c>
      <c r="E80" s="6"/>
      <c r="F80" s="6"/>
      <c r="G80" s="6"/>
    </row>
    <row r="81" spans="1:7" ht="13" x14ac:dyDescent="0.25">
      <c r="A81" s="11">
        <v>11</v>
      </c>
      <c r="B81" s="7">
        <v>29.5</v>
      </c>
      <c r="C81" s="7">
        <v>50.9</v>
      </c>
      <c r="D81" s="7">
        <v>81.8</v>
      </c>
      <c r="E81" s="6"/>
      <c r="F81" s="6"/>
      <c r="G81" s="6"/>
    </row>
    <row r="82" spans="1:7" ht="13" x14ac:dyDescent="0.25">
      <c r="A82" s="11">
        <v>12</v>
      </c>
      <c r="B82" s="7">
        <v>39.299999999999997</v>
      </c>
      <c r="C82" s="7">
        <v>54</v>
      </c>
      <c r="D82" s="7">
        <v>92</v>
      </c>
      <c r="E82" s="6"/>
      <c r="F82" s="6"/>
      <c r="G82" s="6"/>
    </row>
    <row r="83" spans="1:7" ht="13" x14ac:dyDescent="0.25">
      <c r="A83" s="11">
        <v>13</v>
      </c>
      <c r="B83" s="7">
        <v>22.8</v>
      </c>
      <c r="C83" s="7">
        <v>53.3</v>
      </c>
      <c r="D83" s="7">
        <v>104</v>
      </c>
      <c r="E83" s="6"/>
      <c r="F83" s="6"/>
      <c r="G83" s="6"/>
    </row>
    <row r="84" spans="1:7" ht="13" x14ac:dyDescent="0.25">
      <c r="A84" s="11">
        <v>14</v>
      </c>
      <c r="B84" s="7">
        <v>32.5</v>
      </c>
      <c r="C84" s="7">
        <v>63.9</v>
      </c>
      <c r="D84" s="7">
        <v>100.3</v>
      </c>
      <c r="E84" s="6"/>
      <c r="F84" s="6"/>
      <c r="G84" s="6"/>
    </row>
    <row r="85" spans="1:7" ht="13" x14ac:dyDescent="0.25">
      <c r="A85" s="11">
        <v>15</v>
      </c>
      <c r="B85" s="7">
        <v>20.9</v>
      </c>
      <c r="C85" s="7">
        <v>52.2</v>
      </c>
      <c r="D85" s="7">
        <v>100.1</v>
      </c>
      <c r="E85" s="6"/>
      <c r="F85" s="6"/>
      <c r="G85" s="6"/>
    </row>
    <row r="86" spans="1:7" ht="13" x14ac:dyDescent="0.25">
      <c r="A86" s="11">
        <v>16</v>
      </c>
      <c r="B86" s="7">
        <v>31.4</v>
      </c>
      <c r="C86" s="7">
        <v>54.4</v>
      </c>
      <c r="D86" s="7">
        <v>93.5</v>
      </c>
      <c r="E86" s="6"/>
      <c r="F86" s="6"/>
      <c r="G86" s="6"/>
    </row>
    <row r="87" spans="1:7" ht="13" x14ac:dyDescent="0.25">
      <c r="A87" s="11">
        <v>17</v>
      </c>
      <c r="B87" s="7">
        <v>25.1</v>
      </c>
      <c r="C87" s="7">
        <v>53.8</v>
      </c>
      <c r="D87" s="7">
        <v>67.900000000000006</v>
      </c>
      <c r="E87" s="6"/>
      <c r="F87" s="6"/>
      <c r="G87" s="6"/>
    </row>
    <row r="88" spans="1:7" ht="13" x14ac:dyDescent="0.25">
      <c r="A88" s="11">
        <v>18</v>
      </c>
      <c r="B88" s="7">
        <v>42.7</v>
      </c>
      <c r="C88" s="7">
        <v>60.1</v>
      </c>
      <c r="D88" s="7">
        <v>82.5</v>
      </c>
      <c r="E88" s="6"/>
      <c r="F88" s="6"/>
      <c r="G88" s="6"/>
    </row>
    <row r="89" spans="1:7" ht="13" x14ac:dyDescent="0.25">
      <c r="A89" s="11">
        <v>19</v>
      </c>
      <c r="B89" s="7">
        <v>38.9</v>
      </c>
      <c r="C89" s="7">
        <v>49.1</v>
      </c>
      <c r="D89" s="7">
        <v>96.3</v>
      </c>
      <c r="E89" s="6"/>
      <c r="F89" s="6"/>
      <c r="G89" s="6"/>
    </row>
    <row r="90" spans="1:7" ht="13" x14ac:dyDescent="0.25">
      <c r="A90" s="11">
        <v>20</v>
      </c>
      <c r="B90" s="7">
        <v>25.1</v>
      </c>
      <c r="C90" s="7">
        <v>50.9</v>
      </c>
      <c r="D90" s="7">
        <v>67.7</v>
      </c>
      <c r="E90" s="6"/>
      <c r="F90" s="6"/>
      <c r="G90" s="6"/>
    </row>
    <row r="91" spans="1:7" ht="13" x14ac:dyDescent="0.25">
      <c r="A91" s="11">
        <v>21</v>
      </c>
      <c r="B91" s="7">
        <v>34.799999999999997</v>
      </c>
      <c r="C91" s="7">
        <v>63</v>
      </c>
      <c r="D91" s="7">
        <v>67.2</v>
      </c>
      <c r="E91" s="6"/>
      <c r="F91" s="6"/>
      <c r="G91" s="6"/>
    </row>
    <row r="92" spans="1:7" ht="13" x14ac:dyDescent="0.25">
      <c r="A92" s="11">
        <v>22</v>
      </c>
      <c r="B92" s="7">
        <v>20.8</v>
      </c>
      <c r="C92" s="7">
        <v>60.1</v>
      </c>
      <c r="D92" s="7">
        <v>87.6</v>
      </c>
      <c r="E92" s="6"/>
      <c r="F92" s="6"/>
      <c r="G92" s="6"/>
    </row>
    <row r="93" spans="1:7" ht="13" x14ac:dyDescent="0.25">
      <c r="A93" s="11">
        <v>23</v>
      </c>
      <c r="B93" s="7">
        <v>39.799999999999997</v>
      </c>
      <c r="C93" s="7">
        <v>64.8</v>
      </c>
      <c r="D93" s="7">
        <v>69.099999999999994</v>
      </c>
      <c r="E93" s="6"/>
      <c r="F93" s="6"/>
      <c r="G93" s="6"/>
    </row>
    <row r="94" spans="1:7" ht="13" x14ac:dyDescent="0.25">
      <c r="A94" s="11">
        <v>24</v>
      </c>
      <c r="B94" s="7">
        <v>21.4</v>
      </c>
      <c r="C94" s="7">
        <v>59.8</v>
      </c>
      <c r="D94" s="7">
        <v>87.8</v>
      </c>
      <c r="E94" s="6"/>
      <c r="F94" s="6"/>
      <c r="G94" s="6"/>
    </row>
    <row r="95" spans="1:7" ht="13" x14ac:dyDescent="0.25">
      <c r="A95" s="11">
        <v>25</v>
      </c>
      <c r="B95" s="7">
        <v>29.6</v>
      </c>
      <c r="C95" s="7">
        <v>54</v>
      </c>
      <c r="D95" s="7">
        <v>73.099999999999994</v>
      </c>
      <c r="E95" s="6"/>
      <c r="F95" s="6"/>
      <c r="G95" s="6"/>
    </row>
    <row r="96" spans="1:7" ht="13" x14ac:dyDescent="0.25">
      <c r="A96" s="11">
        <v>26</v>
      </c>
      <c r="B96" s="7">
        <v>39.6</v>
      </c>
      <c r="C96" s="7">
        <v>58.1</v>
      </c>
      <c r="D96" s="7">
        <v>94</v>
      </c>
      <c r="E96" s="17"/>
      <c r="F96" s="17"/>
      <c r="G96" s="17"/>
    </row>
    <row r="97" spans="1:7" ht="13" x14ac:dyDescent="0.25">
      <c r="A97" s="11">
        <v>27</v>
      </c>
      <c r="B97" s="7">
        <v>25.7</v>
      </c>
      <c r="C97" s="7">
        <v>56.1</v>
      </c>
      <c r="D97" s="7">
        <v>68</v>
      </c>
      <c r="E97" s="17"/>
      <c r="F97" s="17"/>
      <c r="G97" s="17"/>
    </row>
    <row r="98" spans="1:7" ht="13" x14ac:dyDescent="0.25">
      <c r="A98" s="11">
        <v>28</v>
      </c>
      <c r="B98" s="7">
        <v>20.100000000000001</v>
      </c>
      <c r="C98" s="7">
        <v>50.2</v>
      </c>
      <c r="D98" s="7">
        <v>79.2</v>
      </c>
      <c r="E98" s="17"/>
      <c r="F98" s="17"/>
      <c r="G98" s="17"/>
    </row>
    <row r="99" spans="1:7" ht="13" x14ac:dyDescent="0.25">
      <c r="A99" s="11">
        <v>29</v>
      </c>
      <c r="B99" s="7">
        <v>39.200000000000003</v>
      </c>
      <c r="C99" s="7">
        <v>50.5</v>
      </c>
      <c r="D99" s="7">
        <v>66.3</v>
      </c>
      <c r="E99" s="6"/>
      <c r="F99" s="6"/>
      <c r="G99" s="6"/>
    </row>
    <row r="100" spans="1:7" ht="13" x14ac:dyDescent="0.25">
      <c r="A100" s="11">
        <v>30</v>
      </c>
      <c r="B100" s="7">
        <v>44.1</v>
      </c>
      <c r="C100" s="7">
        <v>55</v>
      </c>
      <c r="D100" s="7">
        <v>107.7</v>
      </c>
      <c r="E100" s="2"/>
      <c r="F100" s="2"/>
      <c r="G100" s="2"/>
    </row>
    <row r="101" spans="1:7" ht="13" x14ac:dyDescent="0.25">
      <c r="A101" s="11">
        <v>31</v>
      </c>
      <c r="B101" s="7">
        <v>30.3</v>
      </c>
      <c r="C101" s="7">
        <v>51.9</v>
      </c>
      <c r="D101" s="7">
        <v>87.9</v>
      </c>
      <c r="E101" s="2"/>
      <c r="F101" s="2"/>
      <c r="G101" s="2"/>
    </row>
    <row r="102" spans="1:7" ht="13" x14ac:dyDescent="0.25">
      <c r="A102" s="11">
        <v>32</v>
      </c>
      <c r="B102" s="7">
        <v>21.2</v>
      </c>
      <c r="C102" s="7">
        <v>49.1</v>
      </c>
      <c r="D102" s="7">
        <v>107.1</v>
      </c>
      <c r="E102" s="2"/>
      <c r="F102" s="2"/>
      <c r="G102" s="2"/>
    </row>
    <row r="103" spans="1:7" ht="13" x14ac:dyDescent="0.25">
      <c r="A103" s="11">
        <v>33</v>
      </c>
      <c r="B103" s="7">
        <v>38.200000000000003</v>
      </c>
      <c r="C103" s="7">
        <v>49.1</v>
      </c>
      <c r="D103" s="7">
        <v>103.9</v>
      </c>
      <c r="E103" s="2"/>
      <c r="F103" s="2"/>
      <c r="G103" s="2"/>
    </row>
    <row r="104" spans="1:7" ht="13" x14ac:dyDescent="0.25">
      <c r="A104" s="11">
        <v>34</v>
      </c>
      <c r="B104" s="7">
        <v>20.9</v>
      </c>
      <c r="C104" s="7">
        <v>45.7</v>
      </c>
      <c r="D104" s="7">
        <v>75.8</v>
      </c>
      <c r="E104" s="2"/>
      <c r="F104" s="2"/>
      <c r="G104" s="2"/>
    </row>
    <row r="105" spans="1:7" ht="13" x14ac:dyDescent="0.25">
      <c r="A105" s="11">
        <v>35</v>
      </c>
      <c r="B105" s="7">
        <v>38</v>
      </c>
      <c r="C105" s="7">
        <v>61.9</v>
      </c>
      <c r="D105" s="7">
        <v>93.3</v>
      </c>
      <c r="E105" s="2"/>
      <c r="F105" s="2"/>
      <c r="G105" s="2"/>
    </row>
    <row r="106" spans="1:7" ht="13" x14ac:dyDescent="0.25">
      <c r="A106" s="11">
        <v>36</v>
      </c>
      <c r="B106" s="7">
        <v>41.4</v>
      </c>
      <c r="C106" s="7">
        <v>45.1</v>
      </c>
      <c r="D106" s="7">
        <v>102.5</v>
      </c>
      <c r="E106" s="2"/>
      <c r="F106" s="2"/>
      <c r="G106" s="2"/>
    </row>
    <row r="107" spans="1:7" ht="13" x14ac:dyDescent="0.25">
      <c r="A107" s="11">
        <v>37</v>
      </c>
      <c r="B107" s="7">
        <v>41.1</v>
      </c>
      <c r="C107" s="7">
        <v>57.8</v>
      </c>
      <c r="D107" s="7">
        <v>70</v>
      </c>
      <c r="E107" s="2"/>
      <c r="F107" s="2"/>
      <c r="G107" s="2"/>
    </row>
    <row r="108" spans="1:7" ht="13" x14ac:dyDescent="0.25">
      <c r="A108" s="11">
        <v>38</v>
      </c>
      <c r="B108" s="7">
        <v>40.799999999999997</v>
      </c>
      <c r="C108" s="7">
        <v>60.4</v>
      </c>
      <c r="D108" s="7">
        <v>106.8</v>
      </c>
      <c r="E108" s="2"/>
      <c r="F108" s="2"/>
      <c r="G108" s="2"/>
    </row>
    <row r="109" spans="1:7" ht="13" x14ac:dyDescent="0.25">
      <c r="A109" s="11">
        <v>39</v>
      </c>
      <c r="B109" s="7">
        <v>40.299999999999997</v>
      </c>
      <c r="C109" s="7">
        <v>47.3</v>
      </c>
      <c r="D109" s="7">
        <v>85.5</v>
      </c>
      <c r="E109" s="2"/>
      <c r="F109" s="2"/>
      <c r="G109" s="2"/>
    </row>
    <row r="110" spans="1:7" ht="13" x14ac:dyDescent="0.25">
      <c r="A110" s="11">
        <v>40</v>
      </c>
      <c r="B110" s="7">
        <v>20.100000000000001</v>
      </c>
      <c r="C110" s="7">
        <v>54.1</v>
      </c>
      <c r="D110" s="7">
        <v>83</v>
      </c>
      <c r="E110" s="2"/>
      <c r="F110" s="2"/>
      <c r="G110" s="2"/>
    </row>
    <row r="111" spans="1:7" ht="13" x14ac:dyDescent="0.25">
      <c r="A111" s="11">
        <v>41</v>
      </c>
      <c r="B111" s="7">
        <v>43.2</v>
      </c>
      <c r="C111" s="7">
        <v>56.4</v>
      </c>
      <c r="D111" s="7">
        <v>78.599999999999994</v>
      </c>
      <c r="E111" s="2"/>
      <c r="F111" s="2"/>
      <c r="G111" s="2"/>
    </row>
    <row r="112" spans="1:7" ht="13" x14ac:dyDescent="0.25">
      <c r="A112" s="11">
        <v>42</v>
      </c>
      <c r="B112" s="7">
        <v>36.1</v>
      </c>
      <c r="C112" s="7">
        <v>52.6</v>
      </c>
      <c r="D112" s="7">
        <v>78.900000000000006</v>
      </c>
      <c r="E112" s="2"/>
      <c r="F112" s="2"/>
      <c r="G112" s="2"/>
    </row>
    <row r="113" spans="1:7" ht="13" x14ac:dyDescent="0.25">
      <c r="A113" s="11">
        <v>43</v>
      </c>
      <c r="B113" s="7">
        <v>38.5</v>
      </c>
      <c r="C113" s="7">
        <v>54</v>
      </c>
      <c r="D113" s="7">
        <v>98.7</v>
      </c>
      <c r="E113" s="2"/>
      <c r="F113" s="2"/>
      <c r="G113" s="2"/>
    </row>
    <row r="114" spans="1:7" ht="13" x14ac:dyDescent="0.25">
      <c r="A114" s="11">
        <v>44</v>
      </c>
      <c r="B114" s="7">
        <v>28.2</v>
      </c>
      <c r="C114" s="7">
        <v>62.7</v>
      </c>
      <c r="D114" s="7">
        <v>75.099999999999994</v>
      </c>
      <c r="E114" s="2"/>
      <c r="F114" s="2"/>
      <c r="G114" s="2"/>
    </row>
    <row r="115" spans="1:7" ht="13" x14ac:dyDescent="0.25">
      <c r="A115" s="11">
        <v>45</v>
      </c>
      <c r="B115" s="7">
        <v>38.200000000000003</v>
      </c>
      <c r="C115" s="7">
        <v>57.4</v>
      </c>
      <c r="D115" s="7">
        <v>77</v>
      </c>
      <c r="E115" s="2"/>
      <c r="F115" s="2"/>
      <c r="G115" s="2"/>
    </row>
    <row r="116" spans="1:7" ht="13" x14ac:dyDescent="0.25">
      <c r="A116" s="11">
        <v>46</v>
      </c>
      <c r="B116" s="7">
        <v>32.799999999999997</v>
      </c>
      <c r="C116" s="7">
        <v>65</v>
      </c>
      <c r="D116" s="7">
        <v>105</v>
      </c>
      <c r="E116" s="2"/>
      <c r="F116" s="2"/>
      <c r="G116" s="2"/>
    </row>
    <row r="117" spans="1:7" ht="13" x14ac:dyDescent="0.25">
      <c r="A117" s="11">
        <v>47</v>
      </c>
      <c r="B117" s="7">
        <v>37.4</v>
      </c>
      <c r="C117" s="7">
        <v>61.7</v>
      </c>
      <c r="D117" s="7">
        <v>82</v>
      </c>
      <c r="E117" s="2"/>
      <c r="F117" s="2"/>
      <c r="G117" s="2"/>
    </row>
    <row r="118" spans="1:7" ht="13" x14ac:dyDescent="0.25">
      <c r="A118" s="11">
        <v>48</v>
      </c>
      <c r="B118" s="7">
        <v>27.5</v>
      </c>
      <c r="C118" s="7">
        <v>57.4</v>
      </c>
      <c r="D118" s="7">
        <v>96.5</v>
      </c>
      <c r="E118" s="2"/>
      <c r="F118" s="2"/>
      <c r="G118" s="2"/>
    </row>
    <row r="119" spans="1:7" ht="13" x14ac:dyDescent="0.25">
      <c r="A119" s="11">
        <v>49</v>
      </c>
      <c r="B119" s="7">
        <v>26.4</v>
      </c>
      <c r="C119" s="7">
        <v>52.5</v>
      </c>
      <c r="D119" s="7">
        <v>65.2</v>
      </c>
      <c r="E119" s="2"/>
      <c r="F119" s="2"/>
      <c r="G119" s="2"/>
    </row>
    <row r="120" spans="1:7" ht="13" x14ac:dyDescent="0.25">
      <c r="A120" s="11">
        <v>50</v>
      </c>
      <c r="B120" s="7">
        <v>41</v>
      </c>
      <c r="C120" s="7">
        <v>52.7</v>
      </c>
      <c r="D120" s="7">
        <v>102.1</v>
      </c>
      <c r="E120" s="2"/>
      <c r="F120" s="2"/>
      <c r="G120" s="2"/>
    </row>
    <row r="121" spans="1:7" ht="13" x14ac:dyDescent="0.25">
      <c r="A121" s="11">
        <v>51</v>
      </c>
      <c r="B121" s="7">
        <v>22.5</v>
      </c>
      <c r="C121" s="7">
        <v>51.4</v>
      </c>
      <c r="D121" s="7">
        <v>72.400000000000006</v>
      </c>
      <c r="E121" s="2"/>
      <c r="F121" s="2"/>
      <c r="G121" s="2"/>
    </row>
    <row r="122" spans="1:7" ht="13" x14ac:dyDescent="0.25">
      <c r="A122" s="11">
        <v>52</v>
      </c>
      <c r="B122" s="7">
        <v>42.5</v>
      </c>
      <c r="C122" s="7">
        <v>64.599999999999994</v>
      </c>
      <c r="D122" s="7">
        <v>99.7</v>
      </c>
      <c r="E122" s="2"/>
      <c r="F122" s="2"/>
      <c r="G122" s="2"/>
    </row>
    <row r="123" spans="1:7" ht="13" x14ac:dyDescent="0.25">
      <c r="A123" s="11">
        <v>53</v>
      </c>
      <c r="B123" s="7">
        <v>44.5</v>
      </c>
      <c r="C123" s="7">
        <v>54.5</v>
      </c>
      <c r="D123" s="7">
        <v>106.8</v>
      </c>
      <c r="E123" s="2"/>
      <c r="F123" s="2"/>
      <c r="G123" s="2"/>
    </row>
    <row r="124" spans="1:7" ht="13" x14ac:dyDescent="0.25">
      <c r="A124" s="11">
        <v>54</v>
      </c>
      <c r="B124" s="7">
        <v>44.1</v>
      </c>
      <c r="C124" s="7">
        <v>61.5</v>
      </c>
      <c r="D124" s="7">
        <v>92.3</v>
      </c>
      <c r="E124" s="2"/>
      <c r="F124" s="2"/>
      <c r="G124" s="2"/>
    </row>
    <row r="125" spans="1:7" ht="13" x14ac:dyDescent="0.25">
      <c r="A125" s="11">
        <v>55</v>
      </c>
      <c r="B125" s="7">
        <v>21.9</v>
      </c>
      <c r="C125" s="7">
        <v>45.3</v>
      </c>
      <c r="D125" s="7">
        <v>75.900000000000006</v>
      </c>
      <c r="E125" s="2"/>
      <c r="F125" s="2"/>
      <c r="G125" s="2"/>
    </row>
    <row r="126" spans="1:7" ht="13" x14ac:dyDescent="0.25">
      <c r="A126" s="11">
        <v>56</v>
      </c>
      <c r="B126" s="7">
        <v>20.399999999999999</v>
      </c>
      <c r="C126" s="7">
        <v>50.1</v>
      </c>
      <c r="D126" s="7">
        <v>66.900000000000006</v>
      </c>
      <c r="E126" s="2"/>
      <c r="F126" s="2"/>
      <c r="G126" s="2"/>
    </row>
    <row r="127" spans="1:7" ht="13" x14ac:dyDescent="0.25">
      <c r="A127" s="11">
        <v>57</v>
      </c>
      <c r="B127" s="7">
        <v>26.3</v>
      </c>
      <c r="C127" s="7">
        <v>55</v>
      </c>
      <c r="D127" s="7">
        <v>102.6</v>
      </c>
      <c r="E127" s="2"/>
      <c r="F127" s="2"/>
      <c r="G127" s="2"/>
    </row>
    <row r="128" spans="1:7" ht="13" x14ac:dyDescent="0.25">
      <c r="A128" s="11">
        <v>58</v>
      </c>
      <c r="B128" s="7">
        <v>23.8</v>
      </c>
      <c r="C128" s="7">
        <v>52.3</v>
      </c>
      <c r="D128" s="7">
        <v>78.400000000000006</v>
      </c>
      <c r="E128" s="2"/>
      <c r="F128" s="2"/>
      <c r="G128" s="2"/>
    </row>
    <row r="129" spans="1:7" ht="13" x14ac:dyDescent="0.25">
      <c r="A129" s="11">
        <v>59</v>
      </c>
      <c r="B129" s="7">
        <v>20</v>
      </c>
      <c r="C129" s="7">
        <v>53.3</v>
      </c>
      <c r="D129" s="7">
        <v>104.4</v>
      </c>
      <c r="E129" s="2"/>
      <c r="F129" s="2"/>
      <c r="G129" s="2"/>
    </row>
    <row r="130" spans="1:7" ht="13" x14ac:dyDescent="0.25">
      <c r="A130" s="11">
        <v>60</v>
      </c>
      <c r="B130" s="7">
        <v>36</v>
      </c>
      <c r="C130" s="7">
        <v>47.9</v>
      </c>
      <c r="D130" s="7">
        <v>101.1</v>
      </c>
      <c r="E130" s="2"/>
      <c r="F130" s="2"/>
      <c r="G130" s="2"/>
    </row>
    <row r="131" spans="1:7" ht="13" x14ac:dyDescent="0.25">
      <c r="A131" s="11">
        <v>61</v>
      </c>
      <c r="B131" s="7">
        <v>37.5</v>
      </c>
      <c r="C131" s="7">
        <v>61.3</v>
      </c>
      <c r="D131" s="7">
        <v>85.2</v>
      </c>
      <c r="E131" s="2"/>
      <c r="F131" s="2"/>
      <c r="G131" s="2"/>
    </row>
    <row r="132" spans="1:7" ht="13" x14ac:dyDescent="0.25">
      <c r="A132" s="11">
        <v>62</v>
      </c>
      <c r="B132" s="7">
        <v>23</v>
      </c>
      <c r="C132" s="7">
        <v>48.7</v>
      </c>
      <c r="D132" s="7">
        <v>72.3</v>
      </c>
      <c r="E132" s="2"/>
      <c r="F132" s="2"/>
      <c r="G132" s="2"/>
    </row>
    <row r="133" spans="1:7" ht="13.5" thickBot="1" x14ac:dyDescent="0.3">
      <c r="A133" s="14">
        <v>63</v>
      </c>
      <c r="B133" s="7">
        <v>31.3</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11" t="str">
        <f>A2</f>
        <v>Siyang Aiyuan Farm</v>
      </c>
      <c r="B138" s="13">
        <f>ROUNDDOWN(AVERAGE(B5:D13),1)</f>
        <v>55.3</v>
      </c>
      <c r="C138" s="13">
        <f>ROUNDDOWN(AVERAGE(E5:G20),1)</f>
        <v>75.5</v>
      </c>
      <c r="D138" s="11">
        <f>'2020.11'!D138</f>
        <v>8438</v>
      </c>
      <c r="E138" s="11">
        <v>15963</v>
      </c>
      <c r="F138" s="11">
        <f>B138*D138</f>
        <v>466621.39999999997</v>
      </c>
      <c r="G138" s="11">
        <f>C138*E138</f>
        <v>1205206.5</v>
      </c>
    </row>
    <row r="139" spans="1:7" ht="13" x14ac:dyDescent="0.25">
      <c r="A139" s="11" t="str">
        <f>A21</f>
        <v>Dongtai Jianggang Farm</v>
      </c>
      <c r="B139" s="13">
        <f>ROUNDDOWN(AVERAGE(B24:D33),1)</f>
        <v>58.4</v>
      </c>
      <c r="C139" s="13">
        <f>ROUNDDOWN(AVERAGE(E24:G52),1)</f>
        <v>73.7</v>
      </c>
      <c r="D139" s="11">
        <f>'2020.11'!D139</f>
        <v>9440</v>
      </c>
      <c r="E139" s="11">
        <v>29476</v>
      </c>
      <c r="F139" s="11">
        <f t="shared" ref="F139:G141" si="0">B139*D139</f>
        <v>551296</v>
      </c>
      <c r="G139" s="11">
        <f t="shared" si="0"/>
        <v>2172381.2000000002</v>
      </c>
    </row>
    <row r="140" spans="1:7" ht="13" x14ac:dyDescent="0.25">
      <c r="A140" s="11" t="str">
        <f>A53</f>
        <v>Sheyang Linhai Farm</v>
      </c>
      <c r="B140" s="13">
        <f>ROUNDDOWN(AVERAGE(B56:D67),1)</f>
        <v>57.4</v>
      </c>
      <c r="C140" s="13">
        <f>ROUNDDOWN(AVERAGE(E56:G62),1)</f>
        <v>73.400000000000006</v>
      </c>
      <c r="D140" s="11">
        <f>'2020.11'!D140</f>
        <v>11825</v>
      </c>
      <c r="E140" s="11">
        <v>6433</v>
      </c>
      <c r="F140" s="11">
        <f t="shared" si="0"/>
        <v>678755</v>
      </c>
      <c r="G140" s="11">
        <f t="shared" si="0"/>
        <v>472182.2</v>
      </c>
    </row>
    <row r="141" spans="1:7" ht="13" x14ac:dyDescent="0.25">
      <c r="A141" s="11" t="str">
        <f>A68</f>
        <v>Siyang Nanliuji</v>
      </c>
      <c r="B141" s="13">
        <f>ROUNDDOWN(AVERAGE(B71:D133),1)</f>
        <v>58.2</v>
      </c>
      <c r="C141" s="11">
        <f>ROUNDDOWN(AVERAGE(0),1)</f>
        <v>0</v>
      </c>
      <c r="D141" s="11">
        <f>'2020.11'!D141</f>
        <v>65005</v>
      </c>
      <c r="E141" s="11">
        <v>0</v>
      </c>
      <c r="F141" s="11">
        <f t="shared" si="0"/>
        <v>3783291</v>
      </c>
      <c r="G141" s="11">
        <f t="shared" si="0"/>
        <v>0</v>
      </c>
    </row>
    <row r="142" spans="1:7" ht="13" x14ac:dyDescent="0.25">
      <c r="A142" s="613" t="s">
        <v>154</v>
      </c>
      <c r="B142" s="617"/>
      <c r="C142" s="614"/>
      <c r="D142" s="11">
        <f>SUM(D138:D141)</f>
        <v>94708</v>
      </c>
      <c r="E142" s="11">
        <f>SUM(E138:E141)</f>
        <v>51872</v>
      </c>
      <c r="F142" s="11">
        <f>SUM(F138:F141)</f>
        <v>5479963.4000000004</v>
      </c>
      <c r="G142" s="11">
        <f>SUM(G138:G141)</f>
        <v>3849769.9000000004</v>
      </c>
    </row>
    <row r="144" spans="1:7" ht="13" x14ac:dyDescent="0.25">
      <c r="C144" s="613" t="s">
        <v>155</v>
      </c>
      <c r="D144" s="614"/>
    </row>
    <row r="145" spans="3:4" ht="13" x14ac:dyDescent="0.25">
      <c r="C145" s="11" t="s">
        <v>152</v>
      </c>
      <c r="D145" s="11" t="s">
        <v>153</v>
      </c>
    </row>
    <row r="146" spans="3:4" ht="13" x14ac:dyDescent="0.25">
      <c r="C146" s="12">
        <f>ROUNDDOWN(F142/D142,1)</f>
        <v>57.8</v>
      </c>
      <c r="D146" s="12">
        <f>ROUNDDOWN(G142/E142,1)</f>
        <v>74.2</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46"/>
  <sheetViews>
    <sheetView workbookViewId="0">
      <selection activeCell="B8" sqref="B8"/>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'2020.12'!A2:G2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29.2</v>
      </c>
      <c r="C5" s="7">
        <v>47.6</v>
      </c>
      <c r="D5" s="7">
        <v>101.9</v>
      </c>
      <c r="E5" s="7">
        <v>27.7</v>
      </c>
      <c r="F5" s="7">
        <v>61</v>
      </c>
      <c r="G5" s="7">
        <v>107.8</v>
      </c>
    </row>
    <row r="6" spans="1:7" ht="13" x14ac:dyDescent="0.25">
      <c r="A6" s="11">
        <v>2</v>
      </c>
      <c r="B6" s="7">
        <v>32.9</v>
      </c>
      <c r="C6" s="7">
        <v>55.2</v>
      </c>
      <c r="D6" s="7">
        <v>97.1</v>
      </c>
      <c r="E6" s="7">
        <v>25.2</v>
      </c>
      <c r="F6" s="7">
        <v>81.900000000000006</v>
      </c>
      <c r="G6" s="7">
        <v>101</v>
      </c>
    </row>
    <row r="7" spans="1:7" ht="13" x14ac:dyDescent="0.25">
      <c r="A7" s="11">
        <v>3</v>
      </c>
      <c r="B7" s="7">
        <v>31.5</v>
      </c>
      <c r="C7" s="7">
        <v>50.7</v>
      </c>
      <c r="D7" s="7">
        <v>100.1</v>
      </c>
      <c r="E7" s="7">
        <v>41.6</v>
      </c>
      <c r="F7" s="7">
        <v>84.1</v>
      </c>
      <c r="G7" s="7">
        <v>94.4</v>
      </c>
    </row>
    <row r="8" spans="1:7" ht="13" x14ac:dyDescent="0.25">
      <c r="A8" s="11">
        <v>4</v>
      </c>
      <c r="B8" s="7">
        <v>25.7</v>
      </c>
      <c r="C8" s="7">
        <v>56</v>
      </c>
      <c r="D8" s="7">
        <v>99.2</v>
      </c>
      <c r="E8" s="7">
        <v>53.7</v>
      </c>
      <c r="F8" s="7">
        <v>67.400000000000006</v>
      </c>
      <c r="G8" s="7">
        <v>96.1</v>
      </c>
    </row>
    <row r="9" spans="1:7" ht="13" x14ac:dyDescent="0.25">
      <c r="A9" s="11">
        <v>5</v>
      </c>
      <c r="B9" s="7">
        <v>29.4</v>
      </c>
      <c r="C9" s="7">
        <v>52.7</v>
      </c>
      <c r="D9" s="7">
        <v>65.400000000000006</v>
      </c>
      <c r="E9" s="7">
        <v>47</v>
      </c>
      <c r="F9" s="7">
        <v>71.099999999999994</v>
      </c>
      <c r="G9" s="7">
        <v>112.2</v>
      </c>
    </row>
    <row r="10" spans="1:7" ht="13" x14ac:dyDescent="0.25">
      <c r="A10" s="11">
        <v>6</v>
      </c>
      <c r="B10" s="7">
        <v>35.1</v>
      </c>
      <c r="C10" s="7">
        <v>55.3</v>
      </c>
      <c r="D10" s="7">
        <v>101.6</v>
      </c>
      <c r="E10" s="7">
        <v>29.2</v>
      </c>
      <c r="F10" s="7">
        <v>82.4</v>
      </c>
      <c r="G10" s="7">
        <v>104.9</v>
      </c>
    </row>
    <row r="11" spans="1:7" ht="13" x14ac:dyDescent="0.25">
      <c r="A11" s="11">
        <v>7</v>
      </c>
      <c r="B11" s="7">
        <v>44.6</v>
      </c>
      <c r="C11" s="7">
        <v>62</v>
      </c>
      <c r="D11" s="7">
        <v>79.099999999999994</v>
      </c>
      <c r="E11" s="7">
        <v>39.799999999999997</v>
      </c>
      <c r="F11" s="7">
        <v>76.8</v>
      </c>
      <c r="G11" s="7">
        <v>89.1</v>
      </c>
    </row>
    <row r="12" spans="1:7" ht="13" x14ac:dyDescent="0.25">
      <c r="A12" s="11">
        <v>8</v>
      </c>
      <c r="B12" s="7">
        <v>39.799999999999997</v>
      </c>
      <c r="C12" s="7">
        <v>46</v>
      </c>
      <c r="D12" s="7">
        <v>68.900000000000006</v>
      </c>
      <c r="E12" s="7">
        <v>40.6</v>
      </c>
      <c r="F12" s="7">
        <v>80.599999999999994</v>
      </c>
      <c r="G12" s="7">
        <v>86.5</v>
      </c>
    </row>
    <row r="13" spans="1:7" ht="13" x14ac:dyDescent="0.25">
      <c r="A13" s="11">
        <v>9</v>
      </c>
      <c r="B13" s="7">
        <v>36.9</v>
      </c>
      <c r="C13" s="7">
        <v>52.4</v>
      </c>
      <c r="D13" s="7">
        <v>89.2</v>
      </c>
      <c r="E13" s="7">
        <v>27.1</v>
      </c>
      <c r="F13" s="7">
        <v>72.8</v>
      </c>
      <c r="G13" s="7">
        <v>106.8</v>
      </c>
    </row>
    <row r="14" spans="1:7" ht="13" x14ac:dyDescent="0.25">
      <c r="A14" s="11">
        <v>10</v>
      </c>
      <c r="B14" s="7"/>
      <c r="C14" s="7"/>
      <c r="D14" s="7"/>
      <c r="E14" s="7">
        <v>56.3</v>
      </c>
      <c r="F14" s="7">
        <v>75.900000000000006</v>
      </c>
      <c r="G14" s="7">
        <v>97.6</v>
      </c>
    </row>
    <row r="15" spans="1:7" ht="13" x14ac:dyDescent="0.25">
      <c r="A15" s="11">
        <v>11</v>
      </c>
      <c r="B15" s="7"/>
      <c r="C15" s="7"/>
      <c r="D15" s="7"/>
      <c r="E15" s="7">
        <v>50.3</v>
      </c>
      <c r="F15" s="7">
        <v>74.5</v>
      </c>
      <c r="G15" s="7">
        <v>102</v>
      </c>
    </row>
    <row r="16" spans="1:7" ht="13" x14ac:dyDescent="0.25">
      <c r="A16" s="11">
        <v>12</v>
      </c>
      <c r="B16" s="7"/>
      <c r="C16" s="7"/>
      <c r="D16" s="7"/>
      <c r="E16" s="7">
        <v>25</v>
      </c>
      <c r="F16" s="7">
        <v>66.900000000000006</v>
      </c>
      <c r="G16" s="7">
        <v>119.5</v>
      </c>
    </row>
    <row r="17" spans="1:7" ht="13" x14ac:dyDescent="0.25">
      <c r="A17" s="11">
        <v>13</v>
      </c>
      <c r="B17" s="7"/>
      <c r="C17" s="7"/>
      <c r="D17" s="7"/>
      <c r="E17" s="7">
        <v>46.4</v>
      </c>
      <c r="F17" s="7">
        <v>67.8</v>
      </c>
      <c r="G17" s="7">
        <v>104.2</v>
      </c>
    </row>
    <row r="18" spans="1:7" ht="13" x14ac:dyDescent="0.25">
      <c r="A18" s="11">
        <v>14</v>
      </c>
      <c r="B18" s="7"/>
      <c r="C18" s="7"/>
      <c r="D18" s="7"/>
      <c r="E18" s="7">
        <v>44.3</v>
      </c>
      <c r="F18" s="7">
        <v>75.8</v>
      </c>
      <c r="G18" s="7">
        <v>109.7</v>
      </c>
    </row>
    <row r="19" spans="1:7" ht="13" x14ac:dyDescent="0.25">
      <c r="A19" s="11">
        <v>15</v>
      </c>
      <c r="B19" s="7"/>
      <c r="C19" s="7"/>
      <c r="D19" s="7"/>
      <c r="E19" s="7">
        <v>55.2</v>
      </c>
      <c r="F19" s="7">
        <v>74</v>
      </c>
      <c r="G19" s="7">
        <v>96.9</v>
      </c>
    </row>
    <row r="20" spans="1:7" ht="13.5" thickBot="1" x14ac:dyDescent="0.3">
      <c r="A20" s="14">
        <v>16</v>
      </c>
      <c r="B20" s="15"/>
      <c r="C20" s="15"/>
      <c r="D20" s="15"/>
      <c r="E20" s="7">
        <v>36.799999999999997</v>
      </c>
      <c r="F20" s="7">
        <v>77.5</v>
      </c>
      <c r="G20" s="7">
        <v>96.3</v>
      </c>
    </row>
    <row r="21" spans="1:7" ht="13.5" thickTop="1" x14ac:dyDescent="0.25">
      <c r="A21" s="612" t="str">
        <f>'2020.12'!A21:G21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27.1</v>
      </c>
      <c r="C24" s="7">
        <v>57.3</v>
      </c>
      <c r="D24" s="7">
        <v>80.5</v>
      </c>
      <c r="E24" s="7">
        <v>30.8</v>
      </c>
      <c r="F24" s="7">
        <v>74</v>
      </c>
      <c r="G24" s="7">
        <v>88</v>
      </c>
    </row>
    <row r="25" spans="1:7" ht="13" x14ac:dyDescent="0.25">
      <c r="A25" s="11">
        <v>2</v>
      </c>
      <c r="B25" s="7">
        <v>25.6</v>
      </c>
      <c r="C25" s="7">
        <v>61.1</v>
      </c>
      <c r="D25" s="7">
        <v>65.400000000000006</v>
      </c>
      <c r="E25" s="7">
        <v>53</v>
      </c>
      <c r="F25" s="7">
        <v>81.5</v>
      </c>
      <c r="G25" s="7">
        <v>99.8</v>
      </c>
    </row>
    <row r="26" spans="1:7" ht="13" x14ac:dyDescent="0.25">
      <c r="A26" s="11">
        <v>3</v>
      </c>
      <c r="B26" s="7">
        <v>43.5</v>
      </c>
      <c r="C26" s="7">
        <v>57.9</v>
      </c>
      <c r="D26" s="7">
        <v>66.3</v>
      </c>
      <c r="E26" s="7">
        <v>46.5</v>
      </c>
      <c r="F26" s="7">
        <v>71</v>
      </c>
      <c r="G26" s="7">
        <v>107.1</v>
      </c>
    </row>
    <row r="27" spans="1:7" ht="13" x14ac:dyDescent="0.25">
      <c r="A27" s="11">
        <v>4</v>
      </c>
      <c r="B27" s="7">
        <v>24.1</v>
      </c>
      <c r="C27" s="7">
        <v>65</v>
      </c>
      <c r="D27" s="7">
        <v>79.7</v>
      </c>
      <c r="E27" s="7">
        <v>59.7</v>
      </c>
      <c r="F27" s="7">
        <v>73.2</v>
      </c>
      <c r="G27" s="7">
        <v>111.1</v>
      </c>
    </row>
    <row r="28" spans="1:7" ht="13" x14ac:dyDescent="0.25">
      <c r="A28" s="11">
        <v>5</v>
      </c>
      <c r="B28" s="7">
        <v>21.7</v>
      </c>
      <c r="C28" s="7">
        <v>46.6</v>
      </c>
      <c r="D28" s="7">
        <v>105.5</v>
      </c>
      <c r="E28" s="7">
        <v>42.4</v>
      </c>
      <c r="F28" s="7">
        <v>70.400000000000006</v>
      </c>
      <c r="G28" s="7">
        <v>115.3</v>
      </c>
    </row>
    <row r="29" spans="1:7" ht="13" x14ac:dyDescent="0.25">
      <c r="A29" s="11">
        <v>6</v>
      </c>
      <c r="B29" s="7">
        <v>22.1</v>
      </c>
      <c r="C29" s="7">
        <v>46.5</v>
      </c>
      <c r="D29" s="7">
        <v>94</v>
      </c>
      <c r="E29" s="7">
        <v>45.5</v>
      </c>
      <c r="F29" s="7">
        <v>64.2</v>
      </c>
      <c r="G29" s="7">
        <v>108.1</v>
      </c>
    </row>
    <row r="30" spans="1:7" ht="13" x14ac:dyDescent="0.25">
      <c r="A30" s="11">
        <v>7</v>
      </c>
      <c r="B30" s="7">
        <v>27.9</v>
      </c>
      <c r="C30" s="7">
        <v>50.5</v>
      </c>
      <c r="D30" s="7">
        <v>76.400000000000006</v>
      </c>
      <c r="E30" s="7">
        <v>59.3</v>
      </c>
      <c r="F30" s="7">
        <v>81.8</v>
      </c>
      <c r="G30" s="7">
        <v>89.4</v>
      </c>
    </row>
    <row r="31" spans="1:7" ht="13" x14ac:dyDescent="0.25">
      <c r="A31" s="11">
        <v>8</v>
      </c>
      <c r="B31" s="7">
        <v>39.4</v>
      </c>
      <c r="C31" s="7">
        <v>55</v>
      </c>
      <c r="D31" s="7">
        <v>82.4</v>
      </c>
      <c r="E31" s="7">
        <v>41.4</v>
      </c>
      <c r="F31" s="7">
        <v>83.5</v>
      </c>
      <c r="G31" s="7">
        <v>111.6</v>
      </c>
    </row>
    <row r="32" spans="1:7" ht="13" x14ac:dyDescent="0.25">
      <c r="A32" s="11">
        <v>9</v>
      </c>
      <c r="B32" s="7">
        <v>38.200000000000003</v>
      </c>
      <c r="C32" s="7">
        <v>61.7</v>
      </c>
      <c r="D32" s="7">
        <v>91.4</v>
      </c>
      <c r="E32" s="7">
        <v>25.6</v>
      </c>
      <c r="F32" s="7">
        <v>79.8</v>
      </c>
      <c r="G32" s="7">
        <v>88.3</v>
      </c>
    </row>
    <row r="33" spans="1:7" ht="13" x14ac:dyDescent="0.25">
      <c r="A33" s="11">
        <v>10</v>
      </c>
      <c r="B33" s="7">
        <v>44.8</v>
      </c>
      <c r="C33" s="7">
        <v>58.3</v>
      </c>
      <c r="D33" s="7">
        <v>83.9</v>
      </c>
      <c r="E33" s="7">
        <v>42.6</v>
      </c>
      <c r="F33" s="7">
        <v>79.900000000000006</v>
      </c>
      <c r="G33" s="7">
        <v>116.6</v>
      </c>
    </row>
    <row r="34" spans="1:7" ht="13" x14ac:dyDescent="0.25">
      <c r="A34" s="11">
        <v>11</v>
      </c>
      <c r="B34" s="7"/>
      <c r="C34" s="7"/>
      <c r="D34" s="7"/>
      <c r="E34" s="7">
        <v>44.7</v>
      </c>
      <c r="F34" s="7">
        <v>63.8</v>
      </c>
      <c r="G34" s="7">
        <v>101.2</v>
      </c>
    </row>
    <row r="35" spans="1:7" ht="13" x14ac:dyDescent="0.25">
      <c r="A35" s="11">
        <v>12</v>
      </c>
      <c r="B35" s="7"/>
      <c r="C35" s="7"/>
      <c r="D35" s="7"/>
      <c r="E35" s="7">
        <v>40.5</v>
      </c>
      <c r="F35" s="7">
        <v>64.7</v>
      </c>
      <c r="G35" s="7">
        <v>87.8</v>
      </c>
    </row>
    <row r="36" spans="1:7" ht="13" x14ac:dyDescent="0.25">
      <c r="A36" s="11">
        <v>13</v>
      </c>
      <c r="B36" s="7"/>
      <c r="C36" s="7"/>
      <c r="D36" s="7"/>
      <c r="E36" s="7">
        <v>30.1</v>
      </c>
      <c r="F36" s="7">
        <v>62.2</v>
      </c>
      <c r="G36" s="7">
        <v>106.9</v>
      </c>
    </row>
    <row r="37" spans="1:7" ht="13" x14ac:dyDescent="0.25">
      <c r="A37" s="11">
        <v>14</v>
      </c>
      <c r="B37" s="7"/>
      <c r="C37" s="7"/>
      <c r="D37" s="7"/>
      <c r="E37" s="7">
        <v>40.6</v>
      </c>
      <c r="F37" s="7">
        <v>72.099999999999994</v>
      </c>
      <c r="G37" s="7">
        <v>99.4</v>
      </c>
    </row>
    <row r="38" spans="1:7" ht="13" x14ac:dyDescent="0.25">
      <c r="A38" s="11">
        <v>15</v>
      </c>
      <c r="B38" s="7"/>
      <c r="C38" s="7"/>
      <c r="D38" s="7"/>
      <c r="E38" s="7">
        <v>56.1</v>
      </c>
      <c r="F38" s="7">
        <v>84.3</v>
      </c>
      <c r="G38" s="7">
        <v>90.6</v>
      </c>
    </row>
    <row r="39" spans="1:7" ht="13" x14ac:dyDescent="0.25">
      <c r="A39" s="11">
        <v>16</v>
      </c>
      <c r="B39" s="7"/>
      <c r="C39" s="7"/>
      <c r="D39" s="7"/>
      <c r="E39" s="7">
        <v>42.4</v>
      </c>
      <c r="F39" s="7">
        <v>65.8</v>
      </c>
      <c r="G39" s="7">
        <v>98.4</v>
      </c>
    </row>
    <row r="40" spans="1:7" ht="13" x14ac:dyDescent="0.25">
      <c r="A40" s="11">
        <v>17</v>
      </c>
      <c r="B40" s="7"/>
      <c r="C40" s="7"/>
      <c r="D40" s="7"/>
      <c r="E40" s="7">
        <v>29</v>
      </c>
      <c r="F40" s="7">
        <v>84.9</v>
      </c>
      <c r="G40" s="7">
        <v>106.5</v>
      </c>
    </row>
    <row r="41" spans="1:7" ht="13" x14ac:dyDescent="0.25">
      <c r="A41" s="11">
        <v>18</v>
      </c>
      <c r="B41" s="7"/>
      <c r="C41" s="7"/>
      <c r="D41" s="7"/>
      <c r="E41" s="7">
        <v>27.7</v>
      </c>
      <c r="F41" s="7">
        <v>64.2</v>
      </c>
      <c r="G41" s="7">
        <v>98.4</v>
      </c>
    </row>
    <row r="42" spans="1:7" ht="13" x14ac:dyDescent="0.25">
      <c r="A42" s="11">
        <v>19</v>
      </c>
      <c r="B42" s="7"/>
      <c r="C42" s="7"/>
      <c r="D42" s="7"/>
      <c r="E42" s="7">
        <v>32</v>
      </c>
      <c r="F42" s="7">
        <v>65.599999999999994</v>
      </c>
      <c r="G42" s="7">
        <v>97.8</v>
      </c>
    </row>
    <row r="43" spans="1:7" ht="13" x14ac:dyDescent="0.25">
      <c r="A43" s="11">
        <v>20</v>
      </c>
      <c r="B43" s="7"/>
      <c r="C43" s="7"/>
      <c r="D43" s="7"/>
      <c r="E43" s="7">
        <v>40.9</v>
      </c>
      <c r="F43" s="7">
        <v>72.3</v>
      </c>
      <c r="G43" s="7">
        <v>118</v>
      </c>
    </row>
    <row r="44" spans="1:7" ht="13" x14ac:dyDescent="0.25">
      <c r="A44" s="11">
        <v>21</v>
      </c>
      <c r="B44" s="7"/>
      <c r="C44" s="7"/>
      <c r="D44" s="7"/>
      <c r="E44" s="7">
        <v>41.9</v>
      </c>
      <c r="F44" s="7">
        <v>61.6</v>
      </c>
      <c r="G44" s="7">
        <v>105.2</v>
      </c>
    </row>
    <row r="45" spans="1:7" ht="13" x14ac:dyDescent="0.25">
      <c r="A45" s="11">
        <v>22</v>
      </c>
      <c r="B45" s="7"/>
      <c r="C45" s="7"/>
      <c r="D45" s="7"/>
      <c r="E45" s="7">
        <v>30.5</v>
      </c>
      <c r="F45" s="7">
        <v>71.7</v>
      </c>
      <c r="G45" s="7">
        <v>96.2</v>
      </c>
    </row>
    <row r="46" spans="1:7" ht="13" x14ac:dyDescent="0.25">
      <c r="A46" s="11">
        <v>23</v>
      </c>
      <c r="B46" s="7"/>
      <c r="C46" s="7"/>
      <c r="D46" s="7"/>
      <c r="E46" s="7">
        <v>45.2</v>
      </c>
      <c r="F46" s="7">
        <v>77.2</v>
      </c>
      <c r="G46" s="7">
        <v>105.6</v>
      </c>
    </row>
    <row r="47" spans="1:7" ht="13" x14ac:dyDescent="0.25">
      <c r="A47" s="11">
        <v>24</v>
      </c>
      <c r="B47" s="7"/>
      <c r="C47" s="7"/>
      <c r="D47" s="7"/>
      <c r="E47" s="7">
        <v>30.2</v>
      </c>
      <c r="F47" s="7">
        <v>83.8</v>
      </c>
      <c r="G47" s="7">
        <v>117.1</v>
      </c>
    </row>
    <row r="48" spans="1:7" ht="13" x14ac:dyDescent="0.25">
      <c r="A48" s="11">
        <v>25</v>
      </c>
      <c r="B48" s="7"/>
      <c r="C48" s="7"/>
      <c r="D48" s="7"/>
      <c r="E48" s="7">
        <v>30.8</v>
      </c>
      <c r="F48" s="7">
        <v>76.099999999999994</v>
      </c>
      <c r="G48" s="7">
        <v>118.5</v>
      </c>
    </row>
    <row r="49" spans="1:7" ht="13" x14ac:dyDescent="0.25">
      <c r="A49" s="11">
        <v>26</v>
      </c>
      <c r="B49" s="7"/>
      <c r="C49" s="16"/>
      <c r="D49" s="7"/>
      <c r="E49" s="7">
        <v>35.200000000000003</v>
      </c>
      <c r="F49" s="7">
        <v>69.900000000000006</v>
      </c>
      <c r="G49" s="7">
        <v>93.4</v>
      </c>
    </row>
    <row r="50" spans="1:7" ht="13" x14ac:dyDescent="0.25">
      <c r="A50" s="11">
        <v>27</v>
      </c>
      <c r="B50" s="7"/>
      <c r="C50" s="16"/>
      <c r="D50" s="7"/>
      <c r="E50" s="7">
        <v>26.9</v>
      </c>
      <c r="F50" s="7">
        <v>79.400000000000006</v>
      </c>
      <c r="G50" s="7">
        <v>106.4</v>
      </c>
    </row>
    <row r="51" spans="1:7" ht="13" x14ac:dyDescent="0.25">
      <c r="A51" s="11">
        <v>28</v>
      </c>
      <c r="B51" s="7"/>
      <c r="C51" s="17"/>
      <c r="D51" s="7"/>
      <c r="E51" s="7">
        <v>41.1</v>
      </c>
      <c r="F51" s="7">
        <v>71.3</v>
      </c>
      <c r="G51" s="7">
        <v>86.2</v>
      </c>
    </row>
    <row r="52" spans="1:7" ht="13.5" thickBot="1" x14ac:dyDescent="0.3">
      <c r="A52" s="14">
        <v>29</v>
      </c>
      <c r="B52" s="18"/>
      <c r="C52" s="18"/>
      <c r="D52" s="15"/>
      <c r="E52" s="7">
        <v>38.200000000000003</v>
      </c>
      <c r="F52" s="7">
        <v>60.8</v>
      </c>
      <c r="G52" s="7">
        <v>117.2</v>
      </c>
    </row>
    <row r="53" spans="1:7" ht="13.5" thickTop="1" x14ac:dyDescent="0.25">
      <c r="A53" s="612" t="str">
        <f>'2020.12'!A53:G53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28</v>
      </c>
      <c r="C56" s="7">
        <v>47.7</v>
      </c>
      <c r="D56" s="7">
        <v>93.3</v>
      </c>
      <c r="E56" s="7">
        <v>38.299999999999997</v>
      </c>
      <c r="F56" s="7">
        <v>72.400000000000006</v>
      </c>
      <c r="G56" s="7">
        <v>96.9</v>
      </c>
    </row>
    <row r="57" spans="1:7" ht="13" x14ac:dyDescent="0.25">
      <c r="A57" s="11">
        <v>2</v>
      </c>
      <c r="B57" s="7">
        <v>35.799999999999997</v>
      </c>
      <c r="C57" s="7">
        <v>61.3</v>
      </c>
      <c r="D57" s="7">
        <v>78.599999999999994</v>
      </c>
      <c r="E57" s="7">
        <v>26.3</v>
      </c>
      <c r="F57" s="7">
        <v>83.7</v>
      </c>
      <c r="G57" s="7">
        <v>103.4</v>
      </c>
    </row>
    <row r="58" spans="1:7" ht="13" x14ac:dyDescent="0.25">
      <c r="A58" s="11">
        <v>3</v>
      </c>
      <c r="B58" s="7">
        <v>21.6</v>
      </c>
      <c r="C58" s="7">
        <v>62.4</v>
      </c>
      <c r="D58" s="7">
        <v>98.7</v>
      </c>
      <c r="E58" s="7">
        <v>25</v>
      </c>
      <c r="F58" s="7">
        <v>77.8</v>
      </c>
      <c r="G58" s="7">
        <v>118.3</v>
      </c>
    </row>
    <row r="59" spans="1:7" ht="13" x14ac:dyDescent="0.25">
      <c r="A59" s="11">
        <v>4</v>
      </c>
      <c r="B59" s="7">
        <v>35.700000000000003</v>
      </c>
      <c r="C59" s="7">
        <v>47.8</v>
      </c>
      <c r="D59" s="7">
        <v>81.599999999999994</v>
      </c>
      <c r="E59" s="7">
        <v>56.2</v>
      </c>
      <c r="F59" s="7">
        <v>82</v>
      </c>
      <c r="G59" s="7">
        <v>92.9</v>
      </c>
    </row>
    <row r="60" spans="1:7" ht="13" x14ac:dyDescent="0.25">
      <c r="A60" s="11">
        <v>5</v>
      </c>
      <c r="B60" s="7">
        <v>38.6</v>
      </c>
      <c r="C60" s="7">
        <v>64.2</v>
      </c>
      <c r="D60" s="7">
        <v>91.2</v>
      </c>
      <c r="E60" s="7">
        <v>56.6</v>
      </c>
      <c r="F60" s="7">
        <v>67.2</v>
      </c>
      <c r="G60" s="7">
        <v>109</v>
      </c>
    </row>
    <row r="61" spans="1:7" ht="13" x14ac:dyDescent="0.25">
      <c r="A61" s="11">
        <v>6</v>
      </c>
      <c r="B61" s="7">
        <v>43.1</v>
      </c>
      <c r="C61" s="7">
        <v>56.4</v>
      </c>
      <c r="D61" s="7">
        <v>90.5</v>
      </c>
      <c r="E61" s="7">
        <v>39</v>
      </c>
      <c r="F61" s="7">
        <v>73.099999999999994</v>
      </c>
      <c r="G61" s="7">
        <v>92.3</v>
      </c>
    </row>
    <row r="62" spans="1:7" ht="13" x14ac:dyDescent="0.25">
      <c r="A62" s="11">
        <v>7</v>
      </c>
      <c r="B62" s="7">
        <v>39.9</v>
      </c>
      <c r="C62" s="7">
        <v>56.3</v>
      </c>
      <c r="D62" s="7">
        <v>98.7</v>
      </c>
      <c r="E62" s="7">
        <v>38.299999999999997</v>
      </c>
      <c r="F62" s="7">
        <v>73.2</v>
      </c>
      <c r="G62" s="7">
        <v>108.4</v>
      </c>
    </row>
    <row r="63" spans="1:7" ht="13" x14ac:dyDescent="0.25">
      <c r="A63" s="11">
        <v>8</v>
      </c>
      <c r="B63" s="7">
        <v>44.9</v>
      </c>
      <c r="C63" s="7">
        <v>51.6</v>
      </c>
      <c r="D63" s="7">
        <v>78.5</v>
      </c>
      <c r="E63" s="7"/>
      <c r="F63" s="7"/>
      <c r="G63" s="7"/>
    </row>
    <row r="64" spans="1:7" ht="13" x14ac:dyDescent="0.25">
      <c r="A64" s="11">
        <v>9</v>
      </c>
      <c r="B64" s="7">
        <v>22.7</v>
      </c>
      <c r="C64" s="7">
        <v>45</v>
      </c>
      <c r="D64" s="7">
        <v>89.3</v>
      </c>
      <c r="E64" s="7"/>
      <c r="F64" s="7"/>
      <c r="G64" s="7"/>
    </row>
    <row r="65" spans="1:7" ht="13" x14ac:dyDescent="0.25">
      <c r="A65" s="11">
        <v>10</v>
      </c>
      <c r="B65" s="7">
        <v>34.200000000000003</v>
      </c>
      <c r="C65" s="7">
        <v>50.7</v>
      </c>
      <c r="D65" s="7">
        <v>100.1</v>
      </c>
      <c r="E65" s="7"/>
      <c r="F65" s="7"/>
      <c r="G65" s="7"/>
    </row>
    <row r="66" spans="1:7" ht="13" x14ac:dyDescent="0.25">
      <c r="A66" s="11">
        <v>11</v>
      </c>
      <c r="B66" s="7">
        <v>42.8</v>
      </c>
      <c r="C66" s="7">
        <v>58</v>
      </c>
      <c r="D66" s="7">
        <v>92.6</v>
      </c>
      <c r="E66" s="7"/>
      <c r="F66" s="7"/>
      <c r="G66" s="7"/>
    </row>
    <row r="67" spans="1:7" ht="13.5" thickBot="1" x14ac:dyDescent="0.3">
      <c r="A67" s="14">
        <v>12</v>
      </c>
      <c r="B67" s="7">
        <v>20.9</v>
      </c>
      <c r="C67" s="7">
        <v>60.6</v>
      </c>
      <c r="D67" s="7">
        <v>110</v>
      </c>
      <c r="E67" s="15"/>
      <c r="F67" s="15"/>
      <c r="G67" s="15"/>
    </row>
    <row r="68" spans="1:7" ht="13.5" thickTop="1" x14ac:dyDescent="0.25">
      <c r="A68" s="612" t="str">
        <f>'2020.12'!A68:G68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39</v>
      </c>
      <c r="C71" s="7">
        <v>54.5</v>
      </c>
      <c r="D71" s="7">
        <v>65.5</v>
      </c>
      <c r="E71" s="7"/>
      <c r="F71" s="7"/>
      <c r="G71" s="7"/>
    </row>
    <row r="72" spans="1:7" ht="13" x14ac:dyDescent="0.25">
      <c r="A72" s="11">
        <v>2</v>
      </c>
      <c r="B72" s="7">
        <v>42.3</v>
      </c>
      <c r="C72" s="7">
        <v>59.5</v>
      </c>
      <c r="D72" s="7">
        <v>77.900000000000006</v>
      </c>
      <c r="E72" s="6"/>
      <c r="F72" s="6"/>
      <c r="G72" s="7"/>
    </row>
    <row r="73" spans="1:7" ht="13" x14ac:dyDescent="0.25">
      <c r="A73" s="11">
        <v>3</v>
      </c>
      <c r="B73" s="7">
        <v>30</v>
      </c>
      <c r="C73" s="7">
        <v>55.1</v>
      </c>
      <c r="D73" s="7">
        <v>94.8</v>
      </c>
      <c r="E73" s="6"/>
      <c r="F73" s="6"/>
      <c r="G73" s="6"/>
    </row>
    <row r="74" spans="1:7" ht="13" x14ac:dyDescent="0.25">
      <c r="A74" s="11">
        <v>4</v>
      </c>
      <c r="B74" s="7">
        <v>44</v>
      </c>
      <c r="C74" s="7">
        <v>45.7</v>
      </c>
      <c r="D74" s="7">
        <v>101.6</v>
      </c>
      <c r="E74" s="6"/>
      <c r="F74" s="6"/>
      <c r="G74" s="6"/>
    </row>
    <row r="75" spans="1:7" ht="13" x14ac:dyDescent="0.25">
      <c r="A75" s="11">
        <v>5</v>
      </c>
      <c r="B75" s="7">
        <v>39</v>
      </c>
      <c r="C75" s="7">
        <v>57.2</v>
      </c>
      <c r="D75" s="7">
        <v>84.5</v>
      </c>
      <c r="E75" s="6"/>
      <c r="F75" s="6"/>
      <c r="G75" s="6"/>
    </row>
    <row r="76" spans="1:7" ht="13" x14ac:dyDescent="0.25">
      <c r="A76" s="11">
        <v>6</v>
      </c>
      <c r="B76" s="7">
        <v>35</v>
      </c>
      <c r="C76" s="7">
        <v>59.3</v>
      </c>
      <c r="D76" s="7">
        <v>95.3</v>
      </c>
      <c r="E76" s="6"/>
      <c r="F76" s="6"/>
      <c r="G76" s="6"/>
    </row>
    <row r="77" spans="1:7" ht="13" x14ac:dyDescent="0.25">
      <c r="A77" s="11">
        <v>7</v>
      </c>
      <c r="B77" s="7">
        <v>35.299999999999997</v>
      </c>
      <c r="C77" s="7">
        <v>56.9</v>
      </c>
      <c r="D77" s="7">
        <v>92</v>
      </c>
      <c r="E77" s="6"/>
      <c r="F77" s="6"/>
      <c r="G77" s="6"/>
    </row>
    <row r="78" spans="1:7" ht="13" x14ac:dyDescent="0.25">
      <c r="A78" s="11">
        <v>8</v>
      </c>
      <c r="B78" s="7">
        <v>43.8</v>
      </c>
      <c r="C78" s="7">
        <v>60.9</v>
      </c>
      <c r="D78" s="7">
        <v>104.7</v>
      </c>
      <c r="E78" s="6"/>
      <c r="F78" s="6"/>
      <c r="G78" s="6"/>
    </row>
    <row r="79" spans="1:7" ht="13" x14ac:dyDescent="0.25">
      <c r="A79" s="11">
        <v>9</v>
      </c>
      <c r="B79" s="7">
        <v>42.8</v>
      </c>
      <c r="C79" s="7">
        <v>46.3</v>
      </c>
      <c r="D79" s="7">
        <v>67.7</v>
      </c>
      <c r="E79" s="6"/>
      <c r="F79" s="6"/>
      <c r="G79" s="6"/>
    </row>
    <row r="80" spans="1:7" ht="13" x14ac:dyDescent="0.25">
      <c r="A80" s="11">
        <v>10</v>
      </c>
      <c r="B80" s="7">
        <v>27.1</v>
      </c>
      <c r="C80" s="7">
        <v>52.1</v>
      </c>
      <c r="D80" s="7">
        <v>70.8</v>
      </c>
      <c r="E80" s="6"/>
      <c r="F80" s="6"/>
      <c r="G80" s="6"/>
    </row>
    <row r="81" spans="1:7" ht="13" x14ac:dyDescent="0.25">
      <c r="A81" s="11">
        <v>11</v>
      </c>
      <c r="B81" s="7">
        <v>43.4</v>
      </c>
      <c r="C81" s="7">
        <v>59.5</v>
      </c>
      <c r="D81" s="7">
        <v>68.099999999999994</v>
      </c>
      <c r="E81" s="6"/>
      <c r="F81" s="6"/>
      <c r="G81" s="6"/>
    </row>
    <row r="82" spans="1:7" ht="13" x14ac:dyDescent="0.25">
      <c r="A82" s="11">
        <v>12</v>
      </c>
      <c r="B82" s="7">
        <v>38.299999999999997</v>
      </c>
      <c r="C82" s="7">
        <v>51.8</v>
      </c>
      <c r="D82" s="7">
        <v>99.4</v>
      </c>
      <c r="E82" s="6"/>
      <c r="F82" s="6"/>
      <c r="G82" s="6"/>
    </row>
    <row r="83" spans="1:7" ht="13" x14ac:dyDescent="0.25">
      <c r="A83" s="11">
        <v>13</v>
      </c>
      <c r="B83" s="7">
        <v>30.7</v>
      </c>
      <c r="C83" s="7">
        <v>64.099999999999994</v>
      </c>
      <c r="D83" s="7">
        <v>77.900000000000006</v>
      </c>
      <c r="E83" s="6"/>
      <c r="F83" s="6"/>
      <c r="G83" s="6"/>
    </row>
    <row r="84" spans="1:7" ht="13" x14ac:dyDescent="0.25">
      <c r="A84" s="11">
        <v>14</v>
      </c>
      <c r="B84" s="7">
        <v>32.799999999999997</v>
      </c>
      <c r="C84" s="7">
        <v>59.8</v>
      </c>
      <c r="D84" s="7">
        <v>77.599999999999994</v>
      </c>
      <c r="E84" s="6"/>
      <c r="F84" s="6"/>
      <c r="G84" s="6"/>
    </row>
    <row r="85" spans="1:7" ht="13" x14ac:dyDescent="0.25">
      <c r="A85" s="11">
        <v>15</v>
      </c>
      <c r="B85" s="7">
        <v>34.9</v>
      </c>
      <c r="C85" s="7">
        <v>51.2</v>
      </c>
      <c r="D85" s="7">
        <v>71.900000000000006</v>
      </c>
      <c r="E85" s="6"/>
      <c r="F85" s="6"/>
      <c r="G85" s="6"/>
    </row>
    <row r="86" spans="1:7" ht="13" x14ac:dyDescent="0.25">
      <c r="A86" s="11">
        <v>16</v>
      </c>
      <c r="B86" s="7">
        <v>41.1</v>
      </c>
      <c r="C86" s="7">
        <v>64.7</v>
      </c>
      <c r="D86" s="7">
        <v>108.1</v>
      </c>
      <c r="E86" s="6"/>
      <c r="F86" s="6"/>
      <c r="G86" s="6"/>
    </row>
    <row r="87" spans="1:7" ht="13" x14ac:dyDescent="0.25">
      <c r="A87" s="11">
        <v>17</v>
      </c>
      <c r="B87" s="7">
        <v>30.1</v>
      </c>
      <c r="C87" s="7">
        <v>62</v>
      </c>
      <c r="D87" s="7">
        <v>105.1</v>
      </c>
      <c r="E87" s="6"/>
      <c r="F87" s="6"/>
      <c r="G87" s="6"/>
    </row>
    <row r="88" spans="1:7" ht="13" x14ac:dyDescent="0.25">
      <c r="A88" s="11">
        <v>18</v>
      </c>
      <c r="B88" s="7">
        <v>43.2</v>
      </c>
      <c r="C88" s="7">
        <v>53.4</v>
      </c>
      <c r="D88" s="7">
        <v>88.7</v>
      </c>
      <c r="E88" s="6"/>
      <c r="F88" s="6"/>
      <c r="G88" s="6"/>
    </row>
    <row r="89" spans="1:7" ht="13" x14ac:dyDescent="0.25">
      <c r="A89" s="11">
        <v>19</v>
      </c>
      <c r="B89" s="7">
        <v>44.5</v>
      </c>
      <c r="C89" s="7">
        <v>57.4</v>
      </c>
      <c r="D89" s="7">
        <v>83.6</v>
      </c>
      <c r="E89" s="6"/>
      <c r="F89" s="6"/>
      <c r="G89" s="6"/>
    </row>
    <row r="90" spans="1:7" ht="13" x14ac:dyDescent="0.25">
      <c r="A90" s="11">
        <v>20</v>
      </c>
      <c r="B90" s="7">
        <v>33.700000000000003</v>
      </c>
      <c r="C90" s="7">
        <v>61.3</v>
      </c>
      <c r="D90" s="7">
        <v>79.900000000000006</v>
      </c>
      <c r="E90" s="6"/>
      <c r="F90" s="6"/>
      <c r="G90" s="6"/>
    </row>
    <row r="91" spans="1:7" ht="13" x14ac:dyDescent="0.25">
      <c r="A91" s="11">
        <v>21</v>
      </c>
      <c r="B91" s="7">
        <v>42.9</v>
      </c>
      <c r="C91" s="7">
        <v>57.3</v>
      </c>
      <c r="D91" s="7">
        <v>79.3</v>
      </c>
      <c r="E91" s="6"/>
      <c r="F91" s="6"/>
      <c r="G91" s="6"/>
    </row>
    <row r="92" spans="1:7" ht="13" x14ac:dyDescent="0.25">
      <c r="A92" s="11">
        <v>22</v>
      </c>
      <c r="B92" s="7">
        <v>27.1</v>
      </c>
      <c r="C92" s="7">
        <v>56.1</v>
      </c>
      <c r="D92" s="7">
        <v>80.400000000000006</v>
      </c>
      <c r="E92" s="6"/>
      <c r="F92" s="6"/>
      <c r="G92" s="6"/>
    </row>
    <row r="93" spans="1:7" ht="13" x14ac:dyDescent="0.25">
      <c r="A93" s="11">
        <v>23</v>
      </c>
      <c r="B93" s="7">
        <v>43.5</v>
      </c>
      <c r="C93" s="7">
        <v>48.3</v>
      </c>
      <c r="D93" s="7">
        <v>87.9</v>
      </c>
      <c r="E93" s="6"/>
      <c r="F93" s="6"/>
      <c r="G93" s="6"/>
    </row>
    <row r="94" spans="1:7" ht="13" x14ac:dyDescent="0.25">
      <c r="A94" s="11">
        <v>24</v>
      </c>
      <c r="B94" s="7">
        <v>25.7</v>
      </c>
      <c r="C94" s="7">
        <v>47.7</v>
      </c>
      <c r="D94" s="7">
        <v>108.8</v>
      </c>
      <c r="E94" s="6"/>
      <c r="F94" s="6"/>
      <c r="G94" s="6"/>
    </row>
    <row r="95" spans="1:7" ht="13" x14ac:dyDescent="0.25">
      <c r="A95" s="11">
        <v>25</v>
      </c>
      <c r="B95" s="7">
        <v>34.200000000000003</v>
      </c>
      <c r="C95" s="7">
        <v>52.4</v>
      </c>
      <c r="D95" s="7">
        <v>102.7</v>
      </c>
      <c r="E95" s="6"/>
      <c r="F95" s="6"/>
      <c r="G95" s="6"/>
    </row>
    <row r="96" spans="1:7" ht="13" x14ac:dyDescent="0.25">
      <c r="A96" s="11">
        <v>26</v>
      </c>
      <c r="B96" s="7">
        <v>21.5</v>
      </c>
      <c r="C96" s="7">
        <v>59.6</v>
      </c>
      <c r="D96" s="7">
        <v>109.5</v>
      </c>
      <c r="E96" s="17"/>
      <c r="F96" s="17"/>
      <c r="G96" s="17"/>
    </row>
    <row r="97" spans="1:7" ht="13" x14ac:dyDescent="0.25">
      <c r="A97" s="11">
        <v>27</v>
      </c>
      <c r="B97" s="7">
        <v>31.2</v>
      </c>
      <c r="C97" s="7">
        <v>65</v>
      </c>
      <c r="D97" s="7">
        <v>87.6</v>
      </c>
      <c r="E97" s="17"/>
      <c r="F97" s="17"/>
      <c r="G97" s="17"/>
    </row>
    <row r="98" spans="1:7" ht="13" x14ac:dyDescent="0.25">
      <c r="A98" s="11">
        <v>28</v>
      </c>
      <c r="B98" s="7">
        <v>29.4</v>
      </c>
      <c r="C98" s="7">
        <v>57.7</v>
      </c>
      <c r="D98" s="7">
        <v>76</v>
      </c>
      <c r="E98" s="17"/>
      <c r="F98" s="17"/>
      <c r="G98" s="17"/>
    </row>
    <row r="99" spans="1:7" ht="13" x14ac:dyDescent="0.25">
      <c r="A99" s="11">
        <v>29</v>
      </c>
      <c r="B99" s="7">
        <v>31.7</v>
      </c>
      <c r="C99" s="7">
        <v>47.6</v>
      </c>
      <c r="D99" s="7">
        <v>102.4</v>
      </c>
      <c r="E99" s="6"/>
      <c r="F99" s="6"/>
      <c r="G99" s="6"/>
    </row>
    <row r="100" spans="1:7" ht="13" x14ac:dyDescent="0.25">
      <c r="A100" s="11">
        <v>30</v>
      </c>
      <c r="B100" s="7">
        <v>31.7</v>
      </c>
      <c r="C100" s="7">
        <v>61</v>
      </c>
      <c r="D100" s="7">
        <v>85.2</v>
      </c>
      <c r="E100" s="2"/>
      <c r="F100" s="2"/>
      <c r="G100" s="2"/>
    </row>
    <row r="101" spans="1:7" ht="13" x14ac:dyDescent="0.25">
      <c r="A101" s="11">
        <v>31</v>
      </c>
      <c r="B101" s="7">
        <v>35.5</v>
      </c>
      <c r="C101" s="7">
        <v>59.2</v>
      </c>
      <c r="D101" s="7">
        <v>96</v>
      </c>
      <c r="E101" s="2"/>
      <c r="F101" s="2"/>
      <c r="G101" s="2"/>
    </row>
    <row r="102" spans="1:7" ht="13" x14ac:dyDescent="0.25">
      <c r="A102" s="11">
        <v>32</v>
      </c>
      <c r="B102" s="7">
        <v>23</v>
      </c>
      <c r="C102" s="7">
        <v>62.9</v>
      </c>
      <c r="D102" s="7">
        <v>80.099999999999994</v>
      </c>
      <c r="E102" s="2"/>
      <c r="F102" s="2"/>
      <c r="G102" s="2"/>
    </row>
    <row r="103" spans="1:7" ht="13" x14ac:dyDescent="0.25">
      <c r="A103" s="11">
        <v>33</v>
      </c>
      <c r="B103" s="7">
        <v>24.9</v>
      </c>
      <c r="C103" s="7">
        <v>60.9</v>
      </c>
      <c r="D103" s="7">
        <v>69.2</v>
      </c>
      <c r="E103" s="2"/>
      <c r="F103" s="2"/>
      <c r="G103" s="2"/>
    </row>
    <row r="104" spans="1:7" ht="13" x14ac:dyDescent="0.25">
      <c r="A104" s="11">
        <v>34</v>
      </c>
      <c r="B104" s="7">
        <v>44.9</v>
      </c>
      <c r="C104" s="7">
        <v>60.2</v>
      </c>
      <c r="D104" s="7">
        <v>84.9</v>
      </c>
      <c r="E104" s="2"/>
      <c r="F104" s="2"/>
      <c r="G104" s="2"/>
    </row>
    <row r="105" spans="1:7" ht="13" x14ac:dyDescent="0.25">
      <c r="A105" s="11">
        <v>35</v>
      </c>
      <c r="B105" s="7">
        <v>27.6</v>
      </c>
      <c r="C105" s="7">
        <v>49.6</v>
      </c>
      <c r="D105" s="7">
        <v>73.400000000000006</v>
      </c>
      <c r="E105" s="2"/>
      <c r="F105" s="2"/>
      <c r="G105" s="2"/>
    </row>
    <row r="106" spans="1:7" ht="13" x14ac:dyDescent="0.25">
      <c r="A106" s="11">
        <v>36</v>
      </c>
      <c r="B106" s="7">
        <v>34.1</v>
      </c>
      <c r="C106" s="7">
        <v>46.4</v>
      </c>
      <c r="D106" s="7">
        <v>94.4</v>
      </c>
      <c r="E106" s="2"/>
      <c r="F106" s="2"/>
      <c r="G106" s="2"/>
    </row>
    <row r="107" spans="1:7" ht="13" x14ac:dyDescent="0.25">
      <c r="A107" s="11">
        <v>37</v>
      </c>
      <c r="B107" s="7">
        <v>27.7</v>
      </c>
      <c r="C107" s="7">
        <v>60.3</v>
      </c>
      <c r="D107" s="7">
        <v>93.8</v>
      </c>
      <c r="E107" s="2"/>
      <c r="F107" s="2"/>
      <c r="G107" s="2"/>
    </row>
    <row r="108" spans="1:7" ht="13" x14ac:dyDescent="0.25">
      <c r="A108" s="11">
        <v>38</v>
      </c>
      <c r="B108" s="7">
        <v>43.8</v>
      </c>
      <c r="C108" s="7">
        <v>45.7</v>
      </c>
      <c r="D108" s="7">
        <v>108.2</v>
      </c>
      <c r="E108" s="2"/>
      <c r="F108" s="2"/>
      <c r="G108" s="2"/>
    </row>
    <row r="109" spans="1:7" ht="13" x14ac:dyDescent="0.25">
      <c r="A109" s="11">
        <v>39</v>
      </c>
      <c r="B109" s="7">
        <v>23.3</v>
      </c>
      <c r="C109" s="7">
        <v>46.5</v>
      </c>
      <c r="D109" s="7">
        <v>94.4</v>
      </c>
      <c r="E109" s="2"/>
      <c r="F109" s="2"/>
      <c r="G109" s="2"/>
    </row>
    <row r="110" spans="1:7" ht="13" x14ac:dyDescent="0.25">
      <c r="A110" s="11">
        <v>40</v>
      </c>
      <c r="B110" s="7">
        <v>30.3</v>
      </c>
      <c r="C110" s="7">
        <v>57.1</v>
      </c>
      <c r="D110" s="7">
        <v>100.2</v>
      </c>
      <c r="E110" s="2"/>
      <c r="F110" s="2"/>
      <c r="G110" s="2"/>
    </row>
    <row r="111" spans="1:7" ht="13" x14ac:dyDescent="0.25">
      <c r="A111" s="11">
        <v>41</v>
      </c>
      <c r="B111" s="7">
        <v>41.1</v>
      </c>
      <c r="C111" s="7">
        <v>47.3</v>
      </c>
      <c r="D111" s="7">
        <v>89.9</v>
      </c>
      <c r="E111" s="2"/>
      <c r="F111" s="2"/>
      <c r="G111" s="2"/>
    </row>
    <row r="112" spans="1:7" ht="13" x14ac:dyDescent="0.25">
      <c r="A112" s="11">
        <v>42</v>
      </c>
      <c r="B112" s="7">
        <v>40.4</v>
      </c>
      <c r="C112" s="7">
        <v>52.8</v>
      </c>
      <c r="D112" s="7">
        <v>92.9</v>
      </c>
      <c r="E112" s="2"/>
      <c r="F112" s="2"/>
      <c r="G112" s="2"/>
    </row>
    <row r="113" spans="1:7" ht="13" x14ac:dyDescent="0.25">
      <c r="A113" s="11">
        <v>43</v>
      </c>
      <c r="B113" s="7">
        <v>29.4</v>
      </c>
      <c r="C113" s="7">
        <v>58</v>
      </c>
      <c r="D113" s="7">
        <v>91.9</v>
      </c>
      <c r="E113" s="2"/>
      <c r="F113" s="2"/>
      <c r="G113" s="2"/>
    </row>
    <row r="114" spans="1:7" ht="13" x14ac:dyDescent="0.25">
      <c r="A114" s="11">
        <v>44</v>
      </c>
      <c r="B114" s="7">
        <v>44.4</v>
      </c>
      <c r="C114" s="7">
        <v>59.7</v>
      </c>
      <c r="D114" s="7">
        <v>79.099999999999994</v>
      </c>
      <c r="E114" s="2"/>
      <c r="F114" s="2"/>
      <c r="G114" s="2"/>
    </row>
    <row r="115" spans="1:7" ht="13" x14ac:dyDescent="0.25">
      <c r="A115" s="11">
        <v>45</v>
      </c>
      <c r="B115" s="7">
        <v>25.8</v>
      </c>
      <c r="C115" s="7">
        <v>54.1</v>
      </c>
      <c r="D115" s="7">
        <v>92.9</v>
      </c>
      <c r="E115" s="2"/>
      <c r="F115" s="2"/>
      <c r="G115" s="2"/>
    </row>
    <row r="116" spans="1:7" ht="13" x14ac:dyDescent="0.25">
      <c r="A116" s="11">
        <v>46</v>
      </c>
      <c r="B116" s="7">
        <v>44.7</v>
      </c>
      <c r="C116" s="7">
        <v>56.3</v>
      </c>
      <c r="D116" s="7">
        <v>100.7</v>
      </c>
      <c r="E116" s="2"/>
      <c r="F116" s="2"/>
      <c r="G116" s="2"/>
    </row>
    <row r="117" spans="1:7" ht="13" x14ac:dyDescent="0.25">
      <c r="A117" s="11">
        <v>47</v>
      </c>
      <c r="B117" s="7">
        <v>42.5</v>
      </c>
      <c r="C117" s="7">
        <v>54.3</v>
      </c>
      <c r="D117" s="7">
        <v>99.2</v>
      </c>
      <c r="E117" s="2"/>
      <c r="F117" s="2"/>
      <c r="G117" s="2"/>
    </row>
    <row r="118" spans="1:7" ht="13" x14ac:dyDescent="0.25">
      <c r="A118" s="11">
        <v>48</v>
      </c>
      <c r="B118" s="7">
        <v>21.7</v>
      </c>
      <c r="C118" s="7">
        <v>56</v>
      </c>
      <c r="D118" s="7">
        <v>74.8</v>
      </c>
      <c r="E118" s="2"/>
      <c r="F118" s="2"/>
      <c r="G118" s="2"/>
    </row>
    <row r="119" spans="1:7" ht="13" x14ac:dyDescent="0.25">
      <c r="A119" s="11">
        <v>49</v>
      </c>
      <c r="B119" s="7">
        <v>42.1</v>
      </c>
      <c r="C119" s="7">
        <v>47.8</v>
      </c>
      <c r="D119" s="7">
        <v>95.1</v>
      </c>
      <c r="E119" s="2"/>
      <c r="F119" s="2"/>
      <c r="G119" s="2"/>
    </row>
    <row r="120" spans="1:7" ht="13" x14ac:dyDescent="0.25">
      <c r="A120" s="11">
        <v>50</v>
      </c>
      <c r="B120" s="7">
        <v>43</v>
      </c>
      <c r="C120" s="7">
        <v>54.6</v>
      </c>
      <c r="D120" s="7">
        <v>75.8</v>
      </c>
      <c r="E120" s="2"/>
      <c r="F120" s="2"/>
      <c r="G120" s="2"/>
    </row>
    <row r="121" spans="1:7" ht="13" x14ac:dyDescent="0.25">
      <c r="A121" s="11">
        <v>51</v>
      </c>
      <c r="B121" s="7">
        <v>35.299999999999997</v>
      </c>
      <c r="C121" s="7">
        <v>57.5</v>
      </c>
      <c r="D121" s="7">
        <v>98.1</v>
      </c>
      <c r="E121" s="2"/>
      <c r="F121" s="2"/>
      <c r="G121" s="2"/>
    </row>
    <row r="122" spans="1:7" ht="13" x14ac:dyDescent="0.25">
      <c r="A122" s="11">
        <v>52</v>
      </c>
      <c r="B122" s="7">
        <v>23.3</v>
      </c>
      <c r="C122" s="7">
        <v>50</v>
      </c>
      <c r="D122" s="7">
        <v>81.3</v>
      </c>
      <c r="E122" s="2"/>
      <c r="F122" s="2"/>
      <c r="G122" s="2"/>
    </row>
    <row r="123" spans="1:7" ht="13" x14ac:dyDescent="0.25">
      <c r="A123" s="11">
        <v>53</v>
      </c>
      <c r="B123" s="7">
        <v>29.3</v>
      </c>
      <c r="C123" s="7">
        <v>46.5</v>
      </c>
      <c r="D123" s="7">
        <v>89.1</v>
      </c>
      <c r="E123" s="2"/>
      <c r="F123" s="2"/>
      <c r="G123" s="2"/>
    </row>
    <row r="124" spans="1:7" ht="13" x14ac:dyDescent="0.25">
      <c r="A124" s="11">
        <v>54</v>
      </c>
      <c r="B124" s="7">
        <v>40.6</v>
      </c>
      <c r="C124" s="7">
        <v>47.9</v>
      </c>
      <c r="D124" s="7">
        <v>78.900000000000006</v>
      </c>
      <c r="E124" s="2"/>
      <c r="F124" s="2"/>
      <c r="G124" s="2"/>
    </row>
    <row r="125" spans="1:7" ht="13" x14ac:dyDescent="0.25">
      <c r="A125" s="11">
        <v>55</v>
      </c>
      <c r="B125" s="7">
        <v>40.5</v>
      </c>
      <c r="C125" s="7">
        <v>51.8</v>
      </c>
      <c r="D125" s="7">
        <v>71.3</v>
      </c>
      <c r="E125" s="2"/>
      <c r="F125" s="2"/>
      <c r="G125" s="2"/>
    </row>
    <row r="126" spans="1:7" ht="13" x14ac:dyDescent="0.25">
      <c r="A126" s="11">
        <v>56</v>
      </c>
      <c r="B126" s="7">
        <v>41</v>
      </c>
      <c r="C126" s="7">
        <v>59.4</v>
      </c>
      <c r="D126" s="7">
        <v>98.6</v>
      </c>
      <c r="E126" s="2"/>
      <c r="F126" s="2"/>
      <c r="G126" s="2"/>
    </row>
    <row r="127" spans="1:7" ht="13" x14ac:dyDescent="0.25">
      <c r="A127" s="11">
        <v>57</v>
      </c>
      <c r="B127" s="7">
        <v>34.700000000000003</v>
      </c>
      <c r="C127" s="7">
        <v>46.3</v>
      </c>
      <c r="D127" s="7">
        <v>97.5</v>
      </c>
      <c r="E127" s="2"/>
      <c r="F127" s="2"/>
      <c r="G127" s="2"/>
    </row>
    <row r="128" spans="1:7" ht="13" x14ac:dyDescent="0.25">
      <c r="A128" s="11">
        <v>58</v>
      </c>
      <c r="B128" s="7">
        <v>37.1</v>
      </c>
      <c r="C128" s="7">
        <v>54.3</v>
      </c>
      <c r="D128" s="7">
        <v>67.8</v>
      </c>
      <c r="E128" s="2"/>
      <c r="F128" s="2"/>
      <c r="G128" s="2"/>
    </row>
    <row r="129" spans="1:7" ht="13" x14ac:dyDescent="0.25">
      <c r="A129" s="11">
        <v>59</v>
      </c>
      <c r="B129" s="7">
        <v>29.1</v>
      </c>
      <c r="C129" s="7">
        <v>53.2</v>
      </c>
      <c r="D129" s="7">
        <v>104.7</v>
      </c>
      <c r="E129" s="2"/>
      <c r="F129" s="2"/>
      <c r="G129" s="2"/>
    </row>
    <row r="130" spans="1:7" ht="13" x14ac:dyDescent="0.25">
      <c r="A130" s="11">
        <v>60</v>
      </c>
      <c r="B130" s="7">
        <v>32</v>
      </c>
      <c r="C130" s="7">
        <v>59.9</v>
      </c>
      <c r="D130" s="7">
        <v>88.5</v>
      </c>
      <c r="E130" s="2"/>
      <c r="F130" s="2"/>
      <c r="G130" s="2"/>
    </row>
    <row r="131" spans="1:7" ht="13" x14ac:dyDescent="0.25">
      <c r="A131" s="11">
        <v>61</v>
      </c>
      <c r="B131" s="7">
        <v>30.8</v>
      </c>
      <c r="C131" s="7">
        <v>65</v>
      </c>
      <c r="D131" s="7">
        <v>104</v>
      </c>
      <c r="E131" s="2"/>
      <c r="F131" s="2"/>
      <c r="G131" s="2"/>
    </row>
    <row r="132" spans="1:7" ht="13" x14ac:dyDescent="0.25">
      <c r="A132" s="11">
        <v>62</v>
      </c>
      <c r="B132" s="7">
        <v>20.399999999999999</v>
      </c>
      <c r="C132" s="7">
        <v>54.9</v>
      </c>
      <c r="D132" s="7">
        <v>103.3</v>
      </c>
      <c r="E132" s="2"/>
      <c r="F132" s="2"/>
      <c r="G132" s="2"/>
    </row>
    <row r="133" spans="1:7" ht="13.5" thickBot="1" x14ac:dyDescent="0.3">
      <c r="A133" s="14">
        <v>63</v>
      </c>
      <c r="B133" s="7">
        <v>32.4</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58.7</v>
      </c>
      <c r="C138" s="13">
        <f>ROUNDDOWN(AVERAGE(E5:G20),1)</f>
        <v>72.099999999999994</v>
      </c>
      <c r="D138" s="11">
        <f>'2020.12'!D138</f>
        <v>8438</v>
      </c>
      <c r="E138" s="11">
        <v>15964</v>
      </c>
      <c r="F138" s="11">
        <f>B138*D138</f>
        <v>495310.60000000003</v>
      </c>
      <c r="G138" s="11">
        <f>C138*E138</f>
        <v>1151004.3999999999</v>
      </c>
    </row>
    <row r="139" spans="1:7" ht="13" x14ac:dyDescent="0.25">
      <c r="A139" s="6" t="str">
        <f>A21</f>
        <v>Dongtai Jianggang Farm</v>
      </c>
      <c r="B139" s="13">
        <f>ROUNDDOWN(AVERAGE(B24:D33),1)</f>
        <v>56.6</v>
      </c>
      <c r="C139" s="13">
        <f>ROUNDDOWN(AVERAGE(E24:G52),1)</f>
        <v>71.8</v>
      </c>
      <c r="D139" s="11">
        <f>'2020.12'!D139</f>
        <v>9440</v>
      </c>
      <c r="E139" s="11">
        <v>29472</v>
      </c>
      <c r="F139" s="11">
        <f t="shared" ref="F139:G141" si="0">B139*D139</f>
        <v>534304</v>
      </c>
      <c r="G139" s="11">
        <f t="shared" si="0"/>
        <v>2116089.6</v>
      </c>
    </row>
    <row r="140" spans="1:7" ht="13" x14ac:dyDescent="0.25">
      <c r="A140" s="6" t="str">
        <f>A53</f>
        <v>Sheyang Linhai Farm</v>
      </c>
      <c r="B140" s="13">
        <f>ROUNDDOWN(AVERAGE(B56:D67),1)</f>
        <v>60.3</v>
      </c>
      <c r="C140" s="13">
        <f>ROUNDDOWN(AVERAGE(E56:G62),1)</f>
        <v>72.8</v>
      </c>
      <c r="D140" s="11">
        <f>'2020.12'!D140</f>
        <v>11825</v>
      </c>
      <c r="E140" s="11">
        <v>6429</v>
      </c>
      <c r="F140" s="11">
        <f t="shared" si="0"/>
        <v>713047.5</v>
      </c>
      <c r="G140" s="11">
        <f t="shared" si="0"/>
        <v>468031.19999999995</v>
      </c>
    </row>
    <row r="141" spans="1:7" ht="13" x14ac:dyDescent="0.25">
      <c r="A141" s="6" t="str">
        <f>A68</f>
        <v>Siyang Nanliuji</v>
      </c>
      <c r="B141" s="13">
        <f>ROUNDDOWN(AVERAGE(B71:D133),1)</f>
        <v>59.4</v>
      </c>
      <c r="C141" s="11">
        <f>ROUNDDOWN(AVERAGE(0),1)</f>
        <v>0</v>
      </c>
      <c r="D141" s="11">
        <f>'2020.12'!D141</f>
        <v>65005</v>
      </c>
      <c r="E141" s="11">
        <v>0</v>
      </c>
      <c r="F141" s="11">
        <f t="shared" si="0"/>
        <v>3861297</v>
      </c>
      <c r="G141" s="11">
        <f t="shared" si="0"/>
        <v>0</v>
      </c>
    </row>
    <row r="142" spans="1:7" ht="13" x14ac:dyDescent="0.25">
      <c r="A142" s="613" t="s">
        <v>154</v>
      </c>
      <c r="B142" s="617"/>
      <c r="C142" s="614"/>
      <c r="D142" s="11">
        <f>SUM(D138:D141)</f>
        <v>94708</v>
      </c>
      <c r="E142" s="11">
        <f>SUM(E138:E141)</f>
        <v>51865</v>
      </c>
      <c r="F142" s="11">
        <f>SUM(F138:F141)</f>
        <v>5603959.0999999996</v>
      </c>
      <c r="G142" s="11">
        <f>SUM(G138:G141)</f>
        <v>3735125.2</v>
      </c>
    </row>
    <row r="144" spans="1:7" ht="13" x14ac:dyDescent="0.25">
      <c r="C144" s="613" t="s">
        <v>155</v>
      </c>
      <c r="D144" s="614"/>
    </row>
    <row r="145" spans="3:4" ht="13" x14ac:dyDescent="0.25">
      <c r="C145" s="11" t="s">
        <v>152</v>
      </c>
      <c r="D145" s="11" t="s">
        <v>153</v>
      </c>
    </row>
    <row r="146" spans="3:4" ht="13" x14ac:dyDescent="0.25">
      <c r="C146" s="12">
        <f>ROUNDDOWN(F142/D142,1)</f>
        <v>59.1</v>
      </c>
      <c r="D146" s="12">
        <f>ROUNDDOWN(G142/E142,1)</f>
        <v>72</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46"/>
  <sheetViews>
    <sheetView workbookViewId="0">
      <selection activeCell="A3" sqref="A3"/>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'2021.1'!A2:G2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31.5</v>
      </c>
      <c r="C5" s="7">
        <v>61.3</v>
      </c>
      <c r="D5" s="7">
        <v>109.9</v>
      </c>
      <c r="E5" s="7">
        <v>54.6</v>
      </c>
      <c r="F5" s="7">
        <v>66.7</v>
      </c>
      <c r="G5" s="7">
        <v>97.9</v>
      </c>
    </row>
    <row r="6" spans="1:7" ht="13" x14ac:dyDescent="0.25">
      <c r="A6" s="11">
        <v>2</v>
      </c>
      <c r="B6" s="7">
        <v>20.9</v>
      </c>
      <c r="C6" s="7">
        <v>59.3</v>
      </c>
      <c r="D6" s="7">
        <v>71.3</v>
      </c>
      <c r="E6" s="7">
        <v>27.5</v>
      </c>
      <c r="F6" s="7">
        <v>83.4</v>
      </c>
      <c r="G6" s="7">
        <v>86.8</v>
      </c>
    </row>
    <row r="7" spans="1:7" ht="13" x14ac:dyDescent="0.25">
      <c r="A7" s="11">
        <v>3</v>
      </c>
      <c r="B7" s="7">
        <v>21.4</v>
      </c>
      <c r="C7" s="7">
        <v>48.6</v>
      </c>
      <c r="D7" s="7">
        <v>108</v>
      </c>
      <c r="E7" s="7">
        <v>48.9</v>
      </c>
      <c r="F7" s="7">
        <v>66.3</v>
      </c>
      <c r="G7" s="7">
        <v>119.4</v>
      </c>
    </row>
    <row r="8" spans="1:7" ht="13" x14ac:dyDescent="0.25">
      <c r="A8" s="11">
        <v>4</v>
      </c>
      <c r="B8" s="7">
        <v>22.7</v>
      </c>
      <c r="C8" s="7">
        <v>48.5</v>
      </c>
      <c r="D8" s="7">
        <v>99.7</v>
      </c>
      <c r="E8" s="7">
        <v>49.4</v>
      </c>
      <c r="F8" s="7">
        <v>75.599999999999994</v>
      </c>
      <c r="G8" s="7">
        <v>117.8</v>
      </c>
    </row>
    <row r="9" spans="1:7" ht="13" x14ac:dyDescent="0.25">
      <c r="A9" s="11">
        <v>5</v>
      </c>
      <c r="B9" s="7">
        <v>30.7</v>
      </c>
      <c r="C9" s="7">
        <v>53.2</v>
      </c>
      <c r="D9" s="7">
        <v>107.5</v>
      </c>
      <c r="E9" s="7">
        <v>43</v>
      </c>
      <c r="F9" s="7">
        <v>68</v>
      </c>
      <c r="G9" s="7">
        <v>118</v>
      </c>
    </row>
    <row r="10" spans="1:7" ht="13" x14ac:dyDescent="0.25">
      <c r="A10" s="11">
        <v>6</v>
      </c>
      <c r="B10" s="7">
        <v>23.8</v>
      </c>
      <c r="C10" s="7">
        <v>46.4</v>
      </c>
      <c r="D10" s="7">
        <v>93.5</v>
      </c>
      <c r="E10" s="7">
        <v>47</v>
      </c>
      <c r="F10" s="7">
        <v>64.599999999999994</v>
      </c>
      <c r="G10" s="7">
        <v>85.5</v>
      </c>
    </row>
    <row r="11" spans="1:7" ht="13" x14ac:dyDescent="0.25">
      <c r="A11" s="11">
        <v>7</v>
      </c>
      <c r="B11" s="7">
        <v>23.1</v>
      </c>
      <c r="C11" s="7">
        <v>58.6</v>
      </c>
      <c r="D11" s="7">
        <v>88.3</v>
      </c>
      <c r="E11" s="7">
        <v>33.700000000000003</v>
      </c>
      <c r="F11" s="7">
        <v>78.8</v>
      </c>
      <c r="G11" s="7">
        <v>105.2</v>
      </c>
    </row>
    <row r="12" spans="1:7" ht="13" x14ac:dyDescent="0.25">
      <c r="A12" s="11">
        <v>8</v>
      </c>
      <c r="B12" s="7">
        <v>36.1</v>
      </c>
      <c r="C12" s="7">
        <v>50.3</v>
      </c>
      <c r="D12" s="7">
        <v>88.6</v>
      </c>
      <c r="E12" s="7">
        <v>49.6</v>
      </c>
      <c r="F12" s="7">
        <v>75.7</v>
      </c>
      <c r="G12" s="7">
        <v>98.5</v>
      </c>
    </row>
    <row r="13" spans="1:7" ht="13" x14ac:dyDescent="0.25">
      <c r="A13" s="11">
        <v>9</v>
      </c>
      <c r="B13" s="7">
        <v>36.5</v>
      </c>
      <c r="C13" s="7">
        <v>62.3</v>
      </c>
      <c r="D13" s="7">
        <v>109.3</v>
      </c>
      <c r="E13" s="7">
        <v>55.3</v>
      </c>
      <c r="F13" s="7">
        <v>70.3</v>
      </c>
      <c r="G13" s="7">
        <v>94.7</v>
      </c>
    </row>
    <row r="14" spans="1:7" ht="13" x14ac:dyDescent="0.25">
      <c r="A14" s="11">
        <v>10</v>
      </c>
      <c r="B14" s="7"/>
      <c r="C14" s="7"/>
      <c r="D14" s="7"/>
      <c r="E14" s="7">
        <v>26.2</v>
      </c>
      <c r="F14" s="7">
        <v>63.8</v>
      </c>
      <c r="G14" s="7">
        <v>92.5</v>
      </c>
    </row>
    <row r="15" spans="1:7" ht="13" x14ac:dyDescent="0.25">
      <c r="A15" s="11">
        <v>11</v>
      </c>
      <c r="B15" s="7"/>
      <c r="C15" s="7"/>
      <c r="D15" s="7"/>
      <c r="E15" s="7">
        <v>50.6</v>
      </c>
      <c r="F15" s="7">
        <v>81.7</v>
      </c>
      <c r="G15" s="7">
        <v>90.8</v>
      </c>
    </row>
    <row r="16" spans="1:7" ht="13" x14ac:dyDescent="0.25">
      <c r="A16" s="11">
        <v>12</v>
      </c>
      <c r="B16" s="7"/>
      <c r="C16" s="7"/>
      <c r="D16" s="7"/>
      <c r="E16" s="7">
        <v>44.6</v>
      </c>
      <c r="F16" s="7">
        <v>67.7</v>
      </c>
      <c r="G16" s="7">
        <v>110.1</v>
      </c>
    </row>
    <row r="17" spans="1:7" ht="13" x14ac:dyDescent="0.25">
      <c r="A17" s="11">
        <v>13</v>
      </c>
      <c r="B17" s="7"/>
      <c r="C17" s="7"/>
      <c r="D17" s="7"/>
      <c r="E17" s="7">
        <v>41</v>
      </c>
      <c r="F17" s="7">
        <v>71.599999999999994</v>
      </c>
      <c r="G17" s="7">
        <v>108.1</v>
      </c>
    </row>
    <row r="18" spans="1:7" ht="13" x14ac:dyDescent="0.25">
      <c r="A18" s="11">
        <v>14</v>
      </c>
      <c r="B18" s="7"/>
      <c r="C18" s="7"/>
      <c r="D18" s="7"/>
      <c r="E18" s="7">
        <v>27.5</v>
      </c>
      <c r="F18" s="7">
        <v>77.3</v>
      </c>
      <c r="G18" s="7">
        <v>87.7</v>
      </c>
    </row>
    <row r="19" spans="1:7" ht="13" x14ac:dyDescent="0.25">
      <c r="A19" s="11">
        <v>15</v>
      </c>
      <c r="B19" s="7"/>
      <c r="C19" s="7"/>
      <c r="D19" s="7"/>
      <c r="E19" s="7">
        <v>51.5</v>
      </c>
      <c r="F19" s="7">
        <v>65.099999999999994</v>
      </c>
      <c r="G19" s="7">
        <v>95.2</v>
      </c>
    </row>
    <row r="20" spans="1:7" ht="13.5" thickBot="1" x14ac:dyDescent="0.3">
      <c r="A20" s="14">
        <v>16</v>
      </c>
      <c r="B20" s="15"/>
      <c r="C20" s="15"/>
      <c r="D20" s="15"/>
      <c r="E20" s="7">
        <v>34.1</v>
      </c>
      <c r="F20" s="7">
        <v>72</v>
      </c>
      <c r="G20" s="7">
        <v>108.4</v>
      </c>
    </row>
    <row r="21" spans="1:7" ht="13.5" thickTop="1" x14ac:dyDescent="0.25">
      <c r="A21" s="612" t="str">
        <f>'2021.1'!A21:G21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36.700000000000003</v>
      </c>
      <c r="C24" s="7">
        <v>45.9</v>
      </c>
      <c r="D24" s="7">
        <v>65.099999999999994</v>
      </c>
      <c r="E24" s="7">
        <v>50.2</v>
      </c>
      <c r="F24" s="7">
        <v>81.900000000000006</v>
      </c>
      <c r="G24" s="7">
        <v>102.2</v>
      </c>
    </row>
    <row r="25" spans="1:7" ht="13" x14ac:dyDescent="0.25">
      <c r="A25" s="11">
        <v>2</v>
      </c>
      <c r="B25" s="7">
        <v>26.4</v>
      </c>
      <c r="C25" s="7">
        <v>58.7</v>
      </c>
      <c r="D25" s="7">
        <v>103</v>
      </c>
      <c r="E25" s="7">
        <v>49.3</v>
      </c>
      <c r="F25" s="7">
        <v>63.7</v>
      </c>
      <c r="G25" s="7">
        <v>116.2</v>
      </c>
    </row>
    <row r="26" spans="1:7" ht="13" x14ac:dyDescent="0.25">
      <c r="A26" s="11">
        <v>3</v>
      </c>
      <c r="B26" s="7">
        <v>40.6</v>
      </c>
      <c r="C26" s="7">
        <v>59.5</v>
      </c>
      <c r="D26" s="7">
        <v>87.8</v>
      </c>
      <c r="E26" s="7">
        <v>58.6</v>
      </c>
      <c r="F26" s="7">
        <v>76.3</v>
      </c>
      <c r="G26" s="7">
        <v>99.3</v>
      </c>
    </row>
    <row r="27" spans="1:7" ht="13" x14ac:dyDescent="0.25">
      <c r="A27" s="11">
        <v>4</v>
      </c>
      <c r="B27" s="7">
        <v>36.700000000000003</v>
      </c>
      <c r="C27" s="7">
        <v>58.5</v>
      </c>
      <c r="D27" s="7">
        <v>90.3</v>
      </c>
      <c r="E27" s="7">
        <v>44.8</v>
      </c>
      <c r="F27" s="7">
        <v>83</v>
      </c>
      <c r="G27" s="7">
        <v>102.8</v>
      </c>
    </row>
    <row r="28" spans="1:7" ht="13" x14ac:dyDescent="0.25">
      <c r="A28" s="11">
        <v>5</v>
      </c>
      <c r="B28" s="7">
        <v>43.5</v>
      </c>
      <c r="C28" s="7">
        <v>45.8</v>
      </c>
      <c r="D28" s="7">
        <v>73.7</v>
      </c>
      <c r="E28" s="7">
        <v>55.7</v>
      </c>
      <c r="F28" s="7">
        <v>80.8</v>
      </c>
      <c r="G28" s="7">
        <v>98.9</v>
      </c>
    </row>
    <row r="29" spans="1:7" ht="13" x14ac:dyDescent="0.25">
      <c r="A29" s="11">
        <v>6</v>
      </c>
      <c r="B29" s="7">
        <v>41.4</v>
      </c>
      <c r="C29" s="7">
        <v>59.5</v>
      </c>
      <c r="D29" s="7">
        <v>83.9</v>
      </c>
      <c r="E29" s="7">
        <v>56.1</v>
      </c>
      <c r="F29" s="7">
        <v>73.099999999999994</v>
      </c>
      <c r="G29" s="7">
        <v>105.7</v>
      </c>
    </row>
    <row r="30" spans="1:7" ht="13" x14ac:dyDescent="0.25">
      <c r="A30" s="11">
        <v>7</v>
      </c>
      <c r="B30" s="7">
        <v>42</v>
      </c>
      <c r="C30" s="7">
        <v>47.6</v>
      </c>
      <c r="D30" s="7">
        <v>67.2</v>
      </c>
      <c r="E30" s="7">
        <v>48.2</v>
      </c>
      <c r="F30" s="7">
        <v>78</v>
      </c>
      <c r="G30" s="7">
        <v>107.2</v>
      </c>
    </row>
    <row r="31" spans="1:7" ht="13" x14ac:dyDescent="0.25">
      <c r="A31" s="11">
        <v>8</v>
      </c>
      <c r="B31" s="7">
        <v>20</v>
      </c>
      <c r="C31" s="7">
        <v>52.6</v>
      </c>
      <c r="D31" s="7">
        <v>87.9</v>
      </c>
      <c r="E31" s="7">
        <v>39.799999999999997</v>
      </c>
      <c r="F31" s="7">
        <v>83.5</v>
      </c>
      <c r="G31" s="7">
        <v>117.2</v>
      </c>
    </row>
    <row r="32" spans="1:7" ht="13" x14ac:dyDescent="0.25">
      <c r="A32" s="11">
        <v>9</v>
      </c>
      <c r="B32" s="7">
        <v>39.700000000000003</v>
      </c>
      <c r="C32" s="7">
        <v>56.3</v>
      </c>
      <c r="D32" s="7">
        <v>66.7</v>
      </c>
      <c r="E32" s="7">
        <v>57.9</v>
      </c>
      <c r="F32" s="7">
        <v>69.3</v>
      </c>
      <c r="G32" s="7">
        <v>108.7</v>
      </c>
    </row>
    <row r="33" spans="1:7" ht="13" x14ac:dyDescent="0.25">
      <c r="A33" s="11">
        <v>10</v>
      </c>
      <c r="B33" s="7">
        <v>31.5</v>
      </c>
      <c r="C33" s="7">
        <v>59.7</v>
      </c>
      <c r="D33" s="7">
        <v>77.8</v>
      </c>
      <c r="E33" s="7">
        <v>36.200000000000003</v>
      </c>
      <c r="F33" s="7">
        <v>84</v>
      </c>
      <c r="G33" s="7">
        <v>113.5</v>
      </c>
    </row>
    <row r="34" spans="1:7" ht="13" x14ac:dyDescent="0.25">
      <c r="A34" s="11">
        <v>11</v>
      </c>
      <c r="B34" s="7"/>
      <c r="C34" s="7"/>
      <c r="D34" s="7"/>
      <c r="E34" s="7">
        <v>25.5</v>
      </c>
      <c r="F34" s="7">
        <v>83.3</v>
      </c>
      <c r="G34" s="7">
        <v>113.6</v>
      </c>
    </row>
    <row r="35" spans="1:7" ht="13" x14ac:dyDescent="0.25">
      <c r="A35" s="11">
        <v>12</v>
      </c>
      <c r="B35" s="7"/>
      <c r="C35" s="7"/>
      <c r="D35" s="7"/>
      <c r="E35" s="7">
        <v>26.4</v>
      </c>
      <c r="F35" s="7">
        <v>83.4</v>
      </c>
      <c r="G35" s="7">
        <v>101.4</v>
      </c>
    </row>
    <row r="36" spans="1:7" ht="13" x14ac:dyDescent="0.25">
      <c r="A36" s="11">
        <v>13</v>
      </c>
      <c r="B36" s="7"/>
      <c r="C36" s="7"/>
      <c r="D36" s="7"/>
      <c r="E36" s="7">
        <v>34.700000000000003</v>
      </c>
      <c r="F36" s="7">
        <v>80.3</v>
      </c>
      <c r="G36" s="7">
        <v>96.5</v>
      </c>
    </row>
    <row r="37" spans="1:7" ht="13" x14ac:dyDescent="0.25">
      <c r="A37" s="11">
        <v>14</v>
      </c>
      <c r="B37" s="7"/>
      <c r="C37" s="7"/>
      <c r="D37" s="7"/>
      <c r="E37" s="7">
        <v>50.9</v>
      </c>
      <c r="F37" s="7">
        <v>75.099999999999994</v>
      </c>
      <c r="G37" s="7">
        <v>105.3</v>
      </c>
    </row>
    <row r="38" spans="1:7" ht="13" x14ac:dyDescent="0.25">
      <c r="A38" s="11">
        <v>15</v>
      </c>
      <c r="B38" s="7"/>
      <c r="C38" s="7"/>
      <c r="D38" s="7"/>
      <c r="E38" s="7">
        <v>40.6</v>
      </c>
      <c r="F38" s="7">
        <v>71.7</v>
      </c>
      <c r="G38" s="7">
        <v>115.8</v>
      </c>
    </row>
    <row r="39" spans="1:7" ht="13" x14ac:dyDescent="0.25">
      <c r="A39" s="11">
        <v>16</v>
      </c>
      <c r="B39" s="7"/>
      <c r="C39" s="7"/>
      <c r="D39" s="7"/>
      <c r="E39" s="7">
        <v>42.6</v>
      </c>
      <c r="F39" s="7">
        <v>80.2</v>
      </c>
      <c r="G39" s="7">
        <v>87.7</v>
      </c>
    </row>
    <row r="40" spans="1:7" ht="13" x14ac:dyDescent="0.25">
      <c r="A40" s="11">
        <v>17</v>
      </c>
      <c r="B40" s="7"/>
      <c r="C40" s="7"/>
      <c r="D40" s="7"/>
      <c r="E40" s="7">
        <v>26.2</v>
      </c>
      <c r="F40" s="7">
        <v>70.099999999999994</v>
      </c>
      <c r="G40" s="7">
        <v>104.4</v>
      </c>
    </row>
    <row r="41" spans="1:7" ht="13" x14ac:dyDescent="0.25">
      <c r="A41" s="11">
        <v>18</v>
      </c>
      <c r="B41" s="7"/>
      <c r="C41" s="7"/>
      <c r="D41" s="7"/>
      <c r="E41" s="7">
        <v>58.2</v>
      </c>
      <c r="F41" s="7">
        <v>64.3</v>
      </c>
      <c r="G41" s="7">
        <v>87.9</v>
      </c>
    </row>
    <row r="42" spans="1:7" ht="13" x14ac:dyDescent="0.25">
      <c r="A42" s="11">
        <v>19</v>
      </c>
      <c r="B42" s="7"/>
      <c r="C42" s="7"/>
      <c r="D42" s="7"/>
      <c r="E42" s="7">
        <v>32.6</v>
      </c>
      <c r="F42" s="7">
        <v>84.8</v>
      </c>
      <c r="G42" s="7">
        <v>119</v>
      </c>
    </row>
    <row r="43" spans="1:7" ht="13" x14ac:dyDescent="0.25">
      <c r="A43" s="11">
        <v>20</v>
      </c>
      <c r="B43" s="7"/>
      <c r="C43" s="7"/>
      <c r="D43" s="7"/>
      <c r="E43" s="7">
        <v>46.5</v>
      </c>
      <c r="F43" s="7">
        <v>61.7</v>
      </c>
      <c r="G43" s="7">
        <v>110.5</v>
      </c>
    </row>
    <row r="44" spans="1:7" ht="13" x14ac:dyDescent="0.25">
      <c r="A44" s="11">
        <v>21</v>
      </c>
      <c r="B44" s="7"/>
      <c r="C44" s="7"/>
      <c r="D44" s="7"/>
      <c r="E44" s="7">
        <v>32.200000000000003</v>
      </c>
      <c r="F44" s="7">
        <v>69.3</v>
      </c>
      <c r="G44" s="7">
        <v>108.3</v>
      </c>
    </row>
    <row r="45" spans="1:7" ht="13" x14ac:dyDescent="0.25">
      <c r="A45" s="11">
        <v>22</v>
      </c>
      <c r="B45" s="7"/>
      <c r="C45" s="7"/>
      <c r="D45" s="7"/>
      <c r="E45" s="7">
        <v>29.2</v>
      </c>
      <c r="F45" s="7">
        <v>63.5</v>
      </c>
      <c r="G45" s="7">
        <v>94.4</v>
      </c>
    </row>
    <row r="46" spans="1:7" ht="13" x14ac:dyDescent="0.25">
      <c r="A46" s="11">
        <v>23</v>
      </c>
      <c r="B46" s="7"/>
      <c r="C46" s="7"/>
      <c r="D46" s="7"/>
      <c r="E46" s="7">
        <v>34.4</v>
      </c>
      <c r="F46" s="7">
        <v>67.2</v>
      </c>
      <c r="G46" s="7">
        <v>91.4</v>
      </c>
    </row>
    <row r="47" spans="1:7" ht="13" x14ac:dyDescent="0.25">
      <c r="A47" s="11">
        <v>24</v>
      </c>
      <c r="B47" s="7"/>
      <c r="C47" s="7"/>
      <c r="D47" s="7"/>
      <c r="E47" s="7">
        <v>33.700000000000003</v>
      </c>
      <c r="F47" s="7">
        <v>84.8</v>
      </c>
      <c r="G47" s="7">
        <v>90.4</v>
      </c>
    </row>
    <row r="48" spans="1:7" ht="13" x14ac:dyDescent="0.25">
      <c r="A48" s="11">
        <v>25</v>
      </c>
      <c r="B48" s="7"/>
      <c r="C48" s="7"/>
      <c r="D48" s="7"/>
      <c r="E48" s="7">
        <v>26.8</v>
      </c>
      <c r="F48" s="7">
        <v>65.7</v>
      </c>
      <c r="G48" s="7">
        <v>115.9</v>
      </c>
    </row>
    <row r="49" spans="1:7" ht="13" x14ac:dyDescent="0.25">
      <c r="A49" s="11">
        <v>26</v>
      </c>
      <c r="B49" s="7"/>
      <c r="C49" s="16"/>
      <c r="D49" s="7"/>
      <c r="E49" s="7">
        <v>52.9</v>
      </c>
      <c r="F49" s="7">
        <v>60.7</v>
      </c>
      <c r="G49" s="7">
        <v>106.4</v>
      </c>
    </row>
    <row r="50" spans="1:7" ht="13" x14ac:dyDescent="0.25">
      <c r="A50" s="11">
        <v>27</v>
      </c>
      <c r="B50" s="7"/>
      <c r="C50" s="16"/>
      <c r="D50" s="7"/>
      <c r="E50" s="7">
        <v>47.3</v>
      </c>
      <c r="F50" s="7">
        <v>69.5</v>
      </c>
      <c r="G50" s="7">
        <v>112.9</v>
      </c>
    </row>
    <row r="51" spans="1:7" ht="13" x14ac:dyDescent="0.25">
      <c r="A51" s="11">
        <v>28</v>
      </c>
      <c r="B51" s="7"/>
      <c r="C51" s="17"/>
      <c r="D51" s="7"/>
      <c r="E51" s="7">
        <v>25.3</v>
      </c>
      <c r="F51" s="7">
        <v>60.1</v>
      </c>
      <c r="G51" s="7">
        <v>103.8</v>
      </c>
    </row>
    <row r="52" spans="1:7" ht="13.5" thickBot="1" x14ac:dyDescent="0.3">
      <c r="A52" s="14">
        <v>29</v>
      </c>
      <c r="B52" s="18"/>
      <c r="C52" s="18"/>
      <c r="D52" s="15"/>
      <c r="E52" s="7">
        <v>29.5</v>
      </c>
      <c r="F52" s="7">
        <v>71.3</v>
      </c>
      <c r="G52" s="7">
        <v>108.8</v>
      </c>
    </row>
    <row r="53" spans="1:7" ht="13.5" thickTop="1" x14ac:dyDescent="0.25">
      <c r="A53" s="612" t="str">
        <f>'2021.1'!A53:G53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28.4</v>
      </c>
      <c r="C56" s="7">
        <v>55</v>
      </c>
      <c r="D56" s="7">
        <v>96.7</v>
      </c>
      <c r="E56" s="7">
        <v>43.5</v>
      </c>
      <c r="F56" s="7">
        <v>71</v>
      </c>
      <c r="G56" s="7">
        <v>117.2</v>
      </c>
    </row>
    <row r="57" spans="1:7" ht="13" x14ac:dyDescent="0.25">
      <c r="A57" s="11">
        <v>2</v>
      </c>
      <c r="B57" s="7">
        <v>33.200000000000003</v>
      </c>
      <c r="C57" s="7">
        <v>62.8</v>
      </c>
      <c r="D57" s="7">
        <v>96.6</v>
      </c>
      <c r="E57" s="7">
        <v>27.2</v>
      </c>
      <c r="F57" s="7">
        <v>67</v>
      </c>
      <c r="G57" s="7">
        <v>114.5</v>
      </c>
    </row>
    <row r="58" spans="1:7" ht="13" x14ac:dyDescent="0.25">
      <c r="A58" s="11">
        <v>3</v>
      </c>
      <c r="B58" s="7">
        <v>32.9</v>
      </c>
      <c r="C58" s="7">
        <v>52.3</v>
      </c>
      <c r="D58" s="7">
        <v>87.2</v>
      </c>
      <c r="E58" s="7">
        <v>35.299999999999997</v>
      </c>
      <c r="F58" s="7">
        <v>78.7</v>
      </c>
      <c r="G58" s="7">
        <v>97.1</v>
      </c>
    </row>
    <row r="59" spans="1:7" ht="13" x14ac:dyDescent="0.25">
      <c r="A59" s="11">
        <v>4</v>
      </c>
      <c r="B59" s="7">
        <v>28.1</v>
      </c>
      <c r="C59" s="7">
        <v>55.6</v>
      </c>
      <c r="D59" s="7">
        <v>88.4</v>
      </c>
      <c r="E59" s="7">
        <v>45</v>
      </c>
      <c r="F59" s="7">
        <v>66.5</v>
      </c>
      <c r="G59" s="7">
        <v>97.7</v>
      </c>
    </row>
    <row r="60" spans="1:7" ht="13" x14ac:dyDescent="0.25">
      <c r="A60" s="11">
        <v>5</v>
      </c>
      <c r="B60" s="7">
        <v>26.3</v>
      </c>
      <c r="C60" s="7">
        <v>54.7</v>
      </c>
      <c r="D60" s="7">
        <v>109.3</v>
      </c>
      <c r="E60" s="7">
        <v>29.3</v>
      </c>
      <c r="F60" s="7">
        <v>66.7</v>
      </c>
      <c r="G60" s="7">
        <v>97.2</v>
      </c>
    </row>
    <row r="61" spans="1:7" ht="13" x14ac:dyDescent="0.25">
      <c r="A61" s="11">
        <v>6</v>
      </c>
      <c r="B61" s="7">
        <v>41.3</v>
      </c>
      <c r="C61" s="7">
        <v>64.099999999999994</v>
      </c>
      <c r="D61" s="7">
        <v>102.2</v>
      </c>
      <c r="E61" s="7">
        <v>42.5</v>
      </c>
      <c r="F61" s="7">
        <v>77.099999999999994</v>
      </c>
      <c r="G61" s="7">
        <v>107</v>
      </c>
    </row>
    <row r="62" spans="1:7" ht="13" x14ac:dyDescent="0.25">
      <c r="A62" s="11">
        <v>7</v>
      </c>
      <c r="B62" s="7">
        <v>21.5</v>
      </c>
      <c r="C62" s="7">
        <v>47.5</v>
      </c>
      <c r="D62" s="7">
        <v>65.599999999999994</v>
      </c>
      <c r="E62" s="7">
        <v>42.2</v>
      </c>
      <c r="F62" s="7">
        <v>65.400000000000006</v>
      </c>
      <c r="G62" s="7">
        <v>114.7</v>
      </c>
    </row>
    <row r="63" spans="1:7" ht="13" x14ac:dyDescent="0.25">
      <c r="A63" s="11">
        <v>8</v>
      </c>
      <c r="B63" s="7">
        <v>22.2</v>
      </c>
      <c r="C63" s="7">
        <v>50.1</v>
      </c>
      <c r="D63" s="7">
        <v>100.3</v>
      </c>
      <c r="E63" s="7"/>
      <c r="F63" s="7"/>
      <c r="G63" s="7"/>
    </row>
    <row r="64" spans="1:7" ht="13" x14ac:dyDescent="0.25">
      <c r="A64" s="11">
        <v>9</v>
      </c>
      <c r="B64" s="7">
        <v>37.1</v>
      </c>
      <c r="C64" s="7">
        <v>63.2</v>
      </c>
      <c r="D64" s="7">
        <v>82.5</v>
      </c>
      <c r="E64" s="7"/>
      <c r="F64" s="7"/>
      <c r="G64" s="7"/>
    </row>
    <row r="65" spans="1:7" ht="13" x14ac:dyDescent="0.25">
      <c r="A65" s="11">
        <v>10</v>
      </c>
      <c r="B65" s="7">
        <v>31.8</v>
      </c>
      <c r="C65" s="7">
        <v>54.7</v>
      </c>
      <c r="D65" s="7">
        <v>74.099999999999994</v>
      </c>
      <c r="E65" s="7"/>
      <c r="F65" s="7"/>
      <c r="G65" s="7"/>
    </row>
    <row r="66" spans="1:7" ht="13" x14ac:dyDescent="0.25">
      <c r="A66" s="11">
        <v>11</v>
      </c>
      <c r="B66" s="7">
        <v>27</v>
      </c>
      <c r="C66" s="7">
        <v>52.5</v>
      </c>
      <c r="D66" s="7">
        <v>100.3</v>
      </c>
      <c r="E66" s="7"/>
      <c r="F66" s="7"/>
      <c r="G66" s="7"/>
    </row>
    <row r="67" spans="1:7" ht="13.5" thickBot="1" x14ac:dyDescent="0.3">
      <c r="A67" s="14">
        <v>12</v>
      </c>
      <c r="B67" s="7">
        <v>36.200000000000003</v>
      </c>
      <c r="C67" s="7">
        <v>58.6</v>
      </c>
      <c r="D67" s="7">
        <v>70</v>
      </c>
      <c r="E67" s="15"/>
      <c r="F67" s="15"/>
      <c r="G67" s="15"/>
    </row>
    <row r="68" spans="1:7" ht="13.5" thickTop="1" x14ac:dyDescent="0.25">
      <c r="A68" s="612" t="str">
        <f>'2021.1'!A68:G68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31.3</v>
      </c>
      <c r="C71" s="7">
        <v>63.8</v>
      </c>
      <c r="D71" s="7">
        <v>101.1</v>
      </c>
      <c r="E71" s="7"/>
      <c r="F71" s="7"/>
      <c r="G71" s="7"/>
    </row>
    <row r="72" spans="1:7" ht="13" x14ac:dyDescent="0.25">
      <c r="A72" s="11">
        <v>2</v>
      </c>
      <c r="B72" s="7">
        <v>22.8</v>
      </c>
      <c r="C72" s="7">
        <v>56.4</v>
      </c>
      <c r="D72" s="7">
        <v>73.8</v>
      </c>
      <c r="E72" s="6"/>
      <c r="F72" s="6"/>
      <c r="G72" s="7"/>
    </row>
    <row r="73" spans="1:7" ht="13" x14ac:dyDescent="0.25">
      <c r="A73" s="11">
        <v>3</v>
      </c>
      <c r="B73" s="7">
        <v>26.9</v>
      </c>
      <c r="C73" s="7">
        <v>59</v>
      </c>
      <c r="D73" s="7">
        <v>72.8</v>
      </c>
      <c r="E73" s="6"/>
      <c r="F73" s="6"/>
      <c r="G73" s="6"/>
    </row>
    <row r="74" spans="1:7" ht="13" x14ac:dyDescent="0.25">
      <c r="A74" s="11">
        <v>4</v>
      </c>
      <c r="B74" s="7">
        <v>26.5</v>
      </c>
      <c r="C74" s="7">
        <v>48.7</v>
      </c>
      <c r="D74" s="7">
        <v>85</v>
      </c>
      <c r="E74" s="6"/>
      <c r="F74" s="6"/>
      <c r="G74" s="6"/>
    </row>
    <row r="75" spans="1:7" ht="13" x14ac:dyDescent="0.25">
      <c r="A75" s="11">
        <v>5</v>
      </c>
      <c r="B75" s="7">
        <v>30.7</v>
      </c>
      <c r="C75" s="7">
        <v>54.1</v>
      </c>
      <c r="D75" s="7">
        <v>88.6</v>
      </c>
      <c r="E75" s="6"/>
      <c r="F75" s="6"/>
      <c r="G75" s="6"/>
    </row>
    <row r="76" spans="1:7" ht="13" x14ac:dyDescent="0.25">
      <c r="A76" s="11">
        <v>6</v>
      </c>
      <c r="B76" s="7">
        <v>38.6</v>
      </c>
      <c r="C76" s="7">
        <v>51.7</v>
      </c>
      <c r="D76" s="7">
        <v>100.2</v>
      </c>
      <c r="E76" s="6"/>
      <c r="F76" s="6"/>
      <c r="G76" s="6"/>
    </row>
    <row r="77" spans="1:7" ht="13" x14ac:dyDescent="0.25">
      <c r="A77" s="11">
        <v>7</v>
      </c>
      <c r="B77" s="7">
        <v>35.299999999999997</v>
      </c>
      <c r="C77" s="7">
        <v>59.8</v>
      </c>
      <c r="D77" s="7">
        <v>73.7</v>
      </c>
      <c r="E77" s="6"/>
      <c r="F77" s="6"/>
      <c r="G77" s="6"/>
    </row>
    <row r="78" spans="1:7" ht="13" x14ac:dyDescent="0.25">
      <c r="A78" s="11">
        <v>8</v>
      </c>
      <c r="B78" s="7">
        <v>34.4</v>
      </c>
      <c r="C78" s="7">
        <v>51.6</v>
      </c>
      <c r="D78" s="7">
        <v>81.599999999999994</v>
      </c>
      <c r="E78" s="6"/>
      <c r="F78" s="6"/>
      <c r="G78" s="6"/>
    </row>
    <row r="79" spans="1:7" ht="13" x14ac:dyDescent="0.25">
      <c r="A79" s="11">
        <v>9</v>
      </c>
      <c r="B79" s="7">
        <v>35.200000000000003</v>
      </c>
      <c r="C79" s="7">
        <v>47.3</v>
      </c>
      <c r="D79" s="7">
        <v>74.2</v>
      </c>
      <c r="E79" s="6"/>
      <c r="F79" s="6"/>
      <c r="G79" s="6"/>
    </row>
    <row r="80" spans="1:7" ht="13" x14ac:dyDescent="0.25">
      <c r="A80" s="11">
        <v>10</v>
      </c>
      <c r="B80" s="7">
        <v>37.6</v>
      </c>
      <c r="C80" s="7">
        <v>62.9</v>
      </c>
      <c r="D80" s="7">
        <v>109.6</v>
      </c>
      <c r="E80" s="6"/>
      <c r="F80" s="6"/>
      <c r="G80" s="6"/>
    </row>
    <row r="81" spans="1:7" ht="13" x14ac:dyDescent="0.25">
      <c r="A81" s="11">
        <v>11</v>
      </c>
      <c r="B81" s="7">
        <v>45</v>
      </c>
      <c r="C81" s="7">
        <v>58.2</v>
      </c>
      <c r="D81" s="7">
        <v>99.5</v>
      </c>
      <c r="E81" s="6"/>
      <c r="F81" s="6"/>
      <c r="G81" s="6"/>
    </row>
    <row r="82" spans="1:7" ht="13" x14ac:dyDescent="0.25">
      <c r="A82" s="11">
        <v>12</v>
      </c>
      <c r="B82" s="7">
        <v>30.3</v>
      </c>
      <c r="C82" s="7">
        <v>55.9</v>
      </c>
      <c r="D82" s="7">
        <v>109.2</v>
      </c>
      <c r="E82" s="6"/>
      <c r="F82" s="6"/>
      <c r="G82" s="6"/>
    </row>
    <row r="83" spans="1:7" ht="13" x14ac:dyDescent="0.25">
      <c r="A83" s="11">
        <v>13</v>
      </c>
      <c r="B83" s="7">
        <v>30.8</v>
      </c>
      <c r="C83" s="7">
        <v>55.7</v>
      </c>
      <c r="D83" s="7">
        <v>93.7</v>
      </c>
      <c r="E83" s="6"/>
      <c r="F83" s="6"/>
      <c r="G83" s="6"/>
    </row>
    <row r="84" spans="1:7" ht="13" x14ac:dyDescent="0.25">
      <c r="A84" s="11">
        <v>14</v>
      </c>
      <c r="B84" s="7">
        <v>36.700000000000003</v>
      </c>
      <c r="C84" s="7">
        <v>55.9</v>
      </c>
      <c r="D84" s="7">
        <v>98.1</v>
      </c>
      <c r="E84" s="6"/>
      <c r="F84" s="6"/>
      <c r="G84" s="6"/>
    </row>
    <row r="85" spans="1:7" ht="13" x14ac:dyDescent="0.25">
      <c r="A85" s="11">
        <v>15</v>
      </c>
      <c r="B85" s="7">
        <v>27.6</v>
      </c>
      <c r="C85" s="7">
        <v>50.4</v>
      </c>
      <c r="D85" s="7">
        <v>109.8</v>
      </c>
      <c r="E85" s="6"/>
      <c r="F85" s="6"/>
      <c r="G85" s="6"/>
    </row>
    <row r="86" spans="1:7" ht="13" x14ac:dyDescent="0.25">
      <c r="A86" s="11">
        <v>16</v>
      </c>
      <c r="B86" s="7">
        <v>44.3</v>
      </c>
      <c r="C86" s="7">
        <v>60.6</v>
      </c>
      <c r="D86" s="7">
        <v>98.4</v>
      </c>
      <c r="E86" s="6"/>
      <c r="F86" s="6"/>
      <c r="G86" s="6"/>
    </row>
    <row r="87" spans="1:7" ht="13" x14ac:dyDescent="0.25">
      <c r="A87" s="11">
        <v>17</v>
      </c>
      <c r="B87" s="7">
        <v>35.1</v>
      </c>
      <c r="C87" s="7">
        <v>60.6</v>
      </c>
      <c r="D87" s="7">
        <v>94.7</v>
      </c>
      <c r="E87" s="6"/>
      <c r="F87" s="6"/>
      <c r="G87" s="6"/>
    </row>
    <row r="88" spans="1:7" ht="13" x14ac:dyDescent="0.25">
      <c r="A88" s="11">
        <v>18</v>
      </c>
      <c r="B88" s="7">
        <v>29.1</v>
      </c>
      <c r="C88" s="7">
        <v>60.3</v>
      </c>
      <c r="D88" s="7">
        <v>80.5</v>
      </c>
      <c r="E88" s="6"/>
      <c r="F88" s="6"/>
      <c r="G88" s="6"/>
    </row>
    <row r="89" spans="1:7" ht="13" x14ac:dyDescent="0.25">
      <c r="A89" s="11">
        <v>19</v>
      </c>
      <c r="B89" s="7">
        <v>36</v>
      </c>
      <c r="C89" s="7">
        <v>51</v>
      </c>
      <c r="D89" s="7">
        <v>96.6</v>
      </c>
      <c r="E89" s="6"/>
      <c r="F89" s="6"/>
      <c r="G89" s="6"/>
    </row>
    <row r="90" spans="1:7" ht="13" x14ac:dyDescent="0.25">
      <c r="A90" s="11">
        <v>20</v>
      </c>
      <c r="B90" s="7">
        <v>39.700000000000003</v>
      </c>
      <c r="C90" s="7">
        <v>58.3</v>
      </c>
      <c r="D90" s="7">
        <v>105.2</v>
      </c>
      <c r="E90" s="6"/>
      <c r="F90" s="6"/>
      <c r="G90" s="6"/>
    </row>
    <row r="91" spans="1:7" ht="13" x14ac:dyDescent="0.25">
      <c r="A91" s="11">
        <v>21</v>
      </c>
      <c r="B91" s="7">
        <v>32.299999999999997</v>
      </c>
      <c r="C91" s="7">
        <v>60.7</v>
      </c>
      <c r="D91" s="7">
        <v>109.9</v>
      </c>
      <c r="E91" s="6"/>
      <c r="F91" s="6"/>
      <c r="G91" s="6"/>
    </row>
    <row r="92" spans="1:7" ht="13" x14ac:dyDescent="0.25">
      <c r="A92" s="11">
        <v>22</v>
      </c>
      <c r="B92" s="7">
        <v>38.799999999999997</v>
      </c>
      <c r="C92" s="7">
        <v>64.400000000000006</v>
      </c>
      <c r="D92" s="7">
        <v>83.3</v>
      </c>
      <c r="E92" s="6"/>
      <c r="F92" s="6"/>
      <c r="G92" s="6"/>
    </row>
    <row r="93" spans="1:7" ht="13" x14ac:dyDescent="0.25">
      <c r="A93" s="11">
        <v>23</v>
      </c>
      <c r="B93" s="7">
        <v>27.2</v>
      </c>
      <c r="C93" s="7">
        <v>60.1</v>
      </c>
      <c r="D93" s="7">
        <v>86.5</v>
      </c>
      <c r="E93" s="6"/>
      <c r="F93" s="6"/>
      <c r="G93" s="6"/>
    </row>
    <row r="94" spans="1:7" ht="13" x14ac:dyDescent="0.25">
      <c r="A94" s="11">
        <v>24</v>
      </c>
      <c r="B94" s="7">
        <v>37.1</v>
      </c>
      <c r="C94" s="7">
        <v>60</v>
      </c>
      <c r="D94" s="7">
        <v>109.7</v>
      </c>
      <c r="E94" s="6"/>
      <c r="F94" s="6"/>
      <c r="G94" s="6"/>
    </row>
    <row r="95" spans="1:7" ht="13" x14ac:dyDescent="0.25">
      <c r="A95" s="11">
        <v>25</v>
      </c>
      <c r="B95" s="7">
        <v>42.9</v>
      </c>
      <c r="C95" s="7">
        <v>63.5</v>
      </c>
      <c r="D95" s="7">
        <v>65</v>
      </c>
      <c r="E95" s="6"/>
      <c r="F95" s="6"/>
      <c r="G95" s="6"/>
    </row>
    <row r="96" spans="1:7" ht="13" x14ac:dyDescent="0.25">
      <c r="A96" s="11">
        <v>26</v>
      </c>
      <c r="B96" s="7">
        <v>44.7</v>
      </c>
      <c r="C96" s="7">
        <v>59.5</v>
      </c>
      <c r="D96" s="7">
        <v>80.599999999999994</v>
      </c>
      <c r="E96" s="17"/>
      <c r="F96" s="17"/>
      <c r="G96" s="17"/>
    </row>
    <row r="97" spans="1:7" ht="13" x14ac:dyDescent="0.25">
      <c r="A97" s="11">
        <v>27</v>
      </c>
      <c r="B97" s="7">
        <v>41</v>
      </c>
      <c r="C97" s="7">
        <v>56.1</v>
      </c>
      <c r="D97" s="7">
        <v>105.6</v>
      </c>
      <c r="E97" s="17"/>
      <c r="F97" s="17"/>
      <c r="G97" s="17"/>
    </row>
    <row r="98" spans="1:7" ht="13" x14ac:dyDescent="0.25">
      <c r="A98" s="11">
        <v>28</v>
      </c>
      <c r="B98" s="7">
        <v>21.7</v>
      </c>
      <c r="C98" s="7">
        <v>54.2</v>
      </c>
      <c r="D98" s="7">
        <v>89.2</v>
      </c>
      <c r="E98" s="17"/>
      <c r="F98" s="17"/>
      <c r="G98" s="17"/>
    </row>
    <row r="99" spans="1:7" ht="13" x14ac:dyDescent="0.25">
      <c r="A99" s="11">
        <v>29</v>
      </c>
      <c r="B99" s="7">
        <v>27.7</v>
      </c>
      <c r="C99" s="7">
        <v>62.5</v>
      </c>
      <c r="D99" s="7">
        <v>87.6</v>
      </c>
      <c r="E99" s="6"/>
      <c r="F99" s="6"/>
      <c r="G99" s="6"/>
    </row>
    <row r="100" spans="1:7" ht="13" x14ac:dyDescent="0.25">
      <c r="A100" s="11">
        <v>30</v>
      </c>
      <c r="B100" s="7">
        <v>43.9</v>
      </c>
      <c r="C100" s="7">
        <v>52.9</v>
      </c>
      <c r="D100" s="7">
        <v>99.8</v>
      </c>
      <c r="E100" s="2"/>
      <c r="F100" s="2"/>
      <c r="G100" s="2"/>
    </row>
    <row r="101" spans="1:7" ht="13" x14ac:dyDescent="0.25">
      <c r="A101" s="11">
        <v>31</v>
      </c>
      <c r="B101" s="7">
        <v>33.200000000000003</v>
      </c>
      <c r="C101" s="7">
        <v>59.3</v>
      </c>
      <c r="D101" s="7">
        <v>85.6</v>
      </c>
      <c r="E101" s="2"/>
      <c r="F101" s="2"/>
      <c r="G101" s="2"/>
    </row>
    <row r="102" spans="1:7" ht="13" x14ac:dyDescent="0.25">
      <c r="A102" s="11">
        <v>32</v>
      </c>
      <c r="B102" s="7">
        <v>30.1</v>
      </c>
      <c r="C102" s="7">
        <v>45.3</v>
      </c>
      <c r="D102" s="7">
        <v>93.7</v>
      </c>
      <c r="E102" s="2"/>
      <c r="F102" s="2"/>
      <c r="G102" s="2"/>
    </row>
    <row r="103" spans="1:7" ht="13" x14ac:dyDescent="0.25">
      <c r="A103" s="11">
        <v>33</v>
      </c>
      <c r="B103" s="7">
        <v>41.6</v>
      </c>
      <c r="C103" s="7">
        <v>53.1</v>
      </c>
      <c r="D103" s="7">
        <v>107.1</v>
      </c>
      <c r="E103" s="2"/>
      <c r="F103" s="2"/>
      <c r="G103" s="2"/>
    </row>
    <row r="104" spans="1:7" ht="13" x14ac:dyDescent="0.25">
      <c r="A104" s="11">
        <v>34</v>
      </c>
      <c r="B104" s="7">
        <v>24.6</v>
      </c>
      <c r="C104" s="7">
        <v>60.6</v>
      </c>
      <c r="D104" s="7">
        <v>100.9</v>
      </c>
      <c r="E104" s="2"/>
      <c r="F104" s="2"/>
      <c r="G104" s="2"/>
    </row>
    <row r="105" spans="1:7" ht="13" x14ac:dyDescent="0.25">
      <c r="A105" s="11">
        <v>35</v>
      </c>
      <c r="B105" s="7">
        <v>29.7</v>
      </c>
      <c r="C105" s="7">
        <v>50.3</v>
      </c>
      <c r="D105" s="7">
        <v>65.8</v>
      </c>
      <c r="E105" s="2"/>
      <c r="F105" s="2"/>
      <c r="G105" s="2"/>
    </row>
    <row r="106" spans="1:7" ht="13" x14ac:dyDescent="0.25">
      <c r="A106" s="11">
        <v>36</v>
      </c>
      <c r="B106" s="7">
        <v>23.1</v>
      </c>
      <c r="C106" s="7">
        <v>46.7</v>
      </c>
      <c r="D106" s="7">
        <v>71.2</v>
      </c>
      <c r="E106" s="2"/>
      <c r="F106" s="2"/>
      <c r="G106" s="2"/>
    </row>
    <row r="107" spans="1:7" ht="13" x14ac:dyDescent="0.25">
      <c r="A107" s="11">
        <v>37</v>
      </c>
      <c r="B107" s="7">
        <v>24.7</v>
      </c>
      <c r="C107" s="7">
        <v>47.9</v>
      </c>
      <c r="D107" s="7">
        <v>83.4</v>
      </c>
      <c r="E107" s="2"/>
      <c r="F107" s="2"/>
      <c r="G107" s="2"/>
    </row>
    <row r="108" spans="1:7" ht="13" x14ac:dyDescent="0.25">
      <c r="A108" s="11">
        <v>38</v>
      </c>
      <c r="B108" s="7">
        <v>43.3</v>
      </c>
      <c r="C108" s="7">
        <v>58.5</v>
      </c>
      <c r="D108" s="7">
        <v>97.3</v>
      </c>
      <c r="E108" s="2"/>
      <c r="F108" s="2"/>
      <c r="G108" s="2"/>
    </row>
    <row r="109" spans="1:7" ht="13" x14ac:dyDescent="0.25">
      <c r="A109" s="11">
        <v>39</v>
      </c>
      <c r="B109" s="7">
        <v>21.8</v>
      </c>
      <c r="C109" s="7">
        <v>61.9</v>
      </c>
      <c r="D109" s="7">
        <v>95.9</v>
      </c>
      <c r="E109" s="2"/>
      <c r="F109" s="2"/>
      <c r="G109" s="2"/>
    </row>
    <row r="110" spans="1:7" ht="13" x14ac:dyDescent="0.25">
      <c r="A110" s="11">
        <v>40</v>
      </c>
      <c r="B110" s="7">
        <v>45</v>
      </c>
      <c r="C110" s="7">
        <v>48</v>
      </c>
      <c r="D110" s="7">
        <v>81.7</v>
      </c>
      <c r="E110" s="2"/>
      <c r="F110" s="2"/>
      <c r="G110" s="2"/>
    </row>
    <row r="111" spans="1:7" ht="13" x14ac:dyDescent="0.25">
      <c r="A111" s="11">
        <v>41</v>
      </c>
      <c r="B111" s="7">
        <v>30.5</v>
      </c>
      <c r="C111" s="7">
        <v>62.8</v>
      </c>
      <c r="D111" s="7">
        <v>79.2</v>
      </c>
      <c r="E111" s="2"/>
      <c r="F111" s="2"/>
      <c r="G111" s="2"/>
    </row>
    <row r="112" spans="1:7" ht="13" x14ac:dyDescent="0.25">
      <c r="A112" s="11">
        <v>42</v>
      </c>
      <c r="B112" s="7">
        <v>41</v>
      </c>
      <c r="C112" s="7">
        <v>54.9</v>
      </c>
      <c r="D112" s="7">
        <v>104.5</v>
      </c>
      <c r="E112" s="2"/>
      <c r="F112" s="2"/>
      <c r="G112" s="2"/>
    </row>
    <row r="113" spans="1:7" ht="13" x14ac:dyDescent="0.25">
      <c r="A113" s="11">
        <v>43</v>
      </c>
      <c r="B113" s="7">
        <v>42.2</v>
      </c>
      <c r="C113" s="7">
        <v>50.7</v>
      </c>
      <c r="D113" s="7">
        <v>71.2</v>
      </c>
      <c r="E113" s="2"/>
      <c r="F113" s="2"/>
      <c r="G113" s="2"/>
    </row>
    <row r="114" spans="1:7" ht="13" x14ac:dyDescent="0.25">
      <c r="A114" s="11">
        <v>44</v>
      </c>
      <c r="B114" s="7">
        <v>25.8</v>
      </c>
      <c r="C114" s="7">
        <v>56.8</v>
      </c>
      <c r="D114" s="7">
        <v>91.3</v>
      </c>
      <c r="E114" s="2"/>
      <c r="F114" s="2"/>
      <c r="G114" s="2"/>
    </row>
    <row r="115" spans="1:7" ht="13" x14ac:dyDescent="0.25">
      <c r="A115" s="11">
        <v>45</v>
      </c>
      <c r="B115" s="7">
        <v>32.4</v>
      </c>
      <c r="C115" s="7">
        <v>62.8</v>
      </c>
      <c r="D115" s="7">
        <v>99.1</v>
      </c>
      <c r="E115" s="2"/>
      <c r="F115" s="2"/>
      <c r="G115" s="2"/>
    </row>
    <row r="116" spans="1:7" ht="13" x14ac:dyDescent="0.25">
      <c r="A116" s="11">
        <v>46</v>
      </c>
      <c r="B116" s="7">
        <v>41.1</v>
      </c>
      <c r="C116" s="7">
        <v>48.8</v>
      </c>
      <c r="D116" s="7">
        <v>93.2</v>
      </c>
      <c r="E116" s="2"/>
      <c r="F116" s="2"/>
      <c r="G116" s="2"/>
    </row>
    <row r="117" spans="1:7" ht="13" x14ac:dyDescent="0.25">
      <c r="A117" s="11">
        <v>47</v>
      </c>
      <c r="B117" s="7">
        <v>27.5</v>
      </c>
      <c r="C117" s="7">
        <v>62.4</v>
      </c>
      <c r="D117" s="7">
        <v>106.1</v>
      </c>
      <c r="E117" s="2"/>
      <c r="F117" s="2"/>
      <c r="G117" s="2"/>
    </row>
    <row r="118" spans="1:7" ht="13" x14ac:dyDescent="0.25">
      <c r="A118" s="11">
        <v>48</v>
      </c>
      <c r="B118" s="7">
        <v>25.6</v>
      </c>
      <c r="C118" s="7">
        <v>51.7</v>
      </c>
      <c r="D118" s="7">
        <v>70.7</v>
      </c>
      <c r="E118" s="2"/>
      <c r="F118" s="2"/>
      <c r="G118" s="2"/>
    </row>
    <row r="119" spans="1:7" ht="13" x14ac:dyDescent="0.25">
      <c r="A119" s="11">
        <v>49</v>
      </c>
      <c r="B119" s="7">
        <v>20.8</v>
      </c>
      <c r="C119" s="7">
        <v>60.8</v>
      </c>
      <c r="D119" s="7">
        <v>108.6</v>
      </c>
      <c r="E119" s="2"/>
      <c r="F119" s="2"/>
      <c r="G119" s="2"/>
    </row>
    <row r="120" spans="1:7" ht="13" x14ac:dyDescent="0.25">
      <c r="A120" s="11">
        <v>50</v>
      </c>
      <c r="B120" s="7">
        <v>44</v>
      </c>
      <c r="C120" s="7">
        <v>52.6</v>
      </c>
      <c r="D120" s="7">
        <v>73.3</v>
      </c>
      <c r="E120" s="2"/>
      <c r="F120" s="2"/>
      <c r="G120" s="2"/>
    </row>
    <row r="121" spans="1:7" ht="13" x14ac:dyDescent="0.25">
      <c r="A121" s="11">
        <v>51</v>
      </c>
      <c r="B121" s="7">
        <v>43.5</v>
      </c>
      <c r="C121" s="7">
        <v>53.1</v>
      </c>
      <c r="D121" s="7">
        <v>79.8</v>
      </c>
      <c r="E121" s="2"/>
      <c r="F121" s="2"/>
      <c r="G121" s="2"/>
    </row>
    <row r="122" spans="1:7" ht="13" x14ac:dyDescent="0.25">
      <c r="A122" s="11">
        <v>52</v>
      </c>
      <c r="B122" s="7">
        <v>30.4</v>
      </c>
      <c r="C122" s="7">
        <v>45.4</v>
      </c>
      <c r="D122" s="7">
        <v>71.7</v>
      </c>
      <c r="E122" s="2"/>
      <c r="F122" s="2"/>
      <c r="G122" s="2"/>
    </row>
    <row r="123" spans="1:7" ht="13" x14ac:dyDescent="0.25">
      <c r="A123" s="11">
        <v>53</v>
      </c>
      <c r="B123" s="7">
        <v>43.6</v>
      </c>
      <c r="C123" s="7">
        <v>52.5</v>
      </c>
      <c r="D123" s="7">
        <v>80.7</v>
      </c>
      <c r="E123" s="2"/>
      <c r="F123" s="2"/>
      <c r="G123" s="2"/>
    </row>
    <row r="124" spans="1:7" ht="13" x14ac:dyDescent="0.25">
      <c r="A124" s="11">
        <v>54</v>
      </c>
      <c r="B124" s="7">
        <v>27.2</v>
      </c>
      <c r="C124" s="7">
        <v>65</v>
      </c>
      <c r="D124" s="7">
        <v>68.8</v>
      </c>
      <c r="E124" s="2"/>
      <c r="F124" s="2"/>
      <c r="G124" s="2"/>
    </row>
    <row r="125" spans="1:7" ht="13" x14ac:dyDescent="0.25">
      <c r="A125" s="11">
        <v>55</v>
      </c>
      <c r="B125" s="7">
        <v>21.5</v>
      </c>
      <c r="C125" s="7">
        <v>49.8</v>
      </c>
      <c r="D125" s="7">
        <v>98.6</v>
      </c>
      <c r="E125" s="2"/>
      <c r="F125" s="2"/>
      <c r="G125" s="2"/>
    </row>
    <row r="126" spans="1:7" ht="13" x14ac:dyDescent="0.25">
      <c r="A126" s="11">
        <v>56</v>
      </c>
      <c r="B126" s="7">
        <v>28.2</v>
      </c>
      <c r="C126" s="7">
        <v>59.1</v>
      </c>
      <c r="D126" s="7">
        <v>93.6</v>
      </c>
      <c r="E126" s="2"/>
      <c r="F126" s="2"/>
      <c r="G126" s="2"/>
    </row>
    <row r="127" spans="1:7" ht="13" x14ac:dyDescent="0.25">
      <c r="A127" s="11">
        <v>57</v>
      </c>
      <c r="B127" s="7">
        <v>26</v>
      </c>
      <c r="C127" s="7">
        <v>45.9</v>
      </c>
      <c r="D127" s="7">
        <v>93.6</v>
      </c>
      <c r="E127" s="2"/>
      <c r="F127" s="2"/>
      <c r="G127" s="2"/>
    </row>
    <row r="128" spans="1:7" ht="13" x14ac:dyDescent="0.25">
      <c r="A128" s="11">
        <v>58</v>
      </c>
      <c r="B128" s="7">
        <v>40.4</v>
      </c>
      <c r="C128" s="7">
        <v>47</v>
      </c>
      <c r="D128" s="7">
        <v>67.7</v>
      </c>
      <c r="E128" s="2"/>
      <c r="F128" s="2"/>
      <c r="G128" s="2"/>
    </row>
    <row r="129" spans="1:7" ht="13" x14ac:dyDescent="0.25">
      <c r="A129" s="11">
        <v>59</v>
      </c>
      <c r="B129" s="7">
        <v>37.4</v>
      </c>
      <c r="C129" s="7">
        <v>63.8</v>
      </c>
      <c r="D129" s="7">
        <v>95.6</v>
      </c>
      <c r="E129" s="2"/>
      <c r="F129" s="2"/>
      <c r="G129" s="2"/>
    </row>
    <row r="130" spans="1:7" ht="13" x14ac:dyDescent="0.25">
      <c r="A130" s="11">
        <v>60</v>
      </c>
      <c r="B130" s="7">
        <v>27.2</v>
      </c>
      <c r="C130" s="7">
        <v>62</v>
      </c>
      <c r="D130" s="7">
        <v>73.5</v>
      </c>
      <c r="E130" s="2"/>
      <c r="F130" s="2"/>
      <c r="G130" s="2"/>
    </row>
    <row r="131" spans="1:7" ht="13" x14ac:dyDescent="0.25">
      <c r="A131" s="11">
        <v>61</v>
      </c>
      <c r="B131" s="7">
        <v>35</v>
      </c>
      <c r="C131" s="7">
        <v>64.2</v>
      </c>
      <c r="D131" s="7">
        <v>74.400000000000006</v>
      </c>
      <c r="E131" s="2"/>
      <c r="F131" s="2"/>
      <c r="G131" s="2"/>
    </row>
    <row r="132" spans="1:7" ht="13" x14ac:dyDescent="0.25">
      <c r="A132" s="11">
        <v>62</v>
      </c>
      <c r="B132" s="7">
        <v>37.200000000000003</v>
      </c>
      <c r="C132" s="7">
        <v>55.7</v>
      </c>
      <c r="D132" s="7">
        <v>66.900000000000006</v>
      </c>
      <c r="E132" s="2"/>
      <c r="F132" s="2"/>
      <c r="G132" s="2"/>
    </row>
    <row r="133" spans="1:7" ht="13.5" thickBot="1" x14ac:dyDescent="0.3">
      <c r="A133" s="14">
        <v>63</v>
      </c>
      <c r="B133" s="7">
        <v>27.7</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59.6</v>
      </c>
      <c r="C138" s="13">
        <f>ROUNDDOWN(AVERAGE(E5:G20),1)</f>
        <v>71.8</v>
      </c>
      <c r="D138" s="11">
        <f>'2021.1'!D138</f>
        <v>8438</v>
      </c>
      <c r="E138" s="11">
        <v>15976</v>
      </c>
      <c r="F138" s="11">
        <f>B138*D138</f>
        <v>502904.8</v>
      </c>
      <c r="G138" s="11">
        <f>C138*E138</f>
        <v>1147076.8</v>
      </c>
    </row>
    <row r="139" spans="1:7" ht="13" x14ac:dyDescent="0.25">
      <c r="A139" s="6" t="str">
        <f>A21</f>
        <v>Dongtai Jianggang Farm</v>
      </c>
      <c r="B139" s="13">
        <f>ROUNDDOWN(AVERAGE(B24:D33),1)</f>
        <v>56.8</v>
      </c>
      <c r="C139" s="13">
        <f>ROUNDDOWN(AVERAGE(E24:G52),1)</f>
        <v>73.3</v>
      </c>
      <c r="D139" s="11">
        <f>'2021.1'!D139</f>
        <v>9440</v>
      </c>
      <c r="E139" s="11">
        <v>29485</v>
      </c>
      <c r="F139" s="11">
        <f t="shared" ref="F139:G141" si="0">B139*D139</f>
        <v>536192</v>
      </c>
      <c r="G139" s="11">
        <f t="shared" si="0"/>
        <v>2161250.5</v>
      </c>
    </row>
    <row r="140" spans="1:7" ht="13" x14ac:dyDescent="0.25">
      <c r="A140" s="6" t="str">
        <f>A53</f>
        <v>Sheyang Linhai Farm</v>
      </c>
      <c r="B140" s="13">
        <f>ROUNDDOWN(AVERAGE(B56:D67),1)</f>
        <v>58.6</v>
      </c>
      <c r="C140" s="13">
        <f>ROUNDDOWN(AVERAGE(E56:G62),1)</f>
        <v>71.5</v>
      </c>
      <c r="D140" s="11">
        <f>'2021.1'!D140</f>
        <v>11825</v>
      </c>
      <c r="E140" s="11">
        <v>6428</v>
      </c>
      <c r="F140" s="11">
        <f t="shared" si="0"/>
        <v>692945</v>
      </c>
      <c r="G140" s="11">
        <f t="shared" si="0"/>
        <v>459602</v>
      </c>
    </row>
    <row r="141" spans="1:7" ht="13" x14ac:dyDescent="0.25">
      <c r="A141" s="6" t="str">
        <f>A68</f>
        <v>Siyang Nanliuji</v>
      </c>
      <c r="B141" s="13">
        <f>ROUNDDOWN(AVERAGE(B71:D133),1)</f>
        <v>59.2</v>
      </c>
      <c r="C141" s="11">
        <f>ROUNDDOWN(AVERAGE(0),1)</f>
        <v>0</v>
      </c>
      <c r="D141" s="11">
        <f>'2021.1'!D141</f>
        <v>65005</v>
      </c>
      <c r="E141" s="11">
        <v>0</v>
      </c>
      <c r="F141" s="11">
        <f t="shared" si="0"/>
        <v>3848296</v>
      </c>
      <c r="G141" s="11">
        <f t="shared" si="0"/>
        <v>0</v>
      </c>
    </row>
    <row r="142" spans="1:7" ht="13" x14ac:dyDescent="0.25">
      <c r="A142" s="613" t="s">
        <v>154</v>
      </c>
      <c r="B142" s="617"/>
      <c r="C142" s="614"/>
      <c r="D142" s="11">
        <f>SUM(D138:D141)</f>
        <v>94708</v>
      </c>
      <c r="E142" s="11">
        <f>SUM(E138:E141)</f>
        <v>51889</v>
      </c>
      <c r="F142" s="11">
        <f>SUM(F138:F141)</f>
        <v>5580337.7999999998</v>
      </c>
      <c r="G142" s="11">
        <f>SUM(G138:G141)</f>
        <v>3767929.3</v>
      </c>
    </row>
    <row r="144" spans="1:7" ht="13" x14ac:dyDescent="0.25">
      <c r="C144" s="613" t="s">
        <v>155</v>
      </c>
      <c r="D144" s="614"/>
    </row>
    <row r="145" spans="3:4" ht="13" x14ac:dyDescent="0.25">
      <c r="C145" s="11" t="s">
        <v>152</v>
      </c>
      <c r="D145" s="11" t="s">
        <v>153</v>
      </c>
    </row>
    <row r="146" spans="3:4" ht="13" x14ac:dyDescent="0.25">
      <c r="C146" s="12">
        <f>ROUNDDOWN(F142/D142,1)</f>
        <v>58.9</v>
      </c>
      <c r="D146" s="12">
        <f>ROUNDDOWN(G142/E142,1)</f>
        <v>72.599999999999994</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46"/>
  <sheetViews>
    <sheetView topLeftCell="A64" workbookViewId="0">
      <selection activeCell="A69" sqref="A69"/>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'2021.2'!A2:G2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39.299999999999997</v>
      </c>
      <c r="C5" s="7">
        <v>54.1</v>
      </c>
      <c r="D5" s="7">
        <v>85.8</v>
      </c>
      <c r="E5" s="7">
        <v>37.299999999999997</v>
      </c>
      <c r="F5" s="7">
        <v>81.599999999999994</v>
      </c>
      <c r="G5" s="7">
        <v>97.6</v>
      </c>
    </row>
    <row r="6" spans="1:7" ht="13" x14ac:dyDescent="0.25">
      <c r="A6" s="11">
        <v>2</v>
      </c>
      <c r="B6" s="7">
        <v>27.3</v>
      </c>
      <c r="C6" s="7">
        <v>63.6</v>
      </c>
      <c r="D6" s="7">
        <v>91</v>
      </c>
      <c r="E6" s="7">
        <v>49.7</v>
      </c>
      <c r="F6" s="7">
        <v>83.8</v>
      </c>
      <c r="G6" s="7">
        <v>87.3</v>
      </c>
    </row>
    <row r="7" spans="1:7" ht="13" x14ac:dyDescent="0.25">
      <c r="A7" s="11">
        <v>3</v>
      </c>
      <c r="B7" s="7">
        <v>36.200000000000003</v>
      </c>
      <c r="C7" s="7">
        <v>63.1</v>
      </c>
      <c r="D7" s="7">
        <v>90.3</v>
      </c>
      <c r="E7" s="7">
        <v>50.3</v>
      </c>
      <c r="F7" s="7">
        <v>63.6</v>
      </c>
      <c r="G7" s="7">
        <v>117.8</v>
      </c>
    </row>
    <row r="8" spans="1:7" ht="13" x14ac:dyDescent="0.25">
      <c r="A8" s="11">
        <v>4</v>
      </c>
      <c r="B8" s="7">
        <v>34.299999999999997</v>
      </c>
      <c r="C8" s="7">
        <v>51</v>
      </c>
      <c r="D8" s="7">
        <v>94.6</v>
      </c>
      <c r="E8" s="7">
        <v>35.799999999999997</v>
      </c>
      <c r="F8" s="7">
        <v>69.599999999999994</v>
      </c>
      <c r="G8" s="7">
        <v>90.7</v>
      </c>
    </row>
    <row r="9" spans="1:7" ht="13" x14ac:dyDescent="0.25">
      <c r="A9" s="11">
        <v>5</v>
      </c>
      <c r="B9" s="7">
        <v>26.1</v>
      </c>
      <c r="C9" s="7">
        <v>63.6</v>
      </c>
      <c r="D9" s="7">
        <v>76.5</v>
      </c>
      <c r="E9" s="7">
        <v>29.9</v>
      </c>
      <c r="F9" s="7">
        <v>65.400000000000006</v>
      </c>
      <c r="G9" s="7">
        <v>90.6</v>
      </c>
    </row>
    <row r="10" spans="1:7" ht="13" x14ac:dyDescent="0.25">
      <c r="A10" s="11">
        <v>6</v>
      </c>
      <c r="B10" s="7">
        <v>31.4</v>
      </c>
      <c r="C10" s="7">
        <v>58.4</v>
      </c>
      <c r="D10" s="7">
        <v>76.3</v>
      </c>
      <c r="E10" s="7">
        <v>53.9</v>
      </c>
      <c r="F10" s="7">
        <v>79.400000000000006</v>
      </c>
      <c r="G10" s="7">
        <v>107.1</v>
      </c>
    </row>
    <row r="11" spans="1:7" ht="13" x14ac:dyDescent="0.25">
      <c r="A11" s="11">
        <v>7</v>
      </c>
      <c r="B11" s="7">
        <v>36.9</v>
      </c>
      <c r="C11" s="7">
        <v>45.4</v>
      </c>
      <c r="D11" s="7">
        <v>75.400000000000006</v>
      </c>
      <c r="E11" s="7">
        <v>36.700000000000003</v>
      </c>
      <c r="F11" s="7">
        <v>70.5</v>
      </c>
      <c r="G11" s="7">
        <v>86.2</v>
      </c>
    </row>
    <row r="12" spans="1:7" ht="13" x14ac:dyDescent="0.25">
      <c r="A12" s="11">
        <v>8</v>
      </c>
      <c r="B12" s="7">
        <v>20.6</v>
      </c>
      <c r="C12" s="7">
        <v>49.9</v>
      </c>
      <c r="D12" s="7">
        <v>87.4</v>
      </c>
      <c r="E12" s="7">
        <v>48.2</v>
      </c>
      <c r="F12" s="7">
        <v>77.099999999999994</v>
      </c>
      <c r="G12" s="7">
        <v>111.1</v>
      </c>
    </row>
    <row r="13" spans="1:7" ht="13" x14ac:dyDescent="0.25">
      <c r="A13" s="11">
        <v>9</v>
      </c>
      <c r="B13" s="7">
        <v>33.9</v>
      </c>
      <c r="C13" s="7">
        <v>62</v>
      </c>
      <c r="D13" s="7">
        <v>70.7</v>
      </c>
      <c r="E13" s="7">
        <v>42.3</v>
      </c>
      <c r="F13" s="7">
        <v>64.400000000000006</v>
      </c>
      <c r="G13" s="7">
        <v>117.1</v>
      </c>
    </row>
    <row r="14" spans="1:7" ht="13" x14ac:dyDescent="0.25">
      <c r="A14" s="11">
        <v>10</v>
      </c>
      <c r="B14" s="7"/>
      <c r="C14" s="7"/>
      <c r="D14" s="7"/>
      <c r="E14" s="7">
        <v>32.200000000000003</v>
      </c>
      <c r="F14" s="7">
        <v>85</v>
      </c>
      <c r="G14" s="7">
        <v>106</v>
      </c>
    </row>
    <row r="15" spans="1:7" ht="13" x14ac:dyDescent="0.25">
      <c r="A15" s="11">
        <v>11</v>
      </c>
      <c r="B15" s="7"/>
      <c r="C15" s="7"/>
      <c r="D15" s="7"/>
      <c r="E15" s="7">
        <v>57.5</v>
      </c>
      <c r="F15" s="7">
        <v>77.2</v>
      </c>
      <c r="G15" s="7">
        <v>89.7</v>
      </c>
    </row>
    <row r="16" spans="1:7" ht="13" x14ac:dyDescent="0.25">
      <c r="A16" s="11">
        <v>12</v>
      </c>
      <c r="B16" s="7"/>
      <c r="C16" s="7"/>
      <c r="D16" s="7"/>
      <c r="E16" s="7">
        <v>25.9</v>
      </c>
      <c r="F16" s="7">
        <v>68</v>
      </c>
      <c r="G16" s="7">
        <v>118.8</v>
      </c>
    </row>
    <row r="17" spans="1:7" ht="13" x14ac:dyDescent="0.25">
      <c r="A17" s="11">
        <v>13</v>
      </c>
      <c r="B17" s="7"/>
      <c r="C17" s="7"/>
      <c r="D17" s="7"/>
      <c r="E17" s="7">
        <v>49.8</v>
      </c>
      <c r="F17" s="7">
        <v>83.3</v>
      </c>
      <c r="G17" s="7">
        <v>119.5</v>
      </c>
    </row>
    <row r="18" spans="1:7" ht="13" x14ac:dyDescent="0.25">
      <c r="A18" s="11">
        <v>14</v>
      </c>
      <c r="B18" s="7"/>
      <c r="C18" s="7"/>
      <c r="D18" s="7"/>
      <c r="E18" s="7">
        <v>47.7</v>
      </c>
      <c r="F18" s="7">
        <v>67.400000000000006</v>
      </c>
      <c r="G18" s="7">
        <v>98.2</v>
      </c>
    </row>
    <row r="19" spans="1:7" ht="13" x14ac:dyDescent="0.25">
      <c r="A19" s="11">
        <v>15</v>
      </c>
      <c r="B19" s="7"/>
      <c r="C19" s="7"/>
      <c r="D19" s="7"/>
      <c r="E19" s="7">
        <v>27.1</v>
      </c>
      <c r="F19" s="7">
        <v>65.3</v>
      </c>
      <c r="G19" s="7">
        <v>110.4</v>
      </c>
    </row>
    <row r="20" spans="1:7" ht="13.5" thickBot="1" x14ac:dyDescent="0.3">
      <c r="A20" s="14">
        <v>16</v>
      </c>
      <c r="B20" s="15"/>
      <c r="C20" s="15"/>
      <c r="D20" s="15"/>
      <c r="E20" s="7">
        <v>30.9</v>
      </c>
      <c r="F20" s="7">
        <v>81.900000000000006</v>
      </c>
      <c r="G20" s="7">
        <v>92.5</v>
      </c>
    </row>
    <row r="21" spans="1:7" ht="13.5" thickTop="1" x14ac:dyDescent="0.25">
      <c r="A21" s="612" t="str">
        <f>'2021.2'!A21:G21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40.700000000000003</v>
      </c>
      <c r="C24" s="7">
        <v>45.4</v>
      </c>
      <c r="D24" s="7">
        <v>85.6</v>
      </c>
      <c r="E24" s="7">
        <v>25.8</v>
      </c>
      <c r="F24" s="7">
        <v>74.400000000000006</v>
      </c>
      <c r="G24" s="7">
        <v>108.4</v>
      </c>
    </row>
    <row r="25" spans="1:7" ht="13" x14ac:dyDescent="0.25">
      <c r="A25" s="11">
        <v>2</v>
      </c>
      <c r="B25" s="7">
        <v>40.1</v>
      </c>
      <c r="C25" s="7">
        <v>55</v>
      </c>
      <c r="D25" s="7">
        <v>70.599999999999994</v>
      </c>
      <c r="E25" s="7">
        <v>37.200000000000003</v>
      </c>
      <c r="F25" s="7">
        <v>74.3</v>
      </c>
      <c r="G25" s="7">
        <v>117.5</v>
      </c>
    </row>
    <row r="26" spans="1:7" ht="13" x14ac:dyDescent="0.25">
      <c r="A26" s="11">
        <v>3</v>
      </c>
      <c r="B26" s="7">
        <v>35.700000000000003</v>
      </c>
      <c r="C26" s="7">
        <v>55.5</v>
      </c>
      <c r="D26" s="7">
        <v>71.2</v>
      </c>
      <c r="E26" s="7">
        <v>57.9</v>
      </c>
      <c r="F26" s="7">
        <v>69.099999999999994</v>
      </c>
      <c r="G26" s="7">
        <v>87.1</v>
      </c>
    </row>
    <row r="27" spans="1:7" ht="13" x14ac:dyDescent="0.25">
      <c r="A27" s="11">
        <v>4</v>
      </c>
      <c r="B27" s="7">
        <v>38.4</v>
      </c>
      <c r="C27" s="7">
        <v>52.1</v>
      </c>
      <c r="D27" s="7">
        <v>68.7</v>
      </c>
      <c r="E27" s="7">
        <v>57.6</v>
      </c>
      <c r="F27" s="7">
        <v>82.6</v>
      </c>
      <c r="G27" s="7">
        <v>107.8</v>
      </c>
    </row>
    <row r="28" spans="1:7" ht="13" x14ac:dyDescent="0.25">
      <c r="A28" s="11">
        <v>5</v>
      </c>
      <c r="B28" s="7">
        <v>36.799999999999997</v>
      </c>
      <c r="C28" s="7">
        <v>54.9</v>
      </c>
      <c r="D28" s="7">
        <v>81.3</v>
      </c>
      <c r="E28" s="7">
        <v>51.9</v>
      </c>
      <c r="F28" s="7">
        <v>83.2</v>
      </c>
      <c r="G28" s="7">
        <v>101.1</v>
      </c>
    </row>
    <row r="29" spans="1:7" ht="13" x14ac:dyDescent="0.25">
      <c r="A29" s="11">
        <v>6</v>
      </c>
      <c r="B29" s="7">
        <v>35.9</v>
      </c>
      <c r="C29" s="7">
        <v>46.1</v>
      </c>
      <c r="D29" s="7">
        <v>74</v>
      </c>
      <c r="E29" s="7">
        <v>50.1</v>
      </c>
      <c r="F29" s="7">
        <v>65.7</v>
      </c>
      <c r="G29" s="7">
        <v>100.1</v>
      </c>
    </row>
    <row r="30" spans="1:7" ht="13" x14ac:dyDescent="0.25">
      <c r="A30" s="11">
        <v>7</v>
      </c>
      <c r="B30" s="7">
        <v>42.5</v>
      </c>
      <c r="C30" s="7">
        <v>63.5</v>
      </c>
      <c r="D30" s="7">
        <v>69.900000000000006</v>
      </c>
      <c r="E30" s="7">
        <v>25.4</v>
      </c>
      <c r="F30" s="7">
        <v>81.599999999999994</v>
      </c>
      <c r="G30" s="7">
        <v>95.1</v>
      </c>
    </row>
    <row r="31" spans="1:7" ht="13" x14ac:dyDescent="0.25">
      <c r="A31" s="11">
        <v>8</v>
      </c>
      <c r="B31" s="7">
        <v>39.200000000000003</v>
      </c>
      <c r="C31" s="7">
        <v>63.4</v>
      </c>
      <c r="D31" s="7">
        <v>74.5</v>
      </c>
      <c r="E31" s="7">
        <v>35.1</v>
      </c>
      <c r="F31" s="7">
        <v>67.5</v>
      </c>
      <c r="G31" s="7">
        <v>96.3</v>
      </c>
    </row>
    <row r="32" spans="1:7" ht="13" x14ac:dyDescent="0.25">
      <c r="A32" s="11">
        <v>9</v>
      </c>
      <c r="B32" s="7">
        <v>33.299999999999997</v>
      </c>
      <c r="C32" s="7">
        <v>46.1</v>
      </c>
      <c r="D32" s="7">
        <v>92.3</v>
      </c>
      <c r="E32" s="7">
        <v>56.8</v>
      </c>
      <c r="F32" s="7">
        <v>67.8</v>
      </c>
      <c r="G32" s="7">
        <v>91.9</v>
      </c>
    </row>
    <row r="33" spans="1:7" ht="13" x14ac:dyDescent="0.25">
      <c r="A33" s="11">
        <v>10</v>
      </c>
      <c r="B33" s="7">
        <v>40.6</v>
      </c>
      <c r="C33" s="7">
        <v>51.3</v>
      </c>
      <c r="D33" s="7">
        <v>76.7</v>
      </c>
      <c r="E33" s="7">
        <v>46.2</v>
      </c>
      <c r="F33" s="7">
        <v>78.7</v>
      </c>
      <c r="G33" s="7">
        <v>88.4</v>
      </c>
    </row>
    <row r="34" spans="1:7" ht="13" x14ac:dyDescent="0.25">
      <c r="A34" s="11">
        <v>11</v>
      </c>
      <c r="B34" s="7"/>
      <c r="C34" s="7"/>
      <c r="D34" s="7"/>
      <c r="E34" s="7">
        <v>43.4</v>
      </c>
      <c r="F34" s="7">
        <v>83.2</v>
      </c>
      <c r="G34" s="7">
        <v>95.3</v>
      </c>
    </row>
    <row r="35" spans="1:7" ht="13" x14ac:dyDescent="0.25">
      <c r="A35" s="11">
        <v>12</v>
      </c>
      <c r="B35" s="7"/>
      <c r="C35" s="7"/>
      <c r="D35" s="7"/>
      <c r="E35" s="7">
        <v>32.9</v>
      </c>
      <c r="F35" s="7">
        <v>78.400000000000006</v>
      </c>
      <c r="G35" s="7">
        <v>108.1</v>
      </c>
    </row>
    <row r="36" spans="1:7" ht="13" x14ac:dyDescent="0.25">
      <c r="A36" s="11">
        <v>13</v>
      </c>
      <c r="B36" s="7"/>
      <c r="C36" s="7"/>
      <c r="D36" s="7"/>
      <c r="E36" s="7">
        <v>45.5</v>
      </c>
      <c r="F36" s="7">
        <v>67</v>
      </c>
      <c r="G36" s="7">
        <v>93.7</v>
      </c>
    </row>
    <row r="37" spans="1:7" ht="13" x14ac:dyDescent="0.25">
      <c r="A37" s="11">
        <v>14</v>
      </c>
      <c r="B37" s="7"/>
      <c r="C37" s="7"/>
      <c r="D37" s="7"/>
      <c r="E37" s="7">
        <v>28.7</v>
      </c>
      <c r="F37" s="7">
        <v>72</v>
      </c>
      <c r="G37" s="7">
        <v>108.6</v>
      </c>
    </row>
    <row r="38" spans="1:7" ht="13" x14ac:dyDescent="0.25">
      <c r="A38" s="11">
        <v>15</v>
      </c>
      <c r="B38" s="7"/>
      <c r="C38" s="7"/>
      <c r="D38" s="7"/>
      <c r="E38" s="7">
        <v>51.7</v>
      </c>
      <c r="F38" s="7">
        <v>82.4</v>
      </c>
      <c r="G38" s="7">
        <v>113.3</v>
      </c>
    </row>
    <row r="39" spans="1:7" ht="13" x14ac:dyDescent="0.25">
      <c r="A39" s="11">
        <v>16</v>
      </c>
      <c r="B39" s="7"/>
      <c r="C39" s="7"/>
      <c r="D39" s="7"/>
      <c r="E39" s="7">
        <v>39</v>
      </c>
      <c r="F39" s="7">
        <v>70.599999999999994</v>
      </c>
      <c r="G39" s="7">
        <v>114</v>
      </c>
    </row>
    <row r="40" spans="1:7" ht="13" x14ac:dyDescent="0.25">
      <c r="A40" s="11">
        <v>17</v>
      </c>
      <c r="B40" s="7"/>
      <c r="C40" s="7"/>
      <c r="D40" s="7"/>
      <c r="E40" s="7">
        <v>39.5</v>
      </c>
      <c r="F40" s="7">
        <v>80.8</v>
      </c>
      <c r="G40" s="7">
        <v>112.7</v>
      </c>
    </row>
    <row r="41" spans="1:7" ht="13" x14ac:dyDescent="0.25">
      <c r="A41" s="11">
        <v>18</v>
      </c>
      <c r="B41" s="7"/>
      <c r="C41" s="7"/>
      <c r="D41" s="7"/>
      <c r="E41" s="7">
        <v>39</v>
      </c>
      <c r="F41" s="7">
        <v>83.4</v>
      </c>
      <c r="G41" s="7">
        <v>113.1</v>
      </c>
    </row>
    <row r="42" spans="1:7" ht="13" x14ac:dyDescent="0.25">
      <c r="A42" s="11">
        <v>19</v>
      </c>
      <c r="B42" s="7"/>
      <c r="C42" s="7"/>
      <c r="D42" s="7"/>
      <c r="E42" s="7">
        <v>45.3</v>
      </c>
      <c r="F42" s="7">
        <v>74.099999999999994</v>
      </c>
      <c r="G42" s="7">
        <v>107.4</v>
      </c>
    </row>
    <row r="43" spans="1:7" ht="13" x14ac:dyDescent="0.25">
      <c r="A43" s="11">
        <v>20</v>
      </c>
      <c r="B43" s="7"/>
      <c r="C43" s="7"/>
      <c r="D43" s="7"/>
      <c r="E43" s="7">
        <v>54.6</v>
      </c>
      <c r="F43" s="7">
        <v>82</v>
      </c>
      <c r="G43" s="7">
        <v>102.8</v>
      </c>
    </row>
    <row r="44" spans="1:7" ht="13" x14ac:dyDescent="0.25">
      <c r="A44" s="11">
        <v>21</v>
      </c>
      <c r="B44" s="7"/>
      <c r="C44" s="7"/>
      <c r="D44" s="7"/>
      <c r="E44" s="7">
        <v>28.5</v>
      </c>
      <c r="F44" s="7">
        <v>79.599999999999994</v>
      </c>
      <c r="G44" s="7">
        <v>86.1</v>
      </c>
    </row>
    <row r="45" spans="1:7" ht="13" x14ac:dyDescent="0.25">
      <c r="A45" s="11">
        <v>22</v>
      </c>
      <c r="B45" s="7"/>
      <c r="C45" s="7"/>
      <c r="D45" s="7"/>
      <c r="E45" s="7">
        <v>57</v>
      </c>
      <c r="F45" s="7">
        <v>73.8</v>
      </c>
      <c r="G45" s="7">
        <v>110.8</v>
      </c>
    </row>
    <row r="46" spans="1:7" ht="13" x14ac:dyDescent="0.25">
      <c r="A46" s="11">
        <v>23</v>
      </c>
      <c r="B46" s="7"/>
      <c r="C46" s="7"/>
      <c r="D46" s="7"/>
      <c r="E46" s="7">
        <v>58.1</v>
      </c>
      <c r="F46" s="7">
        <v>73.900000000000006</v>
      </c>
      <c r="G46" s="7">
        <v>96.1</v>
      </c>
    </row>
    <row r="47" spans="1:7" ht="13" x14ac:dyDescent="0.25">
      <c r="A47" s="11">
        <v>24</v>
      </c>
      <c r="B47" s="7"/>
      <c r="C47" s="7"/>
      <c r="D47" s="7"/>
      <c r="E47" s="7">
        <v>59.7</v>
      </c>
      <c r="F47" s="7">
        <v>69.7</v>
      </c>
      <c r="G47" s="7">
        <v>88.1</v>
      </c>
    </row>
    <row r="48" spans="1:7" ht="13" x14ac:dyDescent="0.25">
      <c r="A48" s="11">
        <v>25</v>
      </c>
      <c r="B48" s="7"/>
      <c r="C48" s="7"/>
      <c r="D48" s="7"/>
      <c r="E48" s="7">
        <v>45.5</v>
      </c>
      <c r="F48" s="7">
        <v>82.5</v>
      </c>
      <c r="G48" s="7">
        <v>112.5</v>
      </c>
    </row>
    <row r="49" spans="1:7" ht="13" x14ac:dyDescent="0.25">
      <c r="A49" s="11">
        <v>26</v>
      </c>
      <c r="B49" s="7"/>
      <c r="C49" s="16"/>
      <c r="D49" s="7"/>
      <c r="E49" s="7">
        <v>39.4</v>
      </c>
      <c r="F49" s="7">
        <v>60.5</v>
      </c>
      <c r="G49" s="7">
        <v>98.2</v>
      </c>
    </row>
    <row r="50" spans="1:7" ht="13" x14ac:dyDescent="0.25">
      <c r="A50" s="11">
        <v>27</v>
      </c>
      <c r="B50" s="7"/>
      <c r="C50" s="16"/>
      <c r="D50" s="7"/>
      <c r="E50" s="7">
        <v>58.4</v>
      </c>
      <c r="F50" s="7">
        <v>67.099999999999994</v>
      </c>
      <c r="G50" s="7">
        <v>94.4</v>
      </c>
    </row>
    <row r="51" spans="1:7" ht="13" x14ac:dyDescent="0.25">
      <c r="A51" s="11">
        <v>28</v>
      </c>
      <c r="B51" s="7"/>
      <c r="C51" s="17"/>
      <c r="D51" s="7"/>
      <c r="E51" s="7">
        <v>31.7</v>
      </c>
      <c r="F51" s="7">
        <v>80.7</v>
      </c>
      <c r="G51" s="7">
        <v>115.6</v>
      </c>
    </row>
    <row r="52" spans="1:7" ht="13.5" thickBot="1" x14ac:dyDescent="0.3">
      <c r="A52" s="14">
        <v>29</v>
      </c>
      <c r="B52" s="18"/>
      <c r="C52" s="18"/>
      <c r="D52" s="15"/>
      <c r="E52" s="7">
        <v>36</v>
      </c>
      <c r="F52" s="7">
        <v>60.6</v>
      </c>
      <c r="G52" s="7">
        <v>114.9</v>
      </c>
    </row>
    <row r="53" spans="1:7" ht="13.5" thickTop="1" x14ac:dyDescent="0.25">
      <c r="A53" s="612" t="str">
        <f>'2021.2'!A53:G53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43.4</v>
      </c>
      <c r="C56" s="7">
        <v>64.8</v>
      </c>
      <c r="D56" s="7">
        <v>97.1</v>
      </c>
      <c r="E56" s="7">
        <v>31</v>
      </c>
      <c r="F56" s="7">
        <v>74.5</v>
      </c>
      <c r="G56" s="7">
        <v>101.5</v>
      </c>
    </row>
    <row r="57" spans="1:7" ht="13" x14ac:dyDescent="0.25">
      <c r="A57" s="11">
        <v>2</v>
      </c>
      <c r="B57" s="7">
        <v>38.299999999999997</v>
      </c>
      <c r="C57" s="7">
        <v>61.5</v>
      </c>
      <c r="D57" s="7">
        <v>81.2</v>
      </c>
      <c r="E57" s="7">
        <v>41.6</v>
      </c>
      <c r="F57" s="7">
        <v>73.099999999999994</v>
      </c>
      <c r="G57" s="7">
        <v>86.8</v>
      </c>
    </row>
    <row r="58" spans="1:7" ht="13" x14ac:dyDescent="0.25">
      <c r="A58" s="11">
        <v>3</v>
      </c>
      <c r="B58" s="7">
        <v>40.700000000000003</v>
      </c>
      <c r="C58" s="7">
        <v>53.7</v>
      </c>
      <c r="D58" s="7">
        <v>74</v>
      </c>
      <c r="E58" s="7">
        <v>42.6</v>
      </c>
      <c r="F58" s="7">
        <v>67.400000000000006</v>
      </c>
      <c r="G58" s="7">
        <v>106.7</v>
      </c>
    </row>
    <row r="59" spans="1:7" ht="13" x14ac:dyDescent="0.25">
      <c r="A59" s="11">
        <v>4</v>
      </c>
      <c r="B59" s="7">
        <v>22.7</v>
      </c>
      <c r="C59" s="7">
        <v>45.3</v>
      </c>
      <c r="D59" s="7">
        <v>71</v>
      </c>
      <c r="E59" s="7">
        <v>34.1</v>
      </c>
      <c r="F59" s="7">
        <v>74.8</v>
      </c>
      <c r="G59" s="7">
        <v>101</v>
      </c>
    </row>
    <row r="60" spans="1:7" ht="13" x14ac:dyDescent="0.25">
      <c r="A60" s="11">
        <v>5</v>
      </c>
      <c r="B60" s="7">
        <v>33.200000000000003</v>
      </c>
      <c r="C60" s="7">
        <v>51.1</v>
      </c>
      <c r="D60" s="7">
        <v>99.7</v>
      </c>
      <c r="E60" s="7">
        <v>46.6</v>
      </c>
      <c r="F60" s="7">
        <v>70.099999999999994</v>
      </c>
      <c r="G60" s="7">
        <v>90.2</v>
      </c>
    </row>
    <row r="61" spans="1:7" ht="13" x14ac:dyDescent="0.25">
      <c r="A61" s="11">
        <v>6</v>
      </c>
      <c r="B61" s="7">
        <v>28</v>
      </c>
      <c r="C61" s="7">
        <v>53.4</v>
      </c>
      <c r="D61" s="7">
        <v>89.7</v>
      </c>
      <c r="E61" s="7">
        <v>35.6</v>
      </c>
      <c r="F61" s="7">
        <v>70.3</v>
      </c>
      <c r="G61" s="7">
        <v>86.9</v>
      </c>
    </row>
    <row r="62" spans="1:7" ht="13" x14ac:dyDescent="0.25">
      <c r="A62" s="11">
        <v>7</v>
      </c>
      <c r="B62" s="7">
        <v>38.299999999999997</v>
      </c>
      <c r="C62" s="7">
        <v>48.3</v>
      </c>
      <c r="D62" s="7">
        <v>91.6</v>
      </c>
      <c r="E62" s="7">
        <v>53.5</v>
      </c>
      <c r="F62" s="7">
        <v>64.7</v>
      </c>
      <c r="G62" s="7">
        <v>90.9</v>
      </c>
    </row>
    <row r="63" spans="1:7" ht="13" x14ac:dyDescent="0.25">
      <c r="A63" s="11">
        <v>8</v>
      </c>
      <c r="B63" s="7">
        <v>37.799999999999997</v>
      </c>
      <c r="C63" s="7">
        <v>51</v>
      </c>
      <c r="D63" s="7">
        <v>91.8</v>
      </c>
      <c r="E63" s="7"/>
      <c r="F63" s="7"/>
      <c r="G63" s="7"/>
    </row>
    <row r="64" spans="1:7" ht="13" x14ac:dyDescent="0.25">
      <c r="A64" s="11">
        <v>9</v>
      </c>
      <c r="B64" s="7">
        <v>32.1</v>
      </c>
      <c r="C64" s="7">
        <v>53.4</v>
      </c>
      <c r="D64" s="7">
        <v>91.9</v>
      </c>
      <c r="E64" s="7"/>
      <c r="F64" s="7"/>
      <c r="G64" s="7"/>
    </row>
    <row r="65" spans="1:7" ht="13" x14ac:dyDescent="0.25">
      <c r="A65" s="11">
        <v>10</v>
      </c>
      <c r="B65" s="7">
        <v>28.5</v>
      </c>
      <c r="C65" s="7">
        <v>47.8</v>
      </c>
      <c r="D65" s="7">
        <v>98.2</v>
      </c>
      <c r="E65" s="7"/>
      <c r="F65" s="7"/>
      <c r="G65" s="7"/>
    </row>
    <row r="66" spans="1:7" ht="13" x14ac:dyDescent="0.25">
      <c r="A66" s="11">
        <v>11</v>
      </c>
      <c r="B66" s="7">
        <v>39.799999999999997</v>
      </c>
      <c r="C66" s="7">
        <v>63.2</v>
      </c>
      <c r="D66" s="7">
        <v>108.7</v>
      </c>
      <c r="E66" s="7"/>
      <c r="F66" s="7"/>
      <c r="G66" s="7"/>
    </row>
    <row r="67" spans="1:7" ht="13.5" thickBot="1" x14ac:dyDescent="0.3">
      <c r="A67" s="14">
        <v>12</v>
      </c>
      <c r="B67" s="7">
        <v>29.8</v>
      </c>
      <c r="C67" s="7">
        <v>61.6</v>
      </c>
      <c r="D67" s="7">
        <v>80.400000000000006</v>
      </c>
      <c r="E67" s="15"/>
      <c r="F67" s="15"/>
      <c r="G67" s="15"/>
    </row>
    <row r="68" spans="1:7" ht="13.5" thickTop="1" x14ac:dyDescent="0.25">
      <c r="A68" s="612" t="str">
        <f>'2021.2'!A68:G68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20.100000000000001</v>
      </c>
      <c r="C71" s="7">
        <v>54.7</v>
      </c>
      <c r="D71" s="7">
        <v>86.8</v>
      </c>
      <c r="E71" s="7"/>
      <c r="F71" s="7"/>
      <c r="G71" s="7"/>
    </row>
    <row r="72" spans="1:7" ht="13" x14ac:dyDescent="0.25">
      <c r="A72" s="11">
        <v>2</v>
      </c>
      <c r="B72" s="7">
        <v>44.7</v>
      </c>
      <c r="C72" s="7">
        <v>46.7</v>
      </c>
      <c r="D72" s="7">
        <v>76.599999999999994</v>
      </c>
      <c r="E72" s="6"/>
      <c r="F72" s="6"/>
      <c r="G72" s="7"/>
    </row>
    <row r="73" spans="1:7" ht="13" x14ac:dyDescent="0.25">
      <c r="A73" s="11">
        <v>3</v>
      </c>
      <c r="B73" s="7">
        <v>36.700000000000003</v>
      </c>
      <c r="C73" s="7">
        <v>59.9</v>
      </c>
      <c r="D73" s="7">
        <v>73.7</v>
      </c>
      <c r="E73" s="6"/>
      <c r="F73" s="6"/>
      <c r="G73" s="6"/>
    </row>
    <row r="74" spans="1:7" ht="13" x14ac:dyDescent="0.25">
      <c r="A74" s="11">
        <v>4</v>
      </c>
      <c r="B74" s="7">
        <v>23.9</v>
      </c>
      <c r="C74" s="7">
        <v>52.2</v>
      </c>
      <c r="D74" s="7">
        <v>92.8</v>
      </c>
      <c r="E74" s="6"/>
      <c r="F74" s="6"/>
      <c r="G74" s="6"/>
    </row>
    <row r="75" spans="1:7" ht="13" x14ac:dyDescent="0.25">
      <c r="A75" s="11">
        <v>5</v>
      </c>
      <c r="B75" s="7">
        <v>20.399999999999999</v>
      </c>
      <c r="C75" s="7">
        <v>62.5</v>
      </c>
      <c r="D75" s="7">
        <v>101.9</v>
      </c>
      <c r="E75" s="6"/>
      <c r="F75" s="6"/>
      <c r="G75" s="6"/>
    </row>
    <row r="76" spans="1:7" ht="13" x14ac:dyDescent="0.25">
      <c r="A76" s="11">
        <v>6</v>
      </c>
      <c r="B76" s="7">
        <v>23.4</v>
      </c>
      <c r="C76" s="7">
        <v>62.4</v>
      </c>
      <c r="D76" s="7">
        <v>76.400000000000006</v>
      </c>
      <c r="E76" s="6"/>
      <c r="F76" s="6"/>
      <c r="G76" s="6"/>
    </row>
    <row r="77" spans="1:7" ht="13" x14ac:dyDescent="0.25">
      <c r="A77" s="11">
        <v>7</v>
      </c>
      <c r="B77" s="7">
        <v>35.5</v>
      </c>
      <c r="C77" s="7">
        <v>63.1</v>
      </c>
      <c r="D77" s="7">
        <v>83.1</v>
      </c>
      <c r="E77" s="6"/>
      <c r="F77" s="6"/>
      <c r="G77" s="6"/>
    </row>
    <row r="78" spans="1:7" ht="13" x14ac:dyDescent="0.25">
      <c r="A78" s="11">
        <v>8</v>
      </c>
      <c r="B78" s="7">
        <v>35.5</v>
      </c>
      <c r="C78" s="7">
        <v>46.5</v>
      </c>
      <c r="D78" s="7">
        <v>89.1</v>
      </c>
      <c r="E78" s="6"/>
      <c r="F78" s="6"/>
      <c r="G78" s="6"/>
    </row>
    <row r="79" spans="1:7" ht="13" x14ac:dyDescent="0.25">
      <c r="A79" s="11">
        <v>9</v>
      </c>
      <c r="B79" s="7">
        <v>23.4</v>
      </c>
      <c r="C79" s="7">
        <v>54.8</v>
      </c>
      <c r="D79" s="7">
        <v>84.8</v>
      </c>
      <c r="E79" s="6"/>
      <c r="F79" s="6"/>
      <c r="G79" s="6"/>
    </row>
    <row r="80" spans="1:7" ht="13" x14ac:dyDescent="0.25">
      <c r="A80" s="11">
        <v>10</v>
      </c>
      <c r="B80" s="7">
        <v>34.5</v>
      </c>
      <c r="C80" s="7">
        <v>64.8</v>
      </c>
      <c r="D80" s="7">
        <v>83.6</v>
      </c>
      <c r="E80" s="6"/>
      <c r="F80" s="6"/>
      <c r="G80" s="6"/>
    </row>
    <row r="81" spans="1:7" ht="13" x14ac:dyDescent="0.25">
      <c r="A81" s="11">
        <v>11</v>
      </c>
      <c r="B81" s="7">
        <v>38</v>
      </c>
      <c r="C81" s="7">
        <v>54.4</v>
      </c>
      <c r="D81" s="7">
        <v>85.3</v>
      </c>
      <c r="E81" s="6"/>
      <c r="F81" s="6"/>
      <c r="G81" s="6"/>
    </row>
    <row r="82" spans="1:7" ht="13" x14ac:dyDescent="0.25">
      <c r="A82" s="11">
        <v>12</v>
      </c>
      <c r="B82" s="7">
        <v>28.8</v>
      </c>
      <c r="C82" s="7">
        <v>50.6</v>
      </c>
      <c r="D82" s="7">
        <v>86.7</v>
      </c>
      <c r="E82" s="6"/>
      <c r="F82" s="6"/>
      <c r="G82" s="6"/>
    </row>
    <row r="83" spans="1:7" ht="13" x14ac:dyDescent="0.25">
      <c r="A83" s="11">
        <v>13</v>
      </c>
      <c r="B83" s="7">
        <v>39.4</v>
      </c>
      <c r="C83" s="7">
        <v>58.1</v>
      </c>
      <c r="D83" s="7">
        <v>76.8</v>
      </c>
      <c r="E83" s="6"/>
      <c r="F83" s="6"/>
      <c r="G83" s="6"/>
    </row>
    <row r="84" spans="1:7" ht="13" x14ac:dyDescent="0.25">
      <c r="A84" s="11">
        <v>14</v>
      </c>
      <c r="B84" s="7">
        <v>28.9</v>
      </c>
      <c r="C84" s="7">
        <v>57.4</v>
      </c>
      <c r="D84" s="7">
        <v>79.2</v>
      </c>
      <c r="E84" s="6"/>
      <c r="F84" s="6"/>
      <c r="G84" s="6"/>
    </row>
    <row r="85" spans="1:7" ht="13" x14ac:dyDescent="0.25">
      <c r="A85" s="11">
        <v>15</v>
      </c>
      <c r="B85" s="7">
        <v>25.8</v>
      </c>
      <c r="C85" s="7">
        <v>56.6</v>
      </c>
      <c r="D85" s="7">
        <v>94.2</v>
      </c>
      <c r="E85" s="6"/>
      <c r="F85" s="6"/>
      <c r="G85" s="6"/>
    </row>
    <row r="86" spans="1:7" ht="13" x14ac:dyDescent="0.25">
      <c r="A86" s="11">
        <v>16</v>
      </c>
      <c r="B86" s="7">
        <v>39.6</v>
      </c>
      <c r="C86" s="7">
        <v>48.2</v>
      </c>
      <c r="D86" s="7">
        <v>91</v>
      </c>
      <c r="E86" s="6"/>
      <c r="F86" s="6"/>
      <c r="G86" s="6"/>
    </row>
    <row r="87" spans="1:7" ht="13" x14ac:dyDescent="0.25">
      <c r="A87" s="11">
        <v>17</v>
      </c>
      <c r="B87" s="7">
        <v>43.8</v>
      </c>
      <c r="C87" s="7">
        <v>59.5</v>
      </c>
      <c r="D87" s="7">
        <v>81.599999999999994</v>
      </c>
      <c r="E87" s="6"/>
      <c r="F87" s="6"/>
      <c r="G87" s="6"/>
    </row>
    <row r="88" spans="1:7" ht="13" x14ac:dyDescent="0.25">
      <c r="A88" s="11">
        <v>18</v>
      </c>
      <c r="B88" s="7">
        <v>20.3</v>
      </c>
      <c r="C88" s="7">
        <v>63.9</v>
      </c>
      <c r="D88" s="7">
        <v>107</v>
      </c>
      <c r="E88" s="6"/>
      <c r="F88" s="6"/>
      <c r="G88" s="6"/>
    </row>
    <row r="89" spans="1:7" ht="13" x14ac:dyDescent="0.25">
      <c r="A89" s="11">
        <v>19</v>
      </c>
      <c r="B89" s="7">
        <v>20.8</v>
      </c>
      <c r="C89" s="7">
        <v>56.8</v>
      </c>
      <c r="D89" s="7">
        <v>68.900000000000006</v>
      </c>
      <c r="E89" s="6"/>
      <c r="F89" s="6"/>
      <c r="G89" s="6"/>
    </row>
    <row r="90" spans="1:7" ht="13" x14ac:dyDescent="0.25">
      <c r="A90" s="11">
        <v>20</v>
      </c>
      <c r="B90" s="7">
        <v>37.1</v>
      </c>
      <c r="C90" s="7">
        <v>61</v>
      </c>
      <c r="D90" s="7">
        <v>107.9</v>
      </c>
      <c r="E90" s="6"/>
      <c r="F90" s="6"/>
      <c r="G90" s="6"/>
    </row>
    <row r="91" spans="1:7" ht="13" x14ac:dyDescent="0.25">
      <c r="A91" s="11">
        <v>21</v>
      </c>
      <c r="B91" s="7">
        <v>20.5</v>
      </c>
      <c r="C91" s="7">
        <v>54.8</v>
      </c>
      <c r="D91" s="7">
        <v>103.9</v>
      </c>
      <c r="E91" s="6"/>
      <c r="F91" s="6"/>
      <c r="G91" s="6"/>
    </row>
    <row r="92" spans="1:7" ht="13" x14ac:dyDescent="0.25">
      <c r="A92" s="11">
        <v>22</v>
      </c>
      <c r="B92" s="7">
        <v>42.5</v>
      </c>
      <c r="C92" s="7">
        <v>53</v>
      </c>
      <c r="D92" s="7">
        <v>76</v>
      </c>
      <c r="E92" s="6"/>
      <c r="F92" s="6"/>
      <c r="G92" s="6"/>
    </row>
    <row r="93" spans="1:7" ht="13" x14ac:dyDescent="0.25">
      <c r="A93" s="11">
        <v>23</v>
      </c>
      <c r="B93" s="7">
        <v>37.700000000000003</v>
      </c>
      <c r="C93" s="7">
        <v>45.8</v>
      </c>
      <c r="D93" s="7">
        <v>81.5</v>
      </c>
      <c r="E93" s="6"/>
      <c r="F93" s="6"/>
      <c r="G93" s="6"/>
    </row>
    <row r="94" spans="1:7" ht="13" x14ac:dyDescent="0.25">
      <c r="A94" s="11">
        <v>24</v>
      </c>
      <c r="B94" s="7">
        <v>21.4</v>
      </c>
      <c r="C94" s="7">
        <v>63.4</v>
      </c>
      <c r="D94" s="7">
        <v>99.4</v>
      </c>
      <c r="E94" s="6"/>
      <c r="F94" s="6"/>
      <c r="G94" s="6"/>
    </row>
    <row r="95" spans="1:7" ht="13" x14ac:dyDescent="0.25">
      <c r="A95" s="11">
        <v>25</v>
      </c>
      <c r="B95" s="7">
        <v>40.4</v>
      </c>
      <c r="C95" s="7">
        <v>60.2</v>
      </c>
      <c r="D95" s="7">
        <v>104.1</v>
      </c>
      <c r="E95" s="6"/>
      <c r="F95" s="6"/>
      <c r="G95" s="6"/>
    </row>
    <row r="96" spans="1:7" ht="13" x14ac:dyDescent="0.25">
      <c r="A96" s="11">
        <v>26</v>
      </c>
      <c r="B96" s="7">
        <v>31.4</v>
      </c>
      <c r="C96" s="7">
        <v>63.1</v>
      </c>
      <c r="D96" s="7">
        <v>91.6</v>
      </c>
      <c r="E96" s="17"/>
      <c r="F96" s="17"/>
      <c r="G96" s="17"/>
    </row>
    <row r="97" spans="1:7" ht="13" x14ac:dyDescent="0.25">
      <c r="A97" s="11">
        <v>27</v>
      </c>
      <c r="B97" s="7">
        <v>26.1</v>
      </c>
      <c r="C97" s="7">
        <v>50.6</v>
      </c>
      <c r="D97" s="7">
        <v>66.2</v>
      </c>
      <c r="E97" s="17"/>
      <c r="F97" s="17"/>
      <c r="G97" s="17"/>
    </row>
    <row r="98" spans="1:7" ht="13" x14ac:dyDescent="0.25">
      <c r="A98" s="11">
        <v>28</v>
      </c>
      <c r="B98" s="7">
        <v>20</v>
      </c>
      <c r="C98" s="7">
        <v>64.400000000000006</v>
      </c>
      <c r="D98" s="7">
        <v>65</v>
      </c>
      <c r="E98" s="17"/>
      <c r="F98" s="17"/>
      <c r="G98" s="17"/>
    </row>
    <row r="99" spans="1:7" ht="13" x14ac:dyDescent="0.25">
      <c r="A99" s="11">
        <v>29</v>
      </c>
      <c r="B99" s="7">
        <v>34.9</v>
      </c>
      <c r="C99" s="7">
        <v>45.2</v>
      </c>
      <c r="D99" s="7">
        <v>83.1</v>
      </c>
      <c r="E99" s="6"/>
      <c r="F99" s="6"/>
      <c r="G99" s="6"/>
    </row>
    <row r="100" spans="1:7" ht="13" x14ac:dyDescent="0.25">
      <c r="A100" s="11">
        <v>30</v>
      </c>
      <c r="B100" s="7">
        <v>30.6</v>
      </c>
      <c r="C100" s="7">
        <v>63.5</v>
      </c>
      <c r="D100" s="7">
        <v>106.1</v>
      </c>
      <c r="E100" s="2"/>
      <c r="F100" s="2"/>
      <c r="G100" s="2"/>
    </row>
    <row r="101" spans="1:7" ht="13" x14ac:dyDescent="0.25">
      <c r="A101" s="11">
        <v>31</v>
      </c>
      <c r="B101" s="7">
        <v>40.799999999999997</v>
      </c>
      <c r="C101" s="7">
        <v>54.5</v>
      </c>
      <c r="D101" s="7">
        <v>90.5</v>
      </c>
      <c r="E101" s="2"/>
      <c r="F101" s="2"/>
      <c r="G101" s="2"/>
    </row>
    <row r="102" spans="1:7" ht="13" x14ac:dyDescent="0.25">
      <c r="A102" s="11">
        <v>32</v>
      </c>
      <c r="B102" s="7">
        <v>37.200000000000003</v>
      </c>
      <c r="C102" s="7">
        <v>55.2</v>
      </c>
      <c r="D102" s="7">
        <v>77.599999999999994</v>
      </c>
      <c r="E102" s="2"/>
      <c r="F102" s="2"/>
      <c r="G102" s="2"/>
    </row>
    <row r="103" spans="1:7" ht="13" x14ac:dyDescent="0.25">
      <c r="A103" s="11">
        <v>33</v>
      </c>
      <c r="B103" s="7">
        <v>20.5</v>
      </c>
      <c r="C103" s="7">
        <v>61.2</v>
      </c>
      <c r="D103" s="7">
        <v>100.2</v>
      </c>
      <c r="E103" s="2"/>
      <c r="F103" s="2"/>
      <c r="G103" s="2"/>
    </row>
    <row r="104" spans="1:7" ht="13" x14ac:dyDescent="0.25">
      <c r="A104" s="11">
        <v>34</v>
      </c>
      <c r="B104" s="7">
        <v>41.5</v>
      </c>
      <c r="C104" s="7">
        <v>54.2</v>
      </c>
      <c r="D104" s="7">
        <v>77.3</v>
      </c>
      <c r="E104" s="2"/>
      <c r="F104" s="2"/>
      <c r="G104" s="2"/>
    </row>
    <row r="105" spans="1:7" ht="13" x14ac:dyDescent="0.25">
      <c r="A105" s="11">
        <v>35</v>
      </c>
      <c r="B105" s="7">
        <v>29</v>
      </c>
      <c r="C105" s="7">
        <v>53.5</v>
      </c>
      <c r="D105" s="7">
        <v>104.4</v>
      </c>
      <c r="E105" s="2"/>
      <c r="F105" s="2"/>
      <c r="G105" s="2"/>
    </row>
    <row r="106" spans="1:7" ht="13" x14ac:dyDescent="0.25">
      <c r="A106" s="11">
        <v>36</v>
      </c>
      <c r="B106" s="7">
        <v>27</v>
      </c>
      <c r="C106" s="7">
        <v>59.4</v>
      </c>
      <c r="D106" s="7">
        <v>65.8</v>
      </c>
      <c r="E106" s="2"/>
      <c r="F106" s="2"/>
      <c r="G106" s="2"/>
    </row>
    <row r="107" spans="1:7" ht="13" x14ac:dyDescent="0.25">
      <c r="A107" s="11">
        <v>37</v>
      </c>
      <c r="B107" s="7">
        <v>36.9</v>
      </c>
      <c r="C107" s="7">
        <v>63.1</v>
      </c>
      <c r="D107" s="7">
        <v>70.099999999999994</v>
      </c>
      <c r="E107" s="2"/>
      <c r="F107" s="2"/>
      <c r="G107" s="2"/>
    </row>
    <row r="108" spans="1:7" ht="13" x14ac:dyDescent="0.25">
      <c r="A108" s="11">
        <v>38</v>
      </c>
      <c r="B108" s="7">
        <v>31</v>
      </c>
      <c r="C108" s="7">
        <v>62.7</v>
      </c>
      <c r="D108" s="7">
        <v>94.5</v>
      </c>
      <c r="E108" s="2"/>
      <c r="F108" s="2"/>
      <c r="G108" s="2"/>
    </row>
    <row r="109" spans="1:7" ht="13" x14ac:dyDescent="0.25">
      <c r="A109" s="11">
        <v>39</v>
      </c>
      <c r="B109" s="7">
        <v>36.9</v>
      </c>
      <c r="C109" s="7">
        <v>62.3</v>
      </c>
      <c r="D109" s="7">
        <v>94.9</v>
      </c>
      <c r="E109" s="2"/>
      <c r="F109" s="2"/>
      <c r="G109" s="2"/>
    </row>
    <row r="110" spans="1:7" ht="13" x14ac:dyDescent="0.25">
      <c r="A110" s="11">
        <v>40</v>
      </c>
      <c r="B110" s="7">
        <v>42.7</v>
      </c>
      <c r="C110" s="7">
        <v>55.1</v>
      </c>
      <c r="D110" s="7">
        <v>80.8</v>
      </c>
      <c r="E110" s="2"/>
      <c r="F110" s="2"/>
      <c r="G110" s="2"/>
    </row>
    <row r="111" spans="1:7" ht="13" x14ac:dyDescent="0.25">
      <c r="A111" s="11">
        <v>41</v>
      </c>
      <c r="B111" s="7">
        <v>43.2</v>
      </c>
      <c r="C111" s="7">
        <v>56.8</v>
      </c>
      <c r="D111" s="7">
        <v>69.5</v>
      </c>
      <c r="E111" s="2"/>
      <c r="F111" s="2"/>
      <c r="G111" s="2"/>
    </row>
    <row r="112" spans="1:7" ht="13" x14ac:dyDescent="0.25">
      <c r="A112" s="11">
        <v>42</v>
      </c>
      <c r="B112" s="7">
        <v>21.8</v>
      </c>
      <c r="C112" s="7">
        <v>55.7</v>
      </c>
      <c r="D112" s="7">
        <v>73.3</v>
      </c>
      <c r="E112" s="2"/>
      <c r="F112" s="2"/>
      <c r="G112" s="2"/>
    </row>
    <row r="113" spans="1:7" ht="13" x14ac:dyDescent="0.25">
      <c r="A113" s="11">
        <v>43</v>
      </c>
      <c r="B113" s="7">
        <v>42.5</v>
      </c>
      <c r="C113" s="7">
        <v>57.9</v>
      </c>
      <c r="D113" s="7">
        <v>105</v>
      </c>
      <c r="E113" s="2"/>
      <c r="F113" s="2"/>
      <c r="G113" s="2"/>
    </row>
    <row r="114" spans="1:7" ht="13" x14ac:dyDescent="0.25">
      <c r="A114" s="11">
        <v>44</v>
      </c>
      <c r="B114" s="7">
        <v>42.2</v>
      </c>
      <c r="C114" s="7">
        <v>50.3</v>
      </c>
      <c r="D114" s="7">
        <v>82.6</v>
      </c>
      <c r="E114" s="2"/>
      <c r="F114" s="2"/>
      <c r="G114" s="2"/>
    </row>
    <row r="115" spans="1:7" ht="13" x14ac:dyDescent="0.25">
      <c r="A115" s="11">
        <v>45</v>
      </c>
      <c r="B115" s="7">
        <v>22.2</v>
      </c>
      <c r="C115" s="7">
        <v>61</v>
      </c>
      <c r="D115" s="7">
        <v>70</v>
      </c>
      <c r="E115" s="2"/>
      <c r="F115" s="2"/>
      <c r="G115" s="2"/>
    </row>
    <row r="116" spans="1:7" ht="13" x14ac:dyDescent="0.25">
      <c r="A116" s="11">
        <v>46</v>
      </c>
      <c r="B116" s="7">
        <v>42.3</v>
      </c>
      <c r="C116" s="7">
        <v>52.2</v>
      </c>
      <c r="D116" s="7">
        <v>96.8</v>
      </c>
      <c r="E116" s="2"/>
      <c r="F116" s="2"/>
      <c r="G116" s="2"/>
    </row>
    <row r="117" spans="1:7" ht="13" x14ac:dyDescent="0.25">
      <c r="A117" s="11">
        <v>47</v>
      </c>
      <c r="B117" s="7">
        <v>40.1</v>
      </c>
      <c r="C117" s="7">
        <v>58.5</v>
      </c>
      <c r="D117" s="7">
        <v>80.2</v>
      </c>
      <c r="E117" s="2"/>
      <c r="F117" s="2"/>
      <c r="G117" s="2"/>
    </row>
    <row r="118" spans="1:7" ht="13" x14ac:dyDescent="0.25">
      <c r="A118" s="11">
        <v>48</v>
      </c>
      <c r="B118" s="7">
        <v>31.6</v>
      </c>
      <c r="C118" s="7">
        <v>50</v>
      </c>
      <c r="D118" s="7">
        <v>67.5</v>
      </c>
      <c r="E118" s="2"/>
      <c r="F118" s="2"/>
      <c r="G118" s="2"/>
    </row>
    <row r="119" spans="1:7" ht="13" x14ac:dyDescent="0.25">
      <c r="A119" s="11">
        <v>49</v>
      </c>
      <c r="B119" s="7">
        <v>24.5</v>
      </c>
      <c r="C119" s="7">
        <v>60.5</v>
      </c>
      <c r="D119" s="7">
        <v>100.7</v>
      </c>
      <c r="E119" s="2"/>
      <c r="F119" s="2"/>
      <c r="G119" s="2"/>
    </row>
    <row r="120" spans="1:7" ht="13" x14ac:dyDescent="0.25">
      <c r="A120" s="11">
        <v>50</v>
      </c>
      <c r="B120" s="7">
        <v>24.7</v>
      </c>
      <c r="C120" s="7">
        <v>46.1</v>
      </c>
      <c r="D120" s="7">
        <v>76.7</v>
      </c>
      <c r="E120" s="2"/>
      <c r="F120" s="2"/>
      <c r="G120" s="2"/>
    </row>
    <row r="121" spans="1:7" ht="13" x14ac:dyDescent="0.25">
      <c r="A121" s="11">
        <v>51</v>
      </c>
      <c r="B121" s="7">
        <v>29.7</v>
      </c>
      <c r="C121" s="7">
        <v>47.5</v>
      </c>
      <c r="D121" s="7">
        <v>96.4</v>
      </c>
      <c r="E121" s="2"/>
      <c r="F121" s="2"/>
      <c r="G121" s="2"/>
    </row>
    <row r="122" spans="1:7" ht="13" x14ac:dyDescent="0.25">
      <c r="A122" s="11">
        <v>52</v>
      </c>
      <c r="B122" s="7">
        <v>35</v>
      </c>
      <c r="C122" s="7">
        <v>53.1</v>
      </c>
      <c r="D122" s="7">
        <v>108.9</v>
      </c>
      <c r="E122" s="2"/>
      <c r="F122" s="2"/>
      <c r="G122" s="2"/>
    </row>
    <row r="123" spans="1:7" ht="13" x14ac:dyDescent="0.25">
      <c r="A123" s="11">
        <v>53</v>
      </c>
      <c r="B123" s="7">
        <v>24.6</v>
      </c>
      <c r="C123" s="7">
        <v>51</v>
      </c>
      <c r="D123" s="7">
        <v>99.7</v>
      </c>
      <c r="E123" s="2"/>
      <c r="F123" s="2"/>
      <c r="G123" s="2"/>
    </row>
    <row r="124" spans="1:7" ht="13" x14ac:dyDescent="0.25">
      <c r="A124" s="11">
        <v>54</v>
      </c>
      <c r="B124" s="7">
        <v>21.9</v>
      </c>
      <c r="C124" s="7">
        <v>62.8</v>
      </c>
      <c r="D124" s="7">
        <v>90.4</v>
      </c>
      <c r="E124" s="2"/>
      <c r="F124" s="2"/>
      <c r="G124" s="2"/>
    </row>
    <row r="125" spans="1:7" ht="13" x14ac:dyDescent="0.25">
      <c r="A125" s="11">
        <v>55</v>
      </c>
      <c r="B125" s="7">
        <v>25.4</v>
      </c>
      <c r="C125" s="7">
        <v>48.6</v>
      </c>
      <c r="D125" s="7">
        <v>67.3</v>
      </c>
      <c r="E125" s="2"/>
      <c r="F125" s="2"/>
      <c r="G125" s="2"/>
    </row>
    <row r="126" spans="1:7" ht="13" x14ac:dyDescent="0.25">
      <c r="A126" s="11">
        <v>56</v>
      </c>
      <c r="B126" s="7">
        <v>27.6</v>
      </c>
      <c r="C126" s="7">
        <v>53.4</v>
      </c>
      <c r="D126" s="7">
        <v>95.7</v>
      </c>
      <c r="E126" s="2"/>
      <c r="F126" s="2"/>
      <c r="G126" s="2"/>
    </row>
    <row r="127" spans="1:7" ht="13" x14ac:dyDescent="0.25">
      <c r="A127" s="11">
        <v>57</v>
      </c>
      <c r="B127" s="7">
        <v>21.5</v>
      </c>
      <c r="C127" s="7">
        <v>60.2</v>
      </c>
      <c r="D127" s="7">
        <v>85.6</v>
      </c>
      <c r="E127" s="2"/>
      <c r="F127" s="2"/>
      <c r="G127" s="2"/>
    </row>
    <row r="128" spans="1:7" ht="13" x14ac:dyDescent="0.25">
      <c r="A128" s="11">
        <v>58</v>
      </c>
      <c r="B128" s="7">
        <v>41</v>
      </c>
      <c r="C128" s="7">
        <v>64.099999999999994</v>
      </c>
      <c r="D128" s="7">
        <v>69.7</v>
      </c>
      <c r="E128" s="2"/>
      <c r="F128" s="2"/>
      <c r="G128" s="2"/>
    </row>
    <row r="129" spans="1:7" ht="13" x14ac:dyDescent="0.25">
      <c r="A129" s="11">
        <v>59</v>
      </c>
      <c r="B129" s="7">
        <v>44.6</v>
      </c>
      <c r="C129" s="7">
        <v>51</v>
      </c>
      <c r="D129" s="7">
        <v>72.2</v>
      </c>
      <c r="E129" s="2"/>
      <c r="F129" s="2"/>
      <c r="G129" s="2"/>
    </row>
    <row r="130" spans="1:7" ht="13" x14ac:dyDescent="0.25">
      <c r="A130" s="11">
        <v>60</v>
      </c>
      <c r="B130" s="7">
        <v>25.4</v>
      </c>
      <c r="C130" s="7">
        <v>57</v>
      </c>
      <c r="D130" s="7">
        <v>103.7</v>
      </c>
      <c r="E130" s="2"/>
      <c r="F130" s="2"/>
      <c r="G130" s="2"/>
    </row>
    <row r="131" spans="1:7" ht="13" x14ac:dyDescent="0.25">
      <c r="A131" s="11">
        <v>61</v>
      </c>
      <c r="B131" s="7">
        <v>28</v>
      </c>
      <c r="C131" s="7">
        <v>49.7</v>
      </c>
      <c r="D131" s="7">
        <v>104.5</v>
      </c>
      <c r="E131" s="2"/>
      <c r="F131" s="2"/>
      <c r="G131" s="2"/>
    </row>
    <row r="132" spans="1:7" ht="13" x14ac:dyDescent="0.25">
      <c r="A132" s="11">
        <v>62</v>
      </c>
      <c r="B132" s="7">
        <v>28.4</v>
      </c>
      <c r="C132" s="7">
        <v>61.6</v>
      </c>
      <c r="D132" s="7">
        <v>72.599999999999994</v>
      </c>
      <c r="E132" s="2"/>
      <c r="F132" s="2"/>
      <c r="G132" s="2"/>
    </row>
    <row r="133" spans="1:7" ht="13.5" thickBot="1" x14ac:dyDescent="0.3">
      <c r="A133" s="14">
        <v>63</v>
      </c>
      <c r="B133" s="7">
        <v>22.7</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57.2</v>
      </c>
      <c r="C138" s="13">
        <f>ROUNDDOWN(AVERAGE(E5:G20),1)</f>
        <v>72.400000000000006</v>
      </c>
      <c r="D138" s="11">
        <f>'2021.2'!D138</f>
        <v>8438</v>
      </c>
      <c r="E138" s="11">
        <v>15944</v>
      </c>
      <c r="F138" s="11">
        <f>B138*D138</f>
        <v>482653.60000000003</v>
      </c>
      <c r="G138" s="11">
        <f>C138*E138</f>
        <v>1154345.6000000001</v>
      </c>
    </row>
    <row r="139" spans="1:7" ht="13" x14ac:dyDescent="0.25">
      <c r="A139" s="6" t="str">
        <f>A21</f>
        <v>Dongtai Jianggang Farm</v>
      </c>
      <c r="B139" s="13">
        <f>ROUNDDOWN(AVERAGE(B24:D33),1)</f>
        <v>56</v>
      </c>
      <c r="C139" s="13">
        <f>ROUNDDOWN(AVERAGE(E24:G52),1)</f>
        <v>73.8</v>
      </c>
      <c r="D139" s="11">
        <f>'2021.2'!D139</f>
        <v>9440</v>
      </c>
      <c r="E139" s="11">
        <v>29462</v>
      </c>
      <c r="F139" s="11">
        <f t="shared" ref="F139:G141" si="0">B139*D139</f>
        <v>528640</v>
      </c>
      <c r="G139" s="11">
        <f t="shared" si="0"/>
        <v>2174295.6</v>
      </c>
    </row>
    <row r="140" spans="1:7" ht="13" x14ac:dyDescent="0.25">
      <c r="A140" s="6" t="str">
        <f>A53</f>
        <v>Sheyang Linhai Farm</v>
      </c>
      <c r="B140" s="13">
        <f>ROUNDDOWN(AVERAGE(B56:D67),1)</f>
        <v>59.5</v>
      </c>
      <c r="C140" s="13">
        <f>ROUNDDOWN(AVERAGE(E56:G62),1)</f>
        <v>68.7</v>
      </c>
      <c r="D140" s="11">
        <f>'2021.2'!D140</f>
        <v>11825</v>
      </c>
      <c r="E140" s="11">
        <v>6432</v>
      </c>
      <c r="F140" s="11">
        <f t="shared" si="0"/>
        <v>703587.5</v>
      </c>
      <c r="G140" s="11">
        <f t="shared" si="0"/>
        <v>441878.4</v>
      </c>
    </row>
    <row r="141" spans="1:7" ht="13" x14ac:dyDescent="0.25">
      <c r="A141" s="6" t="str">
        <f>A68</f>
        <v>Siyang Nanliuji</v>
      </c>
      <c r="B141" s="13">
        <f>ROUNDDOWN(AVERAGE(B71:D133),1)</f>
        <v>57.8</v>
      </c>
      <c r="C141" s="11">
        <f>ROUNDDOWN(AVERAGE(0),1)</f>
        <v>0</v>
      </c>
      <c r="D141" s="11">
        <f>'2021.2'!D141</f>
        <v>65005</v>
      </c>
      <c r="E141" s="11">
        <v>0</v>
      </c>
      <c r="F141" s="11">
        <f t="shared" si="0"/>
        <v>3757289</v>
      </c>
      <c r="G141" s="11">
        <f t="shared" si="0"/>
        <v>0</v>
      </c>
    </row>
    <row r="142" spans="1:7" ht="13" x14ac:dyDescent="0.25">
      <c r="A142" s="613" t="s">
        <v>154</v>
      </c>
      <c r="B142" s="617"/>
      <c r="C142" s="614"/>
      <c r="D142" s="11">
        <f>SUM(D138:D141)</f>
        <v>94708</v>
      </c>
      <c r="E142" s="11">
        <f>SUM(E138:E141)</f>
        <v>51838</v>
      </c>
      <c r="F142" s="11">
        <f>SUM(F138:F141)</f>
        <v>5472170.0999999996</v>
      </c>
      <c r="G142" s="11">
        <f>SUM(G138:G141)</f>
        <v>3770519.6</v>
      </c>
    </row>
    <row r="144" spans="1:7" ht="13" x14ac:dyDescent="0.25">
      <c r="C144" s="613" t="s">
        <v>155</v>
      </c>
      <c r="D144" s="614"/>
    </row>
    <row r="145" spans="3:4" ht="13" x14ac:dyDescent="0.25">
      <c r="C145" s="11" t="s">
        <v>152</v>
      </c>
      <c r="D145" s="11" t="s">
        <v>153</v>
      </c>
    </row>
    <row r="146" spans="3:4" ht="13" x14ac:dyDescent="0.25">
      <c r="C146" s="12">
        <f>ROUNDDOWN(F142/D142,1)</f>
        <v>57.7</v>
      </c>
      <c r="D146" s="12">
        <f>ROUNDDOWN(G142/E142,1)</f>
        <v>72.7</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46"/>
  <sheetViews>
    <sheetView workbookViewId="0">
      <selection activeCell="C137" sqref="C137"/>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'2021.3'!A2:G2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34.1</v>
      </c>
      <c r="C5" s="7">
        <v>63.7</v>
      </c>
      <c r="D5" s="7">
        <v>77.3</v>
      </c>
      <c r="E5" s="7">
        <v>53.7</v>
      </c>
      <c r="F5" s="7">
        <v>84.9</v>
      </c>
      <c r="G5" s="7">
        <v>97.5</v>
      </c>
    </row>
    <row r="6" spans="1:7" ht="13" x14ac:dyDescent="0.25">
      <c r="A6" s="11">
        <v>2</v>
      </c>
      <c r="B6" s="7">
        <v>38.1</v>
      </c>
      <c r="C6" s="7">
        <v>50.6</v>
      </c>
      <c r="D6" s="7">
        <v>106.1</v>
      </c>
      <c r="E6" s="7">
        <v>57.4</v>
      </c>
      <c r="F6" s="7">
        <v>74.3</v>
      </c>
      <c r="G6" s="7">
        <v>100.1</v>
      </c>
    </row>
    <row r="7" spans="1:7" ht="13" x14ac:dyDescent="0.25">
      <c r="A7" s="11">
        <v>3</v>
      </c>
      <c r="B7" s="7">
        <v>22.9</v>
      </c>
      <c r="C7" s="7">
        <v>45.6</v>
      </c>
      <c r="D7" s="7">
        <v>106.3</v>
      </c>
      <c r="E7" s="7">
        <v>56.2</v>
      </c>
      <c r="F7" s="7">
        <v>73.099999999999994</v>
      </c>
      <c r="G7" s="7">
        <v>114</v>
      </c>
    </row>
    <row r="8" spans="1:7" ht="13" x14ac:dyDescent="0.25">
      <c r="A8" s="11">
        <v>4</v>
      </c>
      <c r="B8" s="7">
        <v>31.3</v>
      </c>
      <c r="C8" s="7">
        <v>51.8</v>
      </c>
      <c r="D8" s="7">
        <v>96.5</v>
      </c>
      <c r="E8" s="7">
        <v>25.1</v>
      </c>
      <c r="F8" s="7">
        <v>67.7</v>
      </c>
      <c r="G8" s="7">
        <v>112.4</v>
      </c>
    </row>
    <row r="9" spans="1:7" ht="13" x14ac:dyDescent="0.25">
      <c r="A9" s="11">
        <v>5</v>
      </c>
      <c r="B9" s="7">
        <v>20.399999999999999</v>
      </c>
      <c r="C9" s="7">
        <v>54.7</v>
      </c>
      <c r="D9" s="7">
        <v>77</v>
      </c>
      <c r="E9" s="7">
        <v>38.6</v>
      </c>
      <c r="F9" s="7">
        <v>84.9</v>
      </c>
      <c r="G9" s="7">
        <v>87.6</v>
      </c>
    </row>
    <row r="10" spans="1:7" ht="13" x14ac:dyDescent="0.25">
      <c r="A10" s="11">
        <v>6</v>
      </c>
      <c r="B10" s="7">
        <v>26.9</v>
      </c>
      <c r="C10" s="7">
        <v>54.3</v>
      </c>
      <c r="D10" s="7">
        <v>65</v>
      </c>
      <c r="E10" s="7">
        <v>44.7</v>
      </c>
      <c r="F10" s="7">
        <v>67.8</v>
      </c>
      <c r="G10" s="7">
        <v>104.3</v>
      </c>
    </row>
    <row r="11" spans="1:7" ht="13" x14ac:dyDescent="0.25">
      <c r="A11" s="11">
        <v>7</v>
      </c>
      <c r="B11" s="7">
        <v>27.5</v>
      </c>
      <c r="C11" s="7">
        <v>62.5</v>
      </c>
      <c r="D11" s="7">
        <v>99.9</v>
      </c>
      <c r="E11" s="7">
        <v>35</v>
      </c>
      <c r="F11" s="7">
        <v>63.7</v>
      </c>
      <c r="G11" s="7">
        <v>108.4</v>
      </c>
    </row>
    <row r="12" spans="1:7" ht="13" x14ac:dyDescent="0.25">
      <c r="A12" s="11">
        <v>8</v>
      </c>
      <c r="B12" s="7">
        <v>22.5</v>
      </c>
      <c r="C12" s="7">
        <v>60.1</v>
      </c>
      <c r="D12" s="7">
        <v>72.900000000000006</v>
      </c>
      <c r="E12" s="7">
        <v>34</v>
      </c>
      <c r="F12" s="7">
        <v>62.3</v>
      </c>
      <c r="G12" s="7">
        <v>94.8</v>
      </c>
    </row>
    <row r="13" spans="1:7" ht="13" x14ac:dyDescent="0.25">
      <c r="A13" s="11">
        <v>9</v>
      </c>
      <c r="B13" s="7">
        <v>28.5</v>
      </c>
      <c r="C13" s="7">
        <v>51.1</v>
      </c>
      <c r="D13" s="7">
        <v>89.7</v>
      </c>
      <c r="E13" s="7">
        <v>30.2</v>
      </c>
      <c r="F13" s="7">
        <v>83.6</v>
      </c>
      <c r="G13" s="7">
        <v>106</v>
      </c>
    </row>
    <row r="14" spans="1:7" ht="13" x14ac:dyDescent="0.25">
      <c r="A14" s="11">
        <v>10</v>
      </c>
      <c r="B14" s="7"/>
      <c r="C14" s="7"/>
      <c r="D14" s="7"/>
      <c r="E14" s="7">
        <v>46.6</v>
      </c>
      <c r="F14" s="7">
        <v>62.9</v>
      </c>
      <c r="G14" s="7">
        <v>106.5</v>
      </c>
    </row>
    <row r="15" spans="1:7" ht="13" x14ac:dyDescent="0.25">
      <c r="A15" s="11">
        <v>11</v>
      </c>
      <c r="B15" s="7"/>
      <c r="C15" s="7"/>
      <c r="D15" s="7"/>
      <c r="E15" s="7">
        <v>59.3</v>
      </c>
      <c r="F15" s="7">
        <v>81</v>
      </c>
      <c r="G15" s="7">
        <v>97.8</v>
      </c>
    </row>
    <row r="16" spans="1:7" ht="13" x14ac:dyDescent="0.25">
      <c r="A16" s="11">
        <v>12</v>
      </c>
      <c r="B16" s="7"/>
      <c r="C16" s="7"/>
      <c r="D16" s="7"/>
      <c r="E16" s="7">
        <v>48.6</v>
      </c>
      <c r="F16" s="7">
        <v>60.1</v>
      </c>
      <c r="G16" s="7">
        <v>85</v>
      </c>
    </row>
    <row r="17" spans="1:7" ht="13" x14ac:dyDescent="0.25">
      <c r="A17" s="11">
        <v>13</v>
      </c>
      <c r="B17" s="7"/>
      <c r="C17" s="7"/>
      <c r="D17" s="7"/>
      <c r="E17" s="7">
        <v>26.6</v>
      </c>
      <c r="F17" s="7">
        <v>83.5</v>
      </c>
      <c r="G17" s="7">
        <v>85.1</v>
      </c>
    </row>
    <row r="18" spans="1:7" ht="13" x14ac:dyDescent="0.25">
      <c r="A18" s="11">
        <v>14</v>
      </c>
      <c r="B18" s="7"/>
      <c r="C18" s="7"/>
      <c r="D18" s="7"/>
      <c r="E18" s="7">
        <v>48.9</v>
      </c>
      <c r="F18" s="7">
        <v>61.6</v>
      </c>
      <c r="G18" s="7">
        <v>102.9</v>
      </c>
    </row>
    <row r="19" spans="1:7" ht="13" x14ac:dyDescent="0.25">
      <c r="A19" s="11">
        <v>15</v>
      </c>
      <c r="B19" s="7"/>
      <c r="C19" s="7"/>
      <c r="D19" s="7"/>
      <c r="E19" s="7">
        <v>56</v>
      </c>
      <c r="F19" s="7">
        <v>60.4</v>
      </c>
      <c r="G19" s="7">
        <v>119.2</v>
      </c>
    </row>
    <row r="20" spans="1:7" ht="13.5" thickBot="1" x14ac:dyDescent="0.3">
      <c r="A20" s="14">
        <v>16</v>
      </c>
      <c r="B20" s="15"/>
      <c r="C20" s="15"/>
      <c r="D20" s="15"/>
      <c r="E20" s="7">
        <v>49.5</v>
      </c>
      <c r="F20" s="7">
        <v>82.1</v>
      </c>
      <c r="G20" s="7">
        <v>118.6</v>
      </c>
    </row>
    <row r="21" spans="1:7" ht="13.5" thickTop="1" x14ac:dyDescent="0.25">
      <c r="A21" s="612" t="str">
        <f>'2021.3'!A21:G21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29</v>
      </c>
      <c r="C24" s="7">
        <v>64.400000000000006</v>
      </c>
      <c r="D24" s="7">
        <v>87.2</v>
      </c>
      <c r="E24" s="7">
        <v>48.2</v>
      </c>
      <c r="F24" s="7">
        <v>65.099999999999994</v>
      </c>
      <c r="G24" s="7">
        <v>90</v>
      </c>
    </row>
    <row r="25" spans="1:7" ht="13" x14ac:dyDescent="0.25">
      <c r="A25" s="11">
        <v>2</v>
      </c>
      <c r="B25" s="7">
        <v>28.4</v>
      </c>
      <c r="C25" s="7">
        <v>61.3</v>
      </c>
      <c r="D25" s="7">
        <v>98.5</v>
      </c>
      <c r="E25" s="7">
        <v>54</v>
      </c>
      <c r="F25" s="7">
        <v>74.2</v>
      </c>
      <c r="G25" s="7">
        <v>101.7</v>
      </c>
    </row>
    <row r="26" spans="1:7" ht="13" x14ac:dyDescent="0.25">
      <c r="A26" s="11">
        <v>3</v>
      </c>
      <c r="B26" s="7">
        <v>23.8</v>
      </c>
      <c r="C26" s="7">
        <v>58.1</v>
      </c>
      <c r="D26" s="7">
        <v>107.7</v>
      </c>
      <c r="E26" s="7">
        <v>33.4</v>
      </c>
      <c r="F26" s="7">
        <v>66.7</v>
      </c>
      <c r="G26" s="7">
        <v>86.9</v>
      </c>
    </row>
    <row r="27" spans="1:7" ht="13" x14ac:dyDescent="0.25">
      <c r="A27" s="11">
        <v>4</v>
      </c>
      <c r="B27" s="7">
        <v>37.9</v>
      </c>
      <c r="C27" s="7">
        <v>56.8</v>
      </c>
      <c r="D27" s="7">
        <v>102.9</v>
      </c>
      <c r="E27" s="7">
        <v>51.7</v>
      </c>
      <c r="F27" s="7">
        <v>60.7</v>
      </c>
      <c r="G27" s="7">
        <v>109.5</v>
      </c>
    </row>
    <row r="28" spans="1:7" ht="13" x14ac:dyDescent="0.25">
      <c r="A28" s="11">
        <v>5</v>
      </c>
      <c r="B28" s="7">
        <v>32</v>
      </c>
      <c r="C28" s="7">
        <v>48.9</v>
      </c>
      <c r="D28" s="7">
        <v>85.3</v>
      </c>
      <c r="E28" s="7">
        <v>59.9</v>
      </c>
      <c r="F28" s="7">
        <v>74.2</v>
      </c>
      <c r="G28" s="7">
        <v>119.6</v>
      </c>
    </row>
    <row r="29" spans="1:7" ht="13" x14ac:dyDescent="0.25">
      <c r="A29" s="11">
        <v>6</v>
      </c>
      <c r="B29" s="7">
        <v>30.3</v>
      </c>
      <c r="C29" s="7">
        <v>57.2</v>
      </c>
      <c r="D29" s="7">
        <v>84.1</v>
      </c>
      <c r="E29" s="7">
        <v>50.3</v>
      </c>
      <c r="F29" s="7">
        <v>78.099999999999994</v>
      </c>
      <c r="G29" s="7">
        <v>102.7</v>
      </c>
    </row>
    <row r="30" spans="1:7" ht="13" x14ac:dyDescent="0.25">
      <c r="A30" s="11">
        <v>7</v>
      </c>
      <c r="B30" s="7">
        <v>32.799999999999997</v>
      </c>
      <c r="C30" s="7">
        <v>55.4</v>
      </c>
      <c r="D30" s="7">
        <v>77.5</v>
      </c>
      <c r="E30" s="7">
        <v>51.6</v>
      </c>
      <c r="F30" s="7">
        <v>69.599999999999994</v>
      </c>
      <c r="G30" s="7">
        <v>106.8</v>
      </c>
    </row>
    <row r="31" spans="1:7" ht="13" x14ac:dyDescent="0.25">
      <c r="A31" s="11">
        <v>8</v>
      </c>
      <c r="B31" s="7">
        <v>34.6</v>
      </c>
      <c r="C31" s="7">
        <v>58.3</v>
      </c>
      <c r="D31" s="7">
        <v>65.7</v>
      </c>
      <c r="E31" s="7">
        <v>28.1</v>
      </c>
      <c r="F31" s="7">
        <v>72.900000000000006</v>
      </c>
      <c r="G31" s="7">
        <v>115.7</v>
      </c>
    </row>
    <row r="32" spans="1:7" ht="13" x14ac:dyDescent="0.25">
      <c r="A32" s="11">
        <v>9</v>
      </c>
      <c r="B32" s="7">
        <v>20.5</v>
      </c>
      <c r="C32" s="7">
        <v>61.3</v>
      </c>
      <c r="D32" s="7">
        <v>99.7</v>
      </c>
      <c r="E32" s="7">
        <v>26.8</v>
      </c>
      <c r="F32" s="7">
        <v>68.900000000000006</v>
      </c>
      <c r="G32" s="7">
        <v>114.6</v>
      </c>
    </row>
    <row r="33" spans="1:7" ht="13" x14ac:dyDescent="0.25">
      <c r="A33" s="11">
        <v>10</v>
      </c>
      <c r="B33" s="7">
        <v>39.200000000000003</v>
      </c>
      <c r="C33" s="7">
        <v>49.2</v>
      </c>
      <c r="D33" s="7">
        <v>107.9</v>
      </c>
      <c r="E33" s="7">
        <v>41.1</v>
      </c>
      <c r="F33" s="7">
        <v>80.400000000000006</v>
      </c>
      <c r="G33" s="7">
        <v>119.2</v>
      </c>
    </row>
    <row r="34" spans="1:7" ht="13" x14ac:dyDescent="0.25">
      <c r="A34" s="11">
        <v>11</v>
      </c>
      <c r="B34" s="7"/>
      <c r="C34" s="7"/>
      <c r="D34" s="7"/>
      <c r="E34" s="7">
        <v>29.3</v>
      </c>
      <c r="F34" s="7">
        <v>63.2</v>
      </c>
      <c r="G34" s="7">
        <v>112.2</v>
      </c>
    </row>
    <row r="35" spans="1:7" ht="13" x14ac:dyDescent="0.25">
      <c r="A35" s="11">
        <v>12</v>
      </c>
      <c r="B35" s="7"/>
      <c r="C35" s="7"/>
      <c r="D35" s="7"/>
      <c r="E35" s="7">
        <v>44.4</v>
      </c>
      <c r="F35" s="7">
        <v>69.599999999999994</v>
      </c>
      <c r="G35" s="7">
        <v>116.4</v>
      </c>
    </row>
    <row r="36" spans="1:7" ht="13" x14ac:dyDescent="0.25">
      <c r="A36" s="11">
        <v>13</v>
      </c>
      <c r="B36" s="7"/>
      <c r="C36" s="7"/>
      <c r="D36" s="7"/>
      <c r="E36" s="7">
        <v>40.4</v>
      </c>
      <c r="F36" s="7">
        <v>80.099999999999994</v>
      </c>
      <c r="G36" s="7">
        <v>87.7</v>
      </c>
    </row>
    <row r="37" spans="1:7" ht="13" x14ac:dyDescent="0.25">
      <c r="A37" s="11">
        <v>14</v>
      </c>
      <c r="B37" s="7"/>
      <c r="C37" s="7"/>
      <c r="D37" s="7"/>
      <c r="E37" s="7">
        <v>28.1</v>
      </c>
      <c r="F37" s="7">
        <v>81</v>
      </c>
      <c r="G37" s="7">
        <v>118.7</v>
      </c>
    </row>
    <row r="38" spans="1:7" ht="13" x14ac:dyDescent="0.25">
      <c r="A38" s="11">
        <v>15</v>
      </c>
      <c r="B38" s="7"/>
      <c r="C38" s="7"/>
      <c r="D38" s="7"/>
      <c r="E38" s="7">
        <v>50.7</v>
      </c>
      <c r="F38" s="7">
        <v>83.4</v>
      </c>
      <c r="G38" s="7">
        <v>113.2</v>
      </c>
    </row>
    <row r="39" spans="1:7" ht="13" x14ac:dyDescent="0.25">
      <c r="A39" s="11">
        <v>16</v>
      </c>
      <c r="B39" s="7"/>
      <c r="C39" s="7"/>
      <c r="D39" s="7"/>
      <c r="E39" s="7">
        <v>55.5</v>
      </c>
      <c r="F39" s="7">
        <v>69.099999999999994</v>
      </c>
      <c r="G39" s="7">
        <v>87.7</v>
      </c>
    </row>
    <row r="40" spans="1:7" ht="13" x14ac:dyDescent="0.25">
      <c r="A40" s="11">
        <v>17</v>
      </c>
      <c r="B40" s="7"/>
      <c r="C40" s="7"/>
      <c r="D40" s="7"/>
      <c r="E40" s="7">
        <v>49.9</v>
      </c>
      <c r="F40" s="7">
        <v>69.599999999999994</v>
      </c>
      <c r="G40" s="7">
        <v>107.2</v>
      </c>
    </row>
    <row r="41" spans="1:7" ht="13" x14ac:dyDescent="0.25">
      <c r="A41" s="11">
        <v>18</v>
      </c>
      <c r="B41" s="7"/>
      <c r="C41" s="7"/>
      <c r="D41" s="7"/>
      <c r="E41" s="7">
        <v>31.2</v>
      </c>
      <c r="F41" s="7">
        <v>63.2</v>
      </c>
      <c r="G41" s="7">
        <v>98.9</v>
      </c>
    </row>
    <row r="42" spans="1:7" ht="13" x14ac:dyDescent="0.25">
      <c r="A42" s="11">
        <v>19</v>
      </c>
      <c r="B42" s="7"/>
      <c r="C42" s="7"/>
      <c r="D42" s="7"/>
      <c r="E42" s="7">
        <v>50.1</v>
      </c>
      <c r="F42" s="7">
        <v>62.8</v>
      </c>
      <c r="G42" s="7">
        <v>116</v>
      </c>
    </row>
    <row r="43" spans="1:7" ht="13" x14ac:dyDescent="0.25">
      <c r="A43" s="11">
        <v>20</v>
      </c>
      <c r="B43" s="7"/>
      <c r="C43" s="7"/>
      <c r="D43" s="7"/>
      <c r="E43" s="7">
        <v>55.4</v>
      </c>
      <c r="F43" s="7">
        <v>72</v>
      </c>
      <c r="G43" s="7">
        <v>107.2</v>
      </c>
    </row>
    <row r="44" spans="1:7" ht="13" x14ac:dyDescent="0.25">
      <c r="A44" s="11">
        <v>21</v>
      </c>
      <c r="B44" s="7"/>
      <c r="C44" s="7"/>
      <c r="D44" s="7"/>
      <c r="E44" s="7">
        <v>52.4</v>
      </c>
      <c r="F44" s="7">
        <v>68</v>
      </c>
      <c r="G44" s="7">
        <v>113.6</v>
      </c>
    </row>
    <row r="45" spans="1:7" ht="13" x14ac:dyDescent="0.25">
      <c r="A45" s="11">
        <v>22</v>
      </c>
      <c r="B45" s="7"/>
      <c r="C45" s="7"/>
      <c r="D45" s="7"/>
      <c r="E45" s="7">
        <v>55.7</v>
      </c>
      <c r="F45" s="7">
        <v>78.7</v>
      </c>
      <c r="G45" s="7">
        <v>108.5</v>
      </c>
    </row>
    <row r="46" spans="1:7" ht="13" x14ac:dyDescent="0.25">
      <c r="A46" s="11">
        <v>23</v>
      </c>
      <c r="B46" s="7"/>
      <c r="C46" s="7"/>
      <c r="D46" s="7"/>
      <c r="E46" s="7">
        <v>56.8</v>
      </c>
      <c r="F46" s="7">
        <v>65.8</v>
      </c>
      <c r="G46" s="7">
        <v>96.2</v>
      </c>
    </row>
    <row r="47" spans="1:7" ht="13" x14ac:dyDescent="0.25">
      <c r="A47" s="11">
        <v>24</v>
      </c>
      <c r="B47" s="7"/>
      <c r="C47" s="7"/>
      <c r="D47" s="7"/>
      <c r="E47" s="7">
        <v>35.6</v>
      </c>
      <c r="F47" s="7">
        <v>80.2</v>
      </c>
      <c r="G47" s="7">
        <v>105.1</v>
      </c>
    </row>
    <row r="48" spans="1:7" ht="13" x14ac:dyDescent="0.25">
      <c r="A48" s="11">
        <v>25</v>
      </c>
      <c r="B48" s="7"/>
      <c r="C48" s="7"/>
      <c r="D48" s="7"/>
      <c r="E48" s="7">
        <v>41.8</v>
      </c>
      <c r="F48" s="7">
        <v>66.8</v>
      </c>
      <c r="G48" s="7">
        <v>108.7</v>
      </c>
    </row>
    <row r="49" spans="1:7" ht="13" x14ac:dyDescent="0.25">
      <c r="A49" s="11">
        <v>26</v>
      </c>
      <c r="B49" s="7"/>
      <c r="C49" s="16"/>
      <c r="D49" s="7"/>
      <c r="E49" s="7">
        <v>34.5</v>
      </c>
      <c r="F49" s="7">
        <v>79.7</v>
      </c>
      <c r="G49" s="7">
        <v>115.8</v>
      </c>
    </row>
    <row r="50" spans="1:7" ht="13" x14ac:dyDescent="0.25">
      <c r="A50" s="11">
        <v>27</v>
      </c>
      <c r="B50" s="7"/>
      <c r="C50" s="16"/>
      <c r="D50" s="7"/>
      <c r="E50" s="7">
        <v>41.9</v>
      </c>
      <c r="F50" s="7">
        <v>79.900000000000006</v>
      </c>
      <c r="G50" s="7">
        <v>118.3</v>
      </c>
    </row>
    <row r="51" spans="1:7" ht="13" x14ac:dyDescent="0.25">
      <c r="A51" s="11">
        <v>28</v>
      </c>
      <c r="B51" s="7"/>
      <c r="C51" s="17"/>
      <c r="D51" s="7"/>
      <c r="E51" s="7">
        <v>28.3</v>
      </c>
      <c r="F51" s="7">
        <v>67.8</v>
      </c>
      <c r="G51" s="7">
        <v>103.4</v>
      </c>
    </row>
    <row r="52" spans="1:7" ht="13.5" thickBot="1" x14ac:dyDescent="0.3">
      <c r="A52" s="14">
        <v>29</v>
      </c>
      <c r="B52" s="18"/>
      <c r="C52" s="18"/>
      <c r="D52" s="15"/>
      <c r="E52" s="7">
        <v>38.6</v>
      </c>
      <c r="F52" s="7">
        <v>68.400000000000006</v>
      </c>
      <c r="G52" s="7">
        <v>115.2</v>
      </c>
    </row>
    <row r="53" spans="1:7" ht="13.5" thickTop="1" x14ac:dyDescent="0.25">
      <c r="A53" s="612" t="str">
        <f>'2021.3'!A53:G53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38.9</v>
      </c>
      <c r="C56" s="7">
        <v>59</v>
      </c>
      <c r="D56" s="7">
        <v>72.3</v>
      </c>
      <c r="E56" s="7">
        <v>40.700000000000003</v>
      </c>
      <c r="F56" s="7">
        <v>65.5</v>
      </c>
      <c r="G56" s="7">
        <v>96</v>
      </c>
    </row>
    <row r="57" spans="1:7" ht="13" x14ac:dyDescent="0.25">
      <c r="A57" s="11">
        <v>2</v>
      </c>
      <c r="B57" s="7">
        <v>20.5</v>
      </c>
      <c r="C57" s="7">
        <v>56.7</v>
      </c>
      <c r="D57" s="7">
        <v>80.8</v>
      </c>
      <c r="E57" s="7">
        <v>54.3</v>
      </c>
      <c r="F57" s="7">
        <v>70.400000000000006</v>
      </c>
      <c r="G57" s="7">
        <v>90.1</v>
      </c>
    </row>
    <row r="58" spans="1:7" ht="13" x14ac:dyDescent="0.25">
      <c r="A58" s="11">
        <v>3</v>
      </c>
      <c r="B58" s="7">
        <v>36.1</v>
      </c>
      <c r="C58" s="7">
        <v>55.9</v>
      </c>
      <c r="D58" s="7">
        <v>75.7</v>
      </c>
      <c r="E58" s="7">
        <v>57.7</v>
      </c>
      <c r="F58" s="7">
        <v>78.3</v>
      </c>
      <c r="G58" s="7">
        <v>107.9</v>
      </c>
    </row>
    <row r="59" spans="1:7" ht="13" x14ac:dyDescent="0.25">
      <c r="A59" s="11">
        <v>4</v>
      </c>
      <c r="B59" s="7">
        <v>40.4</v>
      </c>
      <c r="C59" s="7">
        <v>57.7</v>
      </c>
      <c r="D59" s="7">
        <v>102.4</v>
      </c>
      <c r="E59" s="7">
        <v>54.1</v>
      </c>
      <c r="F59" s="7">
        <v>65.3</v>
      </c>
      <c r="G59" s="7">
        <v>104.2</v>
      </c>
    </row>
    <row r="60" spans="1:7" ht="13" x14ac:dyDescent="0.25">
      <c r="A60" s="11">
        <v>5</v>
      </c>
      <c r="B60" s="7">
        <v>22.1</v>
      </c>
      <c r="C60" s="7">
        <v>53.8</v>
      </c>
      <c r="D60" s="7">
        <v>72.2</v>
      </c>
      <c r="E60" s="7">
        <v>38.200000000000003</v>
      </c>
      <c r="F60" s="7">
        <v>83.4</v>
      </c>
      <c r="G60" s="7">
        <v>100.4</v>
      </c>
    </row>
    <row r="61" spans="1:7" ht="13" x14ac:dyDescent="0.25">
      <c r="A61" s="11">
        <v>6</v>
      </c>
      <c r="B61" s="7">
        <v>31.1</v>
      </c>
      <c r="C61" s="7">
        <v>62.7</v>
      </c>
      <c r="D61" s="7">
        <v>80.3</v>
      </c>
      <c r="E61" s="7">
        <v>34</v>
      </c>
      <c r="F61" s="7">
        <v>76.900000000000006</v>
      </c>
      <c r="G61" s="7">
        <v>96.3</v>
      </c>
    </row>
    <row r="62" spans="1:7" ht="13" x14ac:dyDescent="0.25">
      <c r="A62" s="11">
        <v>7</v>
      </c>
      <c r="B62" s="7">
        <v>41.9</v>
      </c>
      <c r="C62" s="7">
        <v>55.6</v>
      </c>
      <c r="D62" s="7">
        <v>67.2</v>
      </c>
      <c r="E62" s="7">
        <v>35.9</v>
      </c>
      <c r="F62" s="7">
        <v>81.2</v>
      </c>
      <c r="G62" s="7">
        <v>102.1</v>
      </c>
    </row>
    <row r="63" spans="1:7" ht="13" x14ac:dyDescent="0.25">
      <c r="A63" s="11">
        <v>8</v>
      </c>
      <c r="B63" s="7">
        <v>39.200000000000003</v>
      </c>
      <c r="C63" s="7">
        <v>56.6</v>
      </c>
      <c r="D63" s="7">
        <v>70.599999999999994</v>
      </c>
      <c r="E63" s="7"/>
      <c r="F63" s="7"/>
      <c r="G63" s="7"/>
    </row>
    <row r="64" spans="1:7" ht="13" x14ac:dyDescent="0.25">
      <c r="A64" s="11">
        <v>9</v>
      </c>
      <c r="B64" s="7">
        <v>24.7</v>
      </c>
      <c r="C64" s="7">
        <v>48.8</v>
      </c>
      <c r="D64" s="7">
        <v>91.1</v>
      </c>
      <c r="E64" s="7"/>
      <c r="F64" s="7"/>
      <c r="G64" s="7"/>
    </row>
    <row r="65" spans="1:7" ht="13" x14ac:dyDescent="0.25">
      <c r="A65" s="11">
        <v>10</v>
      </c>
      <c r="B65" s="7">
        <v>25.4</v>
      </c>
      <c r="C65" s="7">
        <v>58</v>
      </c>
      <c r="D65" s="7">
        <v>83.5</v>
      </c>
      <c r="E65" s="7"/>
      <c r="F65" s="7"/>
      <c r="G65" s="7"/>
    </row>
    <row r="66" spans="1:7" ht="13" x14ac:dyDescent="0.25">
      <c r="A66" s="11">
        <v>11</v>
      </c>
      <c r="B66" s="7">
        <v>40.9</v>
      </c>
      <c r="C66" s="7">
        <v>56.3</v>
      </c>
      <c r="D66" s="7">
        <v>80.400000000000006</v>
      </c>
      <c r="E66" s="7"/>
      <c r="F66" s="7"/>
      <c r="G66" s="7"/>
    </row>
    <row r="67" spans="1:7" ht="13.5" thickBot="1" x14ac:dyDescent="0.3">
      <c r="A67" s="14">
        <v>12</v>
      </c>
      <c r="B67" s="7">
        <v>36.9</v>
      </c>
      <c r="C67" s="7">
        <v>46.2</v>
      </c>
      <c r="D67" s="7">
        <v>72.8</v>
      </c>
      <c r="E67" s="15"/>
      <c r="F67" s="15"/>
      <c r="G67" s="15"/>
    </row>
    <row r="68" spans="1:7" ht="13.5" thickTop="1" x14ac:dyDescent="0.25">
      <c r="A68" s="612" t="str">
        <f>'2021.3'!A68:G68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33.1</v>
      </c>
      <c r="C71" s="7">
        <v>53.5</v>
      </c>
      <c r="D71" s="7">
        <v>96.6</v>
      </c>
      <c r="E71" s="7"/>
      <c r="F71" s="7"/>
      <c r="G71" s="7"/>
    </row>
    <row r="72" spans="1:7" ht="13" x14ac:dyDescent="0.25">
      <c r="A72" s="11">
        <v>2</v>
      </c>
      <c r="B72" s="7">
        <v>29.3</v>
      </c>
      <c r="C72" s="7">
        <v>58.6</v>
      </c>
      <c r="D72" s="7">
        <v>102</v>
      </c>
      <c r="E72" s="6"/>
      <c r="F72" s="6"/>
      <c r="G72" s="7"/>
    </row>
    <row r="73" spans="1:7" ht="13" x14ac:dyDescent="0.25">
      <c r="A73" s="11">
        <v>3</v>
      </c>
      <c r="B73" s="7">
        <v>22.9</v>
      </c>
      <c r="C73" s="7">
        <v>48.4</v>
      </c>
      <c r="D73" s="7">
        <v>72.7</v>
      </c>
      <c r="E73" s="6"/>
      <c r="F73" s="6"/>
      <c r="G73" s="6"/>
    </row>
    <row r="74" spans="1:7" ht="13" x14ac:dyDescent="0.25">
      <c r="A74" s="11">
        <v>4</v>
      </c>
      <c r="B74" s="7">
        <v>27.5</v>
      </c>
      <c r="C74" s="7">
        <v>48</v>
      </c>
      <c r="D74" s="7">
        <v>74</v>
      </c>
      <c r="E74" s="6"/>
      <c r="F74" s="6"/>
      <c r="G74" s="6"/>
    </row>
    <row r="75" spans="1:7" ht="13" x14ac:dyDescent="0.25">
      <c r="A75" s="11">
        <v>5</v>
      </c>
      <c r="B75" s="7">
        <v>35.1</v>
      </c>
      <c r="C75" s="7">
        <v>48.3</v>
      </c>
      <c r="D75" s="7">
        <v>68.7</v>
      </c>
      <c r="E75" s="6"/>
      <c r="F75" s="6"/>
      <c r="G75" s="6"/>
    </row>
    <row r="76" spans="1:7" ht="13" x14ac:dyDescent="0.25">
      <c r="A76" s="11">
        <v>6</v>
      </c>
      <c r="B76" s="7">
        <v>35.9</v>
      </c>
      <c r="C76" s="7">
        <v>52.2</v>
      </c>
      <c r="D76" s="7">
        <v>103.8</v>
      </c>
      <c r="E76" s="6"/>
      <c r="F76" s="6"/>
      <c r="G76" s="6"/>
    </row>
    <row r="77" spans="1:7" ht="13" x14ac:dyDescent="0.25">
      <c r="A77" s="11">
        <v>7</v>
      </c>
      <c r="B77" s="7">
        <v>25.2</v>
      </c>
      <c r="C77" s="7">
        <v>59.7</v>
      </c>
      <c r="D77" s="7">
        <v>89.2</v>
      </c>
      <c r="E77" s="6"/>
      <c r="F77" s="6"/>
      <c r="G77" s="6"/>
    </row>
    <row r="78" spans="1:7" ht="13" x14ac:dyDescent="0.25">
      <c r="A78" s="11">
        <v>8</v>
      </c>
      <c r="B78" s="7">
        <v>25.3</v>
      </c>
      <c r="C78" s="7">
        <v>64.099999999999994</v>
      </c>
      <c r="D78" s="7">
        <v>69.400000000000006</v>
      </c>
      <c r="E78" s="6"/>
      <c r="F78" s="6"/>
      <c r="G78" s="6"/>
    </row>
    <row r="79" spans="1:7" ht="13" x14ac:dyDescent="0.25">
      <c r="A79" s="11">
        <v>9</v>
      </c>
      <c r="B79" s="7">
        <v>35.6</v>
      </c>
      <c r="C79" s="7">
        <v>45.4</v>
      </c>
      <c r="D79" s="7">
        <v>83.9</v>
      </c>
      <c r="E79" s="6"/>
      <c r="F79" s="6"/>
      <c r="G79" s="6"/>
    </row>
    <row r="80" spans="1:7" ht="13" x14ac:dyDescent="0.25">
      <c r="A80" s="11">
        <v>10</v>
      </c>
      <c r="B80" s="7">
        <v>40.5</v>
      </c>
      <c r="C80" s="7">
        <v>49.7</v>
      </c>
      <c r="D80" s="7">
        <v>80.599999999999994</v>
      </c>
      <c r="E80" s="6"/>
      <c r="F80" s="6"/>
      <c r="G80" s="6"/>
    </row>
    <row r="81" spans="1:7" ht="13" x14ac:dyDescent="0.25">
      <c r="A81" s="11">
        <v>11</v>
      </c>
      <c r="B81" s="7">
        <v>21.3</v>
      </c>
      <c r="C81" s="7">
        <v>64.8</v>
      </c>
      <c r="D81" s="7">
        <v>76.599999999999994</v>
      </c>
      <c r="E81" s="6"/>
      <c r="F81" s="6"/>
      <c r="G81" s="6"/>
    </row>
    <row r="82" spans="1:7" ht="13" x14ac:dyDescent="0.25">
      <c r="A82" s="11">
        <v>12</v>
      </c>
      <c r="B82" s="7">
        <v>37</v>
      </c>
      <c r="C82" s="7">
        <v>56.8</v>
      </c>
      <c r="D82" s="7">
        <v>81.599999999999994</v>
      </c>
      <c r="E82" s="6"/>
      <c r="F82" s="6"/>
      <c r="G82" s="6"/>
    </row>
    <row r="83" spans="1:7" ht="13" x14ac:dyDescent="0.25">
      <c r="A83" s="11">
        <v>13</v>
      </c>
      <c r="B83" s="7">
        <v>23</v>
      </c>
      <c r="C83" s="7">
        <v>52.9</v>
      </c>
      <c r="D83" s="7">
        <v>90.5</v>
      </c>
      <c r="E83" s="6"/>
      <c r="F83" s="6"/>
      <c r="G83" s="6"/>
    </row>
    <row r="84" spans="1:7" ht="13" x14ac:dyDescent="0.25">
      <c r="A84" s="11">
        <v>14</v>
      </c>
      <c r="B84" s="7">
        <v>44.4</v>
      </c>
      <c r="C84" s="7">
        <v>57.6</v>
      </c>
      <c r="D84" s="7">
        <v>77.099999999999994</v>
      </c>
      <c r="E84" s="6"/>
      <c r="F84" s="6"/>
      <c r="G84" s="6"/>
    </row>
    <row r="85" spans="1:7" ht="13" x14ac:dyDescent="0.25">
      <c r="A85" s="11">
        <v>15</v>
      </c>
      <c r="B85" s="7">
        <v>43.7</v>
      </c>
      <c r="C85" s="7">
        <v>64.400000000000006</v>
      </c>
      <c r="D85" s="7">
        <v>71.5</v>
      </c>
      <c r="E85" s="6"/>
      <c r="F85" s="6"/>
      <c r="G85" s="6"/>
    </row>
    <row r="86" spans="1:7" ht="13" x14ac:dyDescent="0.25">
      <c r="A86" s="11">
        <v>16</v>
      </c>
      <c r="B86" s="7">
        <v>35.799999999999997</v>
      </c>
      <c r="C86" s="7">
        <v>61.7</v>
      </c>
      <c r="D86" s="7">
        <v>74.599999999999994</v>
      </c>
      <c r="E86" s="6"/>
      <c r="F86" s="6"/>
      <c r="G86" s="6"/>
    </row>
    <row r="87" spans="1:7" ht="13" x14ac:dyDescent="0.25">
      <c r="A87" s="11">
        <v>17</v>
      </c>
      <c r="B87" s="7">
        <v>33.299999999999997</v>
      </c>
      <c r="C87" s="7">
        <v>64.5</v>
      </c>
      <c r="D87" s="7">
        <v>73.8</v>
      </c>
      <c r="E87" s="6"/>
      <c r="F87" s="6"/>
      <c r="G87" s="6"/>
    </row>
    <row r="88" spans="1:7" ht="13" x14ac:dyDescent="0.25">
      <c r="A88" s="11">
        <v>18</v>
      </c>
      <c r="B88" s="7">
        <v>31.6</v>
      </c>
      <c r="C88" s="7">
        <v>49.8</v>
      </c>
      <c r="D88" s="7">
        <v>107.5</v>
      </c>
      <c r="E88" s="6"/>
      <c r="F88" s="6"/>
      <c r="G88" s="6"/>
    </row>
    <row r="89" spans="1:7" ht="13" x14ac:dyDescent="0.25">
      <c r="A89" s="11">
        <v>19</v>
      </c>
      <c r="B89" s="7">
        <v>39.799999999999997</v>
      </c>
      <c r="C89" s="7">
        <v>61.2</v>
      </c>
      <c r="D89" s="7">
        <v>72.3</v>
      </c>
      <c r="E89" s="6"/>
      <c r="F89" s="6"/>
      <c r="G89" s="6"/>
    </row>
    <row r="90" spans="1:7" ht="13" x14ac:dyDescent="0.25">
      <c r="A90" s="11">
        <v>20</v>
      </c>
      <c r="B90" s="7">
        <v>44.2</v>
      </c>
      <c r="C90" s="7">
        <v>57.5</v>
      </c>
      <c r="D90" s="7">
        <v>76.900000000000006</v>
      </c>
      <c r="E90" s="6"/>
      <c r="F90" s="6"/>
      <c r="G90" s="6"/>
    </row>
    <row r="91" spans="1:7" ht="13" x14ac:dyDescent="0.25">
      <c r="A91" s="11">
        <v>21</v>
      </c>
      <c r="B91" s="7">
        <v>29.9</v>
      </c>
      <c r="C91" s="7">
        <v>45</v>
      </c>
      <c r="D91" s="7">
        <v>80.2</v>
      </c>
      <c r="E91" s="6"/>
      <c r="F91" s="6"/>
      <c r="G91" s="6"/>
    </row>
    <row r="92" spans="1:7" ht="13" x14ac:dyDescent="0.25">
      <c r="A92" s="11">
        <v>22</v>
      </c>
      <c r="B92" s="7">
        <v>27.4</v>
      </c>
      <c r="C92" s="7">
        <v>62.5</v>
      </c>
      <c r="D92" s="7">
        <v>86.8</v>
      </c>
      <c r="E92" s="6"/>
      <c r="F92" s="6"/>
      <c r="G92" s="6"/>
    </row>
    <row r="93" spans="1:7" ht="13" x14ac:dyDescent="0.25">
      <c r="A93" s="11">
        <v>23</v>
      </c>
      <c r="B93" s="7">
        <v>25.9</v>
      </c>
      <c r="C93" s="7">
        <v>45.8</v>
      </c>
      <c r="D93" s="7">
        <v>79.599999999999994</v>
      </c>
      <c r="E93" s="6"/>
      <c r="F93" s="6"/>
      <c r="G93" s="6"/>
    </row>
    <row r="94" spans="1:7" ht="13" x14ac:dyDescent="0.25">
      <c r="A94" s="11">
        <v>24</v>
      </c>
      <c r="B94" s="7">
        <v>41.5</v>
      </c>
      <c r="C94" s="7">
        <v>64</v>
      </c>
      <c r="D94" s="7">
        <v>83.9</v>
      </c>
      <c r="E94" s="6"/>
      <c r="F94" s="6"/>
      <c r="G94" s="6"/>
    </row>
    <row r="95" spans="1:7" ht="13" x14ac:dyDescent="0.25">
      <c r="A95" s="11">
        <v>25</v>
      </c>
      <c r="B95" s="7">
        <v>24.6</v>
      </c>
      <c r="C95" s="7">
        <v>64.400000000000006</v>
      </c>
      <c r="D95" s="7">
        <v>97.1</v>
      </c>
      <c r="E95" s="6"/>
      <c r="F95" s="6"/>
      <c r="G95" s="6"/>
    </row>
    <row r="96" spans="1:7" ht="13" x14ac:dyDescent="0.25">
      <c r="A96" s="11">
        <v>26</v>
      </c>
      <c r="B96" s="7">
        <v>24.8</v>
      </c>
      <c r="C96" s="7">
        <v>51.5</v>
      </c>
      <c r="D96" s="7">
        <v>66</v>
      </c>
      <c r="E96" s="17"/>
      <c r="F96" s="17"/>
      <c r="G96" s="17"/>
    </row>
    <row r="97" spans="1:7" ht="13" x14ac:dyDescent="0.25">
      <c r="A97" s="11">
        <v>27</v>
      </c>
      <c r="B97" s="7">
        <v>22.9</v>
      </c>
      <c r="C97" s="7">
        <v>56</v>
      </c>
      <c r="D97" s="7">
        <v>96.3</v>
      </c>
      <c r="E97" s="17"/>
      <c r="F97" s="17"/>
      <c r="G97" s="17"/>
    </row>
    <row r="98" spans="1:7" ht="13" x14ac:dyDescent="0.25">
      <c r="A98" s="11">
        <v>28</v>
      </c>
      <c r="B98" s="7">
        <v>24.3</v>
      </c>
      <c r="C98" s="7">
        <v>63.5</v>
      </c>
      <c r="D98" s="7">
        <v>95.6</v>
      </c>
      <c r="E98" s="17"/>
      <c r="F98" s="17"/>
      <c r="G98" s="17"/>
    </row>
    <row r="99" spans="1:7" ht="13" x14ac:dyDescent="0.25">
      <c r="A99" s="11">
        <v>29</v>
      </c>
      <c r="B99" s="7">
        <v>32.9</v>
      </c>
      <c r="C99" s="7">
        <v>59.5</v>
      </c>
      <c r="D99" s="7">
        <v>85</v>
      </c>
      <c r="E99" s="6"/>
      <c r="F99" s="6"/>
      <c r="G99" s="6"/>
    </row>
    <row r="100" spans="1:7" ht="13" x14ac:dyDescent="0.25">
      <c r="A100" s="11">
        <v>30</v>
      </c>
      <c r="B100" s="7">
        <v>31.2</v>
      </c>
      <c r="C100" s="7">
        <v>55.3</v>
      </c>
      <c r="D100" s="7">
        <v>80.5</v>
      </c>
      <c r="E100" s="2"/>
      <c r="F100" s="2"/>
      <c r="G100" s="2"/>
    </row>
    <row r="101" spans="1:7" ht="13" x14ac:dyDescent="0.25">
      <c r="A101" s="11">
        <v>31</v>
      </c>
      <c r="B101" s="7">
        <v>42.2</v>
      </c>
      <c r="C101" s="7">
        <v>51.9</v>
      </c>
      <c r="D101" s="7">
        <v>84.9</v>
      </c>
      <c r="E101" s="2"/>
      <c r="F101" s="2"/>
      <c r="G101" s="2"/>
    </row>
    <row r="102" spans="1:7" ht="13" x14ac:dyDescent="0.25">
      <c r="A102" s="11">
        <v>32</v>
      </c>
      <c r="B102" s="7">
        <v>21.7</v>
      </c>
      <c r="C102" s="7">
        <v>51.1</v>
      </c>
      <c r="D102" s="7">
        <v>72.2</v>
      </c>
      <c r="E102" s="2"/>
      <c r="F102" s="2"/>
      <c r="G102" s="2"/>
    </row>
    <row r="103" spans="1:7" ht="13" x14ac:dyDescent="0.25">
      <c r="A103" s="11">
        <v>33</v>
      </c>
      <c r="B103" s="7">
        <v>37.700000000000003</v>
      </c>
      <c r="C103" s="7">
        <v>46.8</v>
      </c>
      <c r="D103" s="7">
        <v>86.9</v>
      </c>
      <c r="E103" s="2"/>
      <c r="F103" s="2"/>
      <c r="G103" s="2"/>
    </row>
    <row r="104" spans="1:7" ht="13" x14ac:dyDescent="0.25">
      <c r="A104" s="11">
        <v>34</v>
      </c>
      <c r="B104" s="7">
        <v>39.700000000000003</v>
      </c>
      <c r="C104" s="7">
        <v>50</v>
      </c>
      <c r="D104" s="7">
        <v>87.5</v>
      </c>
      <c r="E104" s="2"/>
      <c r="F104" s="2"/>
      <c r="G104" s="2"/>
    </row>
    <row r="105" spans="1:7" ht="13" x14ac:dyDescent="0.25">
      <c r="A105" s="11">
        <v>35</v>
      </c>
      <c r="B105" s="7">
        <v>30.5</v>
      </c>
      <c r="C105" s="7">
        <v>45.2</v>
      </c>
      <c r="D105" s="7">
        <v>76.8</v>
      </c>
      <c r="E105" s="2"/>
      <c r="F105" s="2"/>
      <c r="G105" s="2"/>
    </row>
    <row r="106" spans="1:7" ht="13" x14ac:dyDescent="0.25">
      <c r="A106" s="11">
        <v>36</v>
      </c>
      <c r="B106" s="7">
        <v>33.700000000000003</v>
      </c>
      <c r="C106" s="7">
        <v>61.9</v>
      </c>
      <c r="D106" s="7">
        <v>105.8</v>
      </c>
      <c r="E106" s="2"/>
      <c r="F106" s="2"/>
      <c r="G106" s="2"/>
    </row>
    <row r="107" spans="1:7" ht="13" x14ac:dyDescent="0.25">
      <c r="A107" s="11">
        <v>37</v>
      </c>
      <c r="B107" s="7">
        <v>24.3</v>
      </c>
      <c r="C107" s="7">
        <v>45.7</v>
      </c>
      <c r="D107" s="7">
        <v>95.8</v>
      </c>
      <c r="E107" s="2"/>
      <c r="F107" s="2"/>
      <c r="G107" s="2"/>
    </row>
    <row r="108" spans="1:7" ht="13" x14ac:dyDescent="0.25">
      <c r="A108" s="11">
        <v>38</v>
      </c>
      <c r="B108" s="7">
        <v>20.6</v>
      </c>
      <c r="C108" s="7">
        <v>51.7</v>
      </c>
      <c r="D108" s="7">
        <v>68.599999999999994</v>
      </c>
      <c r="E108" s="2"/>
      <c r="F108" s="2"/>
      <c r="G108" s="2"/>
    </row>
    <row r="109" spans="1:7" ht="13" x14ac:dyDescent="0.25">
      <c r="A109" s="11">
        <v>39</v>
      </c>
      <c r="B109" s="7">
        <v>43.2</v>
      </c>
      <c r="C109" s="7">
        <v>60.1</v>
      </c>
      <c r="D109" s="7">
        <v>81.2</v>
      </c>
      <c r="E109" s="2"/>
      <c r="F109" s="2"/>
      <c r="G109" s="2"/>
    </row>
    <row r="110" spans="1:7" ht="13" x14ac:dyDescent="0.25">
      <c r="A110" s="11">
        <v>40</v>
      </c>
      <c r="B110" s="7">
        <v>21.6</v>
      </c>
      <c r="C110" s="7">
        <v>56</v>
      </c>
      <c r="D110" s="7">
        <v>82</v>
      </c>
      <c r="E110" s="2"/>
      <c r="F110" s="2"/>
      <c r="G110" s="2"/>
    </row>
    <row r="111" spans="1:7" ht="13" x14ac:dyDescent="0.25">
      <c r="A111" s="11">
        <v>41</v>
      </c>
      <c r="B111" s="7">
        <v>32.1</v>
      </c>
      <c r="C111" s="7">
        <v>62.2</v>
      </c>
      <c r="D111" s="7">
        <v>82.1</v>
      </c>
      <c r="E111" s="2"/>
      <c r="F111" s="2"/>
      <c r="G111" s="2"/>
    </row>
    <row r="112" spans="1:7" ht="13" x14ac:dyDescent="0.25">
      <c r="A112" s="11">
        <v>42</v>
      </c>
      <c r="B112" s="7">
        <v>24.9</v>
      </c>
      <c r="C112" s="7">
        <v>59</v>
      </c>
      <c r="D112" s="7">
        <v>87</v>
      </c>
      <c r="E112" s="2"/>
      <c r="F112" s="2"/>
      <c r="G112" s="2"/>
    </row>
    <row r="113" spans="1:7" ht="13" x14ac:dyDescent="0.25">
      <c r="A113" s="11">
        <v>43</v>
      </c>
      <c r="B113" s="7">
        <v>31.2</v>
      </c>
      <c r="C113" s="7">
        <v>55.4</v>
      </c>
      <c r="D113" s="7">
        <v>97.1</v>
      </c>
      <c r="E113" s="2"/>
      <c r="F113" s="2"/>
      <c r="G113" s="2"/>
    </row>
    <row r="114" spans="1:7" ht="13" x14ac:dyDescent="0.25">
      <c r="A114" s="11">
        <v>44</v>
      </c>
      <c r="B114" s="7">
        <v>21.8</v>
      </c>
      <c r="C114" s="7">
        <v>48.8</v>
      </c>
      <c r="D114" s="7">
        <v>74.099999999999994</v>
      </c>
      <c r="E114" s="2"/>
      <c r="F114" s="2"/>
      <c r="G114" s="2"/>
    </row>
    <row r="115" spans="1:7" ht="13" x14ac:dyDescent="0.25">
      <c r="A115" s="11">
        <v>45</v>
      </c>
      <c r="B115" s="7">
        <v>26.7</v>
      </c>
      <c r="C115" s="7">
        <v>50</v>
      </c>
      <c r="D115" s="7">
        <v>70.400000000000006</v>
      </c>
      <c r="E115" s="2"/>
      <c r="F115" s="2"/>
      <c r="G115" s="2"/>
    </row>
    <row r="116" spans="1:7" ht="13" x14ac:dyDescent="0.25">
      <c r="A116" s="11">
        <v>46</v>
      </c>
      <c r="B116" s="7">
        <v>26.2</v>
      </c>
      <c r="C116" s="7">
        <v>53.2</v>
      </c>
      <c r="D116" s="7">
        <v>85.9</v>
      </c>
      <c r="E116" s="2"/>
      <c r="F116" s="2"/>
      <c r="G116" s="2"/>
    </row>
    <row r="117" spans="1:7" ht="13" x14ac:dyDescent="0.25">
      <c r="A117" s="11">
        <v>47</v>
      </c>
      <c r="B117" s="7">
        <v>25.2</v>
      </c>
      <c r="C117" s="7">
        <v>58.3</v>
      </c>
      <c r="D117" s="7">
        <v>80</v>
      </c>
      <c r="E117" s="2"/>
      <c r="F117" s="2"/>
      <c r="G117" s="2"/>
    </row>
    <row r="118" spans="1:7" ht="13" x14ac:dyDescent="0.25">
      <c r="A118" s="11">
        <v>48</v>
      </c>
      <c r="B118" s="7">
        <v>33.799999999999997</v>
      </c>
      <c r="C118" s="7">
        <v>48.4</v>
      </c>
      <c r="D118" s="7">
        <v>75.7</v>
      </c>
      <c r="E118" s="2"/>
      <c r="F118" s="2"/>
      <c r="G118" s="2"/>
    </row>
    <row r="119" spans="1:7" ht="13" x14ac:dyDescent="0.25">
      <c r="A119" s="11">
        <v>49</v>
      </c>
      <c r="B119" s="7">
        <v>27.4</v>
      </c>
      <c r="C119" s="7">
        <v>58.3</v>
      </c>
      <c r="D119" s="7">
        <v>70.3</v>
      </c>
      <c r="E119" s="2"/>
      <c r="F119" s="2"/>
      <c r="G119" s="2"/>
    </row>
    <row r="120" spans="1:7" ht="13" x14ac:dyDescent="0.25">
      <c r="A120" s="11">
        <v>50</v>
      </c>
      <c r="B120" s="7">
        <v>41.9</v>
      </c>
      <c r="C120" s="7">
        <v>47.7</v>
      </c>
      <c r="D120" s="7">
        <v>73.5</v>
      </c>
      <c r="E120" s="2"/>
      <c r="F120" s="2"/>
      <c r="G120" s="2"/>
    </row>
    <row r="121" spans="1:7" ht="13" x14ac:dyDescent="0.25">
      <c r="A121" s="11">
        <v>51</v>
      </c>
      <c r="B121" s="7">
        <v>38.5</v>
      </c>
      <c r="C121" s="7">
        <v>62.3</v>
      </c>
      <c r="D121" s="7">
        <v>87.2</v>
      </c>
      <c r="E121" s="2"/>
      <c r="F121" s="2"/>
      <c r="G121" s="2"/>
    </row>
    <row r="122" spans="1:7" ht="13" x14ac:dyDescent="0.25">
      <c r="A122" s="11">
        <v>52</v>
      </c>
      <c r="B122" s="7">
        <v>24.3</v>
      </c>
      <c r="C122" s="7">
        <v>49.1</v>
      </c>
      <c r="D122" s="7">
        <v>84.4</v>
      </c>
      <c r="E122" s="2"/>
      <c r="F122" s="2"/>
      <c r="G122" s="2"/>
    </row>
    <row r="123" spans="1:7" ht="13" x14ac:dyDescent="0.25">
      <c r="A123" s="11">
        <v>53</v>
      </c>
      <c r="B123" s="7">
        <v>36.5</v>
      </c>
      <c r="C123" s="7">
        <v>63.2</v>
      </c>
      <c r="D123" s="7">
        <v>80.400000000000006</v>
      </c>
      <c r="E123" s="2"/>
      <c r="F123" s="2"/>
      <c r="G123" s="2"/>
    </row>
    <row r="124" spans="1:7" ht="13" x14ac:dyDescent="0.25">
      <c r="A124" s="11">
        <v>54</v>
      </c>
      <c r="B124" s="7">
        <v>32.1</v>
      </c>
      <c r="C124" s="7">
        <v>54.3</v>
      </c>
      <c r="D124" s="7">
        <v>103.6</v>
      </c>
      <c r="E124" s="2"/>
      <c r="F124" s="2"/>
      <c r="G124" s="2"/>
    </row>
    <row r="125" spans="1:7" ht="13" x14ac:dyDescent="0.25">
      <c r="A125" s="11">
        <v>55</v>
      </c>
      <c r="B125" s="7">
        <v>37.700000000000003</v>
      </c>
      <c r="C125" s="7">
        <v>64.8</v>
      </c>
      <c r="D125" s="7">
        <v>75.3</v>
      </c>
      <c r="E125" s="2"/>
      <c r="F125" s="2"/>
      <c r="G125" s="2"/>
    </row>
    <row r="126" spans="1:7" ht="13" x14ac:dyDescent="0.25">
      <c r="A126" s="11">
        <v>56</v>
      </c>
      <c r="B126" s="7">
        <v>22.9</v>
      </c>
      <c r="C126" s="7">
        <v>63.6</v>
      </c>
      <c r="D126" s="7">
        <v>96.5</v>
      </c>
      <c r="E126" s="2"/>
      <c r="F126" s="2"/>
      <c r="G126" s="2"/>
    </row>
    <row r="127" spans="1:7" ht="13" x14ac:dyDescent="0.25">
      <c r="A127" s="11">
        <v>57</v>
      </c>
      <c r="B127" s="7">
        <v>32.299999999999997</v>
      </c>
      <c r="C127" s="7">
        <v>56.1</v>
      </c>
      <c r="D127" s="7">
        <v>74.099999999999994</v>
      </c>
      <c r="E127" s="2"/>
      <c r="F127" s="2"/>
      <c r="G127" s="2"/>
    </row>
    <row r="128" spans="1:7" ht="13" x14ac:dyDescent="0.25">
      <c r="A128" s="11">
        <v>58</v>
      </c>
      <c r="B128" s="7">
        <v>32.9</v>
      </c>
      <c r="C128" s="7">
        <v>62.5</v>
      </c>
      <c r="D128" s="7">
        <v>69.8</v>
      </c>
      <c r="E128" s="2"/>
      <c r="F128" s="2"/>
      <c r="G128" s="2"/>
    </row>
    <row r="129" spans="1:7" ht="13" x14ac:dyDescent="0.25">
      <c r="A129" s="11">
        <v>59</v>
      </c>
      <c r="B129" s="7">
        <v>28.4</v>
      </c>
      <c r="C129" s="7">
        <v>52.8</v>
      </c>
      <c r="D129" s="7">
        <v>94.1</v>
      </c>
      <c r="E129" s="2"/>
      <c r="F129" s="2"/>
      <c r="G129" s="2"/>
    </row>
    <row r="130" spans="1:7" ht="13" x14ac:dyDescent="0.25">
      <c r="A130" s="11">
        <v>60</v>
      </c>
      <c r="B130" s="7">
        <v>26.4</v>
      </c>
      <c r="C130" s="7">
        <v>45.4</v>
      </c>
      <c r="D130" s="7">
        <v>73.900000000000006</v>
      </c>
      <c r="E130" s="2"/>
      <c r="F130" s="2"/>
      <c r="G130" s="2"/>
    </row>
    <row r="131" spans="1:7" ht="13" x14ac:dyDescent="0.25">
      <c r="A131" s="11">
        <v>61</v>
      </c>
      <c r="B131" s="7">
        <v>20.3</v>
      </c>
      <c r="C131" s="7">
        <v>56.7</v>
      </c>
      <c r="D131" s="7">
        <v>106.8</v>
      </c>
      <c r="E131" s="2"/>
      <c r="F131" s="2"/>
      <c r="G131" s="2"/>
    </row>
    <row r="132" spans="1:7" ht="13" x14ac:dyDescent="0.25">
      <c r="A132" s="11">
        <v>62</v>
      </c>
      <c r="B132" s="7">
        <v>39.6</v>
      </c>
      <c r="C132" s="7">
        <v>60.5</v>
      </c>
      <c r="D132" s="7">
        <v>78.400000000000006</v>
      </c>
      <c r="E132" s="2"/>
      <c r="F132" s="2"/>
      <c r="G132" s="2"/>
    </row>
    <row r="133" spans="1:7" ht="13.5" thickBot="1" x14ac:dyDescent="0.3">
      <c r="A133" s="14">
        <v>63</v>
      </c>
      <c r="B133" s="7">
        <v>27.8</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56.9</v>
      </c>
      <c r="C138" s="13">
        <f>ROUNDDOWN(AVERAGE(E5:G20),1)</f>
        <v>73</v>
      </c>
      <c r="D138" s="11">
        <f>'2021.3'!D138</f>
        <v>8438</v>
      </c>
      <c r="E138" s="11">
        <v>15947</v>
      </c>
      <c r="F138" s="11">
        <f>B138*D138</f>
        <v>480122.2</v>
      </c>
      <c r="G138" s="11">
        <f>C138*E138</f>
        <v>1164131</v>
      </c>
    </row>
    <row r="139" spans="1:7" ht="13" x14ac:dyDescent="0.25">
      <c r="A139" s="6" t="str">
        <f>A21</f>
        <v>Dongtai Jianggang Farm</v>
      </c>
      <c r="B139" s="13">
        <f>ROUNDDOWN(AVERAGE(B24:D33),1)</f>
        <v>59.8</v>
      </c>
      <c r="C139" s="13">
        <f>ROUNDDOWN(AVERAGE(E24:G52),1)</f>
        <v>74.2</v>
      </c>
      <c r="D139" s="11">
        <f>'2021.3'!D139</f>
        <v>9440</v>
      </c>
      <c r="E139" s="11">
        <v>29468</v>
      </c>
      <c r="F139" s="11">
        <f t="shared" ref="F139:G141" si="0">B139*D139</f>
        <v>564512</v>
      </c>
      <c r="G139" s="11">
        <f t="shared" si="0"/>
        <v>2186525.6</v>
      </c>
    </row>
    <row r="140" spans="1:7" ht="13" x14ac:dyDescent="0.25">
      <c r="A140" s="6" t="str">
        <f>A53</f>
        <v>Sheyang Linhai Farm</v>
      </c>
      <c r="B140" s="13">
        <f>ROUNDDOWN(AVERAGE(B56:D67),1)</f>
        <v>55.9</v>
      </c>
      <c r="C140" s="13">
        <f>ROUNDDOWN(AVERAGE(E56:G62),1)</f>
        <v>72.900000000000006</v>
      </c>
      <c r="D140" s="11">
        <f>'2021.3'!D140</f>
        <v>11825</v>
      </c>
      <c r="E140" s="11">
        <v>6414</v>
      </c>
      <c r="F140" s="11">
        <f t="shared" si="0"/>
        <v>661017.5</v>
      </c>
      <c r="G140" s="11">
        <f t="shared" si="0"/>
        <v>467580.60000000003</v>
      </c>
    </row>
    <row r="141" spans="1:7" ht="13" x14ac:dyDescent="0.25">
      <c r="A141" s="6" t="str">
        <f>A68</f>
        <v>Siyang Nanliuji</v>
      </c>
      <c r="B141" s="13">
        <f>ROUNDDOWN(AVERAGE(B71:D133),1)</f>
        <v>56.4</v>
      </c>
      <c r="C141" s="11">
        <f>ROUNDDOWN(AVERAGE(0),1)</f>
        <v>0</v>
      </c>
      <c r="D141" s="11">
        <f>'2021.3'!D141</f>
        <v>65005</v>
      </c>
      <c r="E141" s="11">
        <v>0</v>
      </c>
      <c r="F141" s="11">
        <f t="shared" si="0"/>
        <v>3666282</v>
      </c>
      <c r="G141" s="11">
        <f t="shared" si="0"/>
        <v>0</v>
      </c>
    </row>
    <row r="142" spans="1:7" ht="13" x14ac:dyDescent="0.25">
      <c r="A142" s="613" t="s">
        <v>154</v>
      </c>
      <c r="B142" s="617"/>
      <c r="C142" s="614"/>
      <c r="D142" s="11">
        <f>SUM(D138:D141)</f>
        <v>94708</v>
      </c>
      <c r="E142" s="11">
        <f>SUM(E138:E141)</f>
        <v>51829</v>
      </c>
      <c r="F142" s="11">
        <f>SUM(F138:F141)</f>
        <v>5371933.7000000002</v>
      </c>
      <c r="G142" s="11">
        <f>SUM(G138:G141)</f>
        <v>3818237.2</v>
      </c>
    </row>
    <row r="144" spans="1:7" ht="13" x14ac:dyDescent="0.25">
      <c r="C144" s="613" t="s">
        <v>155</v>
      </c>
      <c r="D144" s="614"/>
    </row>
    <row r="145" spans="3:4" ht="13" x14ac:dyDescent="0.25">
      <c r="C145" s="11" t="s">
        <v>152</v>
      </c>
      <c r="D145" s="11" t="s">
        <v>153</v>
      </c>
    </row>
    <row r="146" spans="3:4" ht="13" x14ac:dyDescent="0.25">
      <c r="C146" s="12">
        <f>ROUNDDOWN(F142/D142,1)</f>
        <v>56.7</v>
      </c>
      <c r="D146" s="12">
        <f>ROUNDDOWN(G142/E142,1)</f>
        <v>73.599999999999994</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6"/>
  <sheetViews>
    <sheetView workbookViewId="0">
      <selection activeCell="A3" sqref="A3"/>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'2021.4'!A2:G2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35.4</v>
      </c>
      <c r="C5" s="7">
        <v>49.6</v>
      </c>
      <c r="D5" s="7">
        <v>103.7</v>
      </c>
      <c r="E5" s="7">
        <v>44.2</v>
      </c>
      <c r="F5" s="7">
        <v>64.5</v>
      </c>
      <c r="G5" s="7">
        <v>115.6</v>
      </c>
    </row>
    <row r="6" spans="1:7" ht="13" x14ac:dyDescent="0.25">
      <c r="A6" s="11">
        <v>2</v>
      </c>
      <c r="B6" s="7">
        <v>41.7</v>
      </c>
      <c r="C6" s="7">
        <v>60.6</v>
      </c>
      <c r="D6" s="7">
        <v>105.3</v>
      </c>
      <c r="E6" s="7">
        <v>37.299999999999997</v>
      </c>
      <c r="F6" s="7">
        <v>76.8</v>
      </c>
      <c r="G6" s="7">
        <v>85.3</v>
      </c>
    </row>
    <row r="7" spans="1:7" ht="13" x14ac:dyDescent="0.25">
      <c r="A7" s="11">
        <v>3</v>
      </c>
      <c r="B7" s="7">
        <v>23</v>
      </c>
      <c r="C7" s="7">
        <v>62.6</v>
      </c>
      <c r="D7" s="7">
        <v>93</v>
      </c>
      <c r="E7" s="7">
        <v>51.8</v>
      </c>
      <c r="F7" s="7">
        <v>81.099999999999994</v>
      </c>
      <c r="G7" s="7">
        <v>118.7</v>
      </c>
    </row>
    <row r="8" spans="1:7" ht="13" x14ac:dyDescent="0.25">
      <c r="A8" s="11">
        <v>4</v>
      </c>
      <c r="B8" s="7">
        <v>31.6</v>
      </c>
      <c r="C8" s="7">
        <v>47.9</v>
      </c>
      <c r="D8" s="7">
        <v>106</v>
      </c>
      <c r="E8" s="7">
        <v>49.7</v>
      </c>
      <c r="F8" s="7">
        <v>67.5</v>
      </c>
      <c r="G8" s="7">
        <v>95.5</v>
      </c>
    </row>
    <row r="9" spans="1:7" ht="13" x14ac:dyDescent="0.25">
      <c r="A9" s="11">
        <v>5</v>
      </c>
      <c r="B9" s="7">
        <v>37.299999999999997</v>
      </c>
      <c r="C9" s="7">
        <v>65</v>
      </c>
      <c r="D9" s="7">
        <v>100.6</v>
      </c>
      <c r="E9" s="7">
        <v>36.1</v>
      </c>
      <c r="F9" s="7">
        <v>78.400000000000006</v>
      </c>
      <c r="G9" s="7">
        <v>107.9</v>
      </c>
    </row>
    <row r="10" spans="1:7" ht="13" x14ac:dyDescent="0.25">
      <c r="A10" s="11">
        <v>6</v>
      </c>
      <c r="B10" s="7">
        <v>44.8</v>
      </c>
      <c r="C10" s="7">
        <v>55.4</v>
      </c>
      <c r="D10" s="7">
        <v>80.7</v>
      </c>
      <c r="E10" s="7">
        <v>58.5</v>
      </c>
      <c r="F10" s="7">
        <v>73.7</v>
      </c>
      <c r="G10" s="7">
        <v>85.4</v>
      </c>
    </row>
    <row r="11" spans="1:7" ht="13" x14ac:dyDescent="0.25">
      <c r="A11" s="11">
        <v>7</v>
      </c>
      <c r="B11" s="7">
        <v>26.6</v>
      </c>
      <c r="C11" s="7">
        <v>50.1</v>
      </c>
      <c r="D11" s="7">
        <v>65.3</v>
      </c>
      <c r="E11" s="7">
        <v>58.6</v>
      </c>
      <c r="F11" s="7">
        <v>66.099999999999994</v>
      </c>
      <c r="G11" s="7">
        <v>104</v>
      </c>
    </row>
    <row r="12" spans="1:7" ht="13" x14ac:dyDescent="0.25">
      <c r="A12" s="11">
        <v>8</v>
      </c>
      <c r="B12" s="7">
        <v>32</v>
      </c>
      <c r="C12" s="7">
        <v>49.5</v>
      </c>
      <c r="D12" s="7">
        <v>95.6</v>
      </c>
      <c r="E12" s="7">
        <v>33.4</v>
      </c>
      <c r="F12" s="7">
        <v>82.4</v>
      </c>
      <c r="G12" s="7">
        <v>112.7</v>
      </c>
    </row>
    <row r="13" spans="1:7" ht="13" x14ac:dyDescent="0.25">
      <c r="A13" s="11">
        <v>9</v>
      </c>
      <c r="B13" s="7">
        <v>37</v>
      </c>
      <c r="C13" s="7">
        <v>54.5</v>
      </c>
      <c r="D13" s="7">
        <v>100.4</v>
      </c>
      <c r="E13" s="7">
        <v>33.299999999999997</v>
      </c>
      <c r="F13" s="7">
        <v>84.5</v>
      </c>
      <c r="G13" s="7">
        <v>108.1</v>
      </c>
    </row>
    <row r="14" spans="1:7" ht="13" x14ac:dyDescent="0.25">
      <c r="A14" s="11">
        <v>10</v>
      </c>
      <c r="B14" s="7"/>
      <c r="C14" s="7"/>
      <c r="D14" s="7"/>
      <c r="E14" s="7">
        <v>46.6</v>
      </c>
      <c r="F14" s="7">
        <v>62.3</v>
      </c>
      <c r="G14" s="7">
        <v>117.9</v>
      </c>
    </row>
    <row r="15" spans="1:7" ht="13" x14ac:dyDescent="0.25">
      <c r="A15" s="11">
        <v>11</v>
      </c>
      <c r="B15" s="7"/>
      <c r="C15" s="7"/>
      <c r="D15" s="7"/>
      <c r="E15" s="7">
        <v>46.6</v>
      </c>
      <c r="F15" s="7">
        <v>81.2</v>
      </c>
      <c r="G15" s="7">
        <v>117</v>
      </c>
    </row>
    <row r="16" spans="1:7" ht="13" x14ac:dyDescent="0.25">
      <c r="A16" s="11">
        <v>12</v>
      </c>
      <c r="B16" s="7"/>
      <c r="C16" s="7"/>
      <c r="D16" s="7"/>
      <c r="E16" s="7">
        <v>37.5</v>
      </c>
      <c r="F16" s="7">
        <v>78.900000000000006</v>
      </c>
      <c r="G16" s="7">
        <v>94.1</v>
      </c>
    </row>
    <row r="17" spans="1:7" ht="13" x14ac:dyDescent="0.25">
      <c r="A17" s="11">
        <v>13</v>
      </c>
      <c r="B17" s="7"/>
      <c r="C17" s="7"/>
      <c r="D17" s="7"/>
      <c r="E17" s="7">
        <v>31.5</v>
      </c>
      <c r="F17" s="7">
        <v>70.7</v>
      </c>
      <c r="G17" s="7">
        <v>86.9</v>
      </c>
    </row>
    <row r="18" spans="1:7" ht="13" x14ac:dyDescent="0.25">
      <c r="A18" s="11">
        <v>14</v>
      </c>
      <c r="B18" s="7"/>
      <c r="C18" s="7"/>
      <c r="D18" s="7"/>
      <c r="E18" s="7">
        <v>36.5</v>
      </c>
      <c r="F18" s="7">
        <v>82.2</v>
      </c>
      <c r="G18" s="7">
        <v>110.9</v>
      </c>
    </row>
    <row r="19" spans="1:7" ht="13" x14ac:dyDescent="0.25">
      <c r="A19" s="11">
        <v>15</v>
      </c>
      <c r="B19" s="7"/>
      <c r="C19" s="7"/>
      <c r="D19" s="7"/>
      <c r="E19" s="7">
        <v>38</v>
      </c>
      <c r="F19" s="7">
        <v>75.3</v>
      </c>
      <c r="G19" s="7">
        <v>86.2</v>
      </c>
    </row>
    <row r="20" spans="1:7" ht="13.5" thickBot="1" x14ac:dyDescent="0.3">
      <c r="A20" s="14">
        <v>16</v>
      </c>
      <c r="B20" s="15"/>
      <c r="C20" s="15"/>
      <c r="D20" s="15"/>
      <c r="E20" s="7">
        <v>49.9</v>
      </c>
      <c r="F20" s="7">
        <v>70.900000000000006</v>
      </c>
      <c r="G20" s="7">
        <v>106.6</v>
      </c>
    </row>
    <row r="21" spans="1:7" ht="13.5" thickTop="1" x14ac:dyDescent="0.25">
      <c r="A21" s="612" t="str">
        <f>'2021.4'!A21:G21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44.4</v>
      </c>
      <c r="C24" s="7">
        <v>57.2</v>
      </c>
      <c r="D24" s="7">
        <v>80.400000000000006</v>
      </c>
      <c r="E24" s="7">
        <v>54.3</v>
      </c>
      <c r="F24" s="7">
        <v>74.900000000000006</v>
      </c>
      <c r="G24" s="7">
        <v>104.4</v>
      </c>
    </row>
    <row r="25" spans="1:7" ht="13" x14ac:dyDescent="0.25">
      <c r="A25" s="11">
        <v>2</v>
      </c>
      <c r="B25" s="7">
        <v>26.2</v>
      </c>
      <c r="C25" s="7">
        <v>46.2</v>
      </c>
      <c r="D25" s="7">
        <v>100.2</v>
      </c>
      <c r="E25" s="7">
        <v>28.6</v>
      </c>
      <c r="F25" s="7">
        <v>71.599999999999994</v>
      </c>
      <c r="G25" s="7">
        <v>111.9</v>
      </c>
    </row>
    <row r="26" spans="1:7" ht="13" x14ac:dyDescent="0.25">
      <c r="A26" s="11">
        <v>3</v>
      </c>
      <c r="B26" s="7">
        <v>26.9</v>
      </c>
      <c r="C26" s="7">
        <v>45.8</v>
      </c>
      <c r="D26" s="7">
        <v>74</v>
      </c>
      <c r="E26" s="7">
        <v>48.3</v>
      </c>
      <c r="F26" s="7">
        <v>66.599999999999994</v>
      </c>
      <c r="G26" s="7">
        <v>100.6</v>
      </c>
    </row>
    <row r="27" spans="1:7" ht="13" x14ac:dyDescent="0.25">
      <c r="A27" s="11">
        <v>4</v>
      </c>
      <c r="B27" s="7">
        <v>37.9</v>
      </c>
      <c r="C27" s="7">
        <v>64.400000000000006</v>
      </c>
      <c r="D27" s="7">
        <v>69.2</v>
      </c>
      <c r="E27" s="7">
        <v>57.5</v>
      </c>
      <c r="F27" s="7">
        <v>68.099999999999994</v>
      </c>
      <c r="G27" s="7">
        <v>100.3</v>
      </c>
    </row>
    <row r="28" spans="1:7" ht="13" x14ac:dyDescent="0.25">
      <c r="A28" s="11">
        <v>5</v>
      </c>
      <c r="B28" s="7">
        <v>28</v>
      </c>
      <c r="C28" s="7">
        <v>48.6</v>
      </c>
      <c r="D28" s="7">
        <v>79.400000000000006</v>
      </c>
      <c r="E28" s="7">
        <v>47.1</v>
      </c>
      <c r="F28" s="7">
        <v>72.7</v>
      </c>
      <c r="G28" s="7">
        <v>115.6</v>
      </c>
    </row>
    <row r="29" spans="1:7" ht="13" x14ac:dyDescent="0.25">
      <c r="A29" s="11">
        <v>6</v>
      </c>
      <c r="B29" s="7">
        <v>39.9</v>
      </c>
      <c r="C29" s="7">
        <v>45.4</v>
      </c>
      <c r="D29" s="7">
        <v>99</v>
      </c>
      <c r="E29" s="7">
        <v>50.4</v>
      </c>
      <c r="F29" s="7">
        <v>67.900000000000006</v>
      </c>
      <c r="G29" s="7">
        <v>105</v>
      </c>
    </row>
    <row r="30" spans="1:7" ht="13" x14ac:dyDescent="0.25">
      <c r="A30" s="11">
        <v>7</v>
      </c>
      <c r="B30" s="7">
        <v>23.5</v>
      </c>
      <c r="C30" s="7">
        <v>53.8</v>
      </c>
      <c r="D30" s="7">
        <v>65</v>
      </c>
      <c r="E30" s="7">
        <v>46.1</v>
      </c>
      <c r="F30" s="7">
        <v>83.4</v>
      </c>
      <c r="G30" s="7">
        <v>94.7</v>
      </c>
    </row>
    <row r="31" spans="1:7" ht="13" x14ac:dyDescent="0.25">
      <c r="A31" s="11">
        <v>8</v>
      </c>
      <c r="B31" s="7">
        <v>36.6</v>
      </c>
      <c r="C31" s="7">
        <v>59.4</v>
      </c>
      <c r="D31" s="7">
        <v>84.2</v>
      </c>
      <c r="E31" s="7">
        <v>35.9</v>
      </c>
      <c r="F31" s="7">
        <v>76.599999999999994</v>
      </c>
      <c r="G31" s="7">
        <v>105.2</v>
      </c>
    </row>
    <row r="32" spans="1:7" ht="13" x14ac:dyDescent="0.25">
      <c r="A32" s="11">
        <v>9</v>
      </c>
      <c r="B32" s="7">
        <v>28.6</v>
      </c>
      <c r="C32" s="7">
        <v>49.3</v>
      </c>
      <c r="D32" s="7">
        <v>96.2</v>
      </c>
      <c r="E32" s="7">
        <v>32</v>
      </c>
      <c r="F32" s="7">
        <v>80.8</v>
      </c>
      <c r="G32" s="7">
        <v>88</v>
      </c>
    </row>
    <row r="33" spans="1:7" ht="13" x14ac:dyDescent="0.25">
      <c r="A33" s="11">
        <v>10</v>
      </c>
      <c r="B33" s="7">
        <v>21.8</v>
      </c>
      <c r="C33" s="7">
        <v>58</v>
      </c>
      <c r="D33" s="7">
        <v>97.6</v>
      </c>
      <c r="E33" s="7">
        <v>33.4</v>
      </c>
      <c r="F33" s="7">
        <v>68.099999999999994</v>
      </c>
      <c r="G33" s="7">
        <v>111.9</v>
      </c>
    </row>
    <row r="34" spans="1:7" ht="13" x14ac:dyDescent="0.25">
      <c r="A34" s="11">
        <v>11</v>
      </c>
      <c r="B34" s="7"/>
      <c r="C34" s="7"/>
      <c r="D34" s="7"/>
      <c r="E34" s="7">
        <v>53</v>
      </c>
      <c r="F34" s="7">
        <v>80.400000000000006</v>
      </c>
      <c r="G34" s="7">
        <v>91.2</v>
      </c>
    </row>
    <row r="35" spans="1:7" ht="13" x14ac:dyDescent="0.25">
      <c r="A35" s="11">
        <v>12</v>
      </c>
      <c r="B35" s="7"/>
      <c r="C35" s="7"/>
      <c r="D35" s="7"/>
      <c r="E35" s="7">
        <v>52.4</v>
      </c>
      <c r="F35" s="7">
        <v>74.2</v>
      </c>
      <c r="G35" s="7">
        <v>116.5</v>
      </c>
    </row>
    <row r="36" spans="1:7" ht="13" x14ac:dyDescent="0.25">
      <c r="A36" s="11">
        <v>13</v>
      </c>
      <c r="B36" s="7"/>
      <c r="C36" s="7"/>
      <c r="D36" s="7"/>
      <c r="E36" s="7">
        <v>57.5</v>
      </c>
      <c r="F36" s="7">
        <v>76.099999999999994</v>
      </c>
      <c r="G36" s="7">
        <v>111.2</v>
      </c>
    </row>
    <row r="37" spans="1:7" ht="13" x14ac:dyDescent="0.25">
      <c r="A37" s="11">
        <v>14</v>
      </c>
      <c r="B37" s="7"/>
      <c r="C37" s="7"/>
      <c r="D37" s="7"/>
      <c r="E37" s="7">
        <v>53.8</v>
      </c>
      <c r="F37" s="7">
        <v>62.5</v>
      </c>
      <c r="G37" s="7">
        <v>90.9</v>
      </c>
    </row>
    <row r="38" spans="1:7" ht="13" x14ac:dyDescent="0.25">
      <c r="A38" s="11">
        <v>15</v>
      </c>
      <c r="B38" s="7"/>
      <c r="C38" s="7"/>
      <c r="D38" s="7"/>
      <c r="E38" s="7">
        <v>31.9</v>
      </c>
      <c r="F38" s="7">
        <v>74</v>
      </c>
      <c r="G38" s="7">
        <v>101.1</v>
      </c>
    </row>
    <row r="39" spans="1:7" ht="13" x14ac:dyDescent="0.25">
      <c r="A39" s="11">
        <v>16</v>
      </c>
      <c r="B39" s="7"/>
      <c r="C39" s="7"/>
      <c r="D39" s="7"/>
      <c r="E39" s="7">
        <v>35.4</v>
      </c>
      <c r="F39" s="7">
        <v>79.400000000000006</v>
      </c>
      <c r="G39" s="7">
        <v>90.7</v>
      </c>
    </row>
    <row r="40" spans="1:7" ht="13" x14ac:dyDescent="0.25">
      <c r="A40" s="11">
        <v>17</v>
      </c>
      <c r="B40" s="7"/>
      <c r="C40" s="7"/>
      <c r="D40" s="7"/>
      <c r="E40" s="7">
        <v>42.7</v>
      </c>
      <c r="F40" s="7">
        <v>74.099999999999994</v>
      </c>
      <c r="G40" s="7">
        <v>118.4</v>
      </c>
    </row>
    <row r="41" spans="1:7" ht="13" x14ac:dyDescent="0.25">
      <c r="A41" s="11">
        <v>18</v>
      </c>
      <c r="B41" s="7"/>
      <c r="C41" s="7"/>
      <c r="D41" s="7"/>
      <c r="E41" s="7">
        <v>43.8</v>
      </c>
      <c r="F41" s="7">
        <v>83.8</v>
      </c>
      <c r="G41" s="7">
        <v>99.1</v>
      </c>
    </row>
    <row r="42" spans="1:7" ht="13" x14ac:dyDescent="0.25">
      <c r="A42" s="11">
        <v>19</v>
      </c>
      <c r="B42" s="7"/>
      <c r="C42" s="7"/>
      <c r="D42" s="7"/>
      <c r="E42" s="7">
        <v>42.6</v>
      </c>
      <c r="F42" s="7">
        <v>68</v>
      </c>
      <c r="G42" s="7">
        <v>86.9</v>
      </c>
    </row>
    <row r="43" spans="1:7" ht="13" x14ac:dyDescent="0.25">
      <c r="A43" s="11">
        <v>20</v>
      </c>
      <c r="B43" s="7"/>
      <c r="C43" s="7"/>
      <c r="D43" s="7"/>
      <c r="E43" s="7">
        <v>58.8</v>
      </c>
      <c r="F43" s="7">
        <v>63.7</v>
      </c>
      <c r="G43" s="7">
        <v>94</v>
      </c>
    </row>
    <row r="44" spans="1:7" ht="13" x14ac:dyDescent="0.25">
      <c r="A44" s="11">
        <v>21</v>
      </c>
      <c r="B44" s="7"/>
      <c r="C44" s="7"/>
      <c r="D44" s="7"/>
      <c r="E44" s="7">
        <v>36.9</v>
      </c>
      <c r="F44" s="7">
        <v>75.3</v>
      </c>
      <c r="G44" s="7">
        <v>114.4</v>
      </c>
    </row>
    <row r="45" spans="1:7" ht="13" x14ac:dyDescent="0.25">
      <c r="A45" s="11">
        <v>22</v>
      </c>
      <c r="B45" s="7"/>
      <c r="C45" s="7"/>
      <c r="D45" s="7"/>
      <c r="E45" s="7">
        <v>42.1</v>
      </c>
      <c r="F45" s="7">
        <v>62</v>
      </c>
      <c r="G45" s="7">
        <v>89.5</v>
      </c>
    </row>
    <row r="46" spans="1:7" ht="13" x14ac:dyDescent="0.25">
      <c r="A46" s="11">
        <v>23</v>
      </c>
      <c r="B46" s="7"/>
      <c r="C46" s="7"/>
      <c r="D46" s="7"/>
      <c r="E46" s="7">
        <v>43.2</v>
      </c>
      <c r="F46" s="7">
        <v>61.5</v>
      </c>
      <c r="G46" s="7">
        <v>94.8</v>
      </c>
    </row>
    <row r="47" spans="1:7" ht="13" x14ac:dyDescent="0.25">
      <c r="A47" s="11">
        <v>24</v>
      </c>
      <c r="B47" s="7"/>
      <c r="C47" s="7"/>
      <c r="D47" s="7"/>
      <c r="E47" s="7">
        <v>32</v>
      </c>
      <c r="F47" s="7">
        <v>68.599999999999994</v>
      </c>
      <c r="G47" s="7">
        <v>110.1</v>
      </c>
    </row>
    <row r="48" spans="1:7" ht="13" x14ac:dyDescent="0.25">
      <c r="A48" s="11">
        <v>25</v>
      </c>
      <c r="B48" s="7"/>
      <c r="C48" s="7"/>
      <c r="D48" s="7"/>
      <c r="E48" s="7">
        <v>54</v>
      </c>
      <c r="F48" s="7">
        <v>80.8</v>
      </c>
      <c r="G48" s="7">
        <v>92.9</v>
      </c>
    </row>
    <row r="49" spans="1:7" ht="13" x14ac:dyDescent="0.25">
      <c r="A49" s="11">
        <v>26</v>
      </c>
      <c r="B49" s="7"/>
      <c r="C49" s="16"/>
      <c r="D49" s="7"/>
      <c r="E49" s="7">
        <v>53.5</v>
      </c>
      <c r="F49" s="7">
        <v>74.599999999999994</v>
      </c>
      <c r="G49" s="7">
        <v>95.7</v>
      </c>
    </row>
    <row r="50" spans="1:7" ht="13" x14ac:dyDescent="0.25">
      <c r="A50" s="11">
        <v>27</v>
      </c>
      <c r="B50" s="7"/>
      <c r="C50" s="16"/>
      <c r="D50" s="7"/>
      <c r="E50" s="7">
        <v>30.5</v>
      </c>
      <c r="F50" s="7">
        <v>63.9</v>
      </c>
      <c r="G50" s="7">
        <v>113.5</v>
      </c>
    </row>
    <row r="51" spans="1:7" ht="13" x14ac:dyDescent="0.25">
      <c r="A51" s="11">
        <v>28</v>
      </c>
      <c r="B51" s="7"/>
      <c r="C51" s="17"/>
      <c r="D51" s="7"/>
      <c r="E51" s="7">
        <v>54.8</v>
      </c>
      <c r="F51" s="7">
        <v>76</v>
      </c>
      <c r="G51" s="7">
        <v>91.3</v>
      </c>
    </row>
    <row r="52" spans="1:7" ht="13.5" thickBot="1" x14ac:dyDescent="0.3">
      <c r="A52" s="14">
        <v>29</v>
      </c>
      <c r="B52" s="18"/>
      <c r="C52" s="18"/>
      <c r="D52" s="15"/>
      <c r="E52" s="7">
        <v>40.700000000000003</v>
      </c>
      <c r="F52" s="7">
        <v>84.9</v>
      </c>
      <c r="G52" s="7">
        <v>114.3</v>
      </c>
    </row>
    <row r="53" spans="1:7" ht="13.5" thickTop="1" x14ac:dyDescent="0.25">
      <c r="A53" s="612" t="str">
        <f>'2021.4'!A53:G53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27.8</v>
      </c>
      <c r="C56" s="7">
        <v>60.6</v>
      </c>
      <c r="D56" s="7">
        <v>68.3</v>
      </c>
      <c r="E56" s="7">
        <v>51.6</v>
      </c>
      <c r="F56" s="7">
        <v>60.8</v>
      </c>
      <c r="G56" s="7">
        <v>117.1</v>
      </c>
    </row>
    <row r="57" spans="1:7" ht="13" x14ac:dyDescent="0.25">
      <c r="A57" s="11">
        <v>2</v>
      </c>
      <c r="B57" s="7">
        <v>38.799999999999997</v>
      </c>
      <c r="C57" s="7">
        <v>61.6</v>
      </c>
      <c r="D57" s="7">
        <v>96.6</v>
      </c>
      <c r="E57" s="7">
        <v>29.6</v>
      </c>
      <c r="F57" s="7">
        <v>83.6</v>
      </c>
      <c r="G57" s="7">
        <v>104.6</v>
      </c>
    </row>
    <row r="58" spans="1:7" ht="13" x14ac:dyDescent="0.25">
      <c r="A58" s="11">
        <v>3</v>
      </c>
      <c r="B58" s="7">
        <v>30</v>
      </c>
      <c r="C58" s="7">
        <v>55.8</v>
      </c>
      <c r="D58" s="7">
        <v>97</v>
      </c>
      <c r="E58" s="7">
        <v>54</v>
      </c>
      <c r="F58" s="7">
        <v>81.8</v>
      </c>
      <c r="G58" s="7">
        <v>96.4</v>
      </c>
    </row>
    <row r="59" spans="1:7" ht="13" x14ac:dyDescent="0.25">
      <c r="A59" s="11">
        <v>4</v>
      </c>
      <c r="B59" s="7">
        <v>36</v>
      </c>
      <c r="C59" s="7">
        <v>53.6</v>
      </c>
      <c r="D59" s="7">
        <v>108.7</v>
      </c>
      <c r="E59" s="7">
        <v>54.8</v>
      </c>
      <c r="F59" s="7">
        <v>64.7</v>
      </c>
      <c r="G59" s="7">
        <v>111.8</v>
      </c>
    </row>
    <row r="60" spans="1:7" ht="13" x14ac:dyDescent="0.25">
      <c r="A60" s="11">
        <v>5</v>
      </c>
      <c r="B60" s="7">
        <v>26.7</v>
      </c>
      <c r="C60" s="7">
        <v>61.3</v>
      </c>
      <c r="D60" s="7">
        <v>77</v>
      </c>
      <c r="E60" s="7">
        <v>42.7</v>
      </c>
      <c r="F60" s="7">
        <v>81.5</v>
      </c>
      <c r="G60" s="7">
        <v>91.8</v>
      </c>
    </row>
    <row r="61" spans="1:7" ht="13" x14ac:dyDescent="0.25">
      <c r="A61" s="11">
        <v>6</v>
      </c>
      <c r="B61" s="7">
        <v>23.4</v>
      </c>
      <c r="C61" s="7">
        <v>48.3</v>
      </c>
      <c r="D61" s="7">
        <v>103.8</v>
      </c>
      <c r="E61" s="7">
        <v>44.3</v>
      </c>
      <c r="F61" s="7">
        <v>80.7</v>
      </c>
      <c r="G61" s="7">
        <v>85.4</v>
      </c>
    </row>
    <row r="62" spans="1:7" ht="13" x14ac:dyDescent="0.25">
      <c r="A62" s="11">
        <v>7</v>
      </c>
      <c r="B62" s="7">
        <v>43.2</v>
      </c>
      <c r="C62" s="7">
        <v>47.3</v>
      </c>
      <c r="D62" s="7">
        <v>79.900000000000006</v>
      </c>
      <c r="E62" s="7">
        <v>34.9</v>
      </c>
      <c r="F62" s="7">
        <v>83.2</v>
      </c>
      <c r="G62" s="7">
        <v>88.4</v>
      </c>
    </row>
    <row r="63" spans="1:7" ht="13" x14ac:dyDescent="0.25">
      <c r="A63" s="11">
        <v>8</v>
      </c>
      <c r="B63" s="7">
        <v>38.1</v>
      </c>
      <c r="C63" s="7">
        <v>49.9</v>
      </c>
      <c r="D63" s="7">
        <v>104</v>
      </c>
      <c r="E63" s="7"/>
      <c r="F63" s="7"/>
      <c r="G63" s="7"/>
    </row>
    <row r="64" spans="1:7" ht="13" x14ac:dyDescent="0.25">
      <c r="A64" s="11">
        <v>9</v>
      </c>
      <c r="B64" s="7">
        <v>29.2</v>
      </c>
      <c r="C64" s="7">
        <v>56.1</v>
      </c>
      <c r="D64" s="7">
        <v>101.5</v>
      </c>
      <c r="E64" s="7"/>
      <c r="F64" s="7"/>
      <c r="G64" s="7"/>
    </row>
    <row r="65" spans="1:7" ht="13" x14ac:dyDescent="0.25">
      <c r="A65" s="11">
        <v>10</v>
      </c>
      <c r="B65" s="7">
        <v>31.2</v>
      </c>
      <c r="C65" s="7">
        <v>57.4</v>
      </c>
      <c r="D65" s="7">
        <v>69.5</v>
      </c>
      <c r="E65" s="7"/>
      <c r="F65" s="7"/>
      <c r="G65" s="7"/>
    </row>
    <row r="66" spans="1:7" ht="13" x14ac:dyDescent="0.25">
      <c r="A66" s="11">
        <v>11</v>
      </c>
      <c r="B66" s="7">
        <v>21.2</v>
      </c>
      <c r="C66" s="7">
        <v>47.8</v>
      </c>
      <c r="D66" s="7">
        <v>77.400000000000006</v>
      </c>
      <c r="E66" s="7"/>
      <c r="F66" s="7"/>
      <c r="G66" s="7"/>
    </row>
    <row r="67" spans="1:7" ht="13.5" thickBot="1" x14ac:dyDescent="0.3">
      <c r="A67" s="14">
        <v>12</v>
      </c>
      <c r="B67" s="7">
        <v>25.6</v>
      </c>
      <c r="C67" s="7">
        <v>58.5</v>
      </c>
      <c r="D67" s="7">
        <v>95.5</v>
      </c>
      <c r="E67" s="15"/>
      <c r="F67" s="15"/>
      <c r="G67" s="15"/>
    </row>
    <row r="68" spans="1:7" ht="13.5" thickTop="1" x14ac:dyDescent="0.25">
      <c r="A68" s="612" t="str">
        <f>'2021.4'!A68:G68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28.7</v>
      </c>
      <c r="C71" s="7">
        <v>55.8</v>
      </c>
      <c r="D71" s="7">
        <v>91</v>
      </c>
      <c r="E71" s="7"/>
      <c r="F71" s="7"/>
      <c r="G71" s="7"/>
    </row>
    <row r="72" spans="1:7" ht="13" x14ac:dyDescent="0.25">
      <c r="A72" s="11">
        <v>2</v>
      </c>
      <c r="B72" s="7">
        <v>39.200000000000003</v>
      </c>
      <c r="C72" s="7">
        <v>63.7</v>
      </c>
      <c r="D72" s="7">
        <v>106.2</v>
      </c>
      <c r="E72" s="6"/>
      <c r="F72" s="6"/>
      <c r="G72" s="7"/>
    </row>
    <row r="73" spans="1:7" ht="13" x14ac:dyDescent="0.25">
      <c r="A73" s="11">
        <v>3</v>
      </c>
      <c r="B73" s="7">
        <v>44.8</v>
      </c>
      <c r="C73" s="7">
        <v>55.8</v>
      </c>
      <c r="D73" s="7">
        <v>80.099999999999994</v>
      </c>
      <c r="E73" s="6"/>
      <c r="F73" s="6"/>
      <c r="G73" s="6"/>
    </row>
    <row r="74" spans="1:7" ht="13" x14ac:dyDescent="0.25">
      <c r="A74" s="11">
        <v>4</v>
      </c>
      <c r="B74" s="7">
        <v>26</v>
      </c>
      <c r="C74" s="7">
        <v>45.1</v>
      </c>
      <c r="D74" s="7">
        <v>73.3</v>
      </c>
      <c r="E74" s="6"/>
      <c r="F74" s="6"/>
      <c r="G74" s="6"/>
    </row>
    <row r="75" spans="1:7" ht="13" x14ac:dyDescent="0.25">
      <c r="A75" s="11">
        <v>5</v>
      </c>
      <c r="B75" s="7">
        <v>43.4</v>
      </c>
      <c r="C75" s="7">
        <v>45</v>
      </c>
      <c r="D75" s="7">
        <v>98.5</v>
      </c>
      <c r="E75" s="6"/>
      <c r="F75" s="6"/>
      <c r="G75" s="6"/>
    </row>
    <row r="76" spans="1:7" ht="13" x14ac:dyDescent="0.25">
      <c r="A76" s="11">
        <v>6</v>
      </c>
      <c r="B76" s="7">
        <v>26.4</v>
      </c>
      <c r="C76" s="7">
        <v>61</v>
      </c>
      <c r="D76" s="7">
        <v>76.2</v>
      </c>
      <c r="E76" s="6"/>
      <c r="F76" s="6"/>
      <c r="G76" s="6"/>
    </row>
    <row r="77" spans="1:7" ht="13" x14ac:dyDescent="0.25">
      <c r="A77" s="11">
        <v>7</v>
      </c>
      <c r="B77" s="7">
        <v>43.6</v>
      </c>
      <c r="C77" s="7">
        <v>52.4</v>
      </c>
      <c r="D77" s="7">
        <v>66.900000000000006</v>
      </c>
      <c r="E77" s="6"/>
      <c r="F77" s="6"/>
      <c r="G77" s="6"/>
    </row>
    <row r="78" spans="1:7" ht="13" x14ac:dyDescent="0.25">
      <c r="A78" s="11">
        <v>8</v>
      </c>
      <c r="B78" s="7">
        <v>23.7</v>
      </c>
      <c r="C78" s="7">
        <v>61.4</v>
      </c>
      <c r="D78" s="7">
        <v>95.7</v>
      </c>
      <c r="E78" s="6"/>
      <c r="F78" s="6"/>
      <c r="G78" s="6"/>
    </row>
    <row r="79" spans="1:7" ht="13" x14ac:dyDescent="0.25">
      <c r="A79" s="11">
        <v>9</v>
      </c>
      <c r="B79" s="7">
        <v>43.3</v>
      </c>
      <c r="C79" s="7">
        <v>62.7</v>
      </c>
      <c r="D79" s="7">
        <v>92.4</v>
      </c>
      <c r="E79" s="6"/>
      <c r="F79" s="6"/>
      <c r="G79" s="6"/>
    </row>
    <row r="80" spans="1:7" ht="13" x14ac:dyDescent="0.25">
      <c r="A80" s="11">
        <v>10</v>
      </c>
      <c r="B80" s="7">
        <v>37.9</v>
      </c>
      <c r="C80" s="7">
        <v>59</v>
      </c>
      <c r="D80" s="7">
        <v>97.5</v>
      </c>
      <c r="E80" s="6"/>
      <c r="F80" s="6"/>
      <c r="G80" s="6"/>
    </row>
    <row r="81" spans="1:7" ht="13" x14ac:dyDescent="0.25">
      <c r="A81" s="11">
        <v>11</v>
      </c>
      <c r="B81" s="7">
        <v>39.799999999999997</v>
      </c>
      <c r="C81" s="7">
        <v>46.1</v>
      </c>
      <c r="D81" s="7">
        <v>97.2</v>
      </c>
      <c r="E81" s="6"/>
      <c r="F81" s="6"/>
      <c r="G81" s="6"/>
    </row>
    <row r="82" spans="1:7" ht="13" x14ac:dyDescent="0.25">
      <c r="A82" s="11">
        <v>12</v>
      </c>
      <c r="B82" s="7">
        <v>37.4</v>
      </c>
      <c r="C82" s="7">
        <v>59.9</v>
      </c>
      <c r="D82" s="7">
        <v>79.3</v>
      </c>
      <c r="E82" s="6"/>
      <c r="F82" s="6"/>
      <c r="G82" s="6"/>
    </row>
    <row r="83" spans="1:7" ht="13" x14ac:dyDescent="0.25">
      <c r="A83" s="11">
        <v>13</v>
      </c>
      <c r="B83" s="7">
        <v>22</v>
      </c>
      <c r="C83" s="7">
        <v>64.8</v>
      </c>
      <c r="D83" s="7">
        <v>70.3</v>
      </c>
      <c r="E83" s="6"/>
      <c r="F83" s="6"/>
      <c r="G83" s="6"/>
    </row>
    <row r="84" spans="1:7" ht="13" x14ac:dyDescent="0.25">
      <c r="A84" s="11">
        <v>14</v>
      </c>
      <c r="B84" s="7">
        <v>43.9</v>
      </c>
      <c r="C84" s="7">
        <v>45.7</v>
      </c>
      <c r="D84" s="7">
        <v>81.5</v>
      </c>
      <c r="E84" s="6"/>
      <c r="F84" s="6"/>
      <c r="G84" s="6"/>
    </row>
    <row r="85" spans="1:7" ht="13" x14ac:dyDescent="0.25">
      <c r="A85" s="11">
        <v>15</v>
      </c>
      <c r="B85" s="7">
        <v>27.3</v>
      </c>
      <c r="C85" s="7">
        <v>49</v>
      </c>
      <c r="D85" s="7">
        <v>103.6</v>
      </c>
      <c r="E85" s="6"/>
      <c r="F85" s="6"/>
      <c r="G85" s="6"/>
    </row>
    <row r="86" spans="1:7" ht="13" x14ac:dyDescent="0.25">
      <c r="A86" s="11">
        <v>16</v>
      </c>
      <c r="B86" s="7">
        <v>42.8</v>
      </c>
      <c r="C86" s="7">
        <v>51.2</v>
      </c>
      <c r="D86" s="7">
        <v>82.5</v>
      </c>
      <c r="E86" s="6"/>
      <c r="F86" s="6"/>
      <c r="G86" s="6"/>
    </row>
    <row r="87" spans="1:7" ht="13" x14ac:dyDescent="0.25">
      <c r="A87" s="11">
        <v>17</v>
      </c>
      <c r="B87" s="7">
        <v>34.700000000000003</v>
      </c>
      <c r="C87" s="7">
        <v>61.4</v>
      </c>
      <c r="D87" s="7">
        <v>67.400000000000006</v>
      </c>
      <c r="E87" s="6"/>
      <c r="F87" s="6"/>
      <c r="G87" s="6"/>
    </row>
    <row r="88" spans="1:7" ht="13" x14ac:dyDescent="0.25">
      <c r="A88" s="11">
        <v>18</v>
      </c>
      <c r="B88" s="7">
        <v>27.2</v>
      </c>
      <c r="C88" s="7">
        <v>46.5</v>
      </c>
      <c r="D88" s="7">
        <v>95.4</v>
      </c>
      <c r="E88" s="6"/>
      <c r="F88" s="6"/>
      <c r="G88" s="6"/>
    </row>
    <row r="89" spans="1:7" ht="13" x14ac:dyDescent="0.25">
      <c r="A89" s="11">
        <v>19</v>
      </c>
      <c r="B89" s="7">
        <v>27.7</v>
      </c>
      <c r="C89" s="7">
        <v>57.4</v>
      </c>
      <c r="D89" s="7">
        <v>96.5</v>
      </c>
      <c r="E89" s="6"/>
      <c r="F89" s="6"/>
      <c r="G89" s="6"/>
    </row>
    <row r="90" spans="1:7" ht="13" x14ac:dyDescent="0.25">
      <c r="A90" s="11">
        <v>20</v>
      </c>
      <c r="B90" s="7">
        <v>31.5</v>
      </c>
      <c r="C90" s="7">
        <v>55.8</v>
      </c>
      <c r="D90" s="7">
        <v>77.7</v>
      </c>
      <c r="E90" s="6"/>
      <c r="F90" s="6"/>
      <c r="G90" s="6"/>
    </row>
    <row r="91" spans="1:7" ht="13" x14ac:dyDescent="0.25">
      <c r="A91" s="11">
        <v>21</v>
      </c>
      <c r="B91" s="7">
        <v>20.6</v>
      </c>
      <c r="C91" s="7">
        <v>48.7</v>
      </c>
      <c r="D91" s="7">
        <v>99.4</v>
      </c>
      <c r="E91" s="6"/>
      <c r="F91" s="6"/>
      <c r="G91" s="6"/>
    </row>
    <row r="92" spans="1:7" ht="13" x14ac:dyDescent="0.25">
      <c r="A92" s="11">
        <v>22</v>
      </c>
      <c r="B92" s="7">
        <v>32.6</v>
      </c>
      <c r="C92" s="7">
        <v>61.2</v>
      </c>
      <c r="D92" s="7">
        <v>74.5</v>
      </c>
      <c r="E92" s="6"/>
      <c r="F92" s="6"/>
      <c r="G92" s="6"/>
    </row>
    <row r="93" spans="1:7" ht="13" x14ac:dyDescent="0.25">
      <c r="A93" s="11">
        <v>23</v>
      </c>
      <c r="B93" s="7">
        <v>41</v>
      </c>
      <c r="C93" s="7">
        <v>46.2</v>
      </c>
      <c r="D93" s="7">
        <v>100.9</v>
      </c>
      <c r="E93" s="6"/>
      <c r="F93" s="6"/>
      <c r="G93" s="6"/>
    </row>
    <row r="94" spans="1:7" ht="13" x14ac:dyDescent="0.25">
      <c r="A94" s="11">
        <v>24</v>
      </c>
      <c r="B94" s="7">
        <v>22.3</v>
      </c>
      <c r="C94" s="7">
        <v>64.599999999999994</v>
      </c>
      <c r="D94" s="7">
        <v>89</v>
      </c>
      <c r="E94" s="6"/>
      <c r="F94" s="6"/>
      <c r="G94" s="6"/>
    </row>
    <row r="95" spans="1:7" ht="13" x14ac:dyDescent="0.25">
      <c r="A95" s="11">
        <v>25</v>
      </c>
      <c r="B95" s="7">
        <v>28.3</v>
      </c>
      <c r="C95" s="7">
        <v>47</v>
      </c>
      <c r="D95" s="7">
        <v>104.6</v>
      </c>
      <c r="E95" s="6"/>
      <c r="F95" s="6"/>
      <c r="G95" s="6"/>
    </row>
    <row r="96" spans="1:7" ht="13" x14ac:dyDescent="0.25">
      <c r="A96" s="11">
        <v>26</v>
      </c>
      <c r="B96" s="7">
        <v>23.4</v>
      </c>
      <c r="C96" s="7">
        <v>63.3</v>
      </c>
      <c r="D96" s="7">
        <v>70</v>
      </c>
      <c r="E96" s="17"/>
      <c r="F96" s="17"/>
      <c r="G96" s="17"/>
    </row>
    <row r="97" spans="1:7" ht="13" x14ac:dyDescent="0.25">
      <c r="A97" s="11">
        <v>27</v>
      </c>
      <c r="B97" s="7">
        <v>36.799999999999997</v>
      </c>
      <c r="C97" s="7">
        <v>50.8</v>
      </c>
      <c r="D97" s="7">
        <v>95</v>
      </c>
      <c r="E97" s="17"/>
      <c r="F97" s="17"/>
      <c r="G97" s="17"/>
    </row>
    <row r="98" spans="1:7" ht="13" x14ac:dyDescent="0.25">
      <c r="A98" s="11">
        <v>28</v>
      </c>
      <c r="B98" s="7">
        <v>32.700000000000003</v>
      </c>
      <c r="C98" s="7">
        <v>52.4</v>
      </c>
      <c r="D98" s="7">
        <v>68.2</v>
      </c>
      <c r="E98" s="17"/>
      <c r="F98" s="17"/>
      <c r="G98" s="17"/>
    </row>
    <row r="99" spans="1:7" ht="13" x14ac:dyDescent="0.25">
      <c r="A99" s="11">
        <v>29</v>
      </c>
      <c r="B99" s="7">
        <v>22.9</v>
      </c>
      <c r="C99" s="7">
        <v>45.2</v>
      </c>
      <c r="D99" s="7">
        <v>88.5</v>
      </c>
      <c r="E99" s="6"/>
      <c r="F99" s="6"/>
      <c r="G99" s="6"/>
    </row>
    <row r="100" spans="1:7" ht="13" x14ac:dyDescent="0.25">
      <c r="A100" s="11">
        <v>30</v>
      </c>
      <c r="B100" s="7">
        <v>20</v>
      </c>
      <c r="C100" s="7">
        <v>57.5</v>
      </c>
      <c r="D100" s="7">
        <v>87</v>
      </c>
      <c r="E100" s="2"/>
      <c r="F100" s="2"/>
      <c r="G100" s="2"/>
    </row>
    <row r="101" spans="1:7" ht="13" x14ac:dyDescent="0.25">
      <c r="A101" s="11">
        <v>31</v>
      </c>
      <c r="B101" s="7">
        <v>38.299999999999997</v>
      </c>
      <c r="C101" s="7">
        <v>50.1</v>
      </c>
      <c r="D101" s="7">
        <v>99.5</v>
      </c>
      <c r="E101" s="2"/>
      <c r="F101" s="2"/>
      <c r="G101" s="2"/>
    </row>
    <row r="102" spans="1:7" ht="13" x14ac:dyDescent="0.25">
      <c r="A102" s="11">
        <v>32</v>
      </c>
      <c r="B102" s="7">
        <v>37.4</v>
      </c>
      <c r="C102" s="7">
        <v>59.9</v>
      </c>
      <c r="D102" s="7">
        <v>88.1</v>
      </c>
      <c r="E102" s="2"/>
      <c r="F102" s="2"/>
      <c r="G102" s="2"/>
    </row>
    <row r="103" spans="1:7" ht="13" x14ac:dyDescent="0.25">
      <c r="A103" s="11">
        <v>33</v>
      </c>
      <c r="B103" s="7">
        <v>33.9</v>
      </c>
      <c r="C103" s="7">
        <v>46.1</v>
      </c>
      <c r="D103" s="7">
        <v>71.5</v>
      </c>
      <c r="E103" s="2"/>
      <c r="F103" s="2"/>
      <c r="G103" s="2"/>
    </row>
    <row r="104" spans="1:7" ht="13" x14ac:dyDescent="0.25">
      <c r="A104" s="11">
        <v>34</v>
      </c>
      <c r="B104" s="7">
        <v>37.700000000000003</v>
      </c>
      <c r="C104" s="7">
        <v>55.5</v>
      </c>
      <c r="D104" s="7">
        <v>76.599999999999994</v>
      </c>
      <c r="E104" s="2"/>
      <c r="F104" s="2"/>
      <c r="G104" s="2"/>
    </row>
    <row r="105" spans="1:7" ht="13" x14ac:dyDescent="0.25">
      <c r="A105" s="11">
        <v>35</v>
      </c>
      <c r="B105" s="7">
        <v>35.299999999999997</v>
      </c>
      <c r="C105" s="7">
        <v>56.9</v>
      </c>
      <c r="D105" s="7">
        <v>77.900000000000006</v>
      </c>
      <c r="E105" s="2"/>
      <c r="F105" s="2"/>
      <c r="G105" s="2"/>
    </row>
    <row r="106" spans="1:7" ht="13" x14ac:dyDescent="0.25">
      <c r="A106" s="11">
        <v>36</v>
      </c>
      <c r="B106" s="7">
        <v>32.799999999999997</v>
      </c>
      <c r="C106" s="7">
        <v>51.2</v>
      </c>
      <c r="D106" s="7">
        <v>87</v>
      </c>
      <c r="E106" s="2"/>
      <c r="F106" s="2"/>
      <c r="G106" s="2"/>
    </row>
    <row r="107" spans="1:7" ht="13" x14ac:dyDescent="0.25">
      <c r="A107" s="11">
        <v>37</v>
      </c>
      <c r="B107" s="7">
        <v>24.7</v>
      </c>
      <c r="C107" s="7">
        <v>57.3</v>
      </c>
      <c r="D107" s="7">
        <v>87.2</v>
      </c>
      <c r="E107" s="2"/>
      <c r="F107" s="2"/>
      <c r="G107" s="2"/>
    </row>
    <row r="108" spans="1:7" ht="13" x14ac:dyDescent="0.25">
      <c r="A108" s="11">
        <v>38</v>
      </c>
      <c r="B108" s="7">
        <v>41.1</v>
      </c>
      <c r="C108" s="7">
        <v>50</v>
      </c>
      <c r="D108" s="7">
        <v>93.7</v>
      </c>
      <c r="E108" s="2"/>
      <c r="F108" s="2"/>
      <c r="G108" s="2"/>
    </row>
    <row r="109" spans="1:7" ht="13" x14ac:dyDescent="0.25">
      <c r="A109" s="11">
        <v>39</v>
      </c>
      <c r="B109" s="7">
        <v>38.9</v>
      </c>
      <c r="C109" s="7">
        <v>56.1</v>
      </c>
      <c r="D109" s="7">
        <v>81.7</v>
      </c>
      <c r="E109" s="2"/>
      <c r="F109" s="2"/>
      <c r="G109" s="2"/>
    </row>
    <row r="110" spans="1:7" ht="13" x14ac:dyDescent="0.25">
      <c r="A110" s="11">
        <v>40</v>
      </c>
      <c r="B110" s="7">
        <v>24.9</v>
      </c>
      <c r="C110" s="7">
        <v>53.4</v>
      </c>
      <c r="D110" s="7">
        <v>65.400000000000006</v>
      </c>
      <c r="E110" s="2"/>
      <c r="F110" s="2"/>
      <c r="G110" s="2"/>
    </row>
    <row r="111" spans="1:7" ht="13" x14ac:dyDescent="0.25">
      <c r="A111" s="11">
        <v>41</v>
      </c>
      <c r="B111" s="7">
        <v>31.7</v>
      </c>
      <c r="C111" s="7">
        <v>64.400000000000006</v>
      </c>
      <c r="D111" s="7">
        <v>97.5</v>
      </c>
      <c r="E111" s="2"/>
      <c r="F111" s="2"/>
      <c r="G111" s="2"/>
    </row>
    <row r="112" spans="1:7" ht="13" x14ac:dyDescent="0.25">
      <c r="A112" s="11">
        <v>42</v>
      </c>
      <c r="B112" s="7">
        <v>31.6</v>
      </c>
      <c r="C112" s="7">
        <v>53.8</v>
      </c>
      <c r="D112" s="7">
        <v>67.099999999999994</v>
      </c>
      <c r="E112" s="2"/>
      <c r="F112" s="2"/>
      <c r="G112" s="2"/>
    </row>
    <row r="113" spans="1:7" ht="13" x14ac:dyDescent="0.25">
      <c r="A113" s="11">
        <v>43</v>
      </c>
      <c r="B113" s="7">
        <v>40.700000000000003</v>
      </c>
      <c r="C113" s="7">
        <v>46.9</v>
      </c>
      <c r="D113" s="7">
        <v>92.4</v>
      </c>
      <c r="E113" s="2"/>
      <c r="F113" s="2"/>
      <c r="G113" s="2"/>
    </row>
    <row r="114" spans="1:7" ht="13" x14ac:dyDescent="0.25">
      <c r="A114" s="11">
        <v>44</v>
      </c>
      <c r="B114" s="7">
        <v>23.2</v>
      </c>
      <c r="C114" s="7">
        <v>55.7</v>
      </c>
      <c r="D114" s="7">
        <v>71.2</v>
      </c>
      <c r="E114" s="2"/>
      <c r="F114" s="2"/>
      <c r="G114" s="2"/>
    </row>
    <row r="115" spans="1:7" ht="13" x14ac:dyDescent="0.25">
      <c r="A115" s="11">
        <v>45</v>
      </c>
      <c r="B115" s="7">
        <v>27.9</v>
      </c>
      <c r="C115" s="7">
        <v>64.3</v>
      </c>
      <c r="D115" s="7">
        <v>109.6</v>
      </c>
      <c r="E115" s="2"/>
      <c r="F115" s="2"/>
      <c r="G115" s="2"/>
    </row>
    <row r="116" spans="1:7" ht="13" x14ac:dyDescent="0.25">
      <c r="A116" s="11">
        <v>46</v>
      </c>
      <c r="B116" s="7">
        <v>37.200000000000003</v>
      </c>
      <c r="C116" s="7">
        <v>59.3</v>
      </c>
      <c r="D116" s="7">
        <v>70.7</v>
      </c>
      <c r="E116" s="2"/>
      <c r="F116" s="2"/>
      <c r="G116" s="2"/>
    </row>
    <row r="117" spans="1:7" ht="13" x14ac:dyDescent="0.25">
      <c r="A117" s="11">
        <v>47</v>
      </c>
      <c r="B117" s="7">
        <v>23</v>
      </c>
      <c r="C117" s="7">
        <v>50.5</v>
      </c>
      <c r="D117" s="7">
        <v>73.2</v>
      </c>
      <c r="E117" s="2"/>
      <c r="F117" s="2"/>
      <c r="G117" s="2"/>
    </row>
    <row r="118" spans="1:7" ht="13" x14ac:dyDescent="0.25">
      <c r="A118" s="11">
        <v>48</v>
      </c>
      <c r="B118" s="7">
        <v>37.299999999999997</v>
      </c>
      <c r="C118" s="7">
        <v>62.1</v>
      </c>
      <c r="D118" s="7">
        <v>83.5</v>
      </c>
      <c r="E118" s="2"/>
      <c r="F118" s="2"/>
      <c r="G118" s="2"/>
    </row>
    <row r="119" spans="1:7" ht="13" x14ac:dyDescent="0.25">
      <c r="A119" s="11">
        <v>49</v>
      </c>
      <c r="B119" s="7">
        <v>21.7</v>
      </c>
      <c r="C119" s="7">
        <v>54.2</v>
      </c>
      <c r="D119" s="7">
        <v>81.400000000000006</v>
      </c>
      <c r="E119" s="2"/>
      <c r="F119" s="2"/>
      <c r="G119" s="2"/>
    </row>
    <row r="120" spans="1:7" ht="13" x14ac:dyDescent="0.25">
      <c r="A120" s="11">
        <v>50</v>
      </c>
      <c r="B120" s="7">
        <v>20.100000000000001</v>
      </c>
      <c r="C120" s="7">
        <v>48.1</v>
      </c>
      <c r="D120" s="7">
        <v>69</v>
      </c>
      <c r="E120" s="2"/>
      <c r="F120" s="2"/>
      <c r="G120" s="2"/>
    </row>
    <row r="121" spans="1:7" ht="13" x14ac:dyDescent="0.25">
      <c r="A121" s="11">
        <v>51</v>
      </c>
      <c r="B121" s="7">
        <v>32</v>
      </c>
      <c r="C121" s="7">
        <v>47.1</v>
      </c>
      <c r="D121" s="7">
        <v>97.8</v>
      </c>
      <c r="E121" s="2"/>
      <c r="F121" s="2"/>
      <c r="G121" s="2"/>
    </row>
    <row r="122" spans="1:7" ht="13" x14ac:dyDescent="0.25">
      <c r="A122" s="11">
        <v>52</v>
      </c>
      <c r="B122" s="7">
        <v>30.7</v>
      </c>
      <c r="C122" s="7">
        <v>62</v>
      </c>
      <c r="D122" s="7">
        <v>97.9</v>
      </c>
      <c r="E122" s="2"/>
      <c r="F122" s="2"/>
      <c r="G122" s="2"/>
    </row>
    <row r="123" spans="1:7" ht="13" x14ac:dyDescent="0.25">
      <c r="A123" s="11">
        <v>53</v>
      </c>
      <c r="B123" s="7">
        <v>34.4</v>
      </c>
      <c r="C123" s="7">
        <v>51.3</v>
      </c>
      <c r="D123" s="7">
        <v>87.9</v>
      </c>
      <c r="E123" s="2"/>
      <c r="F123" s="2"/>
      <c r="G123" s="2"/>
    </row>
    <row r="124" spans="1:7" ht="13" x14ac:dyDescent="0.25">
      <c r="A124" s="11">
        <v>54</v>
      </c>
      <c r="B124" s="7">
        <v>37.799999999999997</v>
      </c>
      <c r="C124" s="7">
        <v>53</v>
      </c>
      <c r="D124" s="7">
        <v>73.400000000000006</v>
      </c>
      <c r="E124" s="2"/>
      <c r="F124" s="2"/>
      <c r="G124" s="2"/>
    </row>
    <row r="125" spans="1:7" ht="13" x14ac:dyDescent="0.25">
      <c r="A125" s="11">
        <v>55</v>
      </c>
      <c r="B125" s="7">
        <v>34.6</v>
      </c>
      <c r="C125" s="7">
        <v>45.4</v>
      </c>
      <c r="D125" s="7">
        <v>92.5</v>
      </c>
      <c r="E125" s="2"/>
      <c r="F125" s="2"/>
      <c r="G125" s="2"/>
    </row>
    <row r="126" spans="1:7" ht="13" x14ac:dyDescent="0.25">
      <c r="A126" s="11">
        <v>56</v>
      </c>
      <c r="B126" s="7">
        <v>36.5</v>
      </c>
      <c r="C126" s="7">
        <v>55</v>
      </c>
      <c r="D126" s="7">
        <v>108.8</v>
      </c>
      <c r="E126" s="2"/>
      <c r="F126" s="2"/>
      <c r="G126" s="2"/>
    </row>
    <row r="127" spans="1:7" ht="13" x14ac:dyDescent="0.25">
      <c r="A127" s="11">
        <v>57</v>
      </c>
      <c r="B127" s="7">
        <v>31.2</v>
      </c>
      <c r="C127" s="7">
        <v>60.7</v>
      </c>
      <c r="D127" s="7">
        <v>78.2</v>
      </c>
      <c r="E127" s="2"/>
      <c r="F127" s="2"/>
      <c r="G127" s="2"/>
    </row>
    <row r="128" spans="1:7" ht="13" x14ac:dyDescent="0.25">
      <c r="A128" s="11">
        <v>58</v>
      </c>
      <c r="B128" s="7">
        <v>42.7</v>
      </c>
      <c r="C128" s="7">
        <v>59.4</v>
      </c>
      <c r="D128" s="7">
        <v>86.3</v>
      </c>
      <c r="E128" s="2"/>
      <c r="F128" s="2"/>
      <c r="G128" s="2"/>
    </row>
    <row r="129" spans="1:7" ht="13" x14ac:dyDescent="0.25">
      <c r="A129" s="11">
        <v>59</v>
      </c>
      <c r="B129" s="7">
        <v>38.5</v>
      </c>
      <c r="C129" s="7">
        <v>55.5</v>
      </c>
      <c r="D129" s="7">
        <v>85.1</v>
      </c>
      <c r="E129" s="2"/>
      <c r="F129" s="2"/>
      <c r="G129" s="2"/>
    </row>
    <row r="130" spans="1:7" ht="13" x14ac:dyDescent="0.25">
      <c r="A130" s="11">
        <v>60</v>
      </c>
      <c r="B130" s="7">
        <v>24.6</v>
      </c>
      <c r="C130" s="7">
        <v>59.8</v>
      </c>
      <c r="D130" s="7">
        <v>108.7</v>
      </c>
      <c r="E130" s="2"/>
      <c r="F130" s="2"/>
      <c r="G130" s="2"/>
    </row>
    <row r="131" spans="1:7" ht="13" x14ac:dyDescent="0.25">
      <c r="A131" s="11">
        <v>61</v>
      </c>
      <c r="B131" s="7">
        <v>39.200000000000003</v>
      </c>
      <c r="C131" s="7">
        <v>54.1</v>
      </c>
      <c r="D131" s="7">
        <v>110</v>
      </c>
      <c r="E131" s="2"/>
      <c r="F131" s="2"/>
      <c r="G131" s="2"/>
    </row>
    <row r="132" spans="1:7" ht="13" x14ac:dyDescent="0.25">
      <c r="A132" s="11">
        <v>62</v>
      </c>
      <c r="B132" s="7">
        <v>36</v>
      </c>
      <c r="C132" s="7">
        <v>46.9</v>
      </c>
      <c r="D132" s="7">
        <v>82.3</v>
      </c>
      <c r="E132" s="2"/>
      <c r="F132" s="2"/>
      <c r="G132" s="2"/>
    </row>
    <row r="133" spans="1:7" ht="13.5" thickBot="1" x14ac:dyDescent="0.3">
      <c r="A133" s="14">
        <v>63</v>
      </c>
      <c r="B133" s="7">
        <v>27.4</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61.3</v>
      </c>
      <c r="C138" s="13">
        <f>ROUNDDOWN(AVERAGE(E5:G20),1)</f>
        <v>73.7</v>
      </c>
      <c r="D138" s="11">
        <f>'2021.4'!D138</f>
        <v>8438</v>
      </c>
      <c r="E138" s="11">
        <v>15959</v>
      </c>
      <c r="F138" s="11">
        <f>B138*D138</f>
        <v>517249.39999999997</v>
      </c>
      <c r="G138" s="11">
        <f>C138*E138</f>
        <v>1176178.3</v>
      </c>
    </row>
    <row r="139" spans="1:7" ht="13" x14ac:dyDescent="0.25">
      <c r="A139" s="6" t="str">
        <f>A21</f>
        <v>Dongtai Jianggang Farm</v>
      </c>
      <c r="B139" s="13">
        <f>ROUNDDOWN(AVERAGE(B24:D33),1)</f>
        <v>56.2</v>
      </c>
      <c r="C139" s="13">
        <f>ROUNDDOWN(AVERAGE(E24:G52),1)</f>
        <v>73.099999999999994</v>
      </c>
      <c r="D139" s="11">
        <f>'2021.4'!D139</f>
        <v>9440</v>
      </c>
      <c r="E139" s="11">
        <v>29446</v>
      </c>
      <c r="F139" s="11">
        <f t="shared" ref="F139:G141" si="0">B139*D139</f>
        <v>530528</v>
      </c>
      <c r="G139" s="11">
        <f t="shared" si="0"/>
        <v>2152502.5999999996</v>
      </c>
    </row>
    <row r="140" spans="1:7" ht="13" x14ac:dyDescent="0.25">
      <c r="A140" s="6" t="str">
        <f>A53</f>
        <v>Sheyang Linhai Farm</v>
      </c>
      <c r="B140" s="13">
        <f>ROUNDDOWN(AVERAGE(B56:D67),1)</f>
        <v>58.5</v>
      </c>
      <c r="C140" s="13">
        <f>ROUNDDOWN(AVERAGE(E56:G62),1)</f>
        <v>73.5</v>
      </c>
      <c r="D140" s="11">
        <f>'2021.4'!D140</f>
        <v>11825</v>
      </c>
      <c r="E140" s="11">
        <v>6431</v>
      </c>
      <c r="F140" s="11">
        <f t="shared" si="0"/>
        <v>691762.5</v>
      </c>
      <c r="G140" s="11">
        <f t="shared" si="0"/>
        <v>472678.5</v>
      </c>
    </row>
    <row r="141" spans="1:7" ht="13" x14ac:dyDescent="0.25">
      <c r="A141" s="6" t="str">
        <f>A68</f>
        <v>Siyang Nanliuji</v>
      </c>
      <c r="B141" s="13">
        <f>ROUNDDOWN(AVERAGE(B71:D133),1)</f>
        <v>57.7</v>
      </c>
      <c r="C141" s="11">
        <f>ROUNDDOWN(AVERAGE(0),1)</f>
        <v>0</v>
      </c>
      <c r="D141" s="11">
        <f>'2021.4'!D141</f>
        <v>65005</v>
      </c>
      <c r="E141" s="11">
        <v>0</v>
      </c>
      <c r="F141" s="11">
        <f t="shared" si="0"/>
        <v>3750788.5</v>
      </c>
      <c r="G141" s="11">
        <f t="shared" si="0"/>
        <v>0</v>
      </c>
    </row>
    <row r="142" spans="1:7" ht="13" x14ac:dyDescent="0.25">
      <c r="A142" s="613" t="s">
        <v>154</v>
      </c>
      <c r="B142" s="617"/>
      <c r="C142" s="614"/>
      <c r="D142" s="11">
        <f>SUM(D138:D141)</f>
        <v>94708</v>
      </c>
      <c r="E142" s="11">
        <f>SUM(E138:E141)</f>
        <v>51836</v>
      </c>
      <c r="F142" s="11">
        <f>SUM(F138:F141)</f>
        <v>5490328.4000000004</v>
      </c>
      <c r="G142" s="11">
        <f>SUM(G138:G141)</f>
        <v>3801359.3999999994</v>
      </c>
    </row>
    <row r="144" spans="1:7" ht="13" x14ac:dyDescent="0.25">
      <c r="C144" s="613" t="s">
        <v>155</v>
      </c>
      <c r="D144" s="614"/>
    </row>
    <row r="145" spans="3:4" ht="13" x14ac:dyDescent="0.25">
      <c r="C145" s="11" t="s">
        <v>152</v>
      </c>
      <c r="D145" s="11" t="s">
        <v>153</v>
      </c>
    </row>
    <row r="146" spans="3:4" ht="13" x14ac:dyDescent="0.25">
      <c r="C146" s="12">
        <f>ROUNDDOWN(F142/D142,1)</f>
        <v>57.9</v>
      </c>
      <c r="D146" s="12">
        <f>ROUNDDOWN(G142/E142,1)</f>
        <v>73.3</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344"/>
  <sheetViews>
    <sheetView topLeftCell="A304" zoomScale="85" zoomScaleNormal="85" workbookViewId="0">
      <selection activeCell="C327" sqref="C327"/>
    </sheetView>
  </sheetViews>
  <sheetFormatPr defaultRowHeight="13.5" x14ac:dyDescent="0.35"/>
  <cols>
    <col min="1" max="1" width="41.1796875" style="51" bestFit="1" customWidth="1"/>
    <col min="2" max="3" width="15.1796875" style="51" customWidth="1"/>
    <col min="4" max="4" width="31.453125" style="51" customWidth="1"/>
    <col min="5" max="5" width="61.1796875" style="51" customWidth="1"/>
    <col min="6" max="6" width="8.7265625" style="51"/>
    <col min="7" max="7" width="13.7265625" style="51" bestFit="1" customWidth="1"/>
    <col min="8" max="16384" width="8.7265625" style="51"/>
  </cols>
  <sheetData>
    <row r="1" spans="1:6" ht="16" x14ac:dyDescent="0.4">
      <c r="A1" s="237" t="s">
        <v>37</v>
      </c>
      <c r="B1" s="237"/>
      <c r="C1" s="238"/>
    </row>
    <row r="2" spans="1:6" ht="16" x14ac:dyDescent="0.4">
      <c r="A2" s="237"/>
      <c r="B2" s="237"/>
      <c r="C2" s="238"/>
      <c r="D2" s="239"/>
    </row>
    <row r="3" spans="1:6" ht="16" x14ac:dyDescent="0.4">
      <c r="A3" s="237"/>
      <c r="B3" s="237"/>
      <c r="C3" s="238"/>
    </row>
    <row r="4" spans="1:6" x14ac:dyDescent="0.35">
      <c r="A4" s="240" t="s">
        <v>38</v>
      </c>
      <c r="B4" s="238"/>
      <c r="C4" s="238"/>
    </row>
    <row r="5" spans="1:6" x14ac:dyDescent="0.35">
      <c r="A5" s="241"/>
      <c r="B5" s="241"/>
      <c r="C5" s="53"/>
      <c r="D5" s="53"/>
      <c r="E5" s="242"/>
    </row>
    <row r="6" spans="1:6" x14ac:dyDescent="0.35">
      <c r="A6" s="241"/>
      <c r="B6" s="241"/>
      <c r="C6" s="53"/>
      <c r="D6" s="53"/>
      <c r="E6" s="242"/>
    </row>
    <row r="7" spans="1:6" x14ac:dyDescent="0.35">
      <c r="A7" s="241"/>
      <c r="B7" s="241"/>
      <c r="C7" s="53"/>
      <c r="D7" s="53"/>
      <c r="E7" s="242"/>
    </row>
    <row r="8" spans="1:6" ht="14" thickBot="1" x14ac:dyDescent="0.4"/>
    <row r="9" spans="1:6" x14ac:dyDescent="0.35">
      <c r="A9" s="26" t="s">
        <v>3</v>
      </c>
      <c r="B9" s="27" t="s">
        <v>10</v>
      </c>
      <c r="C9" s="27"/>
      <c r="D9" s="27" t="s">
        <v>2</v>
      </c>
      <c r="E9" s="27" t="s">
        <v>4</v>
      </c>
      <c r="F9" s="243"/>
    </row>
    <row r="10" spans="1:6" x14ac:dyDescent="0.35">
      <c r="A10" s="28"/>
      <c r="B10" s="29" t="s">
        <v>79</v>
      </c>
      <c r="C10" s="29" t="s">
        <v>80</v>
      </c>
      <c r="D10" s="29"/>
      <c r="E10" s="30"/>
      <c r="F10" s="243"/>
    </row>
    <row r="11" spans="1:6" ht="15.5" x14ac:dyDescent="0.45">
      <c r="A11" s="31" t="s">
        <v>161</v>
      </c>
      <c r="B11" s="32">
        <v>28</v>
      </c>
      <c r="C11" s="32">
        <v>28</v>
      </c>
      <c r="D11" s="33" t="s">
        <v>162</v>
      </c>
      <c r="E11" s="34" t="s">
        <v>121</v>
      </c>
      <c r="F11" s="243"/>
    </row>
    <row r="12" spans="1:6" ht="16.5" x14ac:dyDescent="0.45">
      <c r="A12" s="31" t="s">
        <v>163</v>
      </c>
      <c r="B12" s="32">
        <v>6.7000000000000002E-4</v>
      </c>
      <c r="C12" s="32">
        <v>6.7000000000000002E-4</v>
      </c>
      <c r="D12" s="33" t="s">
        <v>164</v>
      </c>
      <c r="E12" s="34" t="s">
        <v>382</v>
      </c>
      <c r="F12" s="243"/>
    </row>
    <row r="13" spans="1:6" ht="15.5" x14ac:dyDescent="0.45">
      <c r="A13" s="618" t="s">
        <v>165</v>
      </c>
      <c r="B13" s="619">
        <f>74%*0.94</f>
        <v>0.6956</v>
      </c>
      <c r="C13" s="619">
        <f>B13</f>
        <v>0.6956</v>
      </c>
      <c r="D13" s="33" t="s">
        <v>1</v>
      </c>
      <c r="E13" s="34" t="s">
        <v>129</v>
      </c>
      <c r="F13" s="244"/>
    </row>
    <row r="14" spans="1:6" ht="16.5" x14ac:dyDescent="0.45">
      <c r="A14" s="31" t="s">
        <v>166</v>
      </c>
      <c r="B14" s="32">
        <v>0.28999999999999998</v>
      </c>
      <c r="C14" s="32">
        <v>0.28999999999999998</v>
      </c>
      <c r="D14" s="33" t="s">
        <v>167</v>
      </c>
      <c r="E14" s="34" t="s">
        <v>54</v>
      </c>
      <c r="F14" s="243"/>
    </row>
    <row r="15" spans="1:6" ht="15" customHeight="1" x14ac:dyDescent="0.35">
      <c r="A15" s="31" t="s">
        <v>168</v>
      </c>
      <c r="B15" s="38"/>
      <c r="C15" s="38"/>
      <c r="D15" s="446" t="s">
        <v>72</v>
      </c>
      <c r="E15" s="449" t="s">
        <v>384</v>
      </c>
      <c r="F15" s="243"/>
    </row>
    <row r="16" spans="1:6" ht="15" customHeight="1" x14ac:dyDescent="0.35">
      <c r="A16" s="47" t="str">
        <f>'monitoring results'!A36</f>
        <v>10-June-2020 to 30-June-2020</v>
      </c>
      <c r="B16" s="38">
        <f>'monitoring results'!B6</f>
        <v>94708</v>
      </c>
      <c r="C16" s="38">
        <f>'monitoring results'!C6</f>
        <v>51811</v>
      </c>
      <c r="D16" s="447"/>
      <c r="E16" s="450"/>
      <c r="F16" s="243"/>
    </row>
    <row r="17" spans="1:6" ht="15" customHeight="1" x14ac:dyDescent="0.35">
      <c r="A17" s="47" t="str">
        <f>'monitoring results'!A37</f>
        <v>01-July-2020 to 31-July-2020</v>
      </c>
      <c r="B17" s="38">
        <f>'monitoring results'!B7</f>
        <v>94708</v>
      </c>
      <c r="C17" s="38">
        <f>'monitoring results'!C7</f>
        <v>51845</v>
      </c>
      <c r="D17" s="447"/>
      <c r="E17" s="450"/>
      <c r="F17" s="243"/>
    </row>
    <row r="18" spans="1:6" ht="15" customHeight="1" x14ac:dyDescent="0.35">
      <c r="A18" s="47" t="str">
        <f>'monitoring results'!A38</f>
        <v>01-August-2020 to 31-August-2020</v>
      </c>
      <c r="B18" s="38">
        <f>'monitoring results'!B8</f>
        <v>94708</v>
      </c>
      <c r="C18" s="38">
        <f>'monitoring results'!C8</f>
        <v>51842</v>
      </c>
      <c r="D18" s="447"/>
      <c r="E18" s="450"/>
      <c r="F18" s="243"/>
    </row>
    <row r="19" spans="1:6" ht="15" customHeight="1" x14ac:dyDescent="0.35">
      <c r="A19" s="47" t="str">
        <f>'monitoring results'!A39</f>
        <v>01-September-2020 to 30-September-2020</v>
      </c>
      <c r="B19" s="38">
        <f>'monitoring results'!B9</f>
        <v>94708</v>
      </c>
      <c r="C19" s="38">
        <f>'monitoring results'!C9</f>
        <v>51855</v>
      </c>
      <c r="D19" s="447"/>
      <c r="E19" s="450"/>
      <c r="F19" s="243"/>
    </row>
    <row r="20" spans="1:6" ht="15" customHeight="1" x14ac:dyDescent="0.35">
      <c r="A20" s="47" t="str">
        <f>'monitoring results'!A40</f>
        <v>01-October-2020 to 31-October-2020</v>
      </c>
      <c r="B20" s="38">
        <f>'monitoring results'!B10</f>
        <v>94708</v>
      </c>
      <c r="C20" s="38">
        <f>'monitoring results'!C10</f>
        <v>51808</v>
      </c>
      <c r="D20" s="447"/>
      <c r="E20" s="450"/>
      <c r="F20" s="243"/>
    </row>
    <row r="21" spans="1:6" ht="15" customHeight="1" x14ac:dyDescent="0.35">
      <c r="A21" s="47" t="str">
        <f>'monitoring results'!A41</f>
        <v>01-November-2020 to 30-November-2020</v>
      </c>
      <c r="B21" s="38">
        <f>'monitoring results'!B11</f>
        <v>94708</v>
      </c>
      <c r="C21" s="38">
        <f>'monitoring results'!C11</f>
        <v>51858</v>
      </c>
      <c r="D21" s="447"/>
      <c r="E21" s="450"/>
      <c r="F21" s="243"/>
    </row>
    <row r="22" spans="1:6" ht="15" customHeight="1" x14ac:dyDescent="0.35">
      <c r="A22" s="47" t="str">
        <f>'monitoring results'!A42</f>
        <v>01-December-2020 to 31-December-2020</v>
      </c>
      <c r="B22" s="38">
        <f>'monitoring results'!B12</f>
        <v>94708</v>
      </c>
      <c r="C22" s="38">
        <f>'monitoring results'!C12</f>
        <v>51872</v>
      </c>
      <c r="D22" s="447"/>
      <c r="E22" s="450"/>
      <c r="F22" s="243"/>
    </row>
    <row r="23" spans="1:6" ht="15" customHeight="1" x14ac:dyDescent="0.35">
      <c r="A23" s="47" t="str">
        <f>'monitoring results'!A43</f>
        <v>01-January-2021 to 31-January-2021</v>
      </c>
      <c r="B23" s="38">
        <f>'monitoring results'!B13</f>
        <v>94708</v>
      </c>
      <c r="C23" s="38">
        <f>'monitoring results'!C13</f>
        <v>51865</v>
      </c>
      <c r="D23" s="447"/>
      <c r="E23" s="450"/>
      <c r="F23" s="243"/>
    </row>
    <row r="24" spans="1:6" ht="15" customHeight="1" x14ac:dyDescent="0.35">
      <c r="A24" s="47" t="str">
        <f>'monitoring results'!A44</f>
        <v>01-February-2021 to 28-February-2021</v>
      </c>
      <c r="B24" s="38">
        <f>'monitoring results'!B14</f>
        <v>94708</v>
      </c>
      <c r="C24" s="38">
        <f>'monitoring results'!C14</f>
        <v>51889</v>
      </c>
      <c r="D24" s="447"/>
      <c r="E24" s="450"/>
      <c r="F24" s="243"/>
    </row>
    <row r="25" spans="1:6" ht="15" customHeight="1" x14ac:dyDescent="0.35">
      <c r="A25" s="47" t="str">
        <f>'monitoring results'!A45</f>
        <v>01-March-2021 to 31-March-2021</v>
      </c>
      <c r="B25" s="38">
        <f>'monitoring results'!B15</f>
        <v>94708</v>
      </c>
      <c r="C25" s="38">
        <f>'monitoring results'!C15</f>
        <v>51838</v>
      </c>
      <c r="D25" s="447"/>
      <c r="E25" s="450"/>
      <c r="F25" s="243"/>
    </row>
    <row r="26" spans="1:6" ht="15" customHeight="1" x14ac:dyDescent="0.35">
      <c r="A26" s="47" t="str">
        <f>'monitoring results'!A46</f>
        <v>01-April-2021 to 30-April-2021</v>
      </c>
      <c r="B26" s="38">
        <f>'monitoring results'!B16</f>
        <v>94708</v>
      </c>
      <c r="C26" s="38">
        <f>'monitoring results'!C16</f>
        <v>51829</v>
      </c>
      <c r="D26" s="447"/>
      <c r="E26" s="450"/>
      <c r="F26" s="243"/>
    </row>
    <row r="27" spans="1:6" ht="15" customHeight="1" x14ac:dyDescent="0.35">
      <c r="A27" s="47" t="str">
        <f>'monitoring results'!A47</f>
        <v>01-May-2021 to 31-May-2021</v>
      </c>
      <c r="B27" s="38">
        <f>'monitoring results'!B17</f>
        <v>94708</v>
      </c>
      <c r="C27" s="38">
        <f>'monitoring results'!C17</f>
        <v>51836</v>
      </c>
      <c r="D27" s="447"/>
      <c r="E27" s="450"/>
      <c r="F27" s="243"/>
    </row>
    <row r="28" spans="1:6" ht="15" customHeight="1" x14ac:dyDescent="0.35">
      <c r="A28" s="47" t="str">
        <f>'monitoring results'!A48</f>
        <v>01-June-2021 to 30-June-2021</v>
      </c>
      <c r="B28" s="38">
        <f>'monitoring results'!B18</f>
        <v>94708</v>
      </c>
      <c r="C28" s="38">
        <f>'monitoring results'!C18</f>
        <v>51849</v>
      </c>
      <c r="D28" s="447"/>
      <c r="E28" s="450"/>
      <c r="F28" s="243"/>
    </row>
    <row r="29" spans="1:6" ht="15" customHeight="1" x14ac:dyDescent="0.35">
      <c r="A29" s="47" t="str">
        <f>'monitoring results'!A49</f>
        <v>01-July-2021 to 31-July-2021</v>
      </c>
      <c r="B29" s="38">
        <f>'monitoring results'!B19</f>
        <v>94708</v>
      </c>
      <c r="C29" s="38">
        <f>'monitoring results'!C19</f>
        <v>51854</v>
      </c>
      <c r="D29" s="447"/>
      <c r="E29" s="450"/>
      <c r="F29" s="243"/>
    </row>
    <row r="30" spans="1:6" ht="15" customHeight="1" x14ac:dyDescent="0.35">
      <c r="A30" s="47" t="str">
        <f>'monitoring results'!A50</f>
        <v>01-August-2021 to 31-August-2021</v>
      </c>
      <c r="B30" s="38">
        <f>'monitoring results'!B20</f>
        <v>94708</v>
      </c>
      <c r="C30" s="38">
        <f>'monitoring results'!C20</f>
        <v>51815</v>
      </c>
      <c r="D30" s="447"/>
      <c r="E30" s="450"/>
      <c r="F30" s="243"/>
    </row>
    <row r="31" spans="1:6" ht="15" customHeight="1" x14ac:dyDescent="0.35">
      <c r="A31" s="47" t="str">
        <f>'monitoring results'!A51</f>
        <v>01-September-2021 to 30-September-2021</v>
      </c>
      <c r="B31" s="38">
        <f>'monitoring results'!B21</f>
        <v>94708</v>
      </c>
      <c r="C31" s="38">
        <f>'monitoring results'!C21</f>
        <v>51900</v>
      </c>
      <c r="D31" s="447"/>
      <c r="E31" s="450"/>
      <c r="F31" s="243"/>
    </row>
    <row r="32" spans="1:6" ht="15" customHeight="1" x14ac:dyDescent="0.35">
      <c r="A32" s="47" t="str">
        <f>'monitoring results'!A52</f>
        <v>01-October-2021 to 31-October-2021</v>
      </c>
      <c r="B32" s="38">
        <f>'monitoring results'!B22</f>
        <v>94708</v>
      </c>
      <c r="C32" s="38">
        <f>'monitoring results'!C22</f>
        <v>51859</v>
      </c>
      <c r="D32" s="447"/>
      <c r="E32" s="450"/>
      <c r="F32" s="243"/>
    </row>
    <row r="33" spans="1:6" ht="15" customHeight="1" x14ac:dyDescent="0.35">
      <c r="A33" s="47" t="str">
        <f>'monitoring results'!A53</f>
        <v>01-November-2021 to 30-November-2021</v>
      </c>
      <c r="B33" s="38">
        <f>'monitoring results'!B23</f>
        <v>94708</v>
      </c>
      <c r="C33" s="38">
        <f>'monitoring results'!C23</f>
        <v>51827</v>
      </c>
      <c r="D33" s="447"/>
      <c r="E33" s="450"/>
      <c r="F33" s="243"/>
    </row>
    <row r="34" spans="1:6" ht="15" customHeight="1" x14ac:dyDescent="0.35">
      <c r="A34" s="47" t="str">
        <f>'monitoring results'!A54</f>
        <v>01-December-2021 to 31-December-2021</v>
      </c>
      <c r="B34" s="38">
        <f>'monitoring results'!B24</f>
        <v>94708</v>
      </c>
      <c r="C34" s="38">
        <f>'monitoring results'!C24</f>
        <v>51854</v>
      </c>
      <c r="D34" s="448"/>
      <c r="E34" s="451"/>
      <c r="F34" s="243"/>
    </row>
    <row r="35" spans="1:6" ht="15" customHeight="1" x14ac:dyDescent="0.35">
      <c r="A35" s="40" t="s">
        <v>169</v>
      </c>
      <c r="B35" s="41"/>
      <c r="C35" s="41"/>
      <c r="D35" s="455" t="s">
        <v>98</v>
      </c>
      <c r="E35" s="444" t="s">
        <v>97</v>
      </c>
      <c r="F35" s="243"/>
    </row>
    <row r="36" spans="1:6" ht="15" customHeight="1" x14ac:dyDescent="0.35">
      <c r="A36" s="235" t="str">
        <f t="shared" ref="A36:A54" si="0">A16</f>
        <v>10-June-2020 to 30-June-2020</v>
      </c>
      <c r="B36" s="41">
        <f>'monitoring results'!D6</f>
        <v>58</v>
      </c>
      <c r="C36" s="41">
        <f>'monitoring results'!E6</f>
        <v>72.099999999999994</v>
      </c>
      <c r="D36" s="455"/>
      <c r="E36" s="444"/>
      <c r="F36" s="243"/>
    </row>
    <row r="37" spans="1:6" ht="15" customHeight="1" x14ac:dyDescent="0.35">
      <c r="A37" s="235" t="str">
        <f t="shared" si="0"/>
        <v>01-July-2020 to 31-July-2020</v>
      </c>
      <c r="B37" s="41">
        <f>'monitoring results'!D7</f>
        <v>57.7</v>
      </c>
      <c r="C37" s="41">
        <f>'monitoring results'!E7</f>
        <v>71.400000000000006</v>
      </c>
      <c r="D37" s="455"/>
      <c r="E37" s="444"/>
      <c r="F37" s="243"/>
    </row>
    <row r="38" spans="1:6" ht="15" customHeight="1" x14ac:dyDescent="0.35">
      <c r="A38" s="235" t="str">
        <f t="shared" si="0"/>
        <v>01-August-2020 to 31-August-2020</v>
      </c>
      <c r="B38" s="41">
        <f>'monitoring results'!D8</f>
        <v>57.4</v>
      </c>
      <c r="C38" s="41">
        <f>'monitoring results'!E8</f>
        <v>73.099999999999994</v>
      </c>
      <c r="D38" s="455"/>
      <c r="E38" s="444"/>
      <c r="F38" s="243"/>
    </row>
    <row r="39" spans="1:6" ht="15" customHeight="1" x14ac:dyDescent="0.35">
      <c r="A39" s="235" t="str">
        <f t="shared" si="0"/>
        <v>01-September-2020 to 30-September-2020</v>
      </c>
      <c r="B39" s="41">
        <f>'monitoring results'!D9</f>
        <v>59</v>
      </c>
      <c r="C39" s="41">
        <f>'monitoring results'!E9</f>
        <v>72.2</v>
      </c>
      <c r="D39" s="455"/>
      <c r="E39" s="444"/>
      <c r="F39" s="243"/>
    </row>
    <row r="40" spans="1:6" ht="15" customHeight="1" x14ac:dyDescent="0.35">
      <c r="A40" s="235" t="str">
        <f t="shared" si="0"/>
        <v>01-October-2020 to 31-October-2020</v>
      </c>
      <c r="B40" s="41">
        <f>'monitoring results'!D10</f>
        <v>58.7</v>
      </c>
      <c r="C40" s="41">
        <f>'monitoring results'!E10</f>
        <v>71.7</v>
      </c>
      <c r="D40" s="455"/>
      <c r="E40" s="444"/>
      <c r="F40" s="243"/>
    </row>
    <row r="41" spans="1:6" ht="15" customHeight="1" x14ac:dyDescent="0.35">
      <c r="A41" s="235" t="str">
        <f t="shared" si="0"/>
        <v>01-November-2020 to 30-November-2020</v>
      </c>
      <c r="B41" s="41">
        <f>'monitoring results'!D11</f>
        <v>58.7</v>
      </c>
      <c r="C41" s="41">
        <f>'monitoring results'!E11</f>
        <v>73.2</v>
      </c>
      <c r="D41" s="455"/>
      <c r="E41" s="444"/>
      <c r="F41" s="243"/>
    </row>
    <row r="42" spans="1:6" ht="15" customHeight="1" x14ac:dyDescent="0.35">
      <c r="A42" s="235" t="str">
        <f t="shared" si="0"/>
        <v>01-December-2020 to 31-December-2020</v>
      </c>
      <c r="B42" s="41">
        <f>'monitoring results'!D12</f>
        <v>57.8</v>
      </c>
      <c r="C42" s="41">
        <f>'monitoring results'!E12</f>
        <v>74.2</v>
      </c>
      <c r="D42" s="455"/>
      <c r="E42" s="444"/>
      <c r="F42" s="243"/>
    </row>
    <row r="43" spans="1:6" ht="15" customHeight="1" x14ac:dyDescent="0.35">
      <c r="A43" s="235" t="str">
        <f t="shared" si="0"/>
        <v>01-January-2021 to 31-January-2021</v>
      </c>
      <c r="B43" s="41">
        <f>'monitoring results'!D13</f>
        <v>59.1</v>
      </c>
      <c r="C43" s="41">
        <f>'monitoring results'!E13</f>
        <v>72</v>
      </c>
      <c r="D43" s="455"/>
      <c r="E43" s="444"/>
      <c r="F43" s="243"/>
    </row>
    <row r="44" spans="1:6" ht="15" customHeight="1" x14ac:dyDescent="0.35">
      <c r="A44" s="235" t="str">
        <f t="shared" si="0"/>
        <v>01-February-2021 to 28-February-2021</v>
      </c>
      <c r="B44" s="41">
        <f>'monitoring results'!D14</f>
        <v>58.9</v>
      </c>
      <c r="C44" s="41">
        <f>'monitoring results'!E14</f>
        <v>72.599999999999994</v>
      </c>
      <c r="D44" s="455"/>
      <c r="E44" s="444"/>
      <c r="F44" s="243"/>
    </row>
    <row r="45" spans="1:6" ht="15" customHeight="1" x14ac:dyDescent="0.35">
      <c r="A45" s="235" t="str">
        <f t="shared" si="0"/>
        <v>01-March-2021 to 31-March-2021</v>
      </c>
      <c r="B45" s="41">
        <f>'monitoring results'!D15</f>
        <v>57.7</v>
      </c>
      <c r="C45" s="41">
        <f>'monitoring results'!E15</f>
        <v>72.7</v>
      </c>
      <c r="D45" s="455"/>
      <c r="E45" s="444"/>
      <c r="F45" s="243"/>
    </row>
    <row r="46" spans="1:6" ht="15" customHeight="1" x14ac:dyDescent="0.35">
      <c r="A46" s="235" t="str">
        <f t="shared" si="0"/>
        <v>01-April-2021 to 30-April-2021</v>
      </c>
      <c r="B46" s="41">
        <f>'monitoring results'!D16</f>
        <v>56.7</v>
      </c>
      <c r="C46" s="41">
        <f>'monitoring results'!E16</f>
        <v>73.599999999999994</v>
      </c>
      <c r="D46" s="455"/>
      <c r="E46" s="444"/>
      <c r="F46" s="243"/>
    </row>
    <row r="47" spans="1:6" ht="15" customHeight="1" x14ac:dyDescent="0.35">
      <c r="A47" s="235" t="str">
        <f t="shared" si="0"/>
        <v>01-May-2021 to 31-May-2021</v>
      </c>
      <c r="B47" s="41">
        <f>'monitoring results'!D17</f>
        <v>57.9</v>
      </c>
      <c r="C47" s="41">
        <f>'monitoring results'!E17</f>
        <v>73.3</v>
      </c>
      <c r="D47" s="455"/>
      <c r="E47" s="444"/>
      <c r="F47" s="243"/>
    </row>
    <row r="48" spans="1:6" ht="15" customHeight="1" x14ac:dyDescent="0.35">
      <c r="A48" s="235" t="str">
        <f t="shared" si="0"/>
        <v>01-June-2021 to 30-June-2021</v>
      </c>
      <c r="B48" s="41">
        <f>'monitoring results'!D18</f>
        <v>57.5</v>
      </c>
      <c r="C48" s="41">
        <f>'monitoring results'!E18</f>
        <v>71.599999999999994</v>
      </c>
      <c r="D48" s="455"/>
      <c r="E48" s="444"/>
      <c r="F48" s="243"/>
    </row>
    <row r="49" spans="1:6" ht="15" customHeight="1" x14ac:dyDescent="0.35">
      <c r="A49" s="235" t="str">
        <f t="shared" si="0"/>
        <v>01-July-2021 to 31-July-2021</v>
      </c>
      <c r="B49" s="41">
        <f>'monitoring results'!D19</f>
        <v>57.8</v>
      </c>
      <c r="C49" s="41">
        <f>'monitoring results'!E19</f>
        <v>72</v>
      </c>
      <c r="D49" s="455"/>
      <c r="E49" s="444"/>
      <c r="F49" s="243"/>
    </row>
    <row r="50" spans="1:6" ht="15" customHeight="1" x14ac:dyDescent="0.35">
      <c r="A50" s="235" t="str">
        <f t="shared" si="0"/>
        <v>01-August-2021 to 31-August-2021</v>
      </c>
      <c r="B50" s="41">
        <f>'monitoring results'!D20</f>
        <v>58.1</v>
      </c>
      <c r="C50" s="41">
        <f>'monitoring results'!E20</f>
        <v>72.099999999999994</v>
      </c>
      <c r="D50" s="455"/>
      <c r="E50" s="444"/>
      <c r="F50" s="243"/>
    </row>
    <row r="51" spans="1:6" ht="15" customHeight="1" x14ac:dyDescent="0.35">
      <c r="A51" s="235" t="str">
        <f t="shared" si="0"/>
        <v>01-September-2021 to 30-September-2021</v>
      </c>
      <c r="B51" s="41">
        <f>'monitoring results'!D21</f>
        <v>59.1</v>
      </c>
      <c r="C51" s="41">
        <f>'monitoring results'!E21</f>
        <v>72.3</v>
      </c>
      <c r="D51" s="455"/>
      <c r="E51" s="444"/>
      <c r="F51" s="243"/>
    </row>
    <row r="52" spans="1:6" ht="15" customHeight="1" x14ac:dyDescent="0.35">
      <c r="A52" s="235" t="str">
        <f t="shared" si="0"/>
        <v>01-October-2021 to 31-October-2021</v>
      </c>
      <c r="B52" s="41">
        <f>'monitoring results'!D22</f>
        <v>58.4</v>
      </c>
      <c r="C52" s="41">
        <f>'monitoring results'!E22</f>
        <v>73.3</v>
      </c>
      <c r="D52" s="455"/>
      <c r="E52" s="444"/>
      <c r="F52" s="243"/>
    </row>
    <row r="53" spans="1:6" ht="15" customHeight="1" x14ac:dyDescent="0.35">
      <c r="A53" s="235" t="str">
        <f t="shared" si="0"/>
        <v>01-November-2021 to 30-November-2021</v>
      </c>
      <c r="B53" s="41">
        <f>'monitoring results'!D23</f>
        <v>57.8</v>
      </c>
      <c r="C53" s="41">
        <f>'monitoring results'!E23</f>
        <v>72.5</v>
      </c>
      <c r="D53" s="455"/>
      <c r="E53" s="444"/>
      <c r="F53" s="243"/>
    </row>
    <row r="54" spans="1:6" ht="15" customHeight="1" x14ac:dyDescent="0.35">
      <c r="A54" s="235" t="str">
        <f t="shared" si="0"/>
        <v>01-December-2021 to 31-December-2021</v>
      </c>
      <c r="B54" s="41">
        <f>'monitoring results'!D24</f>
        <v>58.1</v>
      </c>
      <c r="C54" s="41">
        <f>'monitoring results'!E24</f>
        <v>72</v>
      </c>
      <c r="D54" s="455"/>
      <c r="E54" s="444"/>
      <c r="F54" s="243"/>
    </row>
    <row r="55" spans="1:6" ht="15" customHeight="1" x14ac:dyDescent="0.45">
      <c r="A55" s="31" t="s">
        <v>170</v>
      </c>
      <c r="B55" s="38">
        <f>B178</f>
        <v>28</v>
      </c>
      <c r="C55" s="38">
        <f>C178</f>
        <v>28</v>
      </c>
      <c r="D55" s="33" t="s">
        <v>98</v>
      </c>
      <c r="E55" s="34" t="s">
        <v>54</v>
      </c>
      <c r="F55" s="243"/>
    </row>
    <row r="56" spans="1:6" x14ac:dyDescent="0.35">
      <c r="A56" s="42" t="s">
        <v>171</v>
      </c>
      <c r="B56" s="43">
        <v>0.3</v>
      </c>
      <c r="C56" s="43">
        <v>0.3</v>
      </c>
      <c r="D56" s="33" t="s">
        <v>6</v>
      </c>
      <c r="E56" s="34" t="str">
        <f>E14</f>
        <v>2006 IPCC guideline, volume 4, chapter 10, tbl. 10A-7</v>
      </c>
      <c r="F56" s="243"/>
    </row>
    <row r="57" spans="1:6" ht="20.5" customHeight="1" x14ac:dyDescent="0.35">
      <c r="A57" s="42" t="s">
        <v>172</v>
      </c>
      <c r="B57" s="44"/>
      <c r="C57" s="44"/>
      <c r="D57" s="33"/>
      <c r="E57" s="464" t="s">
        <v>99</v>
      </c>
      <c r="F57" s="243"/>
    </row>
    <row r="58" spans="1:6" x14ac:dyDescent="0.35">
      <c r="A58" s="235" t="str">
        <f t="shared" ref="A58:A76" si="1">A36</f>
        <v>10-June-2020 to 30-June-2020</v>
      </c>
      <c r="B58" s="44">
        <f t="shared" ref="B58:C76" si="2">(B36/$B$55)*$B$56*B79</f>
        <v>18.642857142857142</v>
      </c>
      <c r="C58" s="44">
        <f t="shared" si="2"/>
        <v>23.174999999999997</v>
      </c>
      <c r="D58" s="447"/>
      <c r="E58" s="465"/>
      <c r="F58" s="243"/>
    </row>
    <row r="59" spans="1:6" x14ac:dyDescent="0.35">
      <c r="A59" s="235" t="str">
        <f t="shared" si="1"/>
        <v>01-July-2020 to 31-July-2020</v>
      </c>
      <c r="B59" s="44">
        <f t="shared" si="2"/>
        <v>19.164642857142859</v>
      </c>
      <c r="C59" s="44">
        <f t="shared" si="2"/>
        <v>23.715</v>
      </c>
      <c r="D59" s="447"/>
      <c r="E59" s="465"/>
      <c r="F59" s="243"/>
    </row>
    <row r="60" spans="1:6" x14ac:dyDescent="0.35">
      <c r="A60" s="235" t="str">
        <f t="shared" si="1"/>
        <v>01-August-2020 to 31-August-2020</v>
      </c>
      <c r="B60" s="44">
        <f t="shared" si="2"/>
        <v>19.064999999999998</v>
      </c>
      <c r="C60" s="44">
        <f t="shared" si="2"/>
        <v>24.27964285714285</v>
      </c>
      <c r="D60" s="447"/>
      <c r="E60" s="465"/>
      <c r="F60" s="243"/>
    </row>
    <row r="61" spans="1:6" x14ac:dyDescent="0.35">
      <c r="A61" s="235" t="str">
        <f t="shared" si="1"/>
        <v>01-September-2020 to 30-September-2020</v>
      </c>
      <c r="B61" s="44">
        <f t="shared" si="2"/>
        <v>18.964285714285715</v>
      </c>
      <c r="C61" s="44">
        <f t="shared" si="2"/>
        <v>23.207142857142856</v>
      </c>
      <c r="D61" s="447"/>
      <c r="E61" s="465"/>
      <c r="F61" s="243"/>
    </row>
    <row r="62" spans="1:6" x14ac:dyDescent="0.35">
      <c r="A62" s="235" t="str">
        <f t="shared" si="1"/>
        <v>01-October-2020 to 31-October-2020</v>
      </c>
      <c r="B62" s="44">
        <f t="shared" si="2"/>
        <v>19.496785714285714</v>
      </c>
      <c r="C62" s="44">
        <f t="shared" si="2"/>
        <v>23.814642857142857</v>
      </c>
      <c r="D62" s="447"/>
      <c r="E62" s="465"/>
      <c r="F62" s="243"/>
    </row>
    <row r="63" spans="1:6" x14ac:dyDescent="0.35">
      <c r="A63" s="235" t="str">
        <f t="shared" si="1"/>
        <v>01-November-2020 to 30-November-2020</v>
      </c>
      <c r="B63" s="44">
        <f t="shared" si="2"/>
        <v>18.86785714285714</v>
      </c>
      <c r="C63" s="44">
        <f t="shared" si="2"/>
        <v>23.528571428571428</v>
      </c>
      <c r="D63" s="447"/>
      <c r="E63" s="465"/>
      <c r="F63" s="243"/>
    </row>
    <row r="64" spans="1:6" x14ac:dyDescent="0.35">
      <c r="A64" s="235" t="str">
        <f t="shared" si="1"/>
        <v>01-December-2020 to 31-December-2020</v>
      </c>
      <c r="B64" s="44">
        <f t="shared" si="2"/>
        <v>19.197857142857142</v>
      </c>
      <c r="C64" s="44">
        <f t="shared" si="2"/>
        <v>24.644999999999996</v>
      </c>
      <c r="D64" s="447"/>
      <c r="E64" s="465"/>
      <c r="F64" s="243"/>
    </row>
    <row r="65" spans="1:7" x14ac:dyDescent="0.35">
      <c r="A65" s="235" t="str">
        <f t="shared" si="1"/>
        <v>01-January-2021 to 31-January-2021</v>
      </c>
      <c r="B65" s="44">
        <f t="shared" si="2"/>
        <v>19.629642857142859</v>
      </c>
      <c r="C65" s="44">
        <f t="shared" si="2"/>
        <v>23.914285714285715</v>
      </c>
      <c r="D65" s="447"/>
      <c r="E65" s="465"/>
      <c r="F65" s="243"/>
    </row>
    <row r="66" spans="1:7" x14ac:dyDescent="0.35">
      <c r="A66" s="235" t="str">
        <f t="shared" si="1"/>
        <v>01-February-2021 to 28-February-2021</v>
      </c>
      <c r="B66" s="44">
        <f t="shared" si="2"/>
        <v>17.670000000000002</v>
      </c>
      <c r="C66" s="44">
        <f t="shared" si="2"/>
        <v>21.779999999999994</v>
      </c>
      <c r="D66" s="447"/>
      <c r="E66" s="465"/>
      <c r="F66" s="243"/>
      <c r="G66" s="61"/>
    </row>
    <row r="67" spans="1:7" x14ac:dyDescent="0.35">
      <c r="A67" s="235" t="str">
        <f t="shared" si="1"/>
        <v>01-March-2021 to 31-March-2021</v>
      </c>
      <c r="B67" s="44">
        <f t="shared" si="2"/>
        <v>19.164642857142859</v>
      </c>
      <c r="C67" s="44">
        <f t="shared" si="2"/>
        <v>24.146785714285713</v>
      </c>
      <c r="D67" s="447"/>
      <c r="E67" s="465"/>
      <c r="F67" s="243"/>
      <c r="G67" s="61"/>
    </row>
    <row r="68" spans="1:7" x14ac:dyDescent="0.35">
      <c r="A68" s="235" t="str">
        <f t="shared" si="1"/>
        <v>01-April-2021 to 30-April-2021</v>
      </c>
      <c r="B68" s="44">
        <f t="shared" si="2"/>
        <v>18.224999999999998</v>
      </c>
      <c r="C68" s="44">
        <f t="shared" si="2"/>
        <v>23.657142857142858</v>
      </c>
      <c r="D68" s="447"/>
      <c r="E68" s="465"/>
      <c r="F68" s="243"/>
    </row>
    <row r="69" spans="1:7" x14ac:dyDescent="0.35">
      <c r="A69" s="235" t="str">
        <f t="shared" si="1"/>
        <v>01-May-2021 to 31-May-2021</v>
      </c>
      <c r="B69" s="44">
        <f t="shared" si="2"/>
        <v>19.231071428571425</v>
      </c>
      <c r="C69" s="44">
        <f t="shared" si="2"/>
        <v>24.346071428571427</v>
      </c>
      <c r="D69" s="447"/>
      <c r="E69" s="465"/>
      <c r="F69" s="243"/>
    </row>
    <row r="70" spans="1:7" x14ac:dyDescent="0.35">
      <c r="A70" s="235" t="str">
        <f t="shared" si="1"/>
        <v>01-June-2021 to 30-June-2021</v>
      </c>
      <c r="B70" s="44">
        <f t="shared" si="2"/>
        <v>18.482142857142854</v>
      </c>
      <c r="C70" s="44">
        <f t="shared" si="2"/>
        <v>23.014285714285709</v>
      </c>
      <c r="D70" s="447"/>
      <c r="E70" s="465"/>
      <c r="F70" s="243"/>
    </row>
    <row r="71" spans="1:7" x14ac:dyDescent="0.35">
      <c r="A71" s="235" t="str">
        <f t="shared" si="1"/>
        <v>01-July-2021 to 31-July-2021</v>
      </c>
      <c r="B71" s="44">
        <f t="shared" si="2"/>
        <v>19.197857142857142</v>
      </c>
      <c r="C71" s="44">
        <f t="shared" si="2"/>
        <v>23.914285714285715</v>
      </c>
      <c r="D71" s="447"/>
      <c r="E71" s="465"/>
      <c r="F71" s="243"/>
    </row>
    <row r="72" spans="1:7" x14ac:dyDescent="0.35">
      <c r="A72" s="235" t="str">
        <f t="shared" si="1"/>
        <v>01-August-2021 to 31-August-2021</v>
      </c>
      <c r="B72" s="44">
        <f t="shared" si="2"/>
        <v>19.297500000000003</v>
      </c>
      <c r="C72" s="44">
        <f t="shared" si="2"/>
        <v>23.947499999999994</v>
      </c>
      <c r="D72" s="447"/>
      <c r="E72" s="465"/>
      <c r="F72" s="243"/>
    </row>
    <row r="73" spans="1:7" x14ac:dyDescent="0.35">
      <c r="A73" s="235" t="str">
        <f t="shared" si="1"/>
        <v>01-September-2021 to 30-September-2021</v>
      </c>
      <c r="B73" s="44">
        <f t="shared" si="2"/>
        <v>18.996428571428574</v>
      </c>
      <c r="C73" s="44">
        <f t="shared" si="2"/>
        <v>23.239285714285714</v>
      </c>
      <c r="D73" s="447"/>
      <c r="E73" s="465"/>
      <c r="F73" s="243"/>
    </row>
    <row r="74" spans="1:7" x14ac:dyDescent="0.35">
      <c r="A74" s="235" t="str">
        <f t="shared" si="1"/>
        <v>01-October-2021 to 31-October-2021</v>
      </c>
      <c r="B74" s="44">
        <f t="shared" si="2"/>
        <v>19.39714285714286</v>
      </c>
      <c r="C74" s="44">
        <f t="shared" si="2"/>
        <v>24.346071428571427</v>
      </c>
      <c r="D74" s="447"/>
      <c r="E74" s="465"/>
      <c r="F74" s="243"/>
    </row>
    <row r="75" spans="1:7" x14ac:dyDescent="0.35">
      <c r="A75" s="235" t="str">
        <f t="shared" si="1"/>
        <v>01-November-2021 to 30-November-2021</v>
      </c>
      <c r="B75" s="44">
        <f t="shared" si="2"/>
        <v>18.578571428571426</v>
      </c>
      <c r="C75" s="44">
        <f t="shared" si="2"/>
        <v>23.303571428571431</v>
      </c>
      <c r="D75" s="447"/>
      <c r="E75" s="465"/>
      <c r="F75" s="243"/>
    </row>
    <row r="76" spans="1:7" x14ac:dyDescent="0.35">
      <c r="A76" s="235" t="str">
        <f t="shared" si="1"/>
        <v>01-December-2021 to 31-December-2021</v>
      </c>
      <c r="B76" s="44">
        <f t="shared" si="2"/>
        <v>19.297500000000003</v>
      </c>
      <c r="C76" s="44">
        <f t="shared" si="2"/>
        <v>23.914285714285715</v>
      </c>
      <c r="D76" s="448"/>
      <c r="E76" s="467"/>
      <c r="F76" s="243"/>
    </row>
    <row r="77" spans="1:7" x14ac:dyDescent="0.35">
      <c r="A77" s="31" t="s">
        <v>173</v>
      </c>
      <c r="B77" s="36">
        <v>1</v>
      </c>
      <c r="C77" s="36">
        <v>1</v>
      </c>
      <c r="D77" s="33" t="s">
        <v>1</v>
      </c>
      <c r="E77" s="37" t="s">
        <v>100</v>
      </c>
      <c r="F77" s="243"/>
    </row>
    <row r="78" spans="1:7" ht="15.5" x14ac:dyDescent="0.45">
      <c r="A78" s="31" t="s">
        <v>174</v>
      </c>
      <c r="B78" s="32"/>
      <c r="C78" s="32"/>
      <c r="D78" s="446" t="s">
        <v>56</v>
      </c>
      <c r="E78" s="464" t="s">
        <v>404</v>
      </c>
      <c r="F78" s="243"/>
    </row>
    <row r="79" spans="1:7" x14ac:dyDescent="0.35">
      <c r="A79" s="47" t="str">
        <f t="shared" ref="A79:A97" si="3">A58</f>
        <v>10-June-2020 to 30-June-2020</v>
      </c>
      <c r="B79" s="32">
        <f>30</f>
        <v>30</v>
      </c>
      <c r="C79" s="32">
        <f t="shared" ref="C79:C97" si="4">B79</f>
        <v>30</v>
      </c>
      <c r="D79" s="447"/>
      <c r="E79" s="465"/>
      <c r="F79" s="243"/>
    </row>
    <row r="80" spans="1:7" x14ac:dyDescent="0.35">
      <c r="A80" s="47" t="str">
        <f t="shared" si="3"/>
        <v>01-July-2020 to 31-July-2020</v>
      </c>
      <c r="B80" s="32">
        <v>31</v>
      </c>
      <c r="C80" s="32">
        <f t="shared" si="4"/>
        <v>31</v>
      </c>
      <c r="D80" s="447"/>
      <c r="E80" s="465"/>
      <c r="F80" s="243"/>
    </row>
    <row r="81" spans="1:6" x14ac:dyDescent="0.35">
      <c r="A81" s="47" t="str">
        <f t="shared" si="3"/>
        <v>01-August-2020 to 31-August-2020</v>
      </c>
      <c r="B81" s="32">
        <v>31</v>
      </c>
      <c r="C81" s="32">
        <f t="shared" si="4"/>
        <v>31</v>
      </c>
      <c r="D81" s="447"/>
      <c r="E81" s="465"/>
      <c r="F81" s="243"/>
    </row>
    <row r="82" spans="1:6" x14ac:dyDescent="0.35">
      <c r="A82" s="47" t="str">
        <f t="shared" si="3"/>
        <v>01-September-2020 to 30-September-2020</v>
      </c>
      <c r="B82" s="32">
        <v>30</v>
      </c>
      <c r="C82" s="32">
        <f t="shared" si="4"/>
        <v>30</v>
      </c>
      <c r="D82" s="447"/>
      <c r="E82" s="465"/>
      <c r="F82" s="243"/>
    </row>
    <row r="83" spans="1:6" x14ac:dyDescent="0.35">
      <c r="A83" s="47" t="str">
        <f t="shared" si="3"/>
        <v>01-October-2020 to 31-October-2020</v>
      </c>
      <c r="B83" s="32">
        <v>31</v>
      </c>
      <c r="C83" s="32">
        <f t="shared" si="4"/>
        <v>31</v>
      </c>
      <c r="D83" s="447"/>
      <c r="E83" s="465"/>
      <c r="F83" s="243"/>
    </row>
    <row r="84" spans="1:6" x14ac:dyDescent="0.35">
      <c r="A84" s="47" t="str">
        <f t="shared" si="3"/>
        <v>01-November-2020 to 30-November-2020</v>
      </c>
      <c r="B84" s="32">
        <v>30</v>
      </c>
      <c r="C84" s="32">
        <f t="shared" si="4"/>
        <v>30</v>
      </c>
      <c r="D84" s="447"/>
      <c r="E84" s="465"/>
      <c r="F84" s="243"/>
    </row>
    <row r="85" spans="1:6" x14ac:dyDescent="0.35">
      <c r="A85" s="47" t="str">
        <f t="shared" si="3"/>
        <v>01-December-2020 to 31-December-2020</v>
      </c>
      <c r="B85" s="32">
        <f>31</f>
        <v>31</v>
      </c>
      <c r="C85" s="32">
        <f t="shared" si="4"/>
        <v>31</v>
      </c>
      <c r="D85" s="447"/>
      <c r="E85" s="465"/>
      <c r="F85" s="243"/>
    </row>
    <row r="86" spans="1:6" x14ac:dyDescent="0.35">
      <c r="A86" s="47" t="str">
        <f t="shared" si="3"/>
        <v>01-January-2021 to 31-January-2021</v>
      </c>
      <c r="B86" s="32">
        <v>31</v>
      </c>
      <c r="C86" s="32">
        <f t="shared" si="4"/>
        <v>31</v>
      </c>
      <c r="D86" s="447"/>
      <c r="E86" s="465"/>
      <c r="F86" s="243"/>
    </row>
    <row r="87" spans="1:6" x14ac:dyDescent="0.35">
      <c r="A87" s="47" t="str">
        <f t="shared" si="3"/>
        <v>01-February-2021 to 28-February-2021</v>
      </c>
      <c r="B87" s="32">
        <v>28</v>
      </c>
      <c r="C87" s="32">
        <f t="shared" si="4"/>
        <v>28</v>
      </c>
      <c r="D87" s="447"/>
      <c r="E87" s="465"/>
      <c r="F87" s="243"/>
    </row>
    <row r="88" spans="1:6" x14ac:dyDescent="0.35">
      <c r="A88" s="47" t="str">
        <f t="shared" si="3"/>
        <v>01-March-2021 to 31-March-2021</v>
      </c>
      <c r="B88" s="32">
        <v>31</v>
      </c>
      <c r="C88" s="32">
        <f t="shared" si="4"/>
        <v>31</v>
      </c>
      <c r="D88" s="447"/>
      <c r="E88" s="465"/>
      <c r="F88" s="243"/>
    </row>
    <row r="89" spans="1:6" x14ac:dyDescent="0.35">
      <c r="A89" s="47" t="str">
        <f t="shared" si="3"/>
        <v>01-April-2021 to 30-April-2021</v>
      </c>
      <c r="B89" s="32">
        <v>30</v>
      </c>
      <c r="C89" s="32">
        <f t="shared" si="4"/>
        <v>30</v>
      </c>
      <c r="D89" s="447"/>
      <c r="E89" s="465"/>
      <c r="F89" s="243"/>
    </row>
    <row r="90" spans="1:6" x14ac:dyDescent="0.35">
      <c r="A90" s="47" t="str">
        <f t="shared" si="3"/>
        <v>01-May-2021 to 31-May-2021</v>
      </c>
      <c r="B90" s="32">
        <v>31</v>
      </c>
      <c r="C90" s="32">
        <f t="shared" si="4"/>
        <v>31</v>
      </c>
      <c r="D90" s="447"/>
      <c r="E90" s="465"/>
      <c r="F90" s="243"/>
    </row>
    <row r="91" spans="1:6" x14ac:dyDescent="0.35">
      <c r="A91" s="47" t="str">
        <f t="shared" si="3"/>
        <v>01-June-2021 to 30-June-2021</v>
      </c>
      <c r="B91" s="32">
        <v>30</v>
      </c>
      <c r="C91" s="32">
        <f t="shared" si="4"/>
        <v>30</v>
      </c>
      <c r="D91" s="447"/>
      <c r="E91" s="465"/>
      <c r="F91" s="243"/>
    </row>
    <row r="92" spans="1:6" x14ac:dyDescent="0.35">
      <c r="A92" s="47" t="str">
        <f t="shared" si="3"/>
        <v>01-July-2021 to 31-July-2021</v>
      </c>
      <c r="B92" s="32">
        <v>31</v>
      </c>
      <c r="C92" s="32">
        <f t="shared" si="4"/>
        <v>31</v>
      </c>
      <c r="D92" s="447"/>
      <c r="E92" s="465"/>
      <c r="F92" s="243"/>
    </row>
    <row r="93" spans="1:6" x14ac:dyDescent="0.35">
      <c r="A93" s="47" t="str">
        <f t="shared" si="3"/>
        <v>01-August-2021 to 31-August-2021</v>
      </c>
      <c r="B93" s="32">
        <v>31</v>
      </c>
      <c r="C93" s="32">
        <f t="shared" si="4"/>
        <v>31</v>
      </c>
      <c r="D93" s="447"/>
      <c r="E93" s="465"/>
      <c r="F93" s="243"/>
    </row>
    <row r="94" spans="1:6" x14ac:dyDescent="0.35">
      <c r="A94" s="47" t="str">
        <f t="shared" si="3"/>
        <v>01-September-2021 to 30-September-2021</v>
      </c>
      <c r="B94" s="32">
        <v>30</v>
      </c>
      <c r="C94" s="32">
        <f t="shared" si="4"/>
        <v>30</v>
      </c>
      <c r="D94" s="447"/>
      <c r="E94" s="465"/>
      <c r="F94" s="243"/>
    </row>
    <row r="95" spans="1:6" x14ac:dyDescent="0.35">
      <c r="A95" s="47" t="str">
        <f t="shared" si="3"/>
        <v>01-October-2021 to 31-October-2021</v>
      </c>
      <c r="B95" s="32">
        <v>31</v>
      </c>
      <c r="C95" s="32">
        <f t="shared" si="4"/>
        <v>31</v>
      </c>
      <c r="D95" s="447"/>
      <c r="E95" s="465"/>
      <c r="F95" s="243"/>
    </row>
    <row r="96" spans="1:6" x14ac:dyDescent="0.35">
      <c r="A96" s="47" t="str">
        <f t="shared" si="3"/>
        <v>01-November-2021 to 30-November-2021</v>
      </c>
      <c r="B96" s="32">
        <v>30</v>
      </c>
      <c r="C96" s="32">
        <f t="shared" si="4"/>
        <v>30</v>
      </c>
      <c r="D96" s="447"/>
      <c r="E96" s="465"/>
      <c r="F96" s="243"/>
    </row>
    <row r="97" spans="1:6" x14ac:dyDescent="0.35">
      <c r="A97" s="47" t="str">
        <f t="shared" si="3"/>
        <v>01-December-2021 to 31-December-2021</v>
      </c>
      <c r="B97" s="32">
        <v>31</v>
      </c>
      <c r="C97" s="32">
        <f t="shared" si="4"/>
        <v>31</v>
      </c>
      <c r="D97" s="448"/>
      <c r="E97" s="467"/>
      <c r="F97" s="243"/>
    </row>
    <row r="98" spans="1:6" ht="15.5" x14ac:dyDescent="0.45">
      <c r="A98" s="45" t="s">
        <v>175</v>
      </c>
      <c r="B98" s="32"/>
      <c r="C98" s="32"/>
      <c r="D98" s="33"/>
      <c r="E98" s="46"/>
      <c r="F98" s="243"/>
    </row>
    <row r="99" spans="1:6" ht="15.5" x14ac:dyDescent="0.45">
      <c r="A99" s="47" t="str">
        <f t="shared" ref="A99:A117" si="5">A79</f>
        <v>10-June-2020 to 30-June-2020</v>
      </c>
      <c r="B99" s="32">
        <f>ROUNDDOWN($B$11*$B$12*$B$13*$B$14*B16*B58*$B$77,0)</f>
        <v>6681</v>
      </c>
      <c r="C99" s="32">
        <f>ROUNDDOWN($C$11*$C$12*$C$13*$C$14*C16*C58*$C$77,0)</f>
        <v>4543</v>
      </c>
      <c r="D99" s="33" t="s">
        <v>176</v>
      </c>
      <c r="E99" s="464" t="s">
        <v>102</v>
      </c>
      <c r="F99" s="243"/>
    </row>
    <row r="100" spans="1:6" ht="15.5" x14ac:dyDescent="0.45">
      <c r="A100" s="47" t="str">
        <f t="shared" si="5"/>
        <v>01-July-2020 to 31-July-2020</v>
      </c>
      <c r="B100" s="32">
        <f>ROUNDDOWN($B$11*$B$12*$B$13*$B$14*B17*B59*$B$77,0)</f>
        <v>6868</v>
      </c>
      <c r="C100" s="32">
        <f>ROUNDDOWN($C$11*$C$12*$C$13*$C$14*C17*C59*$C$77,0)</f>
        <v>4652</v>
      </c>
      <c r="D100" s="33" t="s">
        <v>176</v>
      </c>
      <c r="E100" s="465"/>
      <c r="F100" s="243"/>
    </row>
    <row r="101" spans="1:6" ht="15.5" x14ac:dyDescent="0.45">
      <c r="A101" s="47" t="str">
        <f t="shared" si="5"/>
        <v>01-August-2020 to 31-August-2020</v>
      </c>
      <c r="B101" s="32">
        <f>ROUNDDOWN($B$11*$B$12*$B$13*$B$14*B18*B60*$B$77,0)</f>
        <v>6833</v>
      </c>
      <c r="C101" s="32">
        <f>ROUNDDOWN($C$11*$C$12*$C$13*$C$14*C18*C60*$C$77,0)</f>
        <v>4763</v>
      </c>
      <c r="D101" s="33" t="s">
        <v>176</v>
      </c>
      <c r="E101" s="465"/>
      <c r="F101" s="243"/>
    </row>
    <row r="102" spans="1:6" ht="15.5" x14ac:dyDescent="0.45">
      <c r="A102" s="47" t="str">
        <f t="shared" si="5"/>
        <v>01-September-2020 to 30-September-2020</v>
      </c>
      <c r="B102" s="32">
        <f>ROUNDDOWN($B$11*$B$12*$B$13*$B$14*B19*B61*$B$77,0)</f>
        <v>6796</v>
      </c>
      <c r="C102" s="32">
        <f>ROUNDDOWN($C$11*$C$12*$C$13*$C$14*C19*C61*$C$77,0)</f>
        <v>4554</v>
      </c>
      <c r="D102" s="33" t="s">
        <v>176</v>
      </c>
      <c r="E102" s="465"/>
      <c r="F102" s="243"/>
    </row>
    <row r="103" spans="1:6" ht="15.5" x14ac:dyDescent="0.45">
      <c r="A103" s="47" t="str">
        <f t="shared" si="5"/>
        <v>01-October-2020 to 31-October-2020</v>
      </c>
      <c r="B103" s="32">
        <f>ROUNDDOWN($B$11*$B$12*$B$13*$B$14*B20*B62*$B$77,0)</f>
        <v>6987</v>
      </c>
      <c r="C103" s="32">
        <f>ROUNDDOWN($C$11*$C$12*$C$13*$C$14*C20*C62*$C$77,0)</f>
        <v>4669</v>
      </c>
      <c r="D103" s="33" t="s">
        <v>176</v>
      </c>
      <c r="E103" s="465"/>
      <c r="F103" s="243"/>
    </row>
    <row r="104" spans="1:6" ht="15.5" x14ac:dyDescent="0.45">
      <c r="A104" s="47" t="str">
        <f t="shared" si="5"/>
        <v>01-November-2020 to 30-November-2020</v>
      </c>
      <c r="B104" s="32">
        <f>ROUNDDOWN($B$11*$B$12*$B$13*$B$14*B21*B63*$B$77,0)</f>
        <v>6762</v>
      </c>
      <c r="C104" s="32">
        <f>ROUNDDOWN($C$11*$C$12*$C$13*$C$14*C21*C63*$C$77,0)</f>
        <v>4617</v>
      </c>
      <c r="D104" s="33" t="s">
        <v>176</v>
      </c>
      <c r="E104" s="465"/>
      <c r="F104" s="243"/>
    </row>
    <row r="105" spans="1:6" ht="15.5" x14ac:dyDescent="0.45">
      <c r="A105" s="47" t="str">
        <f t="shared" si="5"/>
        <v>01-December-2020 to 31-December-2020</v>
      </c>
      <c r="B105" s="32">
        <f>ROUNDDOWN($B$11*$B$12*$B$13*$B$14*B22*B64*$B$77,0)</f>
        <v>6880</v>
      </c>
      <c r="C105" s="32">
        <f>ROUNDDOWN($C$11*$C$12*$C$13*$C$14*C22*C64*$C$77,0)</f>
        <v>4837</v>
      </c>
      <c r="D105" s="33" t="s">
        <v>176</v>
      </c>
      <c r="E105" s="465"/>
      <c r="F105" s="243"/>
    </row>
    <row r="106" spans="1:6" ht="15.5" x14ac:dyDescent="0.45">
      <c r="A106" s="47" t="str">
        <f t="shared" si="5"/>
        <v>01-January-2021 to 31-January-2021</v>
      </c>
      <c r="B106" s="32">
        <f>ROUNDDOWN($B$11*$B$12*$B$13*$B$14*B23*B65*$B$77,0)</f>
        <v>7035</v>
      </c>
      <c r="C106" s="32">
        <f>ROUNDDOWN($C$11*$C$12*$C$13*$C$14*C23*C65*$C$77,0)</f>
        <v>4693</v>
      </c>
      <c r="D106" s="33" t="s">
        <v>176</v>
      </c>
      <c r="E106" s="465"/>
      <c r="F106" s="243"/>
    </row>
    <row r="107" spans="1:6" ht="15.5" x14ac:dyDescent="0.45">
      <c r="A107" s="47" t="str">
        <f t="shared" si="5"/>
        <v>01-February-2021 to 28-February-2021</v>
      </c>
      <c r="B107" s="32">
        <f>ROUNDDOWN($B$11*$B$12*$B$13*$B$14*B24*B66*$B$77,0)</f>
        <v>6333</v>
      </c>
      <c r="C107" s="32">
        <f>ROUNDDOWN($C$11*$C$12*$C$13*$C$14*C24*C66*$C$77,0)</f>
        <v>4276</v>
      </c>
      <c r="D107" s="33" t="s">
        <v>176</v>
      </c>
      <c r="E107" s="465"/>
      <c r="F107" s="243"/>
    </row>
    <row r="108" spans="1:6" ht="15.5" x14ac:dyDescent="0.45">
      <c r="A108" s="47" t="str">
        <f t="shared" si="5"/>
        <v>01-March-2021 to 31-March-2021</v>
      </c>
      <c r="B108" s="32">
        <f>ROUNDDOWN($B$11*$B$12*$B$13*$B$14*B25*B67*$B$77,0)</f>
        <v>6868</v>
      </c>
      <c r="C108" s="32">
        <f>ROUNDDOWN($C$11*$C$12*$C$13*$C$14*C25*C67*$C$77,0)</f>
        <v>4736</v>
      </c>
      <c r="D108" s="33" t="s">
        <v>176</v>
      </c>
      <c r="E108" s="465"/>
      <c r="F108" s="243"/>
    </row>
    <row r="109" spans="1:6" ht="15.5" x14ac:dyDescent="0.45">
      <c r="A109" s="47" t="str">
        <f t="shared" si="5"/>
        <v>01-April-2021 to 30-April-2021</v>
      </c>
      <c r="B109" s="32">
        <f>ROUNDDOWN($B$11*$B$12*$B$13*$B$14*B26*B68*$B$77,0)</f>
        <v>6531</v>
      </c>
      <c r="C109" s="32">
        <f>ROUNDDOWN($C$11*$C$12*$C$13*$C$14*C26*C68*$C$77,0)</f>
        <v>4640</v>
      </c>
      <c r="D109" s="33" t="s">
        <v>176</v>
      </c>
      <c r="E109" s="465"/>
      <c r="F109" s="243"/>
    </row>
    <row r="110" spans="1:6" ht="15.5" x14ac:dyDescent="0.45">
      <c r="A110" s="47" t="str">
        <f t="shared" si="5"/>
        <v>01-May-2021 to 31-May-2021</v>
      </c>
      <c r="B110" s="32">
        <f>ROUNDDOWN($B$11*$B$12*$B$13*$B$14*B27*B69*$B$77,0)</f>
        <v>6892</v>
      </c>
      <c r="C110" s="32">
        <f>ROUNDDOWN($C$11*$C$12*$C$13*$C$14*C27*C69*$C$77,0)</f>
        <v>4775</v>
      </c>
      <c r="D110" s="33" t="s">
        <v>176</v>
      </c>
      <c r="E110" s="465"/>
      <c r="F110" s="243"/>
    </row>
    <row r="111" spans="1:6" ht="15.5" x14ac:dyDescent="0.45">
      <c r="A111" s="47" t="str">
        <f t="shared" si="5"/>
        <v>01-June-2021 to 30-June-2021</v>
      </c>
      <c r="B111" s="32">
        <f>ROUNDDOWN($B$11*$B$12*$B$13*$B$14*B28*B70*$B$77,0)</f>
        <v>6624</v>
      </c>
      <c r="C111" s="32">
        <f>ROUNDDOWN($C$11*$C$12*$C$13*$C$14*C28*C70*$C$77,0)</f>
        <v>4515</v>
      </c>
      <c r="D111" s="33" t="s">
        <v>176</v>
      </c>
      <c r="E111" s="465"/>
      <c r="F111" s="243"/>
    </row>
    <row r="112" spans="1:6" ht="15.5" x14ac:dyDescent="0.45">
      <c r="A112" s="47" t="str">
        <f t="shared" si="5"/>
        <v>01-July-2021 to 31-July-2021</v>
      </c>
      <c r="B112" s="32">
        <f>ROUNDDOWN($B$11*$B$12*$B$13*$B$14*B29*B71*$B$77,0)</f>
        <v>6880</v>
      </c>
      <c r="C112" s="32">
        <f>ROUNDDOWN($C$11*$C$12*$C$13*$C$14*C29*C71*$C$77,0)</f>
        <v>4692</v>
      </c>
      <c r="D112" s="33" t="s">
        <v>176</v>
      </c>
      <c r="E112" s="465"/>
      <c r="F112" s="243"/>
    </row>
    <row r="113" spans="1:6" ht="15.5" x14ac:dyDescent="0.45">
      <c r="A113" s="47" t="str">
        <f t="shared" si="5"/>
        <v>01-August-2021 to 31-August-2021</v>
      </c>
      <c r="B113" s="32">
        <f>ROUNDDOWN($B$11*$B$12*$B$13*$B$14*B30*B72*$B$77,0)</f>
        <v>6916</v>
      </c>
      <c r="C113" s="32">
        <f>ROUNDDOWN($C$11*$C$12*$C$13*$C$14*C30*C72*$C$77,0)</f>
        <v>4695</v>
      </c>
      <c r="D113" s="33" t="s">
        <v>176</v>
      </c>
      <c r="E113" s="465"/>
      <c r="F113" s="243"/>
    </row>
    <row r="114" spans="1:6" ht="15.5" x14ac:dyDescent="0.45">
      <c r="A114" s="47" t="str">
        <f t="shared" si="5"/>
        <v>01-September-2021 to 30-September-2021</v>
      </c>
      <c r="B114" s="32">
        <f>ROUNDDOWN($B$11*$B$12*$B$13*$B$14*B31*B73*$B$77,0)</f>
        <v>6808</v>
      </c>
      <c r="C114" s="32">
        <f>ROUNDDOWN($C$11*$C$12*$C$13*$C$14*C31*C73*$C$77,0)</f>
        <v>4564</v>
      </c>
      <c r="D114" s="33" t="s">
        <v>176</v>
      </c>
      <c r="E114" s="465"/>
      <c r="F114" s="243"/>
    </row>
    <row r="115" spans="1:6" ht="15.5" x14ac:dyDescent="0.45">
      <c r="A115" s="47" t="str">
        <f t="shared" si="5"/>
        <v>01-October-2021 to 31-October-2021</v>
      </c>
      <c r="B115" s="32">
        <f>ROUNDDOWN($B$11*$B$12*$B$13*$B$14*B32*B74*$B$77,0)</f>
        <v>6952</v>
      </c>
      <c r="C115" s="32">
        <f>ROUNDDOWN($C$11*$C$12*$C$13*$C$14*C32*C74*$C$77,0)</f>
        <v>4777</v>
      </c>
      <c r="D115" s="33" t="s">
        <v>176</v>
      </c>
      <c r="E115" s="465"/>
      <c r="F115" s="243"/>
    </row>
    <row r="116" spans="1:6" ht="15.5" x14ac:dyDescent="0.45">
      <c r="A116" s="47" t="str">
        <f t="shared" si="5"/>
        <v>01-November-2021 to 30-November-2021</v>
      </c>
      <c r="B116" s="32">
        <f>ROUNDDOWN($B$11*$B$12*$B$13*$B$14*B33*B75*$B$77,0)</f>
        <v>6658</v>
      </c>
      <c r="C116" s="32">
        <f>ROUNDDOWN($C$11*$C$12*$C$13*$C$14*C33*C75*$C$77,0)</f>
        <v>4570</v>
      </c>
      <c r="D116" s="33" t="s">
        <v>176</v>
      </c>
      <c r="E116" s="465"/>
      <c r="F116" s="243"/>
    </row>
    <row r="117" spans="1:6" ht="15.5" x14ac:dyDescent="0.45">
      <c r="A117" s="47" t="str">
        <f t="shared" si="5"/>
        <v>01-December-2021 to 31-December-2021</v>
      </c>
      <c r="B117" s="32">
        <f>ROUNDDOWN($B$11*$B$12*$B$13*$B$14*B34*B76*$B$77,0)</f>
        <v>6916</v>
      </c>
      <c r="C117" s="32">
        <f>ROUNDDOWN($C$11*$C$12*$C$13*$C$14*C34*C76*$C$77,0)</f>
        <v>4692</v>
      </c>
      <c r="D117" s="33" t="s">
        <v>176</v>
      </c>
      <c r="E117" s="465"/>
      <c r="F117" s="243"/>
    </row>
    <row r="118" spans="1:6" ht="15.5" x14ac:dyDescent="0.45">
      <c r="A118" s="39" t="s">
        <v>258</v>
      </c>
      <c r="B118" s="458">
        <f>SUM(B99:B105)+SUM(C99:C105)</f>
        <v>80442</v>
      </c>
      <c r="C118" s="458"/>
      <c r="D118" s="33" t="s">
        <v>176</v>
      </c>
      <c r="E118" s="465"/>
      <c r="F118" s="243"/>
    </row>
    <row r="119" spans="1:6" ht="15.5" x14ac:dyDescent="0.45">
      <c r="A119" s="39" t="s">
        <v>259</v>
      </c>
      <c r="B119" s="458">
        <f>SUM(B106:B117)+SUM(C106:C117)</f>
        <v>137038</v>
      </c>
      <c r="C119" s="458"/>
      <c r="D119" s="33" t="s">
        <v>176</v>
      </c>
      <c r="E119" s="465"/>
      <c r="F119" s="243"/>
    </row>
    <row r="120" spans="1:6" ht="16" thickBot="1" x14ac:dyDescent="0.5">
      <c r="A120" s="39" t="s">
        <v>177</v>
      </c>
      <c r="B120" s="460">
        <f>B118+B119</f>
        <v>217480</v>
      </c>
      <c r="C120" s="461"/>
      <c r="D120" s="48" t="s">
        <v>93</v>
      </c>
      <c r="E120" s="466"/>
      <c r="F120" s="243"/>
    </row>
    <row r="121" spans="1:6" x14ac:dyDescent="0.35">
      <c r="D121" s="113"/>
    </row>
    <row r="122" spans="1:6" x14ac:dyDescent="0.35">
      <c r="A122" s="240" t="s">
        <v>39</v>
      </c>
      <c r="B122" s="238"/>
    </row>
    <row r="123" spans="1:6" x14ac:dyDescent="0.35">
      <c r="A123" s="441"/>
      <c r="B123" s="442"/>
      <c r="C123" s="442"/>
      <c r="D123" s="442"/>
      <c r="E123" s="247"/>
    </row>
    <row r="124" spans="1:6" x14ac:dyDescent="0.35">
      <c r="A124" s="245"/>
      <c r="B124" s="246"/>
      <c r="C124" s="246"/>
      <c r="D124" s="246"/>
      <c r="E124" s="247"/>
    </row>
    <row r="125" spans="1:6" x14ac:dyDescent="0.35">
      <c r="A125" s="245"/>
      <c r="B125" s="246"/>
      <c r="C125" s="246"/>
      <c r="D125" s="246"/>
    </row>
    <row r="126" spans="1:6" x14ac:dyDescent="0.35">
      <c r="A126" s="238" t="s">
        <v>8</v>
      </c>
      <c r="B126" s="238"/>
    </row>
    <row r="127" spans="1:6" ht="12.75" customHeight="1" x14ac:dyDescent="0.35">
      <c r="A127" s="245"/>
      <c r="B127" s="248"/>
      <c r="C127" s="248"/>
      <c r="D127" s="248"/>
      <c r="E127" s="247"/>
    </row>
    <row r="128" spans="1:6" ht="12.75" customHeight="1" x14ac:dyDescent="0.35">
      <c r="A128" s="245"/>
      <c r="B128" s="248"/>
      <c r="C128" s="248"/>
      <c r="D128" s="248"/>
      <c r="E128" s="247"/>
    </row>
    <row r="129" spans="1:5" ht="12.75" customHeight="1" x14ac:dyDescent="0.35">
      <c r="A129" s="245"/>
      <c r="B129" s="248"/>
      <c r="C129" s="248"/>
      <c r="D129" s="248"/>
      <c r="E129" s="249"/>
    </row>
    <row r="130" spans="1:5" ht="12.75" customHeight="1" x14ac:dyDescent="0.35">
      <c r="A130" s="245"/>
      <c r="B130" s="248"/>
      <c r="C130" s="248"/>
      <c r="D130" s="248"/>
      <c r="E130" s="247"/>
    </row>
    <row r="131" spans="1:5" ht="12.75" customHeight="1" x14ac:dyDescent="0.35">
      <c r="A131" s="245"/>
      <c r="B131" s="248"/>
      <c r="C131" s="248"/>
      <c r="D131" s="248"/>
      <c r="E131" s="247"/>
    </row>
    <row r="132" spans="1:5" ht="14" thickBot="1" x14ac:dyDescent="0.4"/>
    <row r="133" spans="1:5" x14ac:dyDescent="0.35">
      <c r="A133" s="49" t="s">
        <v>3</v>
      </c>
      <c r="B133" s="50" t="s">
        <v>9</v>
      </c>
      <c r="C133" s="50"/>
      <c r="D133" s="50" t="s">
        <v>2</v>
      </c>
      <c r="E133" s="50" t="s">
        <v>4</v>
      </c>
    </row>
    <row r="134" spans="1:5" x14ac:dyDescent="0.35">
      <c r="A134" s="250"/>
      <c r="B134" s="251" t="str">
        <f>B10</f>
        <v>Market Swine</v>
      </c>
      <c r="C134" s="251" t="str">
        <f>C10</f>
        <v>Breeding Swine</v>
      </c>
      <c r="D134" s="251"/>
      <c r="E134" s="251"/>
    </row>
    <row r="135" spans="1:5" ht="15.5" x14ac:dyDescent="0.45">
      <c r="A135" s="40" t="s">
        <v>260</v>
      </c>
      <c r="B135" s="43">
        <v>0</v>
      </c>
      <c r="C135" s="252">
        <v>0</v>
      </c>
      <c r="D135" s="52" t="s">
        <v>261</v>
      </c>
      <c r="E135" s="52" t="s">
        <v>40</v>
      </c>
    </row>
    <row r="136" spans="1:5" ht="15.5" x14ac:dyDescent="0.45">
      <c r="A136" s="40" t="s">
        <v>262</v>
      </c>
      <c r="B136" s="253">
        <f>0.42</f>
        <v>0.42</v>
      </c>
      <c r="C136" s="254">
        <v>0.24</v>
      </c>
      <c r="D136" s="52" t="s">
        <v>53</v>
      </c>
      <c r="E136" s="52" t="s">
        <v>69</v>
      </c>
    </row>
    <row r="137" spans="1:5" x14ac:dyDescent="0.35">
      <c r="A137" s="40" t="s">
        <v>263</v>
      </c>
      <c r="B137" s="255"/>
      <c r="C137" s="255"/>
      <c r="D137" s="459" t="s">
        <v>71</v>
      </c>
      <c r="E137" s="459" t="s">
        <v>52</v>
      </c>
    </row>
    <row r="138" spans="1:5" x14ac:dyDescent="0.35">
      <c r="A138" s="235" t="str">
        <f t="shared" ref="A138:A156" si="6">A99</f>
        <v>10-June-2020 to 30-June-2020</v>
      </c>
      <c r="B138" s="255">
        <f t="shared" ref="B138:C156" si="7">$B$136*$B$177/1000*B79</f>
        <v>0.3528</v>
      </c>
      <c r="C138" s="255">
        <f t="shared" si="7"/>
        <v>0.3528</v>
      </c>
      <c r="D138" s="456"/>
      <c r="E138" s="456"/>
    </row>
    <row r="139" spans="1:5" x14ac:dyDescent="0.35">
      <c r="A139" s="235" t="str">
        <f t="shared" si="6"/>
        <v>01-July-2020 to 31-July-2020</v>
      </c>
      <c r="B139" s="255">
        <f t="shared" si="7"/>
        <v>0.36456</v>
      </c>
      <c r="C139" s="255">
        <f t="shared" si="7"/>
        <v>0.36456</v>
      </c>
      <c r="D139" s="456"/>
      <c r="E139" s="456"/>
    </row>
    <row r="140" spans="1:5" x14ac:dyDescent="0.35">
      <c r="A140" s="235" t="str">
        <f t="shared" si="6"/>
        <v>01-August-2020 to 31-August-2020</v>
      </c>
      <c r="B140" s="255">
        <f t="shared" si="7"/>
        <v>0.36456</v>
      </c>
      <c r="C140" s="255">
        <f t="shared" si="7"/>
        <v>0.36456</v>
      </c>
      <c r="D140" s="456"/>
      <c r="E140" s="456"/>
    </row>
    <row r="141" spans="1:5" x14ac:dyDescent="0.35">
      <c r="A141" s="235" t="str">
        <f t="shared" si="6"/>
        <v>01-September-2020 to 30-September-2020</v>
      </c>
      <c r="B141" s="255">
        <f t="shared" si="7"/>
        <v>0.3528</v>
      </c>
      <c r="C141" s="255">
        <f t="shared" si="7"/>
        <v>0.3528</v>
      </c>
      <c r="D141" s="456"/>
      <c r="E141" s="456"/>
    </row>
    <row r="142" spans="1:5" x14ac:dyDescent="0.35">
      <c r="A142" s="235" t="str">
        <f t="shared" si="6"/>
        <v>01-October-2020 to 31-October-2020</v>
      </c>
      <c r="B142" s="255">
        <f t="shared" si="7"/>
        <v>0.36456</v>
      </c>
      <c r="C142" s="255">
        <f t="shared" si="7"/>
        <v>0.36456</v>
      </c>
      <c r="D142" s="456"/>
      <c r="E142" s="456"/>
    </row>
    <row r="143" spans="1:5" x14ac:dyDescent="0.35">
      <c r="A143" s="235" t="str">
        <f t="shared" si="6"/>
        <v>01-November-2020 to 30-November-2020</v>
      </c>
      <c r="B143" s="255">
        <f t="shared" si="7"/>
        <v>0.3528</v>
      </c>
      <c r="C143" s="255">
        <f t="shared" si="7"/>
        <v>0.3528</v>
      </c>
      <c r="D143" s="456"/>
      <c r="E143" s="456"/>
    </row>
    <row r="144" spans="1:5" x14ac:dyDescent="0.35">
      <c r="A144" s="235" t="str">
        <f t="shared" si="6"/>
        <v>01-December-2020 to 31-December-2020</v>
      </c>
      <c r="B144" s="255">
        <f t="shared" si="7"/>
        <v>0.36456</v>
      </c>
      <c r="C144" s="255">
        <f t="shared" si="7"/>
        <v>0.36456</v>
      </c>
      <c r="D144" s="456"/>
      <c r="E144" s="456"/>
    </row>
    <row r="145" spans="1:5" x14ac:dyDescent="0.35">
      <c r="A145" s="235" t="str">
        <f t="shared" si="6"/>
        <v>01-January-2021 to 31-January-2021</v>
      </c>
      <c r="B145" s="255">
        <f t="shared" si="7"/>
        <v>0.36456</v>
      </c>
      <c r="C145" s="255">
        <f t="shared" si="7"/>
        <v>0.36456</v>
      </c>
      <c r="D145" s="456"/>
      <c r="E145" s="456"/>
    </row>
    <row r="146" spans="1:5" x14ac:dyDescent="0.35">
      <c r="A146" s="235" t="str">
        <f t="shared" si="6"/>
        <v>01-February-2021 to 28-February-2021</v>
      </c>
      <c r="B146" s="255">
        <f t="shared" si="7"/>
        <v>0.32928000000000002</v>
      </c>
      <c r="C146" s="255">
        <f t="shared" si="7"/>
        <v>0.32928000000000002</v>
      </c>
      <c r="D146" s="456"/>
      <c r="E146" s="456"/>
    </row>
    <row r="147" spans="1:5" x14ac:dyDescent="0.35">
      <c r="A147" s="235" t="str">
        <f t="shared" si="6"/>
        <v>01-March-2021 to 31-March-2021</v>
      </c>
      <c r="B147" s="255">
        <f t="shared" si="7"/>
        <v>0.36456</v>
      </c>
      <c r="C147" s="255">
        <f t="shared" si="7"/>
        <v>0.36456</v>
      </c>
      <c r="D147" s="456"/>
      <c r="E147" s="456"/>
    </row>
    <row r="148" spans="1:5" x14ac:dyDescent="0.35">
      <c r="A148" s="235" t="str">
        <f t="shared" si="6"/>
        <v>01-April-2021 to 30-April-2021</v>
      </c>
      <c r="B148" s="255">
        <f t="shared" si="7"/>
        <v>0.3528</v>
      </c>
      <c r="C148" s="255">
        <f t="shared" si="7"/>
        <v>0.3528</v>
      </c>
      <c r="D148" s="456"/>
      <c r="E148" s="456"/>
    </row>
    <row r="149" spans="1:5" x14ac:dyDescent="0.35">
      <c r="A149" s="235" t="str">
        <f t="shared" si="6"/>
        <v>01-May-2021 to 31-May-2021</v>
      </c>
      <c r="B149" s="255">
        <f t="shared" si="7"/>
        <v>0.36456</v>
      </c>
      <c r="C149" s="255">
        <f t="shared" si="7"/>
        <v>0.36456</v>
      </c>
      <c r="D149" s="456"/>
      <c r="E149" s="456"/>
    </row>
    <row r="150" spans="1:5" x14ac:dyDescent="0.35">
      <c r="A150" s="235" t="str">
        <f t="shared" si="6"/>
        <v>01-June-2021 to 30-June-2021</v>
      </c>
      <c r="B150" s="255">
        <f t="shared" si="7"/>
        <v>0.3528</v>
      </c>
      <c r="C150" s="255">
        <f t="shared" si="7"/>
        <v>0.3528</v>
      </c>
      <c r="D150" s="456"/>
      <c r="E150" s="456"/>
    </row>
    <row r="151" spans="1:5" x14ac:dyDescent="0.35">
      <c r="A151" s="235" t="str">
        <f t="shared" si="6"/>
        <v>01-July-2021 to 31-July-2021</v>
      </c>
      <c r="B151" s="255">
        <f t="shared" si="7"/>
        <v>0.36456</v>
      </c>
      <c r="C151" s="255">
        <f t="shared" si="7"/>
        <v>0.36456</v>
      </c>
      <c r="D151" s="456"/>
      <c r="E151" s="456"/>
    </row>
    <row r="152" spans="1:5" x14ac:dyDescent="0.35">
      <c r="A152" s="235" t="str">
        <f t="shared" si="6"/>
        <v>01-August-2021 to 31-August-2021</v>
      </c>
      <c r="B152" s="255">
        <f t="shared" si="7"/>
        <v>0.36456</v>
      </c>
      <c r="C152" s="255">
        <f t="shared" si="7"/>
        <v>0.36456</v>
      </c>
      <c r="D152" s="456"/>
      <c r="E152" s="456"/>
    </row>
    <row r="153" spans="1:5" x14ac:dyDescent="0.35">
      <c r="A153" s="235" t="str">
        <f t="shared" si="6"/>
        <v>01-September-2021 to 30-September-2021</v>
      </c>
      <c r="B153" s="255">
        <f t="shared" si="7"/>
        <v>0.3528</v>
      </c>
      <c r="C153" s="255">
        <f t="shared" si="7"/>
        <v>0.3528</v>
      </c>
      <c r="D153" s="456"/>
      <c r="E153" s="456"/>
    </row>
    <row r="154" spans="1:5" x14ac:dyDescent="0.35">
      <c r="A154" s="235" t="str">
        <f t="shared" si="6"/>
        <v>01-October-2021 to 31-October-2021</v>
      </c>
      <c r="B154" s="255">
        <f t="shared" si="7"/>
        <v>0.36456</v>
      </c>
      <c r="C154" s="255">
        <f t="shared" si="7"/>
        <v>0.36456</v>
      </c>
      <c r="D154" s="456"/>
      <c r="E154" s="456"/>
    </row>
    <row r="155" spans="1:5" x14ac:dyDescent="0.35">
      <c r="A155" s="235" t="str">
        <f t="shared" si="6"/>
        <v>01-November-2021 to 30-November-2021</v>
      </c>
      <c r="B155" s="255">
        <f t="shared" si="7"/>
        <v>0.3528</v>
      </c>
      <c r="C155" s="255">
        <f t="shared" si="7"/>
        <v>0.3528</v>
      </c>
      <c r="D155" s="456"/>
      <c r="E155" s="456"/>
    </row>
    <row r="156" spans="1:5" x14ac:dyDescent="0.35">
      <c r="A156" s="235" t="str">
        <f t="shared" si="6"/>
        <v>01-December-2021 to 31-December-2021</v>
      </c>
      <c r="B156" s="255">
        <f t="shared" si="7"/>
        <v>0.36456</v>
      </c>
      <c r="C156" s="255">
        <f t="shared" si="7"/>
        <v>0.36456</v>
      </c>
      <c r="D156" s="457"/>
      <c r="E156" s="457"/>
    </row>
    <row r="157" spans="1:5" x14ac:dyDescent="0.35">
      <c r="A157" s="40" t="s">
        <v>169</v>
      </c>
      <c r="B157" s="257"/>
      <c r="C157" s="257"/>
      <c r="D157" s="444" t="s">
        <v>5</v>
      </c>
      <c r="E157" s="444" t="str">
        <f>E35</f>
        <v>Weight record table</v>
      </c>
    </row>
    <row r="158" spans="1:5" x14ac:dyDescent="0.35">
      <c r="A158" s="235" t="str">
        <f t="shared" ref="A158:A176" si="8">A138</f>
        <v>10-June-2020 to 30-June-2020</v>
      </c>
      <c r="B158" s="257">
        <f t="shared" ref="B158:C176" si="9">B36</f>
        <v>58</v>
      </c>
      <c r="C158" s="257">
        <f t="shared" si="9"/>
        <v>72.099999999999994</v>
      </c>
      <c r="D158" s="444"/>
      <c r="E158" s="444"/>
    </row>
    <row r="159" spans="1:5" x14ac:dyDescent="0.35">
      <c r="A159" s="235" t="str">
        <f t="shared" si="8"/>
        <v>01-July-2020 to 31-July-2020</v>
      </c>
      <c r="B159" s="257">
        <f t="shared" si="9"/>
        <v>57.7</v>
      </c>
      <c r="C159" s="257">
        <f t="shared" si="9"/>
        <v>71.400000000000006</v>
      </c>
      <c r="D159" s="444"/>
      <c r="E159" s="444"/>
    </row>
    <row r="160" spans="1:5" x14ac:dyDescent="0.35">
      <c r="A160" s="235" t="str">
        <f t="shared" si="8"/>
        <v>01-August-2020 to 31-August-2020</v>
      </c>
      <c r="B160" s="257">
        <f t="shared" si="9"/>
        <v>57.4</v>
      </c>
      <c r="C160" s="257">
        <f t="shared" si="9"/>
        <v>73.099999999999994</v>
      </c>
      <c r="D160" s="444"/>
      <c r="E160" s="444"/>
    </row>
    <row r="161" spans="1:5" x14ac:dyDescent="0.35">
      <c r="A161" s="235" t="str">
        <f t="shared" si="8"/>
        <v>01-September-2020 to 30-September-2020</v>
      </c>
      <c r="B161" s="257">
        <f t="shared" si="9"/>
        <v>59</v>
      </c>
      <c r="C161" s="257">
        <f t="shared" si="9"/>
        <v>72.2</v>
      </c>
      <c r="D161" s="444"/>
      <c r="E161" s="444"/>
    </row>
    <row r="162" spans="1:5" x14ac:dyDescent="0.35">
      <c r="A162" s="235" t="str">
        <f t="shared" si="8"/>
        <v>01-October-2020 to 31-October-2020</v>
      </c>
      <c r="B162" s="257">
        <f t="shared" si="9"/>
        <v>58.7</v>
      </c>
      <c r="C162" s="257">
        <f t="shared" si="9"/>
        <v>71.7</v>
      </c>
      <c r="D162" s="444"/>
      <c r="E162" s="444"/>
    </row>
    <row r="163" spans="1:5" x14ac:dyDescent="0.35">
      <c r="A163" s="235" t="str">
        <f t="shared" si="8"/>
        <v>01-November-2020 to 30-November-2020</v>
      </c>
      <c r="B163" s="257">
        <f t="shared" si="9"/>
        <v>58.7</v>
      </c>
      <c r="C163" s="257">
        <f t="shared" si="9"/>
        <v>73.2</v>
      </c>
      <c r="D163" s="444"/>
      <c r="E163" s="444"/>
    </row>
    <row r="164" spans="1:5" x14ac:dyDescent="0.35">
      <c r="A164" s="235" t="str">
        <f t="shared" si="8"/>
        <v>01-December-2020 to 31-December-2020</v>
      </c>
      <c r="B164" s="257">
        <f t="shared" si="9"/>
        <v>57.8</v>
      </c>
      <c r="C164" s="257">
        <f t="shared" si="9"/>
        <v>74.2</v>
      </c>
      <c r="D164" s="444"/>
      <c r="E164" s="444"/>
    </row>
    <row r="165" spans="1:5" x14ac:dyDescent="0.35">
      <c r="A165" s="235" t="str">
        <f t="shared" si="8"/>
        <v>01-January-2021 to 31-January-2021</v>
      </c>
      <c r="B165" s="257">
        <f t="shared" si="9"/>
        <v>59.1</v>
      </c>
      <c r="C165" s="257">
        <f t="shared" si="9"/>
        <v>72</v>
      </c>
      <c r="D165" s="444"/>
      <c r="E165" s="444"/>
    </row>
    <row r="166" spans="1:5" x14ac:dyDescent="0.35">
      <c r="A166" s="235" t="str">
        <f t="shared" si="8"/>
        <v>01-February-2021 to 28-February-2021</v>
      </c>
      <c r="B166" s="257">
        <f t="shared" si="9"/>
        <v>58.9</v>
      </c>
      <c r="C166" s="257">
        <f t="shared" si="9"/>
        <v>72.599999999999994</v>
      </c>
      <c r="D166" s="444"/>
      <c r="E166" s="444"/>
    </row>
    <row r="167" spans="1:5" x14ac:dyDescent="0.35">
      <c r="A167" s="235" t="str">
        <f t="shared" si="8"/>
        <v>01-March-2021 to 31-March-2021</v>
      </c>
      <c r="B167" s="257">
        <f t="shared" si="9"/>
        <v>57.7</v>
      </c>
      <c r="C167" s="257">
        <f t="shared" si="9"/>
        <v>72.7</v>
      </c>
      <c r="D167" s="444"/>
      <c r="E167" s="444"/>
    </row>
    <row r="168" spans="1:5" x14ac:dyDescent="0.35">
      <c r="A168" s="235" t="str">
        <f t="shared" si="8"/>
        <v>01-April-2021 to 30-April-2021</v>
      </c>
      <c r="B168" s="257">
        <f t="shared" si="9"/>
        <v>56.7</v>
      </c>
      <c r="C168" s="257">
        <f t="shared" si="9"/>
        <v>73.599999999999994</v>
      </c>
      <c r="D168" s="444"/>
      <c r="E168" s="444"/>
    </row>
    <row r="169" spans="1:5" x14ac:dyDescent="0.35">
      <c r="A169" s="235" t="str">
        <f t="shared" si="8"/>
        <v>01-May-2021 to 31-May-2021</v>
      </c>
      <c r="B169" s="257">
        <f t="shared" si="9"/>
        <v>57.9</v>
      </c>
      <c r="C169" s="257">
        <f t="shared" si="9"/>
        <v>73.3</v>
      </c>
      <c r="D169" s="444"/>
      <c r="E169" s="444"/>
    </row>
    <row r="170" spans="1:5" x14ac:dyDescent="0.35">
      <c r="A170" s="235" t="str">
        <f t="shared" si="8"/>
        <v>01-June-2021 to 30-June-2021</v>
      </c>
      <c r="B170" s="257">
        <f t="shared" si="9"/>
        <v>57.5</v>
      </c>
      <c r="C170" s="257">
        <f t="shared" si="9"/>
        <v>71.599999999999994</v>
      </c>
      <c r="D170" s="444"/>
      <c r="E170" s="444"/>
    </row>
    <row r="171" spans="1:5" x14ac:dyDescent="0.35">
      <c r="A171" s="235" t="str">
        <f t="shared" si="8"/>
        <v>01-July-2021 to 31-July-2021</v>
      </c>
      <c r="B171" s="257">
        <f t="shared" si="9"/>
        <v>57.8</v>
      </c>
      <c r="C171" s="257">
        <f t="shared" si="9"/>
        <v>72</v>
      </c>
      <c r="D171" s="444"/>
      <c r="E171" s="444"/>
    </row>
    <row r="172" spans="1:5" x14ac:dyDescent="0.35">
      <c r="A172" s="235" t="str">
        <f t="shared" si="8"/>
        <v>01-August-2021 to 31-August-2021</v>
      </c>
      <c r="B172" s="257">
        <f t="shared" si="9"/>
        <v>58.1</v>
      </c>
      <c r="C172" s="257">
        <f t="shared" si="9"/>
        <v>72.099999999999994</v>
      </c>
      <c r="D172" s="444"/>
      <c r="E172" s="444"/>
    </row>
    <row r="173" spans="1:5" x14ac:dyDescent="0.35">
      <c r="A173" s="235" t="str">
        <f t="shared" si="8"/>
        <v>01-September-2021 to 30-September-2021</v>
      </c>
      <c r="B173" s="257">
        <f t="shared" si="9"/>
        <v>59.1</v>
      </c>
      <c r="C173" s="257">
        <f t="shared" si="9"/>
        <v>72.3</v>
      </c>
      <c r="D173" s="444"/>
      <c r="E173" s="444"/>
    </row>
    <row r="174" spans="1:5" x14ac:dyDescent="0.35">
      <c r="A174" s="235" t="str">
        <f t="shared" si="8"/>
        <v>01-October-2021 to 31-October-2021</v>
      </c>
      <c r="B174" s="257">
        <f t="shared" si="9"/>
        <v>58.4</v>
      </c>
      <c r="C174" s="257">
        <f t="shared" si="9"/>
        <v>73.3</v>
      </c>
      <c r="D174" s="444"/>
      <c r="E174" s="444"/>
    </row>
    <row r="175" spans="1:5" x14ac:dyDescent="0.35">
      <c r="A175" s="235" t="str">
        <f t="shared" si="8"/>
        <v>01-November-2021 to 30-November-2021</v>
      </c>
      <c r="B175" s="257">
        <f t="shared" si="9"/>
        <v>57.8</v>
      </c>
      <c r="C175" s="257">
        <f t="shared" si="9"/>
        <v>72.5</v>
      </c>
      <c r="D175" s="444"/>
      <c r="E175" s="444"/>
    </row>
    <row r="176" spans="1:5" x14ac:dyDescent="0.35">
      <c r="A176" s="235" t="str">
        <f t="shared" si="8"/>
        <v>01-December-2021 to 31-December-2021</v>
      </c>
      <c r="B176" s="257">
        <f t="shared" si="9"/>
        <v>58.1</v>
      </c>
      <c r="C176" s="257">
        <f t="shared" si="9"/>
        <v>72</v>
      </c>
      <c r="D176" s="444"/>
      <c r="E176" s="444"/>
    </row>
    <row r="177" spans="1:5" x14ac:dyDescent="0.35">
      <c r="A177" s="40" t="s">
        <v>68</v>
      </c>
      <c r="B177" s="257">
        <v>28</v>
      </c>
      <c r="C177" s="257">
        <v>28</v>
      </c>
      <c r="D177" s="52" t="s">
        <v>5</v>
      </c>
      <c r="E177" s="33" t="s">
        <v>50</v>
      </c>
    </row>
    <row r="178" spans="1:5" x14ac:dyDescent="0.35">
      <c r="A178" s="40" t="s">
        <v>264</v>
      </c>
      <c r="B178" s="253">
        <v>28</v>
      </c>
      <c r="C178" s="258">
        <v>28</v>
      </c>
      <c r="D178" s="52" t="s">
        <v>5</v>
      </c>
      <c r="E178" s="33" t="s">
        <v>50</v>
      </c>
    </row>
    <row r="179" spans="1:5" ht="15.5" x14ac:dyDescent="0.45">
      <c r="A179" s="40" t="s">
        <v>265</v>
      </c>
      <c r="B179" s="44"/>
      <c r="C179" s="44"/>
      <c r="D179" s="459" t="s">
        <v>71</v>
      </c>
      <c r="E179" s="459" t="s">
        <v>55</v>
      </c>
    </row>
    <row r="180" spans="1:5" x14ac:dyDescent="0.35">
      <c r="A180" s="235" t="str">
        <f t="shared" ref="A180:A198" si="10">A158</f>
        <v>10-June-2020 to 30-June-2020</v>
      </c>
      <c r="B180" s="44">
        <f t="shared" ref="B180:C198" si="11">B158/$B$178*B138</f>
        <v>0.73080000000000012</v>
      </c>
      <c r="C180" s="44">
        <f t="shared" si="11"/>
        <v>0.90845999999999993</v>
      </c>
      <c r="D180" s="456"/>
      <c r="E180" s="456"/>
    </row>
    <row r="181" spans="1:5" x14ac:dyDescent="0.35">
      <c r="A181" s="235" t="str">
        <f t="shared" si="10"/>
        <v>01-July-2020 to 31-July-2020</v>
      </c>
      <c r="B181" s="44">
        <f t="shared" si="11"/>
        <v>0.75125400000000009</v>
      </c>
      <c r="C181" s="44">
        <f t="shared" si="11"/>
        <v>0.92962800000000012</v>
      </c>
      <c r="D181" s="456"/>
      <c r="E181" s="456"/>
    </row>
    <row r="182" spans="1:5" x14ac:dyDescent="0.35">
      <c r="A182" s="235" t="str">
        <f t="shared" si="10"/>
        <v>01-August-2020 to 31-August-2020</v>
      </c>
      <c r="B182" s="44">
        <f t="shared" si="11"/>
        <v>0.7473479999999999</v>
      </c>
      <c r="C182" s="44">
        <f t="shared" si="11"/>
        <v>0.95176199999999989</v>
      </c>
      <c r="D182" s="456"/>
      <c r="E182" s="456"/>
    </row>
    <row r="183" spans="1:5" x14ac:dyDescent="0.35">
      <c r="A183" s="235" t="str">
        <f t="shared" si="10"/>
        <v>01-September-2020 to 30-September-2020</v>
      </c>
      <c r="B183" s="44">
        <f t="shared" si="11"/>
        <v>0.74340000000000006</v>
      </c>
      <c r="C183" s="44">
        <f t="shared" si="11"/>
        <v>0.90972000000000008</v>
      </c>
      <c r="D183" s="456"/>
      <c r="E183" s="456"/>
    </row>
    <row r="184" spans="1:5" x14ac:dyDescent="0.35">
      <c r="A184" s="235" t="str">
        <f t="shared" si="10"/>
        <v>01-October-2020 to 31-October-2020</v>
      </c>
      <c r="B184" s="44">
        <f t="shared" si="11"/>
        <v>0.76427400000000001</v>
      </c>
      <c r="C184" s="44">
        <f t="shared" si="11"/>
        <v>0.93353400000000009</v>
      </c>
      <c r="D184" s="456"/>
      <c r="E184" s="456"/>
    </row>
    <row r="185" spans="1:5" x14ac:dyDescent="0.35">
      <c r="A185" s="235" t="str">
        <f t="shared" si="10"/>
        <v>01-November-2020 to 30-November-2020</v>
      </c>
      <c r="B185" s="44">
        <f t="shared" si="11"/>
        <v>0.73962000000000006</v>
      </c>
      <c r="C185" s="44">
        <f t="shared" si="11"/>
        <v>0.92232000000000003</v>
      </c>
      <c r="D185" s="456"/>
      <c r="E185" s="456"/>
    </row>
    <row r="186" spans="1:5" x14ac:dyDescent="0.35">
      <c r="A186" s="235" t="str">
        <f t="shared" si="10"/>
        <v>01-December-2020 to 31-December-2020</v>
      </c>
      <c r="B186" s="44">
        <f t="shared" si="11"/>
        <v>0.75255599999999989</v>
      </c>
      <c r="C186" s="44">
        <f t="shared" si="11"/>
        <v>0.96608399999999994</v>
      </c>
      <c r="D186" s="456"/>
      <c r="E186" s="456"/>
    </row>
    <row r="187" spans="1:5" x14ac:dyDescent="0.35">
      <c r="A187" s="235" t="str">
        <f t="shared" si="10"/>
        <v>01-January-2021 to 31-January-2021</v>
      </c>
      <c r="B187" s="44">
        <f t="shared" si="11"/>
        <v>0.769482</v>
      </c>
      <c r="C187" s="44">
        <f t="shared" si="11"/>
        <v>0.93744000000000005</v>
      </c>
      <c r="D187" s="456"/>
      <c r="E187" s="456"/>
    </row>
    <row r="188" spans="1:5" x14ac:dyDescent="0.35">
      <c r="A188" s="235" t="str">
        <f t="shared" si="10"/>
        <v>01-February-2021 to 28-February-2021</v>
      </c>
      <c r="B188" s="44">
        <f t="shared" si="11"/>
        <v>0.69266400000000006</v>
      </c>
      <c r="C188" s="44">
        <f t="shared" si="11"/>
        <v>0.85377599999999998</v>
      </c>
      <c r="D188" s="456"/>
      <c r="E188" s="456"/>
    </row>
    <row r="189" spans="1:5" x14ac:dyDescent="0.35">
      <c r="A189" s="235" t="str">
        <f t="shared" si="10"/>
        <v>01-March-2021 to 31-March-2021</v>
      </c>
      <c r="B189" s="44">
        <f t="shared" si="11"/>
        <v>0.75125400000000009</v>
      </c>
      <c r="C189" s="44">
        <f t="shared" si="11"/>
        <v>0.94655400000000001</v>
      </c>
      <c r="D189" s="456"/>
      <c r="E189" s="456"/>
    </row>
    <row r="190" spans="1:5" x14ac:dyDescent="0.35">
      <c r="A190" s="235" t="str">
        <f t="shared" si="10"/>
        <v>01-April-2021 to 30-April-2021</v>
      </c>
      <c r="B190" s="44">
        <f t="shared" si="11"/>
        <v>0.71441999999999994</v>
      </c>
      <c r="C190" s="44">
        <f t="shared" si="11"/>
        <v>0.92735999999999996</v>
      </c>
      <c r="D190" s="456"/>
      <c r="E190" s="456"/>
    </row>
    <row r="191" spans="1:5" x14ac:dyDescent="0.35">
      <c r="A191" s="235" t="str">
        <f t="shared" si="10"/>
        <v>01-May-2021 to 31-May-2021</v>
      </c>
      <c r="B191" s="44">
        <f t="shared" si="11"/>
        <v>0.75385799999999992</v>
      </c>
      <c r="C191" s="44">
        <f t="shared" si="11"/>
        <v>0.95436600000000005</v>
      </c>
      <c r="D191" s="456"/>
      <c r="E191" s="456"/>
    </row>
    <row r="192" spans="1:5" x14ac:dyDescent="0.35">
      <c r="A192" s="235" t="str">
        <f t="shared" si="10"/>
        <v>01-June-2021 to 30-June-2021</v>
      </c>
      <c r="B192" s="44">
        <f t="shared" si="11"/>
        <v>0.72449999999999992</v>
      </c>
      <c r="C192" s="44">
        <f t="shared" si="11"/>
        <v>0.90215999999999996</v>
      </c>
      <c r="D192" s="456"/>
      <c r="E192" s="456"/>
    </row>
    <row r="193" spans="1:5" x14ac:dyDescent="0.35">
      <c r="A193" s="235" t="str">
        <f t="shared" si="10"/>
        <v>01-July-2021 to 31-July-2021</v>
      </c>
      <c r="B193" s="44">
        <f t="shared" si="11"/>
        <v>0.75255599999999989</v>
      </c>
      <c r="C193" s="44">
        <f t="shared" si="11"/>
        <v>0.93744000000000005</v>
      </c>
      <c r="D193" s="456"/>
      <c r="E193" s="456"/>
    </row>
    <row r="194" spans="1:5" x14ac:dyDescent="0.35">
      <c r="A194" s="235" t="str">
        <f t="shared" si="10"/>
        <v>01-August-2021 to 31-August-2021</v>
      </c>
      <c r="B194" s="44">
        <f t="shared" si="11"/>
        <v>0.75646200000000008</v>
      </c>
      <c r="C194" s="44">
        <f t="shared" si="11"/>
        <v>0.93874199999999985</v>
      </c>
      <c r="D194" s="456"/>
      <c r="E194" s="456"/>
    </row>
    <row r="195" spans="1:5" x14ac:dyDescent="0.35">
      <c r="A195" s="235" t="str">
        <f t="shared" si="10"/>
        <v>01-September-2021 to 30-September-2021</v>
      </c>
      <c r="B195" s="44">
        <f t="shared" si="11"/>
        <v>0.74465999999999999</v>
      </c>
      <c r="C195" s="44">
        <f t="shared" si="11"/>
        <v>0.9109799999999999</v>
      </c>
      <c r="D195" s="456"/>
      <c r="E195" s="456"/>
    </row>
    <row r="196" spans="1:5" x14ac:dyDescent="0.35">
      <c r="A196" s="235" t="str">
        <f t="shared" si="10"/>
        <v>01-October-2021 to 31-October-2021</v>
      </c>
      <c r="B196" s="44">
        <f t="shared" si="11"/>
        <v>0.76036800000000004</v>
      </c>
      <c r="C196" s="44">
        <f t="shared" si="11"/>
        <v>0.95436600000000005</v>
      </c>
      <c r="D196" s="456"/>
      <c r="E196" s="456"/>
    </row>
    <row r="197" spans="1:5" x14ac:dyDescent="0.35">
      <c r="A197" s="235" t="str">
        <f t="shared" si="10"/>
        <v>01-November-2021 to 30-November-2021</v>
      </c>
      <c r="B197" s="44">
        <f t="shared" si="11"/>
        <v>0.72827999999999993</v>
      </c>
      <c r="C197" s="44">
        <f t="shared" si="11"/>
        <v>0.91350000000000009</v>
      </c>
      <c r="D197" s="456"/>
      <c r="E197" s="456"/>
    </row>
    <row r="198" spans="1:5" x14ac:dyDescent="0.35">
      <c r="A198" s="235" t="str">
        <f t="shared" si="10"/>
        <v>01-December-2021 to 31-December-2021</v>
      </c>
      <c r="B198" s="44">
        <f t="shared" si="11"/>
        <v>0.75646200000000008</v>
      </c>
      <c r="C198" s="44">
        <f t="shared" si="11"/>
        <v>0.93744000000000005</v>
      </c>
      <c r="D198" s="457"/>
      <c r="E198" s="457"/>
    </row>
    <row r="199" spans="1:5" x14ac:dyDescent="0.35">
      <c r="A199" s="112" t="s">
        <v>266</v>
      </c>
      <c r="B199" s="38"/>
      <c r="C199" s="38"/>
      <c r="D199" s="444" t="str">
        <f>D15</f>
        <v>No of heads</v>
      </c>
      <c r="E199" s="454" t="str">
        <f>E15</f>
        <v>Calculated as equation 5 and 6 in JPM, of which Np,LT and Nda,LT is  sourced from "Exported from the stock record of Market swine"
NLT for breeding swine is sourced from "Breeding Pig stock record"</v>
      </c>
    </row>
    <row r="200" spans="1:5" x14ac:dyDescent="0.35">
      <c r="A200" s="235" t="str">
        <f t="shared" ref="A200:A218" si="12">A180</f>
        <v>10-June-2020 to 30-June-2020</v>
      </c>
      <c r="B200" s="38">
        <f t="shared" ref="B200:C218" si="13">B16</f>
        <v>94708</v>
      </c>
      <c r="C200" s="38">
        <f t="shared" si="13"/>
        <v>51811</v>
      </c>
      <c r="D200" s="444"/>
      <c r="E200" s="454"/>
    </row>
    <row r="201" spans="1:5" x14ac:dyDescent="0.35">
      <c r="A201" s="235" t="str">
        <f t="shared" si="12"/>
        <v>01-July-2020 to 31-July-2020</v>
      </c>
      <c r="B201" s="38">
        <f t="shared" si="13"/>
        <v>94708</v>
      </c>
      <c r="C201" s="38">
        <f t="shared" si="13"/>
        <v>51845</v>
      </c>
      <c r="D201" s="444"/>
      <c r="E201" s="454"/>
    </row>
    <row r="202" spans="1:5" x14ac:dyDescent="0.35">
      <c r="A202" s="235" t="str">
        <f t="shared" si="12"/>
        <v>01-August-2020 to 31-August-2020</v>
      </c>
      <c r="B202" s="38">
        <f t="shared" si="13"/>
        <v>94708</v>
      </c>
      <c r="C202" s="38">
        <f t="shared" si="13"/>
        <v>51842</v>
      </c>
      <c r="D202" s="444"/>
      <c r="E202" s="454"/>
    </row>
    <row r="203" spans="1:5" x14ac:dyDescent="0.35">
      <c r="A203" s="235" t="str">
        <f t="shared" si="12"/>
        <v>01-September-2020 to 30-September-2020</v>
      </c>
      <c r="B203" s="38">
        <f t="shared" si="13"/>
        <v>94708</v>
      </c>
      <c r="C203" s="38">
        <f t="shared" si="13"/>
        <v>51855</v>
      </c>
      <c r="D203" s="444"/>
      <c r="E203" s="454"/>
    </row>
    <row r="204" spans="1:5" x14ac:dyDescent="0.35">
      <c r="A204" s="235" t="str">
        <f t="shared" si="12"/>
        <v>01-October-2020 to 31-October-2020</v>
      </c>
      <c r="B204" s="38">
        <f t="shared" si="13"/>
        <v>94708</v>
      </c>
      <c r="C204" s="38">
        <f t="shared" si="13"/>
        <v>51808</v>
      </c>
      <c r="D204" s="444"/>
      <c r="E204" s="454"/>
    </row>
    <row r="205" spans="1:5" x14ac:dyDescent="0.35">
      <c r="A205" s="235" t="str">
        <f t="shared" si="12"/>
        <v>01-November-2020 to 30-November-2020</v>
      </c>
      <c r="B205" s="38">
        <f t="shared" si="13"/>
        <v>94708</v>
      </c>
      <c r="C205" s="38">
        <f t="shared" si="13"/>
        <v>51858</v>
      </c>
      <c r="D205" s="444"/>
      <c r="E205" s="454"/>
    </row>
    <row r="206" spans="1:5" x14ac:dyDescent="0.35">
      <c r="A206" s="235" t="str">
        <f t="shared" si="12"/>
        <v>01-December-2020 to 31-December-2020</v>
      </c>
      <c r="B206" s="38">
        <f t="shared" si="13"/>
        <v>94708</v>
      </c>
      <c r="C206" s="38">
        <f t="shared" si="13"/>
        <v>51872</v>
      </c>
      <c r="D206" s="444"/>
      <c r="E206" s="454"/>
    </row>
    <row r="207" spans="1:5" x14ac:dyDescent="0.35">
      <c r="A207" s="235" t="str">
        <f t="shared" si="12"/>
        <v>01-January-2021 to 31-January-2021</v>
      </c>
      <c r="B207" s="38">
        <f t="shared" si="13"/>
        <v>94708</v>
      </c>
      <c r="C207" s="38">
        <f t="shared" si="13"/>
        <v>51865</v>
      </c>
      <c r="D207" s="444"/>
      <c r="E207" s="454"/>
    </row>
    <row r="208" spans="1:5" x14ac:dyDescent="0.35">
      <c r="A208" s="235" t="str">
        <f t="shared" si="12"/>
        <v>01-February-2021 to 28-February-2021</v>
      </c>
      <c r="B208" s="38">
        <f t="shared" si="13"/>
        <v>94708</v>
      </c>
      <c r="C208" s="38">
        <f t="shared" si="13"/>
        <v>51889</v>
      </c>
      <c r="D208" s="444"/>
      <c r="E208" s="454"/>
    </row>
    <row r="209" spans="1:5" x14ac:dyDescent="0.35">
      <c r="A209" s="235" t="str">
        <f t="shared" si="12"/>
        <v>01-March-2021 to 31-March-2021</v>
      </c>
      <c r="B209" s="38">
        <f t="shared" si="13"/>
        <v>94708</v>
      </c>
      <c r="C209" s="38">
        <f t="shared" si="13"/>
        <v>51838</v>
      </c>
      <c r="D209" s="444"/>
      <c r="E209" s="454"/>
    </row>
    <row r="210" spans="1:5" x14ac:dyDescent="0.35">
      <c r="A210" s="235" t="str">
        <f t="shared" si="12"/>
        <v>01-April-2021 to 30-April-2021</v>
      </c>
      <c r="B210" s="38">
        <f t="shared" si="13"/>
        <v>94708</v>
      </c>
      <c r="C210" s="38">
        <f t="shared" si="13"/>
        <v>51829</v>
      </c>
      <c r="D210" s="444"/>
      <c r="E210" s="454"/>
    </row>
    <row r="211" spans="1:5" x14ac:dyDescent="0.35">
      <c r="A211" s="235" t="str">
        <f t="shared" si="12"/>
        <v>01-May-2021 to 31-May-2021</v>
      </c>
      <c r="B211" s="38">
        <f t="shared" si="13"/>
        <v>94708</v>
      </c>
      <c r="C211" s="38">
        <f t="shared" si="13"/>
        <v>51836</v>
      </c>
      <c r="D211" s="444"/>
      <c r="E211" s="454"/>
    </row>
    <row r="212" spans="1:5" x14ac:dyDescent="0.35">
      <c r="A212" s="235" t="str">
        <f t="shared" si="12"/>
        <v>01-June-2021 to 30-June-2021</v>
      </c>
      <c r="B212" s="38">
        <f t="shared" si="13"/>
        <v>94708</v>
      </c>
      <c r="C212" s="38">
        <f t="shared" si="13"/>
        <v>51849</v>
      </c>
      <c r="D212" s="444"/>
      <c r="E212" s="454"/>
    </row>
    <row r="213" spans="1:5" x14ac:dyDescent="0.35">
      <c r="A213" s="235" t="str">
        <f t="shared" si="12"/>
        <v>01-July-2021 to 31-July-2021</v>
      </c>
      <c r="B213" s="38">
        <f t="shared" si="13"/>
        <v>94708</v>
      </c>
      <c r="C213" s="38">
        <f t="shared" si="13"/>
        <v>51854</v>
      </c>
      <c r="D213" s="444"/>
      <c r="E213" s="454"/>
    </row>
    <row r="214" spans="1:5" x14ac:dyDescent="0.35">
      <c r="A214" s="235" t="str">
        <f t="shared" si="12"/>
        <v>01-August-2021 to 31-August-2021</v>
      </c>
      <c r="B214" s="38">
        <f t="shared" si="13"/>
        <v>94708</v>
      </c>
      <c r="C214" s="38">
        <f t="shared" si="13"/>
        <v>51815</v>
      </c>
      <c r="D214" s="444"/>
      <c r="E214" s="454"/>
    </row>
    <row r="215" spans="1:5" x14ac:dyDescent="0.35">
      <c r="A215" s="235" t="str">
        <f t="shared" si="12"/>
        <v>01-September-2021 to 30-September-2021</v>
      </c>
      <c r="B215" s="38">
        <f t="shared" si="13"/>
        <v>94708</v>
      </c>
      <c r="C215" s="38">
        <f t="shared" si="13"/>
        <v>51900</v>
      </c>
      <c r="D215" s="444"/>
      <c r="E215" s="454"/>
    </row>
    <row r="216" spans="1:5" x14ac:dyDescent="0.35">
      <c r="A216" s="235" t="str">
        <f t="shared" si="12"/>
        <v>01-October-2021 to 31-October-2021</v>
      </c>
      <c r="B216" s="38">
        <f t="shared" si="13"/>
        <v>94708</v>
      </c>
      <c r="C216" s="38">
        <f t="shared" si="13"/>
        <v>51859</v>
      </c>
      <c r="D216" s="444"/>
      <c r="E216" s="454"/>
    </row>
    <row r="217" spans="1:5" x14ac:dyDescent="0.35">
      <c r="A217" s="235" t="str">
        <f t="shared" si="12"/>
        <v>01-November-2021 to 30-November-2021</v>
      </c>
      <c r="B217" s="38">
        <f t="shared" si="13"/>
        <v>94708</v>
      </c>
      <c r="C217" s="38">
        <f t="shared" si="13"/>
        <v>51827</v>
      </c>
      <c r="D217" s="444"/>
      <c r="E217" s="454"/>
    </row>
    <row r="218" spans="1:5" x14ac:dyDescent="0.35">
      <c r="A218" s="235" t="str">
        <f t="shared" si="12"/>
        <v>01-December-2021 to 31-December-2021</v>
      </c>
      <c r="B218" s="38">
        <f t="shared" si="13"/>
        <v>94708</v>
      </c>
      <c r="C218" s="38">
        <f t="shared" si="13"/>
        <v>51854</v>
      </c>
      <c r="D218" s="444"/>
      <c r="E218" s="454"/>
    </row>
    <row r="219" spans="1:5" x14ac:dyDescent="0.35">
      <c r="A219" s="31" t="s">
        <v>173</v>
      </c>
      <c r="B219" s="35">
        <f>B77</f>
        <v>1</v>
      </c>
      <c r="C219" s="35">
        <f>C77</f>
        <v>1</v>
      </c>
      <c r="D219" s="52" t="str">
        <f>D77</f>
        <v>%</v>
      </c>
      <c r="E219" s="33" t="s">
        <v>30</v>
      </c>
    </row>
    <row r="220" spans="1:5" ht="15.5" x14ac:dyDescent="0.45">
      <c r="A220" s="260" t="s">
        <v>267</v>
      </c>
      <c r="B220" s="35"/>
      <c r="C220" s="35"/>
      <c r="D220" s="52"/>
      <c r="E220" s="33"/>
    </row>
    <row r="221" spans="1:5" x14ac:dyDescent="0.35">
      <c r="A221" s="261" t="str">
        <f t="shared" ref="A221:A239" si="14">A200</f>
        <v>10-June-2020 to 30-June-2020</v>
      </c>
      <c r="B221" s="67">
        <f t="shared" ref="B221:C239" si="15">$B$135*B138*B200*$B$219</f>
        <v>0</v>
      </c>
      <c r="C221" s="67">
        <f t="shared" si="15"/>
        <v>0</v>
      </c>
      <c r="D221" s="456"/>
      <c r="E221" s="468" t="s">
        <v>102</v>
      </c>
    </row>
    <row r="222" spans="1:5" x14ac:dyDescent="0.35">
      <c r="A222" s="261" t="str">
        <f t="shared" si="14"/>
        <v>01-July-2020 to 31-July-2020</v>
      </c>
      <c r="B222" s="67">
        <f t="shared" si="15"/>
        <v>0</v>
      </c>
      <c r="C222" s="67">
        <f t="shared" si="15"/>
        <v>0</v>
      </c>
      <c r="D222" s="456"/>
      <c r="E222" s="468"/>
    </row>
    <row r="223" spans="1:5" x14ac:dyDescent="0.35">
      <c r="A223" s="261" t="str">
        <f t="shared" si="14"/>
        <v>01-August-2020 to 31-August-2020</v>
      </c>
      <c r="B223" s="67">
        <f t="shared" si="15"/>
        <v>0</v>
      </c>
      <c r="C223" s="67">
        <f t="shared" si="15"/>
        <v>0</v>
      </c>
      <c r="D223" s="456"/>
      <c r="E223" s="468"/>
    </row>
    <row r="224" spans="1:5" x14ac:dyDescent="0.35">
      <c r="A224" s="261" t="str">
        <f t="shared" si="14"/>
        <v>01-September-2020 to 30-September-2020</v>
      </c>
      <c r="B224" s="67">
        <f t="shared" si="15"/>
        <v>0</v>
      </c>
      <c r="C224" s="67">
        <f t="shared" si="15"/>
        <v>0</v>
      </c>
      <c r="D224" s="456"/>
      <c r="E224" s="468"/>
    </row>
    <row r="225" spans="1:5" ht="13" customHeight="1" x14ac:dyDescent="0.35">
      <c r="A225" s="261" t="str">
        <f t="shared" si="14"/>
        <v>01-October-2020 to 31-October-2020</v>
      </c>
      <c r="B225" s="67">
        <f t="shared" si="15"/>
        <v>0</v>
      </c>
      <c r="C225" s="67">
        <f t="shared" si="15"/>
        <v>0</v>
      </c>
      <c r="D225" s="456"/>
      <c r="E225" s="468"/>
    </row>
    <row r="226" spans="1:5" ht="13" customHeight="1" x14ac:dyDescent="0.35">
      <c r="A226" s="261" t="str">
        <f t="shared" si="14"/>
        <v>01-November-2020 to 30-November-2020</v>
      </c>
      <c r="B226" s="67">
        <f t="shared" si="15"/>
        <v>0</v>
      </c>
      <c r="C226" s="67">
        <f t="shared" si="15"/>
        <v>0</v>
      </c>
      <c r="D226" s="456"/>
      <c r="E226" s="468"/>
    </row>
    <row r="227" spans="1:5" ht="13" customHeight="1" x14ac:dyDescent="0.35">
      <c r="A227" s="261" t="str">
        <f t="shared" si="14"/>
        <v>01-December-2020 to 31-December-2020</v>
      </c>
      <c r="B227" s="67">
        <f t="shared" si="15"/>
        <v>0</v>
      </c>
      <c r="C227" s="67">
        <f t="shared" si="15"/>
        <v>0</v>
      </c>
      <c r="D227" s="456"/>
      <c r="E227" s="468"/>
    </row>
    <row r="228" spans="1:5" ht="13" customHeight="1" x14ac:dyDescent="0.35">
      <c r="A228" s="261" t="str">
        <f t="shared" si="14"/>
        <v>01-January-2021 to 31-January-2021</v>
      </c>
      <c r="B228" s="67">
        <f t="shared" si="15"/>
        <v>0</v>
      </c>
      <c r="C228" s="67">
        <f t="shared" si="15"/>
        <v>0</v>
      </c>
      <c r="D228" s="456"/>
      <c r="E228" s="468"/>
    </row>
    <row r="229" spans="1:5" ht="13" customHeight="1" x14ac:dyDescent="0.35">
      <c r="A229" s="261" t="str">
        <f t="shared" si="14"/>
        <v>01-February-2021 to 28-February-2021</v>
      </c>
      <c r="B229" s="67">
        <f t="shared" si="15"/>
        <v>0</v>
      </c>
      <c r="C229" s="67">
        <f t="shared" si="15"/>
        <v>0</v>
      </c>
      <c r="D229" s="456"/>
      <c r="E229" s="468"/>
    </row>
    <row r="230" spans="1:5" ht="13" customHeight="1" x14ac:dyDescent="0.35">
      <c r="A230" s="261" t="str">
        <f t="shared" si="14"/>
        <v>01-March-2021 to 31-March-2021</v>
      </c>
      <c r="B230" s="67">
        <f t="shared" si="15"/>
        <v>0</v>
      </c>
      <c r="C230" s="67">
        <f t="shared" si="15"/>
        <v>0</v>
      </c>
      <c r="D230" s="456"/>
      <c r="E230" s="468"/>
    </row>
    <row r="231" spans="1:5" ht="13" customHeight="1" x14ac:dyDescent="0.35">
      <c r="A231" s="261" t="str">
        <f t="shared" si="14"/>
        <v>01-April-2021 to 30-April-2021</v>
      </c>
      <c r="B231" s="67">
        <f t="shared" si="15"/>
        <v>0</v>
      </c>
      <c r="C231" s="67">
        <f t="shared" si="15"/>
        <v>0</v>
      </c>
      <c r="D231" s="456"/>
      <c r="E231" s="468"/>
    </row>
    <row r="232" spans="1:5" ht="13" customHeight="1" x14ac:dyDescent="0.35">
      <c r="A232" s="261" t="str">
        <f t="shared" si="14"/>
        <v>01-May-2021 to 31-May-2021</v>
      </c>
      <c r="B232" s="67">
        <f t="shared" si="15"/>
        <v>0</v>
      </c>
      <c r="C232" s="67">
        <f t="shared" si="15"/>
        <v>0</v>
      </c>
      <c r="D232" s="456"/>
      <c r="E232" s="468"/>
    </row>
    <row r="233" spans="1:5" ht="13" customHeight="1" x14ac:dyDescent="0.35">
      <c r="A233" s="261" t="str">
        <f t="shared" si="14"/>
        <v>01-June-2021 to 30-June-2021</v>
      </c>
      <c r="B233" s="67">
        <f t="shared" si="15"/>
        <v>0</v>
      </c>
      <c r="C233" s="67">
        <f t="shared" si="15"/>
        <v>0</v>
      </c>
      <c r="D233" s="456"/>
      <c r="E233" s="468"/>
    </row>
    <row r="234" spans="1:5" ht="13" customHeight="1" x14ac:dyDescent="0.35">
      <c r="A234" s="261" t="str">
        <f t="shared" si="14"/>
        <v>01-July-2021 to 31-July-2021</v>
      </c>
      <c r="B234" s="67">
        <f t="shared" si="15"/>
        <v>0</v>
      </c>
      <c r="C234" s="67">
        <f t="shared" si="15"/>
        <v>0</v>
      </c>
      <c r="D234" s="456"/>
      <c r="E234" s="468"/>
    </row>
    <row r="235" spans="1:5" ht="13" customHeight="1" x14ac:dyDescent="0.35">
      <c r="A235" s="261" t="str">
        <f t="shared" si="14"/>
        <v>01-August-2021 to 31-August-2021</v>
      </c>
      <c r="B235" s="67">
        <f t="shared" si="15"/>
        <v>0</v>
      </c>
      <c r="C235" s="67">
        <f t="shared" si="15"/>
        <v>0</v>
      </c>
      <c r="D235" s="456"/>
      <c r="E235" s="468"/>
    </row>
    <row r="236" spans="1:5" ht="13" customHeight="1" x14ac:dyDescent="0.35">
      <c r="A236" s="261" t="str">
        <f t="shared" si="14"/>
        <v>01-September-2021 to 30-September-2021</v>
      </c>
      <c r="B236" s="67">
        <f t="shared" si="15"/>
        <v>0</v>
      </c>
      <c r="C236" s="67">
        <f t="shared" si="15"/>
        <v>0</v>
      </c>
      <c r="D236" s="456"/>
      <c r="E236" s="468"/>
    </row>
    <row r="237" spans="1:5" ht="13" customHeight="1" x14ac:dyDescent="0.35">
      <c r="A237" s="261" t="str">
        <f t="shared" si="14"/>
        <v>01-October-2021 to 31-October-2021</v>
      </c>
      <c r="B237" s="67">
        <f t="shared" si="15"/>
        <v>0</v>
      </c>
      <c r="C237" s="67">
        <f t="shared" si="15"/>
        <v>0</v>
      </c>
      <c r="D237" s="456"/>
      <c r="E237" s="468"/>
    </row>
    <row r="238" spans="1:5" ht="13" customHeight="1" x14ac:dyDescent="0.35">
      <c r="A238" s="261" t="str">
        <f t="shared" si="14"/>
        <v>01-November-2021 to 30-November-2021</v>
      </c>
      <c r="B238" s="67">
        <f t="shared" si="15"/>
        <v>0</v>
      </c>
      <c r="C238" s="67">
        <f t="shared" si="15"/>
        <v>0</v>
      </c>
      <c r="D238" s="456"/>
      <c r="E238" s="468"/>
    </row>
    <row r="239" spans="1:5" ht="13" customHeight="1" x14ac:dyDescent="0.35">
      <c r="A239" s="261" t="str">
        <f t="shared" si="14"/>
        <v>01-December-2021 to 31-December-2021</v>
      </c>
      <c r="B239" s="67">
        <f t="shared" si="15"/>
        <v>0</v>
      </c>
      <c r="C239" s="67">
        <f t="shared" si="15"/>
        <v>0</v>
      </c>
      <c r="D239" s="457"/>
      <c r="E239" s="468"/>
    </row>
    <row r="240" spans="1:5" ht="15.5" x14ac:dyDescent="0.45">
      <c r="A240" s="39" t="s">
        <v>282</v>
      </c>
      <c r="B240" s="445">
        <f>SUM(B221:B227)+SUM(C221:C227)</f>
        <v>0</v>
      </c>
      <c r="C240" s="445"/>
      <c r="D240" s="52" t="s">
        <v>268</v>
      </c>
      <c r="E240" s="468"/>
    </row>
    <row r="241" spans="1:5" ht="15.5" x14ac:dyDescent="0.45">
      <c r="A241" s="39" t="s">
        <v>283</v>
      </c>
      <c r="B241" s="445">
        <f>SUM(B228:B239)+SUM(C228:C239)</f>
        <v>0</v>
      </c>
      <c r="C241" s="445"/>
      <c r="D241" s="52" t="s">
        <v>268</v>
      </c>
      <c r="E241" s="468"/>
    </row>
    <row r="242" spans="1:5" ht="16" thickBot="1" x14ac:dyDescent="0.5">
      <c r="A242" s="97" t="s">
        <v>269</v>
      </c>
      <c r="B242" s="453">
        <f>B240+B241</f>
        <v>0</v>
      </c>
      <c r="C242" s="453"/>
      <c r="D242" s="262" t="s">
        <v>268</v>
      </c>
      <c r="E242" s="469"/>
    </row>
    <row r="243" spans="1:5" x14ac:dyDescent="0.35">
      <c r="A243" s="263"/>
      <c r="B243" s="264"/>
      <c r="C243" s="264"/>
      <c r="D243" s="265"/>
      <c r="E243" s="266"/>
    </row>
    <row r="245" spans="1:5" x14ac:dyDescent="0.35">
      <c r="A245" s="238" t="s">
        <v>11</v>
      </c>
    </row>
    <row r="246" spans="1:5" x14ac:dyDescent="0.35">
      <c r="B246" s="267"/>
      <c r="C246" s="238"/>
      <c r="D246" s="238"/>
      <c r="E246" s="239"/>
    </row>
    <row r="247" spans="1:5" x14ac:dyDescent="0.35">
      <c r="B247" s="267"/>
      <c r="C247" s="238"/>
      <c r="D247" s="238"/>
      <c r="E247" s="239"/>
    </row>
    <row r="248" spans="1:5" ht="14" thickBot="1" x14ac:dyDescent="0.4">
      <c r="B248" s="238"/>
      <c r="C248" s="238"/>
    </row>
    <row r="249" spans="1:5" x14ac:dyDescent="0.35">
      <c r="A249" s="49" t="s">
        <v>3</v>
      </c>
      <c r="B249" s="50" t="s">
        <v>9</v>
      </c>
      <c r="C249" s="50"/>
      <c r="D249" s="50" t="s">
        <v>2</v>
      </c>
      <c r="E249" s="50" t="s">
        <v>4</v>
      </c>
    </row>
    <row r="250" spans="1:5" x14ac:dyDescent="0.35">
      <c r="A250" s="250"/>
      <c r="B250" s="251" t="str">
        <f>B134</f>
        <v>Market Swine</v>
      </c>
      <c r="C250" s="251" t="str">
        <f>C134</f>
        <v>Breeding Swine</v>
      </c>
      <c r="D250" s="251"/>
      <c r="E250" s="251"/>
    </row>
    <row r="251" spans="1:5" ht="15.5" x14ac:dyDescent="0.45">
      <c r="A251" s="40" t="s">
        <v>270</v>
      </c>
      <c r="B251" s="32">
        <v>0.01</v>
      </c>
      <c r="C251" s="268">
        <v>0.01</v>
      </c>
      <c r="D251" s="52" t="s">
        <v>271</v>
      </c>
      <c r="E251" s="52" t="s">
        <v>41</v>
      </c>
    </row>
    <row r="252" spans="1:5" ht="15.5" x14ac:dyDescent="0.45">
      <c r="A252" s="40" t="s">
        <v>272</v>
      </c>
      <c r="B252" s="36">
        <v>0.4</v>
      </c>
      <c r="C252" s="36">
        <v>0.4</v>
      </c>
      <c r="D252" s="52" t="s">
        <v>1</v>
      </c>
      <c r="E252" s="231" t="s">
        <v>70</v>
      </c>
    </row>
    <row r="253" spans="1:5" ht="15.5" x14ac:dyDescent="0.45">
      <c r="A253" s="112" t="s">
        <v>273</v>
      </c>
      <c r="B253" s="269"/>
      <c r="C253" s="269"/>
      <c r="D253" s="444" t="s">
        <v>122</v>
      </c>
      <c r="E253" s="444" t="s">
        <v>55</v>
      </c>
    </row>
    <row r="254" spans="1:5" x14ac:dyDescent="0.35">
      <c r="A254" s="235" t="str">
        <f t="shared" ref="A254:A272" si="16">A221</f>
        <v>10-June-2020 to 30-June-2020</v>
      </c>
      <c r="B254" s="269">
        <f t="shared" ref="B254:C272" si="17">B180</f>
        <v>0.73080000000000012</v>
      </c>
      <c r="C254" s="269">
        <f t="shared" si="17"/>
        <v>0.90845999999999993</v>
      </c>
      <c r="D254" s="444"/>
      <c r="E254" s="444"/>
    </row>
    <row r="255" spans="1:5" x14ac:dyDescent="0.35">
      <c r="A255" s="235" t="str">
        <f t="shared" si="16"/>
        <v>01-July-2020 to 31-July-2020</v>
      </c>
      <c r="B255" s="269">
        <f t="shared" si="17"/>
        <v>0.75125400000000009</v>
      </c>
      <c r="C255" s="269">
        <f t="shared" si="17"/>
        <v>0.92962800000000012</v>
      </c>
      <c r="D255" s="444"/>
      <c r="E255" s="444"/>
    </row>
    <row r="256" spans="1:5" x14ac:dyDescent="0.35">
      <c r="A256" s="235" t="str">
        <f t="shared" si="16"/>
        <v>01-August-2020 to 31-August-2020</v>
      </c>
      <c r="B256" s="269">
        <f t="shared" si="17"/>
        <v>0.7473479999999999</v>
      </c>
      <c r="C256" s="269">
        <f t="shared" si="17"/>
        <v>0.95176199999999989</v>
      </c>
      <c r="D256" s="444"/>
      <c r="E256" s="444"/>
    </row>
    <row r="257" spans="1:5" x14ac:dyDescent="0.35">
      <c r="A257" s="235" t="str">
        <f t="shared" si="16"/>
        <v>01-September-2020 to 30-September-2020</v>
      </c>
      <c r="B257" s="269">
        <f t="shared" si="17"/>
        <v>0.74340000000000006</v>
      </c>
      <c r="C257" s="269">
        <f t="shared" si="17"/>
        <v>0.90972000000000008</v>
      </c>
      <c r="D257" s="444"/>
      <c r="E257" s="444"/>
    </row>
    <row r="258" spans="1:5" x14ac:dyDescent="0.35">
      <c r="A258" s="235" t="str">
        <f t="shared" si="16"/>
        <v>01-October-2020 to 31-October-2020</v>
      </c>
      <c r="B258" s="269">
        <f t="shared" si="17"/>
        <v>0.76427400000000001</v>
      </c>
      <c r="C258" s="269">
        <f t="shared" si="17"/>
        <v>0.93353400000000009</v>
      </c>
      <c r="D258" s="444"/>
      <c r="E258" s="444"/>
    </row>
    <row r="259" spans="1:5" x14ac:dyDescent="0.35">
      <c r="A259" s="235" t="str">
        <f t="shared" si="16"/>
        <v>01-November-2020 to 30-November-2020</v>
      </c>
      <c r="B259" s="269">
        <f t="shared" si="17"/>
        <v>0.73962000000000006</v>
      </c>
      <c r="C259" s="269">
        <f t="shared" si="17"/>
        <v>0.92232000000000003</v>
      </c>
      <c r="D259" s="444"/>
      <c r="E259" s="444"/>
    </row>
    <row r="260" spans="1:5" x14ac:dyDescent="0.35">
      <c r="A260" s="235" t="str">
        <f t="shared" si="16"/>
        <v>01-December-2020 to 31-December-2020</v>
      </c>
      <c r="B260" s="269">
        <f t="shared" si="17"/>
        <v>0.75255599999999989</v>
      </c>
      <c r="C260" s="269">
        <f t="shared" si="17"/>
        <v>0.96608399999999994</v>
      </c>
      <c r="D260" s="444"/>
      <c r="E260" s="444"/>
    </row>
    <row r="261" spans="1:5" x14ac:dyDescent="0.35">
      <c r="A261" s="235" t="str">
        <f t="shared" si="16"/>
        <v>01-January-2021 to 31-January-2021</v>
      </c>
      <c r="B261" s="269">
        <f t="shared" si="17"/>
        <v>0.769482</v>
      </c>
      <c r="C261" s="269">
        <f t="shared" si="17"/>
        <v>0.93744000000000005</v>
      </c>
      <c r="D261" s="444"/>
      <c r="E261" s="444"/>
    </row>
    <row r="262" spans="1:5" x14ac:dyDescent="0.35">
      <c r="A262" s="235" t="str">
        <f t="shared" si="16"/>
        <v>01-February-2021 to 28-February-2021</v>
      </c>
      <c r="B262" s="269">
        <f t="shared" si="17"/>
        <v>0.69266400000000006</v>
      </c>
      <c r="C262" s="269">
        <f t="shared" si="17"/>
        <v>0.85377599999999998</v>
      </c>
      <c r="D262" s="444"/>
      <c r="E262" s="444"/>
    </row>
    <row r="263" spans="1:5" x14ac:dyDescent="0.35">
      <c r="A263" s="235" t="str">
        <f t="shared" si="16"/>
        <v>01-March-2021 to 31-March-2021</v>
      </c>
      <c r="B263" s="269">
        <f t="shared" si="17"/>
        <v>0.75125400000000009</v>
      </c>
      <c r="C263" s="269">
        <f t="shared" si="17"/>
        <v>0.94655400000000001</v>
      </c>
      <c r="D263" s="444"/>
      <c r="E263" s="444"/>
    </row>
    <row r="264" spans="1:5" x14ac:dyDescent="0.35">
      <c r="A264" s="235" t="str">
        <f t="shared" si="16"/>
        <v>01-April-2021 to 30-April-2021</v>
      </c>
      <c r="B264" s="269">
        <f t="shared" si="17"/>
        <v>0.71441999999999994</v>
      </c>
      <c r="C264" s="269">
        <f t="shared" si="17"/>
        <v>0.92735999999999996</v>
      </c>
      <c r="D264" s="444"/>
      <c r="E264" s="444"/>
    </row>
    <row r="265" spans="1:5" x14ac:dyDescent="0.35">
      <c r="A265" s="235" t="str">
        <f t="shared" si="16"/>
        <v>01-May-2021 to 31-May-2021</v>
      </c>
      <c r="B265" s="269">
        <f t="shared" si="17"/>
        <v>0.75385799999999992</v>
      </c>
      <c r="C265" s="269">
        <f t="shared" si="17"/>
        <v>0.95436600000000005</v>
      </c>
      <c r="D265" s="444"/>
      <c r="E265" s="444"/>
    </row>
    <row r="266" spans="1:5" x14ac:dyDescent="0.35">
      <c r="A266" s="235" t="str">
        <f t="shared" si="16"/>
        <v>01-June-2021 to 30-June-2021</v>
      </c>
      <c r="B266" s="269">
        <f t="shared" si="17"/>
        <v>0.72449999999999992</v>
      </c>
      <c r="C266" s="269">
        <f t="shared" si="17"/>
        <v>0.90215999999999996</v>
      </c>
      <c r="D266" s="444"/>
      <c r="E266" s="444"/>
    </row>
    <row r="267" spans="1:5" x14ac:dyDescent="0.35">
      <c r="A267" s="235" t="str">
        <f t="shared" si="16"/>
        <v>01-July-2021 to 31-July-2021</v>
      </c>
      <c r="B267" s="269">
        <f t="shared" si="17"/>
        <v>0.75255599999999989</v>
      </c>
      <c r="C267" s="269">
        <f t="shared" si="17"/>
        <v>0.93744000000000005</v>
      </c>
      <c r="D267" s="444"/>
      <c r="E267" s="444"/>
    </row>
    <row r="268" spans="1:5" x14ac:dyDescent="0.35">
      <c r="A268" s="235" t="str">
        <f t="shared" si="16"/>
        <v>01-August-2021 to 31-August-2021</v>
      </c>
      <c r="B268" s="269">
        <f t="shared" si="17"/>
        <v>0.75646200000000008</v>
      </c>
      <c r="C268" s="269">
        <f t="shared" si="17"/>
        <v>0.93874199999999985</v>
      </c>
      <c r="D268" s="444"/>
      <c r="E268" s="444"/>
    </row>
    <row r="269" spans="1:5" x14ac:dyDescent="0.35">
      <c r="A269" s="235" t="str">
        <f t="shared" si="16"/>
        <v>01-September-2021 to 30-September-2021</v>
      </c>
      <c r="B269" s="269">
        <f t="shared" si="17"/>
        <v>0.74465999999999999</v>
      </c>
      <c r="C269" s="269">
        <f t="shared" si="17"/>
        <v>0.9109799999999999</v>
      </c>
      <c r="D269" s="444"/>
      <c r="E269" s="444"/>
    </row>
    <row r="270" spans="1:5" x14ac:dyDescent="0.35">
      <c r="A270" s="235" t="str">
        <f t="shared" si="16"/>
        <v>01-October-2021 to 31-October-2021</v>
      </c>
      <c r="B270" s="269">
        <f t="shared" si="17"/>
        <v>0.76036800000000004</v>
      </c>
      <c r="C270" s="269">
        <f t="shared" si="17"/>
        <v>0.95436600000000005</v>
      </c>
      <c r="D270" s="444"/>
      <c r="E270" s="444"/>
    </row>
    <row r="271" spans="1:5" x14ac:dyDescent="0.35">
      <c r="A271" s="235" t="str">
        <f t="shared" si="16"/>
        <v>01-November-2021 to 30-November-2021</v>
      </c>
      <c r="B271" s="269">
        <f t="shared" si="17"/>
        <v>0.72827999999999993</v>
      </c>
      <c r="C271" s="269">
        <f t="shared" si="17"/>
        <v>0.91350000000000009</v>
      </c>
      <c r="D271" s="444"/>
      <c r="E271" s="444"/>
    </row>
    <row r="272" spans="1:5" x14ac:dyDescent="0.35">
      <c r="A272" s="235" t="str">
        <f t="shared" si="16"/>
        <v>01-December-2021 to 31-December-2021</v>
      </c>
      <c r="B272" s="269">
        <f t="shared" si="17"/>
        <v>0.75646200000000008</v>
      </c>
      <c r="C272" s="269">
        <f t="shared" si="17"/>
        <v>0.93744000000000005</v>
      </c>
      <c r="D272" s="444"/>
      <c r="E272" s="444"/>
    </row>
    <row r="273" spans="1:5" x14ac:dyDescent="0.35">
      <c r="A273" s="112" t="s">
        <v>266</v>
      </c>
      <c r="B273" s="269"/>
      <c r="C273" s="269"/>
      <c r="D273" s="444" t="str">
        <f>D199</f>
        <v>No of heads</v>
      </c>
      <c r="E273" s="454" t="str">
        <f>E199</f>
        <v>Calculated as equation 5 and 6 in JPM, of which Np,LT and Nda,LT is  sourced from "Exported from the stock record of Market swine"
NLT for breeding swine is sourced from "Breeding Pig stock record"</v>
      </c>
    </row>
    <row r="274" spans="1:5" x14ac:dyDescent="0.35">
      <c r="A274" s="235" t="str">
        <f t="shared" ref="A274:A292" si="18">A254</f>
        <v>10-June-2020 to 30-June-2020</v>
      </c>
      <c r="B274" s="270">
        <f t="shared" ref="B274:C293" si="19">B200</f>
        <v>94708</v>
      </c>
      <c r="C274" s="270">
        <f t="shared" si="19"/>
        <v>51811</v>
      </c>
      <c r="D274" s="444"/>
      <c r="E274" s="454"/>
    </row>
    <row r="275" spans="1:5" x14ac:dyDescent="0.35">
      <c r="A275" s="235" t="str">
        <f t="shared" si="18"/>
        <v>01-July-2020 to 31-July-2020</v>
      </c>
      <c r="B275" s="270">
        <f t="shared" si="19"/>
        <v>94708</v>
      </c>
      <c r="C275" s="270">
        <f t="shared" si="19"/>
        <v>51845</v>
      </c>
      <c r="D275" s="444"/>
      <c r="E275" s="454"/>
    </row>
    <row r="276" spans="1:5" x14ac:dyDescent="0.35">
      <c r="A276" s="235" t="str">
        <f t="shared" si="18"/>
        <v>01-August-2020 to 31-August-2020</v>
      </c>
      <c r="B276" s="270">
        <f t="shared" si="19"/>
        <v>94708</v>
      </c>
      <c r="C276" s="270">
        <f t="shared" si="19"/>
        <v>51842</v>
      </c>
      <c r="D276" s="444"/>
      <c r="E276" s="454"/>
    </row>
    <row r="277" spans="1:5" x14ac:dyDescent="0.35">
      <c r="A277" s="235" t="str">
        <f t="shared" si="18"/>
        <v>01-September-2020 to 30-September-2020</v>
      </c>
      <c r="B277" s="270">
        <f t="shared" si="19"/>
        <v>94708</v>
      </c>
      <c r="C277" s="270">
        <f t="shared" si="19"/>
        <v>51855</v>
      </c>
      <c r="D277" s="444"/>
      <c r="E277" s="454"/>
    </row>
    <row r="278" spans="1:5" x14ac:dyDescent="0.35">
      <c r="A278" s="235" t="str">
        <f t="shared" si="18"/>
        <v>01-October-2020 to 31-October-2020</v>
      </c>
      <c r="B278" s="270">
        <f t="shared" si="19"/>
        <v>94708</v>
      </c>
      <c r="C278" s="270">
        <f t="shared" si="19"/>
        <v>51808</v>
      </c>
      <c r="D278" s="444"/>
      <c r="E278" s="454"/>
    </row>
    <row r="279" spans="1:5" x14ac:dyDescent="0.35">
      <c r="A279" s="235" t="str">
        <f t="shared" si="18"/>
        <v>01-November-2020 to 30-November-2020</v>
      </c>
      <c r="B279" s="270">
        <f t="shared" si="19"/>
        <v>94708</v>
      </c>
      <c r="C279" s="270">
        <f t="shared" si="19"/>
        <v>51858</v>
      </c>
      <c r="D279" s="444"/>
      <c r="E279" s="454"/>
    </row>
    <row r="280" spans="1:5" x14ac:dyDescent="0.35">
      <c r="A280" s="235" t="str">
        <f t="shared" si="18"/>
        <v>01-December-2020 to 31-December-2020</v>
      </c>
      <c r="B280" s="270">
        <f t="shared" si="19"/>
        <v>94708</v>
      </c>
      <c r="C280" s="270">
        <f t="shared" si="19"/>
        <v>51872</v>
      </c>
      <c r="D280" s="444"/>
      <c r="E280" s="454"/>
    </row>
    <row r="281" spans="1:5" x14ac:dyDescent="0.35">
      <c r="A281" s="235" t="str">
        <f t="shared" si="18"/>
        <v>01-January-2021 to 31-January-2021</v>
      </c>
      <c r="B281" s="270">
        <f t="shared" si="19"/>
        <v>94708</v>
      </c>
      <c r="C281" s="270">
        <f t="shared" si="19"/>
        <v>51865</v>
      </c>
      <c r="D281" s="444"/>
      <c r="E281" s="454"/>
    </row>
    <row r="282" spans="1:5" x14ac:dyDescent="0.35">
      <c r="A282" s="235" t="str">
        <f t="shared" si="18"/>
        <v>01-February-2021 to 28-February-2021</v>
      </c>
      <c r="B282" s="270">
        <f t="shared" si="19"/>
        <v>94708</v>
      </c>
      <c r="C282" s="270">
        <f t="shared" si="19"/>
        <v>51889</v>
      </c>
      <c r="D282" s="444"/>
      <c r="E282" s="454"/>
    </row>
    <row r="283" spans="1:5" x14ac:dyDescent="0.35">
      <c r="A283" s="235" t="str">
        <f t="shared" si="18"/>
        <v>01-March-2021 to 31-March-2021</v>
      </c>
      <c r="B283" s="270">
        <f t="shared" si="19"/>
        <v>94708</v>
      </c>
      <c r="C283" s="270">
        <f t="shared" si="19"/>
        <v>51838</v>
      </c>
      <c r="D283" s="444"/>
      <c r="E283" s="454"/>
    </row>
    <row r="284" spans="1:5" x14ac:dyDescent="0.35">
      <c r="A284" s="235" t="str">
        <f t="shared" si="18"/>
        <v>01-April-2021 to 30-April-2021</v>
      </c>
      <c r="B284" s="270">
        <f t="shared" si="19"/>
        <v>94708</v>
      </c>
      <c r="C284" s="270">
        <f t="shared" si="19"/>
        <v>51829</v>
      </c>
      <c r="D284" s="444"/>
      <c r="E284" s="454"/>
    </row>
    <row r="285" spans="1:5" x14ac:dyDescent="0.35">
      <c r="A285" s="235" t="str">
        <f t="shared" si="18"/>
        <v>01-May-2021 to 31-May-2021</v>
      </c>
      <c r="B285" s="270">
        <f t="shared" si="19"/>
        <v>94708</v>
      </c>
      <c r="C285" s="270">
        <f t="shared" si="19"/>
        <v>51836</v>
      </c>
      <c r="D285" s="444"/>
      <c r="E285" s="454"/>
    </row>
    <row r="286" spans="1:5" x14ac:dyDescent="0.35">
      <c r="A286" s="235" t="str">
        <f t="shared" si="18"/>
        <v>01-June-2021 to 30-June-2021</v>
      </c>
      <c r="B286" s="270">
        <f t="shared" si="19"/>
        <v>94708</v>
      </c>
      <c r="C286" s="270">
        <f t="shared" si="19"/>
        <v>51849</v>
      </c>
      <c r="D286" s="444"/>
      <c r="E286" s="454"/>
    </row>
    <row r="287" spans="1:5" x14ac:dyDescent="0.35">
      <c r="A287" s="235" t="str">
        <f t="shared" si="18"/>
        <v>01-July-2021 to 31-July-2021</v>
      </c>
      <c r="B287" s="270">
        <f t="shared" si="19"/>
        <v>94708</v>
      </c>
      <c r="C287" s="270">
        <f t="shared" si="19"/>
        <v>51854</v>
      </c>
      <c r="D287" s="444"/>
      <c r="E287" s="454"/>
    </row>
    <row r="288" spans="1:5" x14ac:dyDescent="0.35">
      <c r="A288" s="235" t="str">
        <f t="shared" si="18"/>
        <v>01-August-2021 to 31-August-2021</v>
      </c>
      <c r="B288" s="270">
        <f t="shared" si="19"/>
        <v>94708</v>
      </c>
      <c r="C288" s="270">
        <f t="shared" si="19"/>
        <v>51815</v>
      </c>
      <c r="D288" s="444"/>
      <c r="E288" s="454"/>
    </row>
    <row r="289" spans="1:5" x14ac:dyDescent="0.35">
      <c r="A289" s="235" t="str">
        <f t="shared" si="18"/>
        <v>01-September-2021 to 30-September-2021</v>
      </c>
      <c r="B289" s="270">
        <f t="shared" si="19"/>
        <v>94708</v>
      </c>
      <c r="C289" s="270">
        <f t="shared" si="19"/>
        <v>51900</v>
      </c>
      <c r="D289" s="444"/>
      <c r="E289" s="454"/>
    </row>
    <row r="290" spans="1:5" x14ac:dyDescent="0.35">
      <c r="A290" s="235" t="str">
        <f t="shared" si="18"/>
        <v>01-October-2021 to 31-October-2021</v>
      </c>
      <c r="B290" s="270">
        <f t="shared" si="19"/>
        <v>94708</v>
      </c>
      <c r="C290" s="270">
        <f t="shared" si="19"/>
        <v>51859</v>
      </c>
      <c r="D290" s="444"/>
      <c r="E290" s="454"/>
    </row>
    <row r="291" spans="1:5" x14ac:dyDescent="0.35">
      <c r="A291" s="235" t="str">
        <f t="shared" si="18"/>
        <v>01-November-2021 to 30-November-2021</v>
      </c>
      <c r="B291" s="270">
        <f t="shared" si="19"/>
        <v>94708</v>
      </c>
      <c r="C291" s="270">
        <f t="shared" si="19"/>
        <v>51827</v>
      </c>
      <c r="D291" s="444"/>
      <c r="E291" s="454"/>
    </row>
    <row r="292" spans="1:5" x14ac:dyDescent="0.35">
      <c r="A292" s="235" t="str">
        <f t="shared" si="18"/>
        <v>01-December-2021 to 31-December-2021</v>
      </c>
      <c r="B292" s="270">
        <f t="shared" si="19"/>
        <v>94708</v>
      </c>
      <c r="C292" s="270">
        <f t="shared" si="19"/>
        <v>51854</v>
      </c>
      <c r="D292" s="444"/>
      <c r="E292" s="454"/>
    </row>
    <row r="293" spans="1:5" x14ac:dyDescent="0.35">
      <c r="A293" s="31" t="s">
        <v>173</v>
      </c>
      <c r="B293" s="35">
        <f t="shared" si="19"/>
        <v>1</v>
      </c>
      <c r="C293" s="35">
        <f t="shared" si="19"/>
        <v>1</v>
      </c>
      <c r="D293" s="52" t="str">
        <f>D219</f>
        <v>%</v>
      </c>
      <c r="E293" s="33" t="s">
        <v>100</v>
      </c>
    </row>
    <row r="294" spans="1:5" ht="15.5" x14ac:dyDescent="0.45">
      <c r="A294" s="112" t="s">
        <v>274</v>
      </c>
      <c r="B294" s="271">
        <v>265</v>
      </c>
      <c r="C294" s="271">
        <v>265</v>
      </c>
      <c r="D294" s="52" t="s">
        <v>275</v>
      </c>
      <c r="E294" s="34" t="s">
        <v>124</v>
      </c>
    </row>
    <row r="295" spans="1:5" ht="15.5" x14ac:dyDescent="0.45">
      <c r="A295" s="112" t="s">
        <v>276</v>
      </c>
      <c r="B295" s="269">
        <f>44/28</f>
        <v>1.5714285714285714</v>
      </c>
      <c r="C295" s="269">
        <f>44/28</f>
        <v>1.5714285714285714</v>
      </c>
      <c r="D295" s="52" t="s">
        <v>277</v>
      </c>
      <c r="E295" s="33" t="s">
        <v>383</v>
      </c>
    </row>
    <row r="296" spans="1:5" ht="15.5" x14ac:dyDescent="0.45">
      <c r="A296" s="272" t="s">
        <v>278</v>
      </c>
      <c r="B296" s="269"/>
      <c r="C296" s="269"/>
      <c r="D296" s="52"/>
      <c r="E296" s="33"/>
    </row>
    <row r="297" spans="1:5" x14ac:dyDescent="0.35">
      <c r="A297" s="236" t="str">
        <f t="shared" ref="A297:A315" si="20">A274</f>
        <v>10-June-2020 to 30-June-2020</v>
      </c>
      <c r="B297" s="269">
        <f t="shared" ref="B297:C315" si="21">$B$251*$B$252*B254*B274*$B$293</f>
        <v>276.85042560000005</v>
      </c>
      <c r="C297" s="269">
        <f t="shared" si="21"/>
        <v>188.27288424</v>
      </c>
      <c r="D297" s="456"/>
      <c r="E297" s="462" t="s">
        <v>102</v>
      </c>
    </row>
    <row r="298" spans="1:5" x14ac:dyDescent="0.35">
      <c r="A298" s="236" t="str">
        <f t="shared" si="20"/>
        <v>01-July-2020 to 31-July-2020</v>
      </c>
      <c r="B298" s="269">
        <f t="shared" si="21"/>
        <v>284.59905532800008</v>
      </c>
      <c r="C298" s="269">
        <f t="shared" si="21"/>
        <v>192.78625464000004</v>
      </c>
      <c r="D298" s="456"/>
      <c r="E298" s="462"/>
    </row>
    <row r="299" spans="1:5" x14ac:dyDescent="0.35">
      <c r="A299" s="236" t="str">
        <f t="shared" si="20"/>
        <v>01-August-2020 to 31-August-2020</v>
      </c>
      <c r="B299" s="269">
        <f t="shared" si="21"/>
        <v>283.11933753599993</v>
      </c>
      <c r="C299" s="269">
        <f t="shared" si="21"/>
        <v>197.36498241599998</v>
      </c>
      <c r="D299" s="456"/>
      <c r="E299" s="462"/>
    </row>
    <row r="300" spans="1:5" x14ac:dyDescent="0.35">
      <c r="A300" s="236" t="str">
        <f t="shared" si="20"/>
        <v>01-September-2020 to 30-September-2020</v>
      </c>
      <c r="B300" s="269">
        <f t="shared" si="21"/>
        <v>281.62370880000003</v>
      </c>
      <c r="C300" s="269">
        <f t="shared" si="21"/>
        <v>188.69412240000003</v>
      </c>
      <c r="D300" s="456"/>
      <c r="E300" s="462"/>
    </row>
    <row r="301" spans="1:5" x14ac:dyDescent="0.35">
      <c r="A301" s="236" t="str">
        <f t="shared" si="20"/>
        <v>01-October-2020 to 31-October-2020</v>
      </c>
      <c r="B301" s="269">
        <f t="shared" si="21"/>
        <v>289.53144796800001</v>
      </c>
      <c r="C301" s="269">
        <f t="shared" si="21"/>
        <v>193.458117888</v>
      </c>
      <c r="D301" s="456"/>
      <c r="E301" s="462"/>
    </row>
    <row r="302" spans="1:5" x14ac:dyDescent="0.35">
      <c r="A302" s="236" t="str">
        <f t="shared" si="20"/>
        <v>01-November-2020 to 30-November-2020</v>
      </c>
      <c r="B302" s="269">
        <f t="shared" si="21"/>
        <v>280.19172384000001</v>
      </c>
      <c r="C302" s="269">
        <f t="shared" si="21"/>
        <v>191.31868224000002</v>
      </c>
      <c r="D302" s="456"/>
      <c r="E302" s="462"/>
    </row>
    <row r="303" spans="1:5" x14ac:dyDescent="0.35">
      <c r="A303" s="236" t="str">
        <f t="shared" si="20"/>
        <v>01-December-2020 to 31-December-2020</v>
      </c>
      <c r="B303" s="269">
        <f t="shared" si="21"/>
        <v>285.09229459199997</v>
      </c>
      <c r="C303" s="269">
        <f t="shared" si="21"/>
        <v>200.45083699200001</v>
      </c>
      <c r="D303" s="456"/>
      <c r="E303" s="462"/>
    </row>
    <row r="304" spans="1:5" x14ac:dyDescent="0.35">
      <c r="A304" s="236" t="str">
        <f t="shared" si="20"/>
        <v>01-January-2021 to 31-January-2021</v>
      </c>
      <c r="B304" s="269">
        <f t="shared" si="21"/>
        <v>291.50440502399999</v>
      </c>
      <c r="C304" s="269">
        <f t="shared" si="21"/>
        <v>194.48130240000003</v>
      </c>
      <c r="D304" s="456"/>
      <c r="E304" s="462"/>
    </row>
    <row r="305" spans="1:6" x14ac:dyDescent="0.35">
      <c r="A305" s="236" t="str">
        <f t="shared" si="20"/>
        <v>01-February-2021 to 28-February-2021</v>
      </c>
      <c r="B305" s="269">
        <f t="shared" si="21"/>
        <v>262.40328844800001</v>
      </c>
      <c r="C305" s="269">
        <f t="shared" si="21"/>
        <v>177.20633145599999</v>
      </c>
      <c r="D305" s="456"/>
      <c r="E305" s="462"/>
    </row>
    <row r="306" spans="1:6" x14ac:dyDescent="0.35">
      <c r="A306" s="236" t="str">
        <f t="shared" si="20"/>
        <v>01-March-2021 to 31-March-2021</v>
      </c>
      <c r="B306" s="269">
        <f t="shared" si="21"/>
        <v>284.59905532800008</v>
      </c>
      <c r="C306" s="269">
        <f t="shared" si="21"/>
        <v>196.26986500800001</v>
      </c>
      <c r="D306" s="456"/>
      <c r="E306" s="462"/>
    </row>
    <row r="307" spans="1:6" x14ac:dyDescent="0.35">
      <c r="A307" s="236" t="str">
        <f t="shared" si="20"/>
        <v>01-April-2021 to 30-April-2021</v>
      </c>
      <c r="B307" s="269">
        <f t="shared" si="21"/>
        <v>270.64515743999999</v>
      </c>
      <c r="C307" s="269">
        <f t="shared" si="21"/>
        <v>192.25656576</v>
      </c>
      <c r="D307" s="456"/>
      <c r="E307" s="462"/>
    </row>
    <row r="308" spans="1:6" x14ac:dyDescent="0.35">
      <c r="A308" s="236" t="str">
        <f t="shared" si="20"/>
        <v>01-May-2021 to 31-May-2021</v>
      </c>
      <c r="B308" s="269">
        <f t="shared" si="21"/>
        <v>285.58553385599998</v>
      </c>
      <c r="C308" s="269">
        <f t="shared" si="21"/>
        <v>197.88206390400003</v>
      </c>
      <c r="D308" s="456"/>
      <c r="E308" s="462"/>
    </row>
    <row r="309" spans="1:6" x14ac:dyDescent="0.35">
      <c r="A309" s="236" t="str">
        <f t="shared" si="20"/>
        <v>01-June-2021 to 30-June-2021</v>
      </c>
      <c r="B309" s="269">
        <f t="shared" si="21"/>
        <v>274.46378399999998</v>
      </c>
      <c r="C309" s="269">
        <f t="shared" si="21"/>
        <v>187.10437535999998</v>
      </c>
      <c r="D309" s="456"/>
      <c r="E309" s="462"/>
    </row>
    <row r="310" spans="1:6" x14ac:dyDescent="0.35">
      <c r="A310" s="236" t="str">
        <f t="shared" si="20"/>
        <v>01-July-2021 to 31-July-2021</v>
      </c>
      <c r="B310" s="269">
        <f t="shared" si="21"/>
        <v>285.09229459199997</v>
      </c>
      <c r="C310" s="269">
        <f t="shared" si="21"/>
        <v>194.44005504000003</v>
      </c>
      <c r="D310" s="456"/>
      <c r="E310" s="462"/>
    </row>
    <row r="311" spans="1:6" x14ac:dyDescent="0.35">
      <c r="A311" s="236" t="str">
        <f t="shared" si="20"/>
        <v>01-August-2021 to 31-August-2021</v>
      </c>
      <c r="B311" s="269">
        <f t="shared" si="21"/>
        <v>286.572012384</v>
      </c>
      <c r="C311" s="269">
        <f t="shared" si="21"/>
        <v>194.56366691999997</v>
      </c>
      <c r="D311" s="456"/>
      <c r="E311" s="462"/>
    </row>
    <row r="312" spans="1:6" x14ac:dyDescent="0.35">
      <c r="A312" s="236" t="str">
        <f t="shared" si="20"/>
        <v>01-September-2021 to 30-September-2021</v>
      </c>
      <c r="B312" s="269">
        <f t="shared" si="21"/>
        <v>282.10103712</v>
      </c>
      <c r="C312" s="269">
        <f t="shared" si="21"/>
        <v>189.11944799999998</v>
      </c>
      <c r="D312" s="456"/>
      <c r="E312" s="462"/>
    </row>
    <row r="313" spans="1:6" x14ac:dyDescent="0.35">
      <c r="A313" s="236" t="str">
        <f t="shared" si="20"/>
        <v>01-October-2021 to 31-October-2021</v>
      </c>
      <c r="B313" s="269">
        <f t="shared" si="21"/>
        <v>288.05173017600004</v>
      </c>
      <c r="C313" s="269">
        <f t="shared" si="21"/>
        <v>197.96986557600002</v>
      </c>
      <c r="D313" s="456"/>
      <c r="E313" s="462"/>
    </row>
    <row r="314" spans="1:6" x14ac:dyDescent="0.35">
      <c r="A314" s="236" t="str">
        <f t="shared" si="20"/>
        <v>01-November-2021 to 30-November-2021</v>
      </c>
      <c r="B314" s="269">
        <f t="shared" si="21"/>
        <v>275.89576896</v>
      </c>
      <c r="C314" s="269">
        <f t="shared" si="21"/>
        <v>189.37585800000002</v>
      </c>
      <c r="D314" s="456"/>
      <c r="E314" s="462"/>
    </row>
    <row r="315" spans="1:6" x14ac:dyDescent="0.35">
      <c r="A315" s="236" t="str">
        <f t="shared" si="20"/>
        <v>01-December-2021 to 31-December-2021</v>
      </c>
      <c r="B315" s="269">
        <f t="shared" si="21"/>
        <v>286.572012384</v>
      </c>
      <c r="C315" s="269">
        <f t="shared" si="21"/>
        <v>194.44005504000003</v>
      </c>
      <c r="D315" s="457"/>
      <c r="E315" s="462"/>
    </row>
    <row r="316" spans="1:6" ht="15.5" x14ac:dyDescent="0.45">
      <c r="A316" s="39" t="s">
        <v>284</v>
      </c>
      <c r="B316" s="443">
        <f>SUM(B297:B303)+SUM(C297:C303)</f>
        <v>3333.3538744800003</v>
      </c>
      <c r="C316" s="443"/>
      <c r="D316" s="52" t="s">
        <v>268</v>
      </c>
      <c r="E316" s="462"/>
    </row>
    <row r="317" spans="1:6" ht="15.5" x14ac:dyDescent="0.45">
      <c r="A317" s="39" t="s">
        <v>285</v>
      </c>
      <c r="B317" s="443">
        <f>SUM(B304:B315)+SUM(C304:C315)</f>
        <v>5678.5955321760011</v>
      </c>
      <c r="C317" s="443"/>
      <c r="D317" s="52" t="s">
        <v>268</v>
      </c>
      <c r="E317" s="462"/>
    </row>
    <row r="318" spans="1:6" ht="16" thickBot="1" x14ac:dyDescent="0.5">
      <c r="A318" s="97" t="s">
        <v>279</v>
      </c>
      <c r="B318" s="452">
        <f>B316+B317</f>
        <v>9011.9494066560019</v>
      </c>
      <c r="C318" s="452"/>
      <c r="D318" s="71" t="s">
        <v>268</v>
      </c>
      <c r="E318" s="463"/>
    </row>
    <row r="319" spans="1:6" x14ac:dyDescent="0.35">
      <c r="A319" s="263"/>
      <c r="B319" s="273"/>
      <c r="C319" s="273"/>
      <c r="D319" s="274"/>
      <c r="E319" s="274"/>
    </row>
    <row r="320" spans="1:6" ht="16" thickBot="1" x14ac:dyDescent="0.5">
      <c r="A320" s="441" t="s">
        <v>280</v>
      </c>
      <c r="B320" s="442"/>
      <c r="C320" s="442"/>
      <c r="D320" s="442"/>
      <c r="E320" s="275">
        <f>B321+B322</f>
        <v>3752</v>
      </c>
      <c r="F320" s="51" t="s">
        <v>184</v>
      </c>
    </row>
    <row r="321" spans="1:6" s="238" customFormat="1" x14ac:dyDescent="0.35">
      <c r="A321" s="276" t="s">
        <v>255</v>
      </c>
      <c r="B321" s="277">
        <f>ROUNDDOWN(B294*B295/1000*(B316+B240),0)</f>
        <v>1388</v>
      </c>
      <c r="C321" s="278"/>
      <c r="D321" s="278"/>
      <c r="E321" s="279"/>
    </row>
    <row r="322" spans="1:6" s="238" customFormat="1" ht="14" thickBot="1" x14ac:dyDescent="0.4">
      <c r="A322" s="280" t="s">
        <v>286</v>
      </c>
      <c r="B322" s="281">
        <f>ROUNDDOWN(B294*B295/1000*(B317+B241),0)</f>
        <v>2364</v>
      </c>
      <c r="C322" s="278"/>
      <c r="D322" s="278"/>
      <c r="E322" s="263"/>
    </row>
    <row r="324" spans="1:6" x14ac:dyDescent="0.35">
      <c r="A324" s="282"/>
      <c r="B324" s="283"/>
      <c r="C324" s="284"/>
      <c r="D324" s="265"/>
      <c r="E324" s="53"/>
    </row>
    <row r="325" spans="1:6" ht="16.5" x14ac:dyDescent="0.45">
      <c r="A325" s="285" t="s">
        <v>83</v>
      </c>
      <c r="B325" s="286"/>
      <c r="C325" s="287" t="s">
        <v>281</v>
      </c>
      <c r="D325" s="288"/>
      <c r="E325" s="289">
        <f>B327+B328</f>
        <v>221232</v>
      </c>
      <c r="F325" s="51" t="s">
        <v>184</v>
      </c>
    </row>
    <row r="326" spans="1:6" ht="14" thickBot="1" x14ac:dyDescent="0.4">
      <c r="A326" s="53"/>
      <c r="B326" s="290"/>
      <c r="C326" s="53"/>
      <c r="D326" s="53"/>
      <c r="E326" s="53"/>
    </row>
    <row r="327" spans="1:6" ht="15.5" x14ac:dyDescent="0.45">
      <c r="A327" s="276" t="str">
        <f>A321</f>
        <v>10-June-2020 to 31-December-2020</v>
      </c>
      <c r="B327" s="291">
        <f>ROUNDDOWN(B321+B118,0)</f>
        <v>81830</v>
      </c>
      <c r="C327" s="292" t="s">
        <v>184</v>
      </c>
      <c r="D327" s="293"/>
    </row>
    <row r="328" spans="1:6" ht="15.5" x14ac:dyDescent="0.45">
      <c r="A328" s="65" t="str">
        <f>A322</f>
        <v>01-January-2021 to 31-December-2021</v>
      </c>
      <c r="B328" s="294">
        <f>ROUNDDOWN(B322+B119,0)</f>
        <v>139402</v>
      </c>
      <c r="C328" s="295" t="s">
        <v>184</v>
      </c>
      <c r="D328" s="295"/>
    </row>
    <row r="329" spans="1:6" ht="16" thickBot="1" x14ac:dyDescent="0.5">
      <c r="A329" s="280" t="s">
        <v>287</v>
      </c>
      <c r="B329" s="296">
        <f>B327+B328</f>
        <v>221232</v>
      </c>
      <c r="C329" s="293" t="s">
        <v>184</v>
      </c>
    </row>
    <row r="334" spans="1:6" x14ac:dyDescent="0.35">
      <c r="D334" s="297"/>
    </row>
    <row r="342" spans="1:2" x14ac:dyDescent="0.35">
      <c r="A342" s="53"/>
      <c r="B342" s="53"/>
    </row>
    <row r="343" spans="1:2" x14ac:dyDescent="0.35">
      <c r="A343" s="53"/>
      <c r="B343" s="263"/>
    </row>
    <row r="344" spans="1:2" x14ac:dyDescent="0.35">
      <c r="A344" s="53"/>
      <c r="B344" s="53"/>
    </row>
  </sheetData>
  <sheetProtection selectLockedCells="1" selectUnlockedCells="1"/>
  <customSheetViews>
    <customSheetView guid="{2C071143-29D6-4036-A926-BF7E54293313}" showRuler="0">
      <selection activeCell="E28" sqref="E28"/>
      <pageMargins left="0.75" right="0.75" top="1" bottom="1" header="0.5" footer="0.5"/>
      <pageSetup orientation="portrait" r:id="rId1"/>
      <headerFooter alignWithMargins="0"/>
    </customSheetView>
  </customSheetViews>
  <mergeCells count="36">
    <mergeCell ref="E35:E54"/>
    <mergeCell ref="D297:D315"/>
    <mergeCell ref="E297:E318"/>
    <mergeCell ref="E99:E120"/>
    <mergeCell ref="D58:D76"/>
    <mergeCell ref="E57:E76"/>
    <mergeCell ref="D78:D97"/>
    <mergeCell ref="E78:E97"/>
    <mergeCell ref="D137:D156"/>
    <mergeCell ref="E137:E156"/>
    <mergeCell ref="E221:E242"/>
    <mergeCell ref="E157:E176"/>
    <mergeCell ref="A123:D123"/>
    <mergeCell ref="D157:D176"/>
    <mergeCell ref="D15:D34"/>
    <mergeCell ref="E15:E34"/>
    <mergeCell ref="B318:C318"/>
    <mergeCell ref="B242:C242"/>
    <mergeCell ref="D253:D272"/>
    <mergeCell ref="E253:E272"/>
    <mergeCell ref="D273:D292"/>
    <mergeCell ref="E273:E292"/>
    <mergeCell ref="D35:D54"/>
    <mergeCell ref="D221:D239"/>
    <mergeCell ref="B118:C118"/>
    <mergeCell ref="B119:C119"/>
    <mergeCell ref="D179:D198"/>
    <mergeCell ref="B120:C120"/>
    <mergeCell ref="E179:E198"/>
    <mergeCell ref="E199:E218"/>
    <mergeCell ref="A320:D320"/>
    <mergeCell ref="B316:C316"/>
    <mergeCell ref="D199:D218"/>
    <mergeCell ref="B317:C317"/>
    <mergeCell ref="B240:C240"/>
    <mergeCell ref="B241:C241"/>
  </mergeCells>
  <phoneticPr fontId="0" type="noConversion"/>
  <pageMargins left="0.75" right="0.75" top="1" bottom="1" header="0.5" footer="0.5"/>
  <pageSetup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46"/>
  <sheetViews>
    <sheetView topLeftCell="A61" workbookViewId="0">
      <selection activeCell="A3" sqref="A3"/>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'2021.5'!A2:G2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32.799999999999997</v>
      </c>
      <c r="C5" s="7">
        <v>58.5</v>
      </c>
      <c r="D5" s="7">
        <v>98.8</v>
      </c>
      <c r="E5" s="7">
        <v>40.700000000000003</v>
      </c>
      <c r="F5" s="7">
        <v>70</v>
      </c>
      <c r="G5" s="7">
        <v>110.9</v>
      </c>
    </row>
    <row r="6" spans="1:7" ht="13" x14ac:dyDescent="0.25">
      <c r="A6" s="11">
        <v>2</v>
      </c>
      <c r="B6" s="7">
        <v>44</v>
      </c>
      <c r="C6" s="7">
        <v>58.3</v>
      </c>
      <c r="D6" s="7">
        <v>103.2</v>
      </c>
      <c r="E6" s="7">
        <v>28.1</v>
      </c>
      <c r="F6" s="7">
        <v>73.900000000000006</v>
      </c>
      <c r="G6" s="7">
        <v>113.8</v>
      </c>
    </row>
    <row r="7" spans="1:7" ht="13" x14ac:dyDescent="0.25">
      <c r="A7" s="11">
        <v>3</v>
      </c>
      <c r="B7" s="7">
        <v>36.6</v>
      </c>
      <c r="C7" s="7">
        <v>48.3</v>
      </c>
      <c r="D7" s="7">
        <v>88.6</v>
      </c>
      <c r="E7" s="7">
        <v>42.3</v>
      </c>
      <c r="F7" s="7">
        <v>73.7</v>
      </c>
      <c r="G7" s="7">
        <v>102.7</v>
      </c>
    </row>
    <row r="8" spans="1:7" ht="13" x14ac:dyDescent="0.25">
      <c r="A8" s="11">
        <v>4</v>
      </c>
      <c r="B8" s="7">
        <v>31.8</v>
      </c>
      <c r="C8" s="7">
        <v>55.5</v>
      </c>
      <c r="D8" s="7">
        <v>81</v>
      </c>
      <c r="E8" s="7">
        <v>35.1</v>
      </c>
      <c r="F8" s="7">
        <v>71</v>
      </c>
      <c r="G8" s="7">
        <v>98.3</v>
      </c>
    </row>
    <row r="9" spans="1:7" ht="13" x14ac:dyDescent="0.25">
      <c r="A9" s="11">
        <v>5</v>
      </c>
      <c r="B9" s="7">
        <v>22.8</v>
      </c>
      <c r="C9" s="7">
        <v>64.599999999999994</v>
      </c>
      <c r="D9" s="7">
        <v>106.4</v>
      </c>
      <c r="E9" s="7">
        <v>27.1</v>
      </c>
      <c r="F9" s="7">
        <v>84.1</v>
      </c>
      <c r="G9" s="7">
        <v>87.1</v>
      </c>
    </row>
    <row r="10" spans="1:7" ht="13" x14ac:dyDescent="0.25">
      <c r="A10" s="11">
        <v>6</v>
      </c>
      <c r="B10" s="7">
        <v>41.2</v>
      </c>
      <c r="C10" s="7">
        <v>51.5</v>
      </c>
      <c r="D10" s="7">
        <v>68.5</v>
      </c>
      <c r="E10" s="7">
        <v>52.2</v>
      </c>
      <c r="F10" s="7">
        <v>76.099999999999994</v>
      </c>
      <c r="G10" s="7">
        <v>93.4</v>
      </c>
    </row>
    <row r="11" spans="1:7" ht="13" x14ac:dyDescent="0.25">
      <c r="A11" s="11">
        <v>7</v>
      </c>
      <c r="B11" s="7">
        <v>43.8</v>
      </c>
      <c r="C11" s="7">
        <v>58.5</v>
      </c>
      <c r="D11" s="7">
        <v>104.9</v>
      </c>
      <c r="E11" s="7">
        <v>37.4</v>
      </c>
      <c r="F11" s="7">
        <v>62.3</v>
      </c>
      <c r="G11" s="7">
        <v>110</v>
      </c>
    </row>
    <row r="12" spans="1:7" ht="13" x14ac:dyDescent="0.25">
      <c r="A12" s="11">
        <v>8</v>
      </c>
      <c r="B12" s="7">
        <v>26.1</v>
      </c>
      <c r="C12" s="7">
        <v>50.8</v>
      </c>
      <c r="D12" s="7">
        <v>109.8</v>
      </c>
      <c r="E12" s="7">
        <v>52</v>
      </c>
      <c r="F12" s="7">
        <v>79.599999999999994</v>
      </c>
      <c r="G12" s="7">
        <v>93.1</v>
      </c>
    </row>
    <row r="13" spans="1:7" ht="13" x14ac:dyDescent="0.25">
      <c r="A13" s="11">
        <v>9</v>
      </c>
      <c r="B13" s="7">
        <v>20.9</v>
      </c>
      <c r="C13" s="7">
        <v>55</v>
      </c>
      <c r="D13" s="7">
        <v>76.400000000000006</v>
      </c>
      <c r="E13" s="7">
        <v>31.3</v>
      </c>
      <c r="F13" s="7">
        <v>61.7</v>
      </c>
      <c r="G13" s="7">
        <v>85.4</v>
      </c>
    </row>
    <row r="14" spans="1:7" ht="13" x14ac:dyDescent="0.25">
      <c r="A14" s="11">
        <v>10</v>
      </c>
      <c r="B14" s="7"/>
      <c r="C14" s="7"/>
      <c r="D14" s="7"/>
      <c r="E14" s="7">
        <v>34</v>
      </c>
      <c r="F14" s="7">
        <v>61.6</v>
      </c>
      <c r="G14" s="7">
        <v>114.1</v>
      </c>
    </row>
    <row r="15" spans="1:7" ht="13" x14ac:dyDescent="0.25">
      <c r="A15" s="11">
        <v>11</v>
      </c>
      <c r="B15" s="7"/>
      <c r="C15" s="7"/>
      <c r="D15" s="7"/>
      <c r="E15" s="7">
        <v>34.200000000000003</v>
      </c>
      <c r="F15" s="7">
        <v>82.8</v>
      </c>
      <c r="G15" s="7">
        <v>104.9</v>
      </c>
    </row>
    <row r="16" spans="1:7" ht="13" x14ac:dyDescent="0.25">
      <c r="A16" s="11">
        <v>12</v>
      </c>
      <c r="B16" s="7"/>
      <c r="C16" s="7"/>
      <c r="D16" s="7"/>
      <c r="E16" s="7">
        <v>39.4</v>
      </c>
      <c r="F16" s="7">
        <v>70.2</v>
      </c>
      <c r="G16" s="7">
        <v>115.5</v>
      </c>
    </row>
    <row r="17" spans="1:7" ht="13" x14ac:dyDescent="0.25">
      <c r="A17" s="11">
        <v>13</v>
      </c>
      <c r="B17" s="7"/>
      <c r="C17" s="7"/>
      <c r="D17" s="7"/>
      <c r="E17" s="7">
        <v>31.7</v>
      </c>
      <c r="F17" s="7">
        <v>78.5</v>
      </c>
      <c r="G17" s="7">
        <v>116</v>
      </c>
    </row>
    <row r="18" spans="1:7" ht="13" x14ac:dyDescent="0.25">
      <c r="A18" s="11">
        <v>14</v>
      </c>
      <c r="B18" s="7"/>
      <c r="C18" s="7"/>
      <c r="D18" s="7"/>
      <c r="E18" s="7">
        <v>36.4</v>
      </c>
      <c r="F18" s="7">
        <v>77</v>
      </c>
      <c r="G18" s="7">
        <v>98.8</v>
      </c>
    </row>
    <row r="19" spans="1:7" ht="13" x14ac:dyDescent="0.25">
      <c r="A19" s="11">
        <v>15</v>
      </c>
      <c r="B19" s="7"/>
      <c r="C19" s="7"/>
      <c r="D19" s="7"/>
      <c r="E19" s="7">
        <v>27.3</v>
      </c>
      <c r="F19" s="7">
        <v>81.099999999999994</v>
      </c>
      <c r="G19" s="7">
        <v>86.8</v>
      </c>
    </row>
    <row r="20" spans="1:7" ht="13.5" thickBot="1" x14ac:dyDescent="0.3">
      <c r="A20" s="14">
        <v>16</v>
      </c>
      <c r="B20" s="15"/>
      <c r="C20" s="15"/>
      <c r="D20" s="15"/>
      <c r="E20" s="7">
        <v>44.8</v>
      </c>
      <c r="F20" s="7">
        <v>65.400000000000006</v>
      </c>
      <c r="G20" s="7">
        <v>111.1</v>
      </c>
    </row>
    <row r="21" spans="1:7" ht="13.5" thickTop="1" x14ac:dyDescent="0.25">
      <c r="A21" s="612" t="str">
        <f>'2021.5'!A21:G21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21.2</v>
      </c>
      <c r="C24" s="7">
        <v>58.7</v>
      </c>
      <c r="D24" s="7">
        <v>103.1</v>
      </c>
      <c r="E24" s="7">
        <v>43.9</v>
      </c>
      <c r="F24" s="7">
        <v>74.2</v>
      </c>
      <c r="G24" s="7">
        <v>91.1</v>
      </c>
    </row>
    <row r="25" spans="1:7" ht="13" x14ac:dyDescent="0.25">
      <c r="A25" s="11">
        <v>2</v>
      </c>
      <c r="B25" s="7">
        <v>37.6</v>
      </c>
      <c r="C25" s="7">
        <v>51.1</v>
      </c>
      <c r="D25" s="7">
        <v>82.5</v>
      </c>
      <c r="E25" s="7">
        <v>34.5</v>
      </c>
      <c r="F25" s="7">
        <v>76.599999999999994</v>
      </c>
      <c r="G25" s="7">
        <v>85.3</v>
      </c>
    </row>
    <row r="26" spans="1:7" ht="13" x14ac:dyDescent="0.25">
      <c r="A26" s="11">
        <v>3</v>
      </c>
      <c r="B26" s="7">
        <v>21.4</v>
      </c>
      <c r="C26" s="7">
        <v>61.8</v>
      </c>
      <c r="D26" s="7">
        <v>72.2</v>
      </c>
      <c r="E26" s="7">
        <v>46.9</v>
      </c>
      <c r="F26" s="7">
        <v>67</v>
      </c>
      <c r="G26" s="7">
        <v>91.2</v>
      </c>
    </row>
    <row r="27" spans="1:7" ht="13" x14ac:dyDescent="0.25">
      <c r="A27" s="11">
        <v>4</v>
      </c>
      <c r="B27" s="7">
        <v>31.1</v>
      </c>
      <c r="C27" s="7">
        <v>58.1</v>
      </c>
      <c r="D27" s="7">
        <v>91.2</v>
      </c>
      <c r="E27" s="7">
        <v>44.3</v>
      </c>
      <c r="F27" s="7">
        <v>81.400000000000006</v>
      </c>
      <c r="G27" s="7">
        <v>108.9</v>
      </c>
    </row>
    <row r="28" spans="1:7" ht="13" x14ac:dyDescent="0.25">
      <c r="A28" s="11">
        <v>5</v>
      </c>
      <c r="B28" s="7">
        <v>32.4</v>
      </c>
      <c r="C28" s="7">
        <v>53</v>
      </c>
      <c r="D28" s="7">
        <v>78.900000000000006</v>
      </c>
      <c r="E28" s="7">
        <v>27.7</v>
      </c>
      <c r="F28" s="7">
        <v>82.7</v>
      </c>
      <c r="G28" s="7">
        <v>114.3</v>
      </c>
    </row>
    <row r="29" spans="1:7" ht="13" x14ac:dyDescent="0.25">
      <c r="A29" s="11">
        <v>6</v>
      </c>
      <c r="B29" s="7">
        <v>25.3</v>
      </c>
      <c r="C29" s="7">
        <v>52</v>
      </c>
      <c r="D29" s="7">
        <v>81.400000000000006</v>
      </c>
      <c r="E29" s="7">
        <v>52.1</v>
      </c>
      <c r="F29" s="7">
        <v>60.7</v>
      </c>
      <c r="G29" s="7">
        <v>94.7</v>
      </c>
    </row>
    <row r="30" spans="1:7" ht="13" x14ac:dyDescent="0.25">
      <c r="A30" s="11">
        <v>7</v>
      </c>
      <c r="B30" s="7">
        <v>36.700000000000003</v>
      </c>
      <c r="C30" s="7">
        <v>51.5</v>
      </c>
      <c r="D30" s="7">
        <v>108.8</v>
      </c>
      <c r="E30" s="7">
        <v>33.299999999999997</v>
      </c>
      <c r="F30" s="7">
        <v>72.099999999999994</v>
      </c>
      <c r="G30" s="7">
        <v>92.6</v>
      </c>
    </row>
    <row r="31" spans="1:7" ht="13" x14ac:dyDescent="0.25">
      <c r="A31" s="11">
        <v>8</v>
      </c>
      <c r="B31" s="7">
        <v>30.9</v>
      </c>
      <c r="C31" s="7">
        <v>50.4</v>
      </c>
      <c r="D31" s="7">
        <v>76.2</v>
      </c>
      <c r="E31" s="7">
        <v>33.700000000000003</v>
      </c>
      <c r="F31" s="7">
        <v>79.099999999999994</v>
      </c>
      <c r="G31" s="7">
        <v>117.3</v>
      </c>
    </row>
    <row r="32" spans="1:7" ht="13" x14ac:dyDescent="0.25">
      <c r="A32" s="11">
        <v>9</v>
      </c>
      <c r="B32" s="7">
        <v>21.6</v>
      </c>
      <c r="C32" s="7">
        <v>56.6</v>
      </c>
      <c r="D32" s="7">
        <v>91.7</v>
      </c>
      <c r="E32" s="7">
        <v>52.9</v>
      </c>
      <c r="F32" s="7">
        <v>72.900000000000006</v>
      </c>
      <c r="G32" s="7">
        <v>88.7</v>
      </c>
    </row>
    <row r="33" spans="1:7" ht="13" x14ac:dyDescent="0.25">
      <c r="A33" s="11">
        <v>10</v>
      </c>
      <c r="B33" s="7">
        <v>20.6</v>
      </c>
      <c r="C33" s="7">
        <v>63.5</v>
      </c>
      <c r="D33" s="7">
        <v>86.7</v>
      </c>
      <c r="E33" s="7">
        <v>36.1</v>
      </c>
      <c r="F33" s="7">
        <v>76.099999999999994</v>
      </c>
      <c r="G33" s="7">
        <v>96.8</v>
      </c>
    </row>
    <row r="34" spans="1:7" ht="13" x14ac:dyDescent="0.25">
      <c r="A34" s="11">
        <v>11</v>
      </c>
      <c r="B34" s="7"/>
      <c r="C34" s="7"/>
      <c r="D34" s="7"/>
      <c r="E34" s="7">
        <v>52.1</v>
      </c>
      <c r="F34" s="7">
        <v>68.8</v>
      </c>
      <c r="G34" s="7">
        <v>118.8</v>
      </c>
    </row>
    <row r="35" spans="1:7" ht="13" x14ac:dyDescent="0.25">
      <c r="A35" s="11">
        <v>12</v>
      </c>
      <c r="B35" s="7"/>
      <c r="C35" s="7"/>
      <c r="D35" s="7"/>
      <c r="E35" s="7">
        <v>51.2</v>
      </c>
      <c r="F35" s="7">
        <v>68.900000000000006</v>
      </c>
      <c r="G35" s="7">
        <v>95.3</v>
      </c>
    </row>
    <row r="36" spans="1:7" ht="13" x14ac:dyDescent="0.25">
      <c r="A36" s="11">
        <v>13</v>
      </c>
      <c r="B36" s="7"/>
      <c r="C36" s="7"/>
      <c r="D36" s="7"/>
      <c r="E36" s="7">
        <v>27.5</v>
      </c>
      <c r="F36" s="7">
        <v>65.599999999999994</v>
      </c>
      <c r="G36" s="7">
        <v>95.7</v>
      </c>
    </row>
    <row r="37" spans="1:7" ht="13" x14ac:dyDescent="0.25">
      <c r="A37" s="11">
        <v>14</v>
      </c>
      <c r="B37" s="7"/>
      <c r="C37" s="7"/>
      <c r="D37" s="7"/>
      <c r="E37" s="7">
        <v>39.1</v>
      </c>
      <c r="F37" s="7">
        <v>81.5</v>
      </c>
      <c r="G37" s="7">
        <v>94.5</v>
      </c>
    </row>
    <row r="38" spans="1:7" ht="13" x14ac:dyDescent="0.25">
      <c r="A38" s="11">
        <v>15</v>
      </c>
      <c r="B38" s="7"/>
      <c r="C38" s="7"/>
      <c r="D38" s="7"/>
      <c r="E38" s="7">
        <v>39.6</v>
      </c>
      <c r="F38" s="7">
        <v>73.2</v>
      </c>
      <c r="G38" s="7">
        <v>89.3</v>
      </c>
    </row>
    <row r="39" spans="1:7" ht="13" x14ac:dyDescent="0.25">
      <c r="A39" s="11">
        <v>16</v>
      </c>
      <c r="B39" s="7"/>
      <c r="C39" s="7"/>
      <c r="D39" s="7"/>
      <c r="E39" s="7">
        <v>37.799999999999997</v>
      </c>
      <c r="F39" s="7">
        <v>75.099999999999994</v>
      </c>
      <c r="G39" s="7">
        <v>119.7</v>
      </c>
    </row>
    <row r="40" spans="1:7" ht="13" x14ac:dyDescent="0.25">
      <c r="A40" s="11">
        <v>17</v>
      </c>
      <c r="B40" s="7"/>
      <c r="C40" s="7"/>
      <c r="D40" s="7"/>
      <c r="E40" s="7">
        <v>40.200000000000003</v>
      </c>
      <c r="F40" s="7">
        <v>78.7</v>
      </c>
      <c r="G40" s="7">
        <v>114.5</v>
      </c>
    </row>
    <row r="41" spans="1:7" ht="13" x14ac:dyDescent="0.25">
      <c r="A41" s="11">
        <v>18</v>
      </c>
      <c r="B41" s="7"/>
      <c r="C41" s="7"/>
      <c r="D41" s="7"/>
      <c r="E41" s="7">
        <v>45.8</v>
      </c>
      <c r="F41" s="7">
        <v>79.599999999999994</v>
      </c>
      <c r="G41" s="7">
        <v>106.5</v>
      </c>
    </row>
    <row r="42" spans="1:7" ht="13" x14ac:dyDescent="0.25">
      <c r="A42" s="11">
        <v>19</v>
      </c>
      <c r="B42" s="7"/>
      <c r="C42" s="7"/>
      <c r="D42" s="7"/>
      <c r="E42" s="7">
        <v>49.7</v>
      </c>
      <c r="F42" s="7">
        <v>78.8</v>
      </c>
      <c r="G42" s="7">
        <v>102.4</v>
      </c>
    </row>
    <row r="43" spans="1:7" ht="13" x14ac:dyDescent="0.25">
      <c r="A43" s="11">
        <v>20</v>
      </c>
      <c r="B43" s="7"/>
      <c r="C43" s="7"/>
      <c r="D43" s="7"/>
      <c r="E43" s="7">
        <v>29.2</v>
      </c>
      <c r="F43" s="7">
        <v>67.599999999999994</v>
      </c>
      <c r="G43" s="7">
        <v>110.7</v>
      </c>
    </row>
    <row r="44" spans="1:7" ht="13" x14ac:dyDescent="0.25">
      <c r="A44" s="11">
        <v>21</v>
      </c>
      <c r="B44" s="7"/>
      <c r="C44" s="7"/>
      <c r="D44" s="7"/>
      <c r="E44" s="7">
        <v>58.4</v>
      </c>
      <c r="F44" s="7">
        <v>83.3</v>
      </c>
      <c r="G44" s="7">
        <v>95.1</v>
      </c>
    </row>
    <row r="45" spans="1:7" ht="13" x14ac:dyDescent="0.25">
      <c r="A45" s="11">
        <v>22</v>
      </c>
      <c r="B45" s="7"/>
      <c r="C45" s="7"/>
      <c r="D45" s="7"/>
      <c r="E45" s="7">
        <v>31.5</v>
      </c>
      <c r="F45" s="7">
        <v>60.6</v>
      </c>
      <c r="G45" s="7">
        <v>111.3</v>
      </c>
    </row>
    <row r="46" spans="1:7" ht="13" x14ac:dyDescent="0.25">
      <c r="A46" s="11">
        <v>23</v>
      </c>
      <c r="B46" s="7"/>
      <c r="C46" s="7"/>
      <c r="D46" s="7"/>
      <c r="E46" s="7">
        <v>33.1</v>
      </c>
      <c r="F46" s="7">
        <v>73</v>
      </c>
      <c r="G46" s="7">
        <v>103.4</v>
      </c>
    </row>
    <row r="47" spans="1:7" ht="13" x14ac:dyDescent="0.25">
      <c r="A47" s="11">
        <v>24</v>
      </c>
      <c r="B47" s="7"/>
      <c r="C47" s="7"/>
      <c r="D47" s="7"/>
      <c r="E47" s="7">
        <v>32.5</v>
      </c>
      <c r="F47" s="7">
        <v>82</v>
      </c>
      <c r="G47" s="7">
        <v>90.1</v>
      </c>
    </row>
    <row r="48" spans="1:7" ht="13" x14ac:dyDescent="0.25">
      <c r="A48" s="11">
        <v>25</v>
      </c>
      <c r="B48" s="7"/>
      <c r="C48" s="7"/>
      <c r="D48" s="7"/>
      <c r="E48" s="7">
        <v>39.700000000000003</v>
      </c>
      <c r="F48" s="7">
        <v>80.8</v>
      </c>
      <c r="G48" s="7">
        <v>93.7</v>
      </c>
    </row>
    <row r="49" spans="1:7" ht="13" x14ac:dyDescent="0.25">
      <c r="A49" s="11">
        <v>26</v>
      </c>
      <c r="B49" s="7"/>
      <c r="C49" s="16"/>
      <c r="D49" s="7"/>
      <c r="E49" s="7">
        <v>56.3</v>
      </c>
      <c r="F49" s="7">
        <v>62.7</v>
      </c>
      <c r="G49" s="7">
        <v>116.9</v>
      </c>
    </row>
    <row r="50" spans="1:7" ht="13" x14ac:dyDescent="0.25">
      <c r="A50" s="11">
        <v>27</v>
      </c>
      <c r="B50" s="7"/>
      <c r="C50" s="16"/>
      <c r="D50" s="7"/>
      <c r="E50" s="7">
        <v>43.3</v>
      </c>
      <c r="F50" s="7">
        <v>83.2</v>
      </c>
      <c r="G50" s="7">
        <v>105.1</v>
      </c>
    </row>
    <row r="51" spans="1:7" ht="13" x14ac:dyDescent="0.25">
      <c r="A51" s="11">
        <v>28</v>
      </c>
      <c r="B51" s="7"/>
      <c r="C51" s="17"/>
      <c r="D51" s="7"/>
      <c r="E51" s="7">
        <v>33.6</v>
      </c>
      <c r="F51" s="7">
        <v>67.3</v>
      </c>
      <c r="G51" s="7">
        <v>108</v>
      </c>
    </row>
    <row r="52" spans="1:7" ht="13.5" thickBot="1" x14ac:dyDescent="0.3">
      <c r="A52" s="14">
        <v>29</v>
      </c>
      <c r="B52" s="18"/>
      <c r="C52" s="18"/>
      <c r="D52" s="15"/>
      <c r="E52" s="7">
        <v>36.5</v>
      </c>
      <c r="F52" s="7">
        <v>67.8</v>
      </c>
      <c r="G52" s="7">
        <v>100.9</v>
      </c>
    </row>
    <row r="53" spans="1:7" ht="13.5" thickTop="1" x14ac:dyDescent="0.25">
      <c r="A53" s="612" t="str">
        <f>'2021.5'!A53:G53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39.9</v>
      </c>
      <c r="C56" s="7">
        <v>61.2</v>
      </c>
      <c r="D56" s="7">
        <v>79.099999999999994</v>
      </c>
      <c r="E56" s="7">
        <v>43.4</v>
      </c>
      <c r="F56" s="7">
        <v>62</v>
      </c>
      <c r="G56" s="7">
        <v>97.5</v>
      </c>
    </row>
    <row r="57" spans="1:7" ht="13" x14ac:dyDescent="0.25">
      <c r="A57" s="11">
        <v>2</v>
      </c>
      <c r="B57" s="7">
        <v>25.2</v>
      </c>
      <c r="C57" s="7">
        <v>56.8</v>
      </c>
      <c r="D57" s="7">
        <v>99.5</v>
      </c>
      <c r="E57" s="7">
        <v>38.700000000000003</v>
      </c>
      <c r="F57" s="7">
        <v>81.900000000000006</v>
      </c>
      <c r="G57" s="7">
        <v>103</v>
      </c>
    </row>
    <row r="58" spans="1:7" ht="13" x14ac:dyDescent="0.25">
      <c r="A58" s="11">
        <v>3</v>
      </c>
      <c r="B58" s="7">
        <v>44.1</v>
      </c>
      <c r="C58" s="7">
        <v>59.8</v>
      </c>
      <c r="D58" s="7">
        <v>74.7</v>
      </c>
      <c r="E58" s="7">
        <v>55.3</v>
      </c>
      <c r="F58" s="7">
        <v>65.7</v>
      </c>
      <c r="G58" s="7">
        <v>104.3</v>
      </c>
    </row>
    <row r="59" spans="1:7" ht="13" x14ac:dyDescent="0.25">
      <c r="A59" s="11">
        <v>4</v>
      </c>
      <c r="B59" s="7">
        <v>23.2</v>
      </c>
      <c r="C59" s="7">
        <v>50.7</v>
      </c>
      <c r="D59" s="7">
        <v>77.599999999999994</v>
      </c>
      <c r="E59" s="7">
        <v>45.6</v>
      </c>
      <c r="F59" s="7">
        <v>62.1</v>
      </c>
      <c r="G59" s="7">
        <v>93.7</v>
      </c>
    </row>
    <row r="60" spans="1:7" ht="13" x14ac:dyDescent="0.25">
      <c r="A60" s="11">
        <v>5</v>
      </c>
      <c r="B60" s="7">
        <v>36.6</v>
      </c>
      <c r="C60" s="7">
        <v>53.1</v>
      </c>
      <c r="D60" s="7">
        <v>91.8</v>
      </c>
      <c r="E60" s="7">
        <v>31.3</v>
      </c>
      <c r="F60" s="7">
        <v>71.5</v>
      </c>
      <c r="G60" s="7">
        <v>92.5</v>
      </c>
    </row>
    <row r="61" spans="1:7" ht="13" x14ac:dyDescent="0.25">
      <c r="A61" s="11">
        <v>6</v>
      </c>
      <c r="B61" s="7">
        <v>38.9</v>
      </c>
      <c r="C61" s="7">
        <v>51.9</v>
      </c>
      <c r="D61" s="7">
        <v>74.400000000000006</v>
      </c>
      <c r="E61" s="7">
        <v>43.2</v>
      </c>
      <c r="F61" s="7">
        <v>72.599999999999994</v>
      </c>
      <c r="G61" s="7">
        <v>107.4</v>
      </c>
    </row>
    <row r="62" spans="1:7" ht="13" x14ac:dyDescent="0.25">
      <c r="A62" s="11">
        <v>7</v>
      </c>
      <c r="B62" s="7">
        <v>28</v>
      </c>
      <c r="C62" s="7">
        <v>48</v>
      </c>
      <c r="D62" s="7">
        <v>77.400000000000006</v>
      </c>
      <c r="E62" s="7">
        <v>51</v>
      </c>
      <c r="F62" s="7">
        <v>64.8</v>
      </c>
      <c r="G62" s="7">
        <v>108.4</v>
      </c>
    </row>
    <row r="63" spans="1:7" ht="13" x14ac:dyDescent="0.25">
      <c r="A63" s="11">
        <v>8</v>
      </c>
      <c r="B63" s="7">
        <v>44</v>
      </c>
      <c r="C63" s="7">
        <v>50.6</v>
      </c>
      <c r="D63" s="7">
        <v>81.8</v>
      </c>
      <c r="E63" s="7"/>
      <c r="F63" s="7"/>
      <c r="G63" s="7"/>
    </row>
    <row r="64" spans="1:7" ht="13" x14ac:dyDescent="0.25">
      <c r="A64" s="11">
        <v>9</v>
      </c>
      <c r="B64" s="7">
        <v>35.1</v>
      </c>
      <c r="C64" s="7">
        <v>60.7</v>
      </c>
      <c r="D64" s="7">
        <v>107.4</v>
      </c>
      <c r="E64" s="7"/>
      <c r="F64" s="7"/>
      <c r="G64" s="7"/>
    </row>
    <row r="65" spans="1:7" ht="13" x14ac:dyDescent="0.25">
      <c r="A65" s="11">
        <v>10</v>
      </c>
      <c r="B65" s="7">
        <v>24.8</v>
      </c>
      <c r="C65" s="7">
        <v>56.7</v>
      </c>
      <c r="D65" s="7">
        <v>106.2</v>
      </c>
      <c r="E65" s="7"/>
      <c r="F65" s="7"/>
      <c r="G65" s="7"/>
    </row>
    <row r="66" spans="1:7" ht="13" x14ac:dyDescent="0.25">
      <c r="A66" s="11">
        <v>11</v>
      </c>
      <c r="B66" s="7">
        <v>39.1</v>
      </c>
      <c r="C66" s="7">
        <v>61.5</v>
      </c>
      <c r="D66" s="7">
        <v>65.3</v>
      </c>
      <c r="E66" s="7"/>
      <c r="F66" s="7"/>
      <c r="G66" s="7"/>
    </row>
    <row r="67" spans="1:7" ht="13.5" thickBot="1" x14ac:dyDescent="0.3">
      <c r="A67" s="14">
        <v>12</v>
      </c>
      <c r="B67" s="7">
        <v>24.8</v>
      </c>
      <c r="C67" s="7">
        <v>57.3</v>
      </c>
      <c r="D67" s="7">
        <v>89.5</v>
      </c>
      <c r="E67" s="15"/>
      <c r="F67" s="15"/>
      <c r="G67" s="15"/>
    </row>
    <row r="68" spans="1:7" ht="13.5" thickTop="1" x14ac:dyDescent="0.25">
      <c r="A68" s="612" t="str">
        <f>'2021.5'!A68:G68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41.9</v>
      </c>
      <c r="C71" s="7">
        <v>64.5</v>
      </c>
      <c r="D71" s="7">
        <v>96.6</v>
      </c>
      <c r="E71" s="7"/>
      <c r="F71" s="7"/>
      <c r="G71" s="7"/>
    </row>
    <row r="72" spans="1:7" ht="13" x14ac:dyDescent="0.25">
      <c r="A72" s="11">
        <v>2</v>
      </c>
      <c r="B72" s="7">
        <v>40.700000000000003</v>
      </c>
      <c r="C72" s="7">
        <v>53.3</v>
      </c>
      <c r="D72" s="7">
        <v>106.5</v>
      </c>
      <c r="E72" s="6"/>
      <c r="F72" s="6"/>
      <c r="G72" s="7"/>
    </row>
    <row r="73" spans="1:7" ht="13" x14ac:dyDescent="0.25">
      <c r="A73" s="11">
        <v>3</v>
      </c>
      <c r="B73" s="7">
        <v>42.9</v>
      </c>
      <c r="C73" s="7">
        <v>53.9</v>
      </c>
      <c r="D73" s="7">
        <v>105.3</v>
      </c>
      <c r="E73" s="6"/>
      <c r="F73" s="6"/>
      <c r="G73" s="6"/>
    </row>
    <row r="74" spans="1:7" ht="13" x14ac:dyDescent="0.25">
      <c r="A74" s="11">
        <v>4</v>
      </c>
      <c r="B74" s="7">
        <v>26.6</v>
      </c>
      <c r="C74" s="7">
        <v>49</v>
      </c>
      <c r="D74" s="7">
        <v>65.5</v>
      </c>
      <c r="E74" s="6"/>
      <c r="F74" s="6"/>
      <c r="G74" s="6"/>
    </row>
    <row r="75" spans="1:7" ht="13" x14ac:dyDescent="0.25">
      <c r="A75" s="11">
        <v>5</v>
      </c>
      <c r="B75" s="7">
        <v>44.7</v>
      </c>
      <c r="C75" s="7">
        <v>61.4</v>
      </c>
      <c r="D75" s="7">
        <v>72.7</v>
      </c>
      <c r="E75" s="6"/>
      <c r="F75" s="6"/>
      <c r="G75" s="6"/>
    </row>
    <row r="76" spans="1:7" ht="13" x14ac:dyDescent="0.25">
      <c r="A76" s="11">
        <v>6</v>
      </c>
      <c r="B76" s="7">
        <v>40.6</v>
      </c>
      <c r="C76" s="7">
        <v>49.3</v>
      </c>
      <c r="D76" s="7">
        <v>66.7</v>
      </c>
      <c r="E76" s="6"/>
      <c r="F76" s="6"/>
      <c r="G76" s="6"/>
    </row>
    <row r="77" spans="1:7" ht="13" x14ac:dyDescent="0.25">
      <c r="A77" s="11">
        <v>7</v>
      </c>
      <c r="B77" s="7">
        <v>29.6</v>
      </c>
      <c r="C77" s="7">
        <v>47.4</v>
      </c>
      <c r="D77" s="7">
        <v>68.5</v>
      </c>
      <c r="E77" s="6"/>
      <c r="F77" s="6"/>
      <c r="G77" s="6"/>
    </row>
    <row r="78" spans="1:7" ht="13" x14ac:dyDescent="0.25">
      <c r="A78" s="11">
        <v>8</v>
      </c>
      <c r="B78" s="7">
        <v>42.3</v>
      </c>
      <c r="C78" s="7">
        <v>46.3</v>
      </c>
      <c r="D78" s="7">
        <v>67.599999999999994</v>
      </c>
      <c r="E78" s="6"/>
      <c r="F78" s="6"/>
      <c r="G78" s="6"/>
    </row>
    <row r="79" spans="1:7" ht="13" x14ac:dyDescent="0.25">
      <c r="A79" s="11">
        <v>9</v>
      </c>
      <c r="B79" s="7">
        <v>22</v>
      </c>
      <c r="C79" s="7">
        <v>49.9</v>
      </c>
      <c r="D79" s="7">
        <v>96.9</v>
      </c>
      <c r="E79" s="6"/>
      <c r="F79" s="6"/>
      <c r="G79" s="6"/>
    </row>
    <row r="80" spans="1:7" ht="13" x14ac:dyDescent="0.25">
      <c r="A80" s="11">
        <v>10</v>
      </c>
      <c r="B80" s="7">
        <v>22.9</v>
      </c>
      <c r="C80" s="7">
        <v>59</v>
      </c>
      <c r="D80" s="7">
        <v>86.9</v>
      </c>
      <c r="E80" s="6"/>
      <c r="F80" s="6"/>
      <c r="G80" s="6"/>
    </row>
    <row r="81" spans="1:7" ht="13" x14ac:dyDescent="0.25">
      <c r="A81" s="11">
        <v>11</v>
      </c>
      <c r="B81" s="7">
        <v>23.4</v>
      </c>
      <c r="C81" s="7">
        <v>58.6</v>
      </c>
      <c r="D81" s="7">
        <v>68.5</v>
      </c>
      <c r="E81" s="6"/>
      <c r="F81" s="6"/>
      <c r="G81" s="6"/>
    </row>
    <row r="82" spans="1:7" ht="13" x14ac:dyDescent="0.25">
      <c r="A82" s="11">
        <v>12</v>
      </c>
      <c r="B82" s="7">
        <v>36.1</v>
      </c>
      <c r="C82" s="7">
        <v>45.9</v>
      </c>
      <c r="D82" s="7">
        <v>67.599999999999994</v>
      </c>
      <c r="E82" s="6"/>
      <c r="F82" s="6"/>
      <c r="G82" s="6"/>
    </row>
    <row r="83" spans="1:7" ht="13" x14ac:dyDescent="0.25">
      <c r="A83" s="11">
        <v>13</v>
      </c>
      <c r="B83" s="7">
        <v>34.299999999999997</v>
      </c>
      <c r="C83" s="7">
        <v>48</v>
      </c>
      <c r="D83" s="7">
        <v>105.9</v>
      </c>
      <c r="E83" s="6"/>
      <c r="F83" s="6"/>
      <c r="G83" s="6"/>
    </row>
    <row r="84" spans="1:7" ht="13" x14ac:dyDescent="0.25">
      <c r="A84" s="11">
        <v>14</v>
      </c>
      <c r="B84" s="7">
        <v>27.6</v>
      </c>
      <c r="C84" s="7">
        <v>57.9</v>
      </c>
      <c r="D84" s="7">
        <v>74.2</v>
      </c>
      <c r="E84" s="6"/>
      <c r="F84" s="6"/>
      <c r="G84" s="6"/>
    </row>
    <row r="85" spans="1:7" ht="13" x14ac:dyDescent="0.25">
      <c r="A85" s="11">
        <v>15</v>
      </c>
      <c r="B85" s="7">
        <v>35.200000000000003</v>
      </c>
      <c r="C85" s="7">
        <v>49.2</v>
      </c>
      <c r="D85" s="7">
        <v>88.7</v>
      </c>
      <c r="E85" s="6"/>
      <c r="F85" s="6"/>
      <c r="G85" s="6"/>
    </row>
    <row r="86" spans="1:7" ht="13" x14ac:dyDescent="0.25">
      <c r="A86" s="11">
        <v>16</v>
      </c>
      <c r="B86" s="7">
        <v>25.5</v>
      </c>
      <c r="C86" s="7">
        <v>45.2</v>
      </c>
      <c r="D86" s="7">
        <v>83.9</v>
      </c>
      <c r="E86" s="6"/>
      <c r="F86" s="6"/>
      <c r="G86" s="6"/>
    </row>
    <row r="87" spans="1:7" ht="13" x14ac:dyDescent="0.25">
      <c r="A87" s="11">
        <v>17</v>
      </c>
      <c r="B87" s="7">
        <v>27.7</v>
      </c>
      <c r="C87" s="7">
        <v>53.4</v>
      </c>
      <c r="D87" s="7">
        <v>97.5</v>
      </c>
      <c r="E87" s="6"/>
      <c r="F87" s="6"/>
      <c r="G87" s="6"/>
    </row>
    <row r="88" spans="1:7" ht="13" x14ac:dyDescent="0.25">
      <c r="A88" s="11">
        <v>18</v>
      </c>
      <c r="B88" s="7">
        <v>26.6</v>
      </c>
      <c r="C88" s="7">
        <v>48.8</v>
      </c>
      <c r="D88" s="7">
        <v>75.400000000000006</v>
      </c>
      <c r="E88" s="6"/>
      <c r="F88" s="6"/>
      <c r="G88" s="6"/>
    </row>
    <row r="89" spans="1:7" ht="13" x14ac:dyDescent="0.25">
      <c r="A89" s="11">
        <v>19</v>
      </c>
      <c r="B89" s="7">
        <v>27.1</v>
      </c>
      <c r="C89" s="7">
        <v>49.8</v>
      </c>
      <c r="D89" s="7">
        <v>85.6</v>
      </c>
      <c r="E89" s="6"/>
      <c r="F89" s="6"/>
      <c r="G89" s="6"/>
    </row>
    <row r="90" spans="1:7" ht="13" x14ac:dyDescent="0.25">
      <c r="A90" s="11">
        <v>20</v>
      </c>
      <c r="B90" s="7">
        <v>27.2</v>
      </c>
      <c r="C90" s="7">
        <v>64.900000000000006</v>
      </c>
      <c r="D90" s="7">
        <v>97.8</v>
      </c>
      <c r="E90" s="6"/>
      <c r="F90" s="6"/>
      <c r="G90" s="6"/>
    </row>
    <row r="91" spans="1:7" ht="13" x14ac:dyDescent="0.25">
      <c r="A91" s="11">
        <v>21</v>
      </c>
      <c r="B91" s="7">
        <v>20.100000000000001</v>
      </c>
      <c r="C91" s="7">
        <v>57.7</v>
      </c>
      <c r="D91" s="7">
        <v>98.8</v>
      </c>
      <c r="E91" s="6"/>
      <c r="F91" s="6"/>
      <c r="G91" s="6"/>
    </row>
    <row r="92" spans="1:7" ht="13" x14ac:dyDescent="0.25">
      <c r="A92" s="11">
        <v>22</v>
      </c>
      <c r="B92" s="7">
        <v>20.6</v>
      </c>
      <c r="C92" s="7">
        <v>57.4</v>
      </c>
      <c r="D92" s="7">
        <v>103.4</v>
      </c>
      <c r="E92" s="6"/>
      <c r="F92" s="6"/>
      <c r="G92" s="6"/>
    </row>
    <row r="93" spans="1:7" ht="13" x14ac:dyDescent="0.25">
      <c r="A93" s="11">
        <v>23</v>
      </c>
      <c r="B93" s="7">
        <v>26.5</v>
      </c>
      <c r="C93" s="7">
        <v>48.9</v>
      </c>
      <c r="D93" s="7">
        <v>109.6</v>
      </c>
      <c r="E93" s="6"/>
      <c r="F93" s="6"/>
      <c r="G93" s="6"/>
    </row>
    <row r="94" spans="1:7" ht="13" x14ac:dyDescent="0.25">
      <c r="A94" s="11">
        <v>24</v>
      </c>
      <c r="B94" s="7">
        <v>31.9</v>
      </c>
      <c r="C94" s="7">
        <v>57.7</v>
      </c>
      <c r="D94" s="7">
        <v>82.2</v>
      </c>
      <c r="E94" s="6"/>
      <c r="F94" s="6"/>
      <c r="G94" s="6"/>
    </row>
    <row r="95" spans="1:7" ht="13" x14ac:dyDescent="0.25">
      <c r="A95" s="11">
        <v>25</v>
      </c>
      <c r="B95" s="7">
        <v>33.6</v>
      </c>
      <c r="C95" s="7">
        <v>57.9</v>
      </c>
      <c r="D95" s="7">
        <v>93.4</v>
      </c>
      <c r="E95" s="6"/>
      <c r="F95" s="6"/>
      <c r="G95" s="6"/>
    </row>
    <row r="96" spans="1:7" ht="13" x14ac:dyDescent="0.25">
      <c r="A96" s="11">
        <v>26</v>
      </c>
      <c r="B96" s="7">
        <v>30.9</v>
      </c>
      <c r="C96" s="7">
        <v>52.2</v>
      </c>
      <c r="D96" s="7">
        <v>82.3</v>
      </c>
      <c r="E96" s="17"/>
      <c r="F96" s="17"/>
      <c r="G96" s="17"/>
    </row>
    <row r="97" spans="1:7" ht="13" x14ac:dyDescent="0.25">
      <c r="A97" s="11">
        <v>27</v>
      </c>
      <c r="B97" s="7">
        <v>20.3</v>
      </c>
      <c r="C97" s="7">
        <v>57.5</v>
      </c>
      <c r="D97" s="7">
        <v>80.099999999999994</v>
      </c>
      <c r="E97" s="17"/>
      <c r="F97" s="17"/>
      <c r="G97" s="17"/>
    </row>
    <row r="98" spans="1:7" ht="13" x14ac:dyDescent="0.25">
      <c r="A98" s="11">
        <v>28</v>
      </c>
      <c r="B98" s="7">
        <v>34.5</v>
      </c>
      <c r="C98" s="7">
        <v>60.2</v>
      </c>
      <c r="D98" s="7">
        <v>95.4</v>
      </c>
      <c r="E98" s="17"/>
      <c r="F98" s="17"/>
      <c r="G98" s="17"/>
    </row>
    <row r="99" spans="1:7" ht="13" x14ac:dyDescent="0.25">
      <c r="A99" s="11">
        <v>29</v>
      </c>
      <c r="B99" s="7">
        <v>25.8</v>
      </c>
      <c r="C99" s="7">
        <v>50.4</v>
      </c>
      <c r="D99" s="7">
        <v>76.599999999999994</v>
      </c>
      <c r="E99" s="6"/>
      <c r="F99" s="6"/>
      <c r="G99" s="6"/>
    </row>
    <row r="100" spans="1:7" ht="13" x14ac:dyDescent="0.25">
      <c r="A100" s="11">
        <v>30</v>
      </c>
      <c r="B100" s="7">
        <v>44.2</v>
      </c>
      <c r="C100" s="7">
        <v>45.1</v>
      </c>
      <c r="D100" s="7">
        <v>71</v>
      </c>
      <c r="E100" s="2"/>
      <c r="F100" s="2"/>
      <c r="G100" s="2"/>
    </row>
    <row r="101" spans="1:7" ht="13" x14ac:dyDescent="0.25">
      <c r="A101" s="11">
        <v>31</v>
      </c>
      <c r="B101" s="7">
        <v>37.200000000000003</v>
      </c>
      <c r="C101" s="7">
        <v>52</v>
      </c>
      <c r="D101" s="7">
        <v>106.3</v>
      </c>
      <c r="E101" s="2"/>
      <c r="F101" s="2"/>
      <c r="G101" s="2"/>
    </row>
    <row r="102" spans="1:7" ht="13" x14ac:dyDescent="0.25">
      <c r="A102" s="11">
        <v>32</v>
      </c>
      <c r="B102" s="7">
        <v>23.2</v>
      </c>
      <c r="C102" s="7">
        <v>54.6</v>
      </c>
      <c r="D102" s="7">
        <v>82.9</v>
      </c>
      <c r="E102" s="2"/>
      <c r="F102" s="2"/>
      <c r="G102" s="2"/>
    </row>
    <row r="103" spans="1:7" ht="13" x14ac:dyDescent="0.25">
      <c r="A103" s="11">
        <v>33</v>
      </c>
      <c r="B103" s="7">
        <v>23.3</v>
      </c>
      <c r="C103" s="7">
        <v>55.5</v>
      </c>
      <c r="D103" s="7">
        <v>69.7</v>
      </c>
      <c r="E103" s="2"/>
      <c r="F103" s="2"/>
      <c r="G103" s="2"/>
    </row>
    <row r="104" spans="1:7" ht="13" x14ac:dyDescent="0.25">
      <c r="A104" s="11">
        <v>34</v>
      </c>
      <c r="B104" s="7">
        <v>36.4</v>
      </c>
      <c r="C104" s="7">
        <v>47.5</v>
      </c>
      <c r="D104" s="7">
        <v>79.5</v>
      </c>
      <c r="E104" s="2"/>
      <c r="F104" s="2"/>
      <c r="G104" s="2"/>
    </row>
    <row r="105" spans="1:7" ht="13" x14ac:dyDescent="0.25">
      <c r="A105" s="11">
        <v>35</v>
      </c>
      <c r="B105" s="7">
        <v>44.7</v>
      </c>
      <c r="C105" s="7">
        <v>58.5</v>
      </c>
      <c r="D105" s="7">
        <v>90.5</v>
      </c>
      <c r="E105" s="2"/>
      <c r="F105" s="2"/>
      <c r="G105" s="2"/>
    </row>
    <row r="106" spans="1:7" ht="13" x14ac:dyDescent="0.25">
      <c r="A106" s="11">
        <v>36</v>
      </c>
      <c r="B106" s="7">
        <v>24.4</v>
      </c>
      <c r="C106" s="7">
        <v>57.1</v>
      </c>
      <c r="D106" s="7">
        <v>87.2</v>
      </c>
      <c r="E106" s="2"/>
      <c r="F106" s="2"/>
      <c r="G106" s="2"/>
    </row>
    <row r="107" spans="1:7" ht="13" x14ac:dyDescent="0.25">
      <c r="A107" s="11">
        <v>37</v>
      </c>
      <c r="B107" s="7">
        <v>23.2</v>
      </c>
      <c r="C107" s="7">
        <v>61.8</v>
      </c>
      <c r="D107" s="7">
        <v>94.5</v>
      </c>
      <c r="E107" s="2"/>
      <c r="F107" s="2"/>
      <c r="G107" s="2"/>
    </row>
    <row r="108" spans="1:7" ht="13" x14ac:dyDescent="0.25">
      <c r="A108" s="11">
        <v>38</v>
      </c>
      <c r="B108" s="7">
        <v>33.700000000000003</v>
      </c>
      <c r="C108" s="7">
        <v>63.5</v>
      </c>
      <c r="D108" s="7">
        <v>83.3</v>
      </c>
      <c r="E108" s="2"/>
      <c r="F108" s="2"/>
      <c r="G108" s="2"/>
    </row>
    <row r="109" spans="1:7" ht="13" x14ac:dyDescent="0.25">
      <c r="A109" s="11">
        <v>39</v>
      </c>
      <c r="B109" s="7">
        <v>43.1</v>
      </c>
      <c r="C109" s="7">
        <v>48.7</v>
      </c>
      <c r="D109" s="7">
        <v>91.2</v>
      </c>
      <c r="E109" s="2"/>
      <c r="F109" s="2"/>
      <c r="G109" s="2"/>
    </row>
    <row r="110" spans="1:7" ht="13" x14ac:dyDescent="0.25">
      <c r="A110" s="11">
        <v>40</v>
      </c>
      <c r="B110" s="7">
        <v>23</v>
      </c>
      <c r="C110" s="7">
        <v>61.9</v>
      </c>
      <c r="D110" s="7">
        <v>105.9</v>
      </c>
      <c r="E110" s="2"/>
      <c r="F110" s="2"/>
      <c r="G110" s="2"/>
    </row>
    <row r="111" spans="1:7" ht="13" x14ac:dyDescent="0.25">
      <c r="A111" s="11">
        <v>41</v>
      </c>
      <c r="B111" s="7">
        <v>39.299999999999997</v>
      </c>
      <c r="C111" s="7">
        <v>45.7</v>
      </c>
      <c r="D111" s="7">
        <v>103</v>
      </c>
      <c r="E111" s="2"/>
      <c r="F111" s="2"/>
      <c r="G111" s="2"/>
    </row>
    <row r="112" spans="1:7" ht="13" x14ac:dyDescent="0.25">
      <c r="A112" s="11">
        <v>42</v>
      </c>
      <c r="B112" s="7">
        <v>30.3</v>
      </c>
      <c r="C112" s="7">
        <v>57.9</v>
      </c>
      <c r="D112" s="7">
        <v>107.4</v>
      </c>
      <c r="E112" s="2"/>
      <c r="F112" s="2"/>
      <c r="G112" s="2"/>
    </row>
    <row r="113" spans="1:7" ht="13" x14ac:dyDescent="0.25">
      <c r="A113" s="11">
        <v>43</v>
      </c>
      <c r="B113" s="7">
        <v>27.6</v>
      </c>
      <c r="C113" s="7">
        <v>47.1</v>
      </c>
      <c r="D113" s="7">
        <v>90.6</v>
      </c>
      <c r="E113" s="2"/>
      <c r="F113" s="2"/>
      <c r="G113" s="2"/>
    </row>
    <row r="114" spans="1:7" ht="13" x14ac:dyDescent="0.25">
      <c r="A114" s="11">
        <v>44</v>
      </c>
      <c r="B114" s="7">
        <v>32.4</v>
      </c>
      <c r="C114" s="7">
        <v>56</v>
      </c>
      <c r="D114" s="7">
        <v>81.400000000000006</v>
      </c>
      <c r="E114" s="2"/>
      <c r="F114" s="2"/>
      <c r="G114" s="2"/>
    </row>
    <row r="115" spans="1:7" ht="13" x14ac:dyDescent="0.25">
      <c r="A115" s="11">
        <v>45</v>
      </c>
      <c r="B115" s="7">
        <v>30.8</v>
      </c>
      <c r="C115" s="7">
        <v>56.4</v>
      </c>
      <c r="D115" s="7">
        <v>68</v>
      </c>
      <c r="E115" s="2"/>
      <c r="F115" s="2"/>
      <c r="G115" s="2"/>
    </row>
    <row r="116" spans="1:7" ht="13" x14ac:dyDescent="0.25">
      <c r="A116" s="11">
        <v>46</v>
      </c>
      <c r="B116" s="7">
        <v>35.6</v>
      </c>
      <c r="C116" s="7">
        <v>49</v>
      </c>
      <c r="D116" s="7">
        <v>73.8</v>
      </c>
      <c r="E116" s="2"/>
      <c r="F116" s="2"/>
      <c r="G116" s="2"/>
    </row>
    <row r="117" spans="1:7" ht="13" x14ac:dyDescent="0.25">
      <c r="A117" s="11">
        <v>47</v>
      </c>
      <c r="B117" s="7">
        <v>25.5</v>
      </c>
      <c r="C117" s="7">
        <v>51.3</v>
      </c>
      <c r="D117" s="7">
        <v>78.900000000000006</v>
      </c>
      <c r="E117" s="2"/>
      <c r="F117" s="2"/>
      <c r="G117" s="2"/>
    </row>
    <row r="118" spans="1:7" ht="13" x14ac:dyDescent="0.25">
      <c r="A118" s="11">
        <v>48</v>
      </c>
      <c r="B118" s="7">
        <v>39.299999999999997</v>
      </c>
      <c r="C118" s="7">
        <v>45</v>
      </c>
      <c r="D118" s="7">
        <v>82.7</v>
      </c>
      <c r="E118" s="2"/>
      <c r="F118" s="2"/>
      <c r="G118" s="2"/>
    </row>
    <row r="119" spans="1:7" ht="13" x14ac:dyDescent="0.25">
      <c r="A119" s="11">
        <v>49</v>
      </c>
      <c r="B119" s="7">
        <v>44.3</v>
      </c>
      <c r="C119" s="7">
        <v>50.8</v>
      </c>
      <c r="D119" s="7">
        <v>92.5</v>
      </c>
      <c r="E119" s="2"/>
      <c r="F119" s="2"/>
      <c r="G119" s="2"/>
    </row>
    <row r="120" spans="1:7" ht="13" x14ac:dyDescent="0.25">
      <c r="A120" s="11">
        <v>50</v>
      </c>
      <c r="B120" s="7">
        <v>26.4</v>
      </c>
      <c r="C120" s="7">
        <v>56.7</v>
      </c>
      <c r="D120" s="7">
        <v>79.5</v>
      </c>
      <c r="E120" s="2"/>
      <c r="F120" s="2"/>
      <c r="G120" s="2"/>
    </row>
    <row r="121" spans="1:7" ht="13" x14ac:dyDescent="0.25">
      <c r="A121" s="11">
        <v>51</v>
      </c>
      <c r="B121" s="7">
        <v>25</v>
      </c>
      <c r="C121" s="7">
        <v>55.4</v>
      </c>
      <c r="D121" s="7">
        <v>71.900000000000006</v>
      </c>
      <c r="E121" s="2"/>
      <c r="F121" s="2"/>
      <c r="G121" s="2"/>
    </row>
    <row r="122" spans="1:7" ht="13" x14ac:dyDescent="0.25">
      <c r="A122" s="11">
        <v>52</v>
      </c>
      <c r="B122" s="7">
        <v>28.9</v>
      </c>
      <c r="C122" s="7">
        <v>64.2</v>
      </c>
      <c r="D122" s="7">
        <v>69.3</v>
      </c>
      <c r="E122" s="2"/>
      <c r="F122" s="2"/>
      <c r="G122" s="2"/>
    </row>
    <row r="123" spans="1:7" ht="13" x14ac:dyDescent="0.25">
      <c r="A123" s="11">
        <v>53</v>
      </c>
      <c r="B123" s="7">
        <v>29.9</v>
      </c>
      <c r="C123" s="7">
        <v>56.7</v>
      </c>
      <c r="D123" s="7">
        <v>66.3</v>
      </c>
      <c r="E123" s="2"/>
      <c r="F123" s="2"/>
      <c r="G123" s="2"/>
    </row>
    <row r="124" spans="1:7" ht="13" x14ac:dyDescent="0.25">
      <c r="A124" s="11">
        <v>54</v>
      </c>
      <c r="B124" s="7">
        <v>41.2</v>
      </c>
      <c r="C124" s="7">
        <v>60.4</v>
      </c>
      <c r="D124" s="7">
        <v>104.4</v>
      </c>
      <c r="E124" s="2"/>
      <c r="F124" s="2"/>
      <c r="G124" s="2"/>
    </row>
    <row r="125" spans="1:7" ht="13" x14ac:dyDescent="0.25">
      <c r="A125" s="11">
        <v>55</v>
      </c>
      <c r="B125" s="7">
        <v>30.9</v>
      </c>
      <c r="C125" s="7">
        <v>50.6</v>
      </c>
      <c r="D125" s="7">
        <v>107.9</v>
      </c>
      <c r="E125" s="2"/>
      <c r="F125" s="2"/>
      <c r="G125" s="2"/>
    </row>
    <row r="126" spans="1:7" ht="13" x14ac:dyDescent="0.25">
      <c r="A126" s="11">
        <v>56</v>
      </c>
      <c r="B126" s="7">
        <v>30.6</v>
      </c>
      <c r="C126" s="7">
        <v>57</v>
      </c>
      <c r="D126" s="7">
        <v>76.7</v>
      </c>
      <c r="E126" s="2"/>
      <c r="F126" s="2"/>
      <c r="G126" s="2"/>
    </row>
    <row r="127" spans="1:7" ht="13" x14ac:dyDescent="0.25">
      <c r="A127" s="11">
        <v>57</v>
      </c>
      <c r="B127" s="7">
        <v>21.9</v>
      </c>
      <c r="C127" s="7">
        <v>58.8</v>
      </c>
      <c r="D127" s="7">
        <v>84.9</v>
      </c>
      <c r="E127" s="2"/>
      <c r="F127" s="2"/>
      <c r="G127" s="2"/>
    </row>
    <row r="128" spans="1:7" ht="13" x14ac:dyDescent="0.25">
      <c r="A128" s="11">
        <v>58</v>
      </c>
      <c r="B128" s="7">
        <v>21.4</v>
      </c>
      <c r="C128" s="7">
        <v>47.5</v>
      </c>
      <c r="D128" s="7">
        <v>92.4</v>
      </c>
      <c r="E128" s="2"/>
      <c r="F128" s="2"/>
      <c r="G128" s="2"/>
    </row>
    <row r="129" spans="1:7" ht="13" x14ac:dyDescent="0.25">
      <c r="A129" s="11">
        <v>59</v>
      </c>
      <c r="B129" s="7">
        <v>37.1</v>
      </c>
      <c r="C129" s="7">
        <v>58.5</v>
      </c>
      <c r="D129" s="7">
        <v>82.6</v>
      </c>
      <c r="E129" s="2"/>
      <c r="F129" s="2"/>
      <c r="G129" s="2"/>
    </row>
    <row r="130" spans="1:7" ht="13" x14ac:dyDescent="0.25">
      <c r="A130" s="11">
        <v>60</v>
      </c>
      <c r="B130" s="7">
        <v>40.700000000000003</v>
      </c>
      <c r="C130" s="7">
        <v>61.9</v>
      </c>
      <c r="D130" s="7">
        <v>81.3</v>
      </c>
      <c r="E130" s="2"/>
      <c r="F130" s="2"/>
      <c r="G130" s="2"/>
    </row>
    <row r="131" spans="1:7" ht="13" x14ac:dyDescent="0.25">
      <c r="A131" s="11">
        <v>61</v>
      </c>
      <c r="B131" s="7">
        <v>27.8</v>
      </c>
      <c r="C131" s="7">
        <v>52.2</v>
      </c>
      <c r="D131" s="7">
        <v>77</v>
      </c>
      <c r="E131" s="2"/>
      <c r="F131" s="2"/>
      <c r="G131" s="2"/>
    </row>
    <row r="132" spans="1:7" ht="13" x14ac:dyDescent="0.25">
      <c r="A132" s="11">
        <v>62</v>
      </c>
      <c r="B132" s="7">
        <v>37.6</v>
      </c>
      <c r="C132" s="7">
        <v>63.3</v>
      </c>
      <c r="D132" s="7">
        <v>101.6</v>
      </c>
      <c r="E132" s="2"/>
      <c r="F132" s="2"/>
      <c r="G132" s="2"/>
    </row>
    <row r="133" spans="1:7" ht="13.5" thickBot="1" x14ac:dyDescent="0.3">
      <c r="A133" s="14">
        <v>63</v>
      </c>
      <c r="B133" s="7">
        <v>36.6</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60.6</v>
      </c>
      <c r="C138" s="13">
        <f>ROUNDDOWN(AVERAGE(E5:G20),1)</f>
        <v>70.900000000000006</v>
      </c>
      <c r="D138" s="11">
        <f>'2021.5'!D138</f>
        <v>8438</v>
      </c>
      <c r="E138" s="11">
        <v>15938</v>
      </c>
      <c r="F138" s="11">
        <f>B138*D138</f>
        <v>511342.8</v>
      </c>
      <c r="G138" s="11">
        <f>C138*E138</f>
        <v>1130004.2000000002</v>
      </c>
    </row>
    <row r="139" spans="1:7" ht="13" x14ac:dyDescent="0.25">
      <c r="A139" s="6" t="str">
        <f>A21</f>
        <v>Dongtai Jianggang Farm</v>
      </c>
      <c r="B139" s="13">
        <f>ROUNDDOWN(AVERAGE(B24:D33),1)</f>
        <v>56.9</v>
      </c>
      <c r="C139" s="13">
        <f>ROUNDDOWN(AVERAGE(E24:G52),1)</f>
        <v>72.099999999999994</v>
      </c>
      <c r="D139" s="11">
        <f>'2021.5'!D139</f>
        <v>9440</v>
      </c>
      <c r="E139" s="11">
        <v>29486</v>
      </c>
      <c r="F139" s="11">
        <f t="shared" ref="F139:G141" si="0">B139*D139</f>
        <v>537136</v>
      </c>
      <c r="G139" s="11">
        <f t="shared" si="0"/>
        <v>2125940.5999999996</v>
      </c>
    </row>
    <row r="140" spans="1:7" ht="13" x14ac:dyDescent="0.25">
      <c r="A140" s="6" t="str">
        <f>A53</f>
        <v>Sheyang Linhai Farm</v>
      </c>
      <c r="B140" s="13">
        <f>ROUNDDOWN(AVERAGE(B56:D67),1)</f>
        <v>58.2</v>
      </c>
      <c r="C140" s="13">
        <f>ROUNDDOWN(AVERAGE(E56:G62),1)</f>
        <v>71.2</v>
      </c>
      <c r="D140" s="11">
        <f>'2021.5'!D140</f>
        <v>11825</v>
      </c>
      <c r="E140" s="11">
        <v>6425</v>
      </c>
      <c r="F140" s="11">
        <f t="shared" si="0"/>
        <v>688215</v>
      </c>
      <c r="G140" s="11">
        <f t="shared" si="0"/>
        <v>457460</v>
      </c>
    </row>
    <row r="141" spans="1:7" ht="13" x14ac:dyDescent="0.25">
      <c r="A141" s="6" t="str">
        <f>A68</f>
        <v>Siyang Nanliuji</v>
      </c>
      <c r="B141" s="13">
        <f>ROUNDDOWN(AVERAGE(B71:D133),1)</f>
        <v>57.1</v>
      </c>
      <c r="C141" s="11">
        <f>ROUNDDOWN(AVERAGE(0),1)</f>
        <v>0</v>
      </c>
      <c r="D141" s="11">
        <f>'2021.5'!D141</f>
        <v>65005</v>
      </c>
      <c r="E141" s="11">
        <v>0</v>
      </c>
      <c r="F141" s="11">
        <f t="shared" si="0"/>
        <v>3711785.5</v>
      </c>
      <c r="G141" s="11">
        <f t="shared" si="0"/>
        <v>0</v>
      </c>
    </row>
    <row r="142" spans="1:7" ht="13" x14ac:dyDescent="0.25">
      <c r="A142" s="613" t="s">
        <v>154</v>
      </c>
      <c r="B142" s="617"/>
      <c r="C142" s="614"/>
      <c r="D142" s="11">
        <f>SUM(D138:D141)</f>
        <v>94708</v>
      </c>
      <c r="E142" s="11">
        <f>SUM(E138:E141)</f>
        <v>51849</v>
      </c>
      <c r="F142" s="11">
        <f>SUM(F138:F141)</f>
        <v>5448479.2999999998</v>
      </c>
      <c r="G142" s="11">
        <f>SUM(G138:G141)</f>
        <v>3713404.8</v>
      </c>
    </row>
    <row r="144" spans="1:7" ht="13" x14ac:dyDescent="0.25">
      <c r="C144" s="613" t="s">
        <v>155</v>
      </c>
      <c r="D144" s="614"/>
    </row>
    <row r="145" spans="3:4" ht="13" x14ac:dyDescent="0.25">
      <c r="C145" s="11" t="s">
        <v>152</v>
      </c>
      <c r="D145" s="11" t="s">
        <v>153</v>
      </c>
    </row>
    <row r="146" spans="3:4" ht="13" x14ac:dyDescent="0.25">
      <c r="C146" s="12">
        <f>ROUNDDOWN(F142/D142,1)</f>
        <v>57.5</v>
      </c>
      <c r="D146" s="12">
        <f>ROUNDDOWN(G142/E142,1)</f>
        <v>71.599999999999994</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46"/>
  <sheetViews>
    <sheetView workbookViewId="0">
      <selection activeCell="F148" sqref="F148"/>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'2021.6'!A2:G2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44.5</v>
      </c>
      <c r="C5" s="7">
        <v>54.4</v>
      </c>
      <c r="D5" s="7">
        <v>108.2</v>
      </c>
      <c r="E5" s="7">
        <v>42.7</v>
      </c>
      <c r="F5" s="7">
        <v>83.6</v>
      </c>
      <c r="G5" s="7">
        <v>92.1</v>
      </c>
    </row>
    <row r="6" spans="1:7" ht="13" x14ac:dyDescent="0.25">
      <c r="A6" s="11">
        <v>2</v>
      </c>
      <c r="B6" s="7">
        <v>22.1</v>
      </c>
      <c r="C6" s="7">
        <v>51.2</v>
      </c>
      <c r="D6" s="7">
        <v>67.8</v>
      </c>
      <c r="E6" s="7">
        <v>36.9</v>
      </c>
      <c r="F6" s="7">
        <v>66.2</v>
      </c>
      <c r="G6" s="7">
        <v>109.1</v>
      </c>
    </row>
    <row r="7" spans="1:7" ht="13" x14ac:dyDescent="0.25">
      <c r="A7" s="11">
        <v>3</v>
      </c>
      <c r="B7" s="7">
        <v>27.5</v>
      </c>
      <c r="C7" s="7">
        <v>58.8</v>
      </c>
      <c r="D7" s="7">
        <v>67.599999999999994</v>
      </c>
      <c r="E7" s="7">
        <v>32.299999999999997</v>
      </c>
      <c r="F7" s="7">
        <v>83.4</v>
      </c>
      <c r="G7" s="7">
        <v>94.6</v>
      </c>
    </row>
    <row r="8" spans="1:7" ht="13" x14ac:dyDescent="0.25">
      <c r="A8" s="11">
        <v>4</v>
      </c>
      <c r="B8" s="7">
        <v>44.6</v>
      </c>
      <c r="C8" s="7">
        <v>46.4</v>
      </c>
      <c r="D8" s="7">
        <v>77</v>
      </c>
      <c r="E8" s="7">
        <v>26.9</v>
      </c>
      <c r="F8" s="7">
        <v>78.8</v>
      </c>
      <c r="G8" s="7">
        <v>97</v>
      </c>
    </row>
    <row r="9" spans="1:7" ht="13" x14ac:dyDescent="0.25">
      <c r="A9" s="11">
        <v>5</v>
      </c>
      <c r="B9" s="7">
        <v>27.2</v>
      </c>
      <c r="C9" s="7">
        <v>48.7</v>
      </c>
      <c r="D9" s="7">
        <v>79.400000000000006</v>
      </c>
      <c r="E9" s="7">
        <v>53.3</v>
      </c>
      <c r="F9" s="7">
        <v>78.7</v>
      </c>
      <c r="G9" s="7">
        <v>96.2</v>
      </c>
    </row>
    <row r="10" spans="1:7" ht="13" x14ac:dyDescent="0.25">
      <c r="A10" s="11">
        <v>6</v>
      </c>
      <c r="B10" s="7">
        <v>35.1</v>
      </c>
      <c r="C10" s="7">
        <v>47.5</v>
      </c>
      <c r="D10" s="7">
        <v>75.400000000000006</v>
      </c>
      <c r="E10" s="7">
        <v>51.9</v>
      </c>
      <c r="F10" s="7">
        <v>63.4</v>
      </c>
      <c r="G10" s="7">
        <v>95.8</v>
      </c>
    </row>
    <row r="11" spans="1:7" ht="13" x14ac:dyDescent="0.25">
      <c r="A11" s="11">
        <v>7</v>
      </c>
      <c r="B11" s="7">
        <v>31.5</v>
      </c>
      <c r="C11" s="7">
        <v>61.1</v>
      </c>
      <c r="D11" s="7">
        <v>70.900000000000006</v>
      </c>
      <c r="E11" s="7">
        <v>42.5</v>
      </c>
      <c r="F11" s="7">
        <v>77.8</v>
      </c>
      <c r="G11" s="7">
        <v>105.2</v>
      </c>
    </row>
    <row r="12" spans="1:7" ht="13" x14ac:dyDescent="0.25">
      <c r="A12" s="11">
        <v>8</v>
      </c>
      <c r="B12" s="7">
        <v>31.8</v>
      </c>
      <c r="C12" s="7">
        <v>49.9</v>
      </c>
      <c r="D12" s="7">
        <v>89.5</v>
      </c>
      <c r="E12" s="7">
        <v>33.6</v>
      </c>
      <c r="F12" s="7">
        <v>72.8</v>
      </c>
      <c r="G12" s="7">
        <v>109.4</v>
      </c>
    </row>
    <row r="13" spans="1:7" ht="13" x14ac:dyDescent="0.25">
      <c r="A13" s="11">
        <v>9</v>
      </c>
      <c r="B13" s="7">
        <v>23.8</v>
      </c>
      <c r="C13" s="7">
        <v>63.4</v>
      </c>
      <c r="D13" s="7">
        <v>70.7</v>
      </c>
      <c r="E13" s="7">
        <v>39.6</v>
      </c>
      <c r="F13" s="7">
        <v>66.3</v>
      </c>
      <c r="G13" s="7">
        <v>106.9</v>
      </c>
    </row>
    <row r="14" spans="1:7" ht="13" x14ac:dyDescent="0.25">
      <c r="A14" s="11">
        <v>10</v>
      </c>
      <c r="B14" s="7"/>
      <c r="C14" s="7"/>
      <c r="D14" s="7"/>
      <c r="E14" s="7">
        <v>34</v>
      </c>
      <c r="F14" s="7">
        <v>71.8</v>
      </c>
      <c r="G14" s="7">
        <v>107</v>
      </c>
    </row>
    <row r="15" spans="1:7" ht="13" x14ac:dyDescent="0.25">
      <c r="A15" s="11">
        <v>11</v>
      </c>
      <c r="B15" s="7"/>
      <c r="C15" s="7"/>
      <c r="D15" s="7"/>
      <c r="E15" s="7">
        <v>35.6</v>
      </c>
      <c r="F15" s="7">
        <v>80</v>
      </c>
      <c r="G15" s="7">
        <v>92.6</v>
      </c>
    </row>
    <row r="16" spans="1:7" ht="13" x14ac:dyDescent="0.25">
      <c r="A16" s="11">
        <v>12</v>
      </c>
      <c r="B16" s="7"/>
      <c r="C16" s="7"/>
      <c r="D16" s="7"/>
      <c r="E16" s="7">
        <v>32.200000000000003</v>
      </c>
      <c r="F16" s="7">
        <v>66.900000000000006</v>
      </c>
      <c r="G16" s="7">
        <v>93.5</v>
      </c>
    </row>
    <row r="17" spans="1:7" ht="13" x14ac:dyDescent="0.25">
      <c r="A17" s="11">
        <v>13</v>
      </c>
      <c r="B17" s="7"/>
      <c r="C17" s="7"/>
      <c r="D17" s="7"/>
      <c r="E17" s="7">
        <v>34.200000000000003</v>
      </c>
      <c r="F17" s="7">
        <v>61.9</v>
      </c>
      <c r="G17" s="7">
        <v>114.5</v>
      </c>
    </row>
    <row r="18" spans="1:7" ht="13" x14ac:dyDescent="0.25">
      <c r="A18" s="11">
        <v>14</v>
      </c>
      <c r="B18" s="7"/>
      <c r="C18" s="7"/>
      <c r="D18" s="7"/>
      <c r="E18" s="7">
        <v>39.1</v>
      </c>
      <c r="F18" s="7">
        <v>75.900000000000006</v>
      </c>
      <c r="G18" s="7">
        <v>111</v>
      </c>
    </row>
    <row r="19" spans="1:7" ht="13" x14ac:dyDescent="0.25">
      <c r="A19" s="11">
        <v>15</v>
      </c>
      <c r="B19" s="7"/>
      <c r="C19" s="7"/>
      <c r="D19" s="7"/>
      <c r="E19" s="7">
        <v>40.9</v>
      </c>
      <c r="F19" s="7">
        <v>83.7</v>
      </c>
      <c r="G19" s="7">
        <v>110.6</v>
      </c>
    </row>
    <row r="20" spans="1:7" ht="13.5" thickBot="1" x14ac:dyDescent="0.3">
      <c r="A20" s="14">
        <v>16</v>
      </c>
      <c r="B20" s="15"/>
      <c r="C20" s="15"/>
      <c r="D20" s="15"/>
      <c r="E20" s="7">
        <v>27.2</v>
      </c>
      <c r="F20" s="7">
        <v>69.5</v>
      </c>
      <c r="G20" s="7">
        <v>101.1</v>
      </c>
    </row>
    <row r="21" spans="1:7" ht="13.5" thickTop="1" x14ac:dyDescent="0.25">
      <c r="A21" s="612" t="str">
        <f>'2021.6'!A21:G21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28</v>
      </c>
      <c r="C24" s="7">
        <v>46.2</v>
      </c>
      <c r="D24" s="7">
        <v>85.2</v>
      </c>
      <c r="E24" s="7">
        <v>31.2</v>
      </c>
      <c r="F24" s="7">
        <v>75.3</v>
      </c>
      <c r="G24" s="7">
        <v>116.6</v>
      </c>
    </row>
    <row r="25" spans="1:7" ht="13" x14ac:dyDescent="0.25">
      <c r="A25" s="11">
        <v>2</v>
      </c>
      <c r="B25" s="7">
        <v>43.4</v>
      </c>
      <c r="C25" s="7">
        <v>57.4</v>
      </c>
      <c r="D25" s="7">
        <v>72.099999999999994</v>
      </c>
      <c r="E25" s="7">
        <v>41.6</v>
      </c>
      <c r="F25" s="7">
        <v>81.400000000000006</v>
      </c>
      <c r="G25" s="7">
        <v>116.9</v>
      </c>
    </row>
    <row r="26" spans="1:7" ht="13" x14ac:dyDescent="0.25">
      <c r="A26" s="11">
        <v>3</v>
      </c>
      <c r="B26" s="7">
        <v>21.2</v>
      </c>
      <c r="C26" s="7">
        <v>50.3</v>
      </c>
      <c r="D26" s="7">
        <v>89.5</v>
      </c>
      <c r="E26" s="7">
        <v>36.299999999999997</v>
      </c>
      <c r="F26" s="7">
        <v>67.3</v>
      </c>
      <c r="G26" s="7">
        <v>94.2</v>
      </c>
    </row>
    <row r="27" spans="1:7" ht="13" x14ac:dyDescent="0.25">
      <c r="A27" s="11">
        <v>4</v>
      </c>
      <c r="B27" s="7">
        <v>31.3</v>
      </c>
      <c r="C27" s="7">
        <v>54.6</v>
      </c>
      <c r="D27" s="7">
        <v>99.5</v>
      </c>
      <c r="E27" s="7">
        <v>49.2</v>
      </c>
      <c r="F27" s="7">
        <v>80.8</v>
      </c>
      <c r="G27" s="7">
        <v>96.2</v>
      </c>
    </row>
    <row r="28" spans="1:7" ht="13" x14ac:dyDescent="0.25">
      <c r="A28" s="11">
        <v>5</v>
      </c>
      <c r="B28" s="7">
        <v>25</v>
      </c>
      <c r="C28" s="7">
        <v>50.7</v>
      </c>
      <c r="D28" s="7">
        <v>84.5</v>
      </c>
      <c r="E28" s="7">
        <v>49</v>
      </c>
      <c r="F28" s="7">
        <v>78.5</v>
      </c>
      <c r="G28" s="7">
        <v>106.7</v>
      </c>
    </row>
    <row r="29" spans="1:7" ht="13" x14ac:dyDescent="0.25">
      <c r="A29" s="11">
        <v>6</v>
      </c>
      <c r="B29" s="7">
        <v>23.5</v>
      </c>
      <c r="C29" s="7">
        <v>51.4</v>
      </c>
      <c r="D29" s="7">
        <v>105.8</v>
      </c>
      <c r="E29" s="7">
        <v>40.799999999999997</v>
      </c>
      <c r="F29" s="7">
        <v>76.400000000000006</v>
      </c>
      <c r="G29" s="7">
        <v>104.5</v>
      </c>
    </row>
    <row r="30" spans="1:7" ht="13" x14ac:dyDescent="0.25">
      <c r="A30" s="11">
        <v>7</v>
      </c>
      <c r="B30" s="7">
        <v>42</v>
      </c>
      <c r="C30" s="7">
        <v>57.6</v>
      </c>
      <c r="D30" s="7">
        <v>65.5</v>
      </c>
      <c r="E30" s="7">
        <v>30</v>
      </c>
      <c r="F30" s="7">
        <v>78.5</v>
      </c>
      <c r="G30" s="7">
        <v>119.7</v>
      </c>
    </row>
    <row r="31" spans="1:7" ht="13" x14ac:dyDescent="0.25">
      <c r="A31" s="11">
        <v>8</v>
      </c>
      <c r="B31" s="7">
        <v>33.200000000000003</v>
      </c>
      <c r="C31" s="7">
        <v>60.7</v>
      </c>
      <c r="D31" s="7">
        <v>109</v>
      </c>
      <c r="E31" s="7">
        <v>57.7</v>
      </c>
      <c r="F31" s="7">
        <v>64</v>
      </c>
      <c r="G31" s="7">
        <v>86.5</v>
      </c>
    </row>
    <row r="32" spans="1:7" ht="13" x14ac:dyDescent="0.25">
      <c r="A32" s="11">
        <v>9</v>
      </c>
      <c r="B32" s="7">
        <v>45</v>
      </c>
      <c r="C32" s="7">
        <v>46.6</v>
      </c>
      <c r="D32" s="7">
        <v>98</v>
      </c>
      <c r="E32" s="7">
        <v>53.7</v>
      </c>
      <c r="F32" s="7">
        <v>61.1</v>
      </c>
      <c r="G32" s="7">
        <v>100.5</v>
      </c>
    </row>
    <row r="33" spans="1:7" ht="13" x14ac:dyDescent="0.25">
      <c r="A33" s="11">
        <v>10</v>
      </c>
      <c r="B33" s="7">
        <v>34</v>
      </c>
      <c r="C33" s="7">
        <v>46.3</v>
      </c>
      <c r="D33" s="7">
        <v>86.4</v>
      </c>
      <c r="E33" s="7">
        <v>49.7</v>
      </c>
      <c r="F33" s="7">
        <v>77.400000000000006</v>
      </c>
      <c r="G33" s="7">
        <v>119.8</v>
      </c>
    </row>
    <row r="34" spans="1:7" ht="13" x14ac:dyDescent="0.25">
      <c r="A34" s="11">
        <v>11</v>
      </c>
      <c r="B34" s="7"/>
      <c r="C34" s="7"/>
      <c r="D34" s="7"/>
      <c r="E34" s="7">
        <v>58.7</v>
      </c>
      <c r="F34" s="7">
        <v>76.5</v>
      </c>
      <c r="G34" s="7">
        <v>95.6</v>
      </c>
    </row>
    <row r="35" spans="1:7" ht="13" x14ac:dyDescent="0.25">
      <c r="A35" s="11">
        <v>12</v>
      </c>
      <c r="B35" s="7"/>
      <c r="C35" s="7"/>
      <c r="D35" s="7"/>
      <c r="E35" s="7">
        <v>36.5</v>
      </c>
      <c r="F35" s="7">
        <v>69.7</v>
      </c>
      <c r="G35" s="7">
        <v>112.2</v>
      </c>
    </row>
    <row r="36" spans="1:7" ht="13" x14ac:dyDescent="0.25">
      <c r="A36" s="11">
        <v>13</v>
      </c>
      <c r="B36" s="7"/>
      <c r="C36" s="7"/>
      <c r="D36" s="7"/>
      <c r="E36" s="7">
        <v>36.200000000000003</v>
      </c>
      <c r="F36" s="7">
        <v>74.099999999999994</v>
      </c>
      <c r="G36" s="7">
        <v>94.4</v>
      </c>
    </row>
    <row r="37" spans="1:7" ht="13" x14ac:dyDescent="0.25">
      <c r="A37" s="11">
        <v>14</v>
      </c>
      <c r="B37" s="7"/>
      <c r="C37" s="7"/>
      <c r="D37" s="7"/>
      <c r="E37" s="7">
        <v>48.7</v>
      </c>
      <c r="F37" s="7">
        <v>83.8</v>
      </c>
      <c r="G37" s="7">
        <v>94.5</v>
      </c>
    </row>
    <row r="38" spans="1:7" ht="13" x14ac:dyDescent="0.25">
      <c r="A38" s="11">
        <v>15</v>
      </c>
      <c r="B38" s="7"/>
      <c r="C38" s="7"/>
      <c r="D38" s="7"/>
      <c r="E38" s="7">
        <v>53.4</v>
      </c>
      <c r="F38" s="7">
        <v>66.099999999999994</v>
      </c>
      <c r="G38" s="7">
        <v>109.9</v>
      </c>
    </row>
    <row r="39" spans="1:7" ht="13" x14ac:dyDescent="0.25">
      <c r="A39" s="11">
        <v>16</v>
      </c>
      <c r="B39" s="7"/>
      <c r="C39" s="7"/>
      <c r="D39" s="7"/>
      <c r="E39" s="7">
        <v>48.3</v>
      </c>
      <c r="F39" s="7">
        <v>65</v>
      </c>
      <c r="G39" s="7">
        <v>107.1</v>
      </c>
    </row>
    <row r="40" spans="1:7" ht="13" x14ac:dyDescent="0.25">
      <c r="A40" s="11">
        <v>17</v>
      </c>
      <c r="B40" s="7"/>
      <c r="C40" s="7"/>
      <c r="D40" s="7"/>
      <c r="E40" s="7">
        <v>31.5</v>
      </c>
      <c r="F40" s="7">
        <v>81.7</v>
      </c>
      <c r="G40" s="7">
        <v>85.5</v>
      </c>
    </row>
    <row r="41" spans="1:7" ht="13" x14ac:dyDescent="0.25">
      <c r="A41" s="11">
        <v>18</v>
      </c>
      <c r="B41" s="7"/>
      <c r="C41" s="7"/>
      <c r="D41" s="7"/>
      <c r="E41" s="7">
        <v>46.4</v>
      </c>
      <c r="F41" s="7">
        <v>67.900000000000006</v>
      </c>
      <c r="G41" s="7">
        <v>115.2</v>
      </c>
    </row>
    <row r="42" spans="1:7" ht="13" x14ac:dyDescent="0.25">
      <c r="A42" s="11">
        <v>19</v>
      </c>
      <c r="B42" s="7"/>
      <c r="C42" s="7"/>
      <c r="D42" s="7"/>
      <c r="E42" s="7">
        <v>47.2</v>
      </c>
      <c r="F42" s="7">
        <v>61.9</v>
      </c>
      <c r="G42" s="7">
        <v>103.1</v>
      </c>
    </row>
    <row r="43" spans="1:7" ht="13" x14ac:dyDescent="0.25">
      <c r="A43" s="11">
        <v>20</v>
      </c>
      <c r="B43" s="7"/>
      <c r="C43" s="7"/>
      <c r="D43" s="7"/>
      <c r="E43" s="7">
        <v>54.4</v>
      </c>
      <c r="F43" s="7">
        <v>67.2</v>
      </c>
      <c r="G43" s="7">
        <v>96</v>
      </c>
    </row>
    <row r="44" spans="1:7" ht="13" x14ac:dyDescent="0.25">
      <c r="A44" s="11">
        <v>21</v>
      </c>
      <c r="B44" s="7"/>
      <c r="C44" s="7"/>
      <c r="D44" s="7"/>
      <c r="E44" s="7">
        <v>45.4</v>
      </c>
      <c r="F44" s="7">
        <v>69.900000000000006</v>
      </c>
      <c r="G44" s="7">
        <v>89.2</v>
      </c>
    </row>
    <row r="45" spans="1:7" ht="13" x14ac:dyDescent="0.25">
      <c r="A45" s="11">
        <v>22</v>
      </c>
      <c r="B45" s="7"/>
      <c r="C45" s="7"/>
      <c r="D45" s="7"/>
      <c r="E45" s="7">
        <v>40.1</v>
      </c>
      <c r="F45" s="7">
        <v>60.6</v>
      </c>
      <c r="G45" s="7">
        <v>86.7</v>
      </c>
    </row>
    <row r="46" spans="1:7" ht="13" x14ac:dyDescent="0.25">
      <c r="A46" s="11">
        <v>23</v>
      </c>
      <c r="B46" s="7"/>
      <c r="C46" s="7"/>
      <c r="D46" s="7"/>
      <c r="E46" s="7">
        <v>48.1</v>
      </c>
      <c r="F46" s="7">
        <v>64.8</v>
      </c>
      <c r="G46" s="7">
        <v>95.9</v>
      </c>
    </row>
    <row r="47" spans="1:7" ht="13" x14ac:dyDescent="0.25">
      <c r="A47" s="11">
        <v>24</v>
      </c>
      <c r="B47" s="7"/>
      <c r="C47" s="7"/>
      <c r="D47" s="7"/>
      <c r="E47" s="7">
        <v>33.1</v>
      </c>
      <c r="F47" s="7">
        <v>67.7</v>
      </c>
      <c r="G47" s="7">
        <v>106.7</v>
      </c>
    </row>
    <row r="48" spans="1:7" ht="13" x14ac:dyDescent="0.25">
      <c r="A48" s="11">
        <v>25</v>
      </c>
      <c r="B48" s="7"/>
      <c r="C48" s="7"/>
      <c r="D48" s="7"/>
      <c r="E48" s="7">
        <v>59.9</v>
      </c>
      <c r="F48" s="7">
        <v>72.3</v>
      </c>
      <c r="G48" s="7">
        <v>87.5</v>
      </c>
    </row>
    <row r="49" spans="1:7" ht="13" x14ac:dyDescent="0.25">
      <c r="A49" s="11">
        <v>26</v>
      </c>
      <c r="B49" s="7"/>
      <c r="C49" s="16"/>
      <c r="D49" s="7"/>
      <c r="E49" s="7">
        <v>57.8</v>
      </c>
      <c r="F49" s="7">
        <v>84.6</v>
      </c>
      <c r="G49" s="7">
        <v>105.1</v>
      </c>
    </row>
    <row r="50" spans="1:7" ht="13" x14ac:dyDescent="0.25">
      <c r="A50" s="11">
        <v>27</v>
      </c>
      <c r="B50" s="7"/>
      <c r="C50" s="16"/>
      <c r="D50" s="7"/>
      <c r="E50" s="7">
        <v>58.7</v>
      </c>
      <c r="F50" s="7">
        <v>74.900000000000006</v>
      </c>
      <c r="G50" s="7">
        <v>92.8</v>
      </c>
    </row>
    <row r="51" spans="1:7" ht="13" x14ac:dyDescent="0.25">
      <c r="A51" s="11">
        <v>28</v>
      </c>
      <c r="B51" s="7"/>
      <c r="C51" s="17"/>
      <c r="D51" s="7"/>
      <c r="E51" s="7">
        <v>46.4</v>
      </c>
      <c r="F51" s="7">
        <v>79.099999999999994</v>
      </c>
      <c r="G51" s="7">
        <v>99.4</v>
      </c>
    </row>
    <row r="52" spans="1:7" ht="13.5" thickBot="1" x14ac:dyDescent="0.3">
      <c r="A52" s="14">
        <v>29</v>
      </c>
      <c r="B52" s="18"/>
      <c r="C52" s="18"/>
      <c r="D52" s="15"/>
      <c r="E52" s="7">
        <v>51.8</v>
      </c>
      <c r="F52" s="7">
        <v>75.5</v>
      </c>
      <c r="G52" s="7">
        <v>114.3</v>
      </c>
    </row>
    <row r="53" spans="1:7" ht="13.5" thickTop="1" x14ac:dyDescent="0.25">
      <c r="A53" s="612" t="str">
        <f>'2021.6'!A53:G53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30.9</v>
      </c>
      <c r="C56" s="7">
        <v>51.3</v>
      </c>
      <c r="D56" s="7">
        <v>104.7</v>
      </c>
      <c r="E56" s="7">
        <v>28.5</v>
      </c>
      <c r="F56" s="7">
        <v>60.4</v>
      </c>
      <c r="G56" s="7">
        <v>91.6</v>
      </c>
    </row>
    <row r="57" spans="1:7" ht="13" x14ac:dyDescent="0.25">
      <c r="A57" s="11">
        <v>2</v>
      </c>
      <c r="B57" s="7">
        <v>30</v>
      </c>
      <c r="C57" s="7">
        <v>45</v>
      </c>
      <c r="D57" s="7">
        <v>108.9</v>
      </c>
      <c r="E57" s="7">
        <v>43.9</v>
      </c>
      <c r="F57" s="7">
        <v>62.6</v>
      </c>
      <c r="G57" s="7">
        <v>102.8</v>
      </c>
    </row>
    <row r="58" spans="1:7" ht="13" x14ac:dyDescent="0.25">
      <c r="A58" s="11">
        <v>3</v>
      </c>
      <c r="B58" s="7">
        <v>31.9</v>
      </c>
      <c r="C58" s="7">
        <v>50.1</v>
      </c>
      <c r="D58" s="7">
        <v>97.2</v>
      </c>
      <c r="E58" s="7">
        <v>27.4</v>
      </c>
      <c r="F58" s="7">
        <v>72.5</v>
      </c>
      <c r="G58" s="7">
        <v>93.5</v>
      </c>
    </row>
    <row r="59" spans="1:7" ht="13" x14ac:dyDescent="0.25">
      <c r="A59" s="11">
        <v>4</v>
      </c>
      <c r="B59" s="7">
        <v>38.200000000000003</v>
      </c>
      <c r="C59" s="7">
        <v>51.8</v>
      </c>
      <c r="D59" s="7">
        <v>102.7</v>
      </c>
      <c r="E59" s="7">
        <v>33.4</v>
      </c>
      <c r="F59" s="7">
        <v>69.7</v>
      </c>
      <c r="G59" s="7">
        <v>106</v>
      </c>
    </row>
    <row r="60" spans="1:7" ht="13" x14ac:dyDescent="0.25">
      <c r="A60" s="11">
        <v>5</v>
      </c>
      <c r="B60" s="7">
        <v>28.2</v>
      </c>
      <c r="C60" s="7">
        <v>59.1</v>
      </c>
      <c r="D60" s="7">
        <v>104.6</v>
      </c>
      <c r="E60" s="7">
        <v>47.6</v>
      </c>
      <c r="F60" s="7">
        <v>65.5</v>
      </c>
      <c r="G60" s="7">
        <v>86.5</v>
      </c>
    </row>
    <row r="61" spans="1:7" ht="13" x14ac:dyDescent="0.25">
      <c r="A61" s="11">
        <v>6</v>
      </c>
      <c r="B61" s="7">
        <v>25.2</v>
      </c>
      <c r="C61" s="7">
        <v>55</v>
      </c>
      <c r="D61" s="7">
        <v>99.1</v>
      </c>
      <c r="E61" s="7">
        <v>28.1</v>
      </c>
      <c r="F61" s="7">
        <v>84.3</v>
      </c>
      <c r="G61" s="7">
        <v>95.2</v>
      </c>
    </row>
    <row r="62" spans="1:7" ht="13" x14ac:dyDescent="0.25">
      <c r="A62" s="11">
        <v>7</v>
      </c>
      <c r="B62" s="7">
        <v>41.2</v>
      </c>
      <c r="C62" s="7">
        <v>51.9</v>
      </c>
      <c r="D62" s="7">
        <v>72</v>
      </c>
      <c r="E62" s="7">
        <v>49.1</v>
      </c>
      <c r="F62" s="7">
        <v>76.8</v>
      </c>
      <c r="G62" s="7">
        <v>99.3</v>
      </c>
    </row>
    <row r="63" spans="1:7" ht="13" x14ac:dyDescent="0.25">
      <c r="A63" s="11">
        <v>8</v>
      </c>
      <c r="B63" s="7">
        <v>31.7</v>
      </c>
      <c r="C63" s="7">
        <v>59.1</v>
      </c>
      <c r="D63" s="7">
        <v>98.8</v>
      </c>
      <c r="E63" s="7"/>
      <c r="F63" s="7"/>
      <c r="G63" s="7"/>
    </row>
    <row r="64" spans="1:7" ht="13" x14ac:dyDescent="0.25">
      <c r="A64" s="11">
        <v>9</v>
      </c>
      <c r="B64" s="7">
        <v>42.8</v>
      </c>
      <c r="C64" s="7">
        <v>63.5</v>
      </c>
      <c r="D64" s="7">
        <v>70.099999999999994</v>
      </c>
      <c r="E64" s="7"/>
      <c r="F64" s="7"/>
      <c r="G64" s="7"/>
    </row>
    <row r="65" spans="1:7" ht="13" x14ac:dyDescent="0.25">
      <c r="A65" s="11">
        <v>10</v>
      </c>
      <c r="B65" s="7">
        <v>42.7</v>
      </c>
      <c r="C65" s="7">
        <v>45.4</v>
      </c>
      <c r="D65" s="7">
        <v>71.5</v>
      </c>
      <c r="E65" s="7"/>
      <c r="F65" s="7"/>
      <c r="G65" s="7"/>
    </row>
    <row r="66" spans="1:7" ht="13" x14ac:dyDescent="0.25">
      <c r="A66" s="11">
        <v>11</v>
      </c>
      <c r="B66" s="7">
        <v>25.1</v>
      </c>
      <c r="C66" s="7">
        <v>48.4</v>
      </c>
      <c r="D66" s="7">
        <v>95.2</v>
      </c>
      <c r="E66" s="7"/>
      <c r="F66" s="7"/>
      <c r="G66" s="7"/>
    </row>
    <row r="67" spans="1:7" ht="13.5" thickBot="1" x14ac:dyDescent="0.3">
      <c r="A67" s="14">
        <v>12</v>
      </c>
      <c r="B67" s="7">
        <v>35</v>
      </c>
      <c r="C67" s="7">
        <v>47.2</v>
      </c>
      <c r="D67" s="7">
        <v>69.8</v>
      </c>
      <c r="E67" s="15"/>
      <c r="F67" s="15"/>
      <c r="G67" s="15"/>
    </row>
    <row r="68" spans="1:7" ht="13.5" thickTop="1" x14ac:dyDescent="0.25">
      <c r="A68" s="612" t="str">
        <f>'2021.6'!A68:G68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26.1</v>
      </c>
      <c r="C71" s="7">
        <v>50.8</v>
      </c>
      <c r="D71" s="7">
        <v>89.1</v>
      </c>
      <c r="E71" s="7"/>
      <c r="F71" s="7"/>
      <c r="G71" s="7"/>
    </row>
    <row r="72" spans="1:7" ht="13" x14ac:dyDescent="0.25">
      <c r="A72" s="11">
        <v>2</v>
      </c>
      <c r="B72" s="7">
        <v>32.9</v>
      </c>
      <c r="C72" s="7">
        <v>62.1</v>
      </c>
      <c r="D72" s="7">
        <v>78.900000000000006</v>
      </c>
      <c r="E72" s="6"/>
      <c r="F72" s="6"/>
      <c r="G72" s="7"/>
    </row>
    <row r="73" spans="1:7" ht="13" x14ac:dyDescent="0.25">
      <c r="A73" s="11">
        <v>3</v>
      </c>
      <c r="B73" s="7">
        <v>31.9</v>
      </c>
      <c r="C73" s="7">
        <v>54</v>
      </c>
      <c r="D73" s="7">
        <v>75.599999999999994</v>
      </c>
      <c r="E73" s="6"/>
      <c r="F73" s="6"/>
      <c r="G73" s="6"/>
    </row>
    <row r="74" spans="1:7" ht="13" x14ac:dyDescent="0.25">
      <c r="A74" s="11">
        <v>4</v>
      </c>
      <c r="B74" s="7">
        <v>33.200000000000003</v>
      </c>
      <c r="C74" s="7">
        <v>59.2</v>
      </c>
      <c r="D74" s="7">
        <v>66.599999999999994</v>
      </c>
      <c r="E74" s="6"/>
      <c r="F74" s="6"/>
      <c r="G74" s="6"/>
    </row>
    <row r="75" spans="1:7" ht="13" x14ac:dyDescent="0.25">
      <c r="A75" s="11">
        <v>5</v>
      </c>
      <c r="B75" s="7">
        <v>31.7</v>
      </c>
      <c r="C75" s="7">
        <v>45.7</v>
      </c>
      <c r="D75" s="7">
        <v>98.8</v>
      </c>
      <c r="E75" s="6"/>
      <c r="F75" s="6"/>
      <c r="G75" s="6"/>
    </row>
    <row r="76" spans="1:7" ht="13" x14ac:dyDescent="0.25">
      <c r="A76" s="11">
        <v>6</v>
      </c>
      <c r="B76" s="7">
        <v>26.3</v>
      </c>
      <c r="C76" s="7">
        <v>54.2</v>
      </c>
      <c r="D76" s="7">
        <v>83.1</v>
      </c>
      <c r="E76" s="6"/>
      <c r="F76" s="6"/>
      <c r="G76" s="6"/>
    </row>
    <row r="77" spans="1:7" ht="13" x14ac:dyDescent="0.25">
      <c r="A77" s="11">
        <v>7</v>
      </c>
      <c r="B77" s="7">
        <v>44</v>
      </c>
      <c r="C77" s="7">
        <v>55.1</v>
      </c>
      <c r="D77" s="7">
        <v>99.2</v>
      </c>
      <c r="E77" s="6"/>
      <c r="F77" s="6"/>
      <c r="G77" s="6"/>
    </row>
    <row r="78" spans="1:7" ht="13" x14ac:dyDescent="0.25">
      <c r="A78" s="11">
        <v>8</v>
      </c>
      <c r="B78" s="7">
        <v>40.700000000000003</v>
      </c>
      <c r="C78" s="7">
        <v>56.1</v>
      </c>
      <c r="D78" s="7">
        <v>67.5</v>
      </c>
      <c r="E78" s="6"/>
      <c r="F78" s="6"/>
      <c r="G78" s="6"/>
    </row>
    <row r="79" spans="1:7" ht="13" x14ac:dyDescent="0.25">
      <c r="A79" s="11">
        <v>9</v>
      </c>
      <c r="B79" s="7">
        <v>40.9</v>
      </c>
      <c r="C79" s="7">
        <v>60.8</v>
      </c>
      <c r="D79" s="7">
        <v>77.5</v>
      </c>
      <c r="E79" s="6"/>
      <c r="F79" s="6"/>
      <c r="G79" s="6"/>
    </row>
    <row r="80" spans="1:7" ht="13" x14ac:dyDescent="0.25">
      <c r="A80" s="11">
        <v>10</v>
      </c>
      <c r="B80" s="7">
        <v>39</v>
      </c>
      <c r="C80" s="7">
        <v>63.5</v>
      </c>
      <c r="D80" s="7">
        <v>90.1</v>
      </c>
      <c r="E80" s="6"/>
      <c r="F80" s="6"/>
      <c r="G80" s="6"/>
    </row>
    <row r="81" spans="1:7" ht="13" x14ac:dyDescent="0.25">
      <c r="A81" s="11">
        <v>11</v>
      </c>
      <c r="B81" s="7">
        <v>34.4</v>
      </c>
      <c r="C81" s="7">
        <v>63.4</v>
      </c>
      <c r="D81" s="7">
        <v>93.9</v>
      </c>
      <c r="E81" s="6"/>
      <c r="F81" s="6"/>
      <c r="G81" s="6"/>
    </row>
    <row r="82" spans="1:7" ht="13" x14ac:dyDescent="0.25">
      <c r="A82" s="11">
        <v>12</v>
      </c>
      <c r="B82" s="7">
        <v>30.9</v>
      </c>
      <c r="C82" s="7">
        <v>46.7</v>
      </c>
      <c r="D82" s="7">
        <v>93.2</v>
      </c>
      <c r="E82" s="6"/>
      <c r="F82" s="6"/>
      <c r="G82" s="6"/>
    </row>
    <row r="83" spans="1:7" ht="13" x14ac:dyDescent="0.25">
      <c r="A83" s="11">
        <v>13</v>
      </c>
      <c r="B83" s="7">
        <v>20.3</v>
      </c>
      <c r="C83" s="7">
        <v>64.7</v>
      </c>
      <c r="D83" s="7">
        <v>95.1</v>
      </c>
      <c r="E83" s="6"/>
      <c r="F83" s="6"/>
      <c r="G83" s="6"/>
    </row>
    <row r="84" spans="1:7" ht="13" x14ac:dyDescent="0.25">
      <c r="A84" s="11">
        <v>14</v>
      </c>
      <c r="B84" s="7">
        <v>39.1</v>
      </c>
      <c r="C84" s="7">
        <v>63.3</v>
      </c>
      <c r="D84" s="7">
        <v>87.6</v>
      </c>
      <c r="E84" s="6"/>
      <c r="F84" s="6"/>
      <c r="G84" s="6"/>
    </row>
    <row r="85" spans="1:7" ht="13" x14ac:dyDescent="0.25">
      <c r="A85" s="11">
        <v>15</v>
      </c>
      <c r="B85" s="7">
        <v>33.5</v>
      </c>
      <c r="C85" s="7">
        <v>60.9</v>
      </c>
      <c r="D85" s="7">
        <v>75.2</v>
      </c>
      <c r="E85" s="6"/>
      <c r="F85" s="6"/>
      <c r="G85" s="6"/>
    </row>
    <row r="86" spans="1:7" ht="13" x14ac:dyDescent="0.25">
      <c r="A86" s="11">
        <v>16</v>
      </c>
      <c r="B86" s="7">
        <v>20.7</v>
      </c>
      <c r="C86" s="7">
        <v>46.4</v>
      </c>
      <c r="D86" s="7">
        <v>100.7</v>
      </c>
      <c r="E86" s="6"/>
      <c r="F86" s="6"/>
      <c r="G86" s="6"/>
    </row>
    <row r="87" spans="1:7" ht="13" x14ac:dyDescent="0.25">
      <c r="A87" s="11">
        <v>17</v>
      </c>
      <c r="B87" s="7">
        <v>40.9</v>
      </c>
      <c r="C87" s="7">
        <v>61.3</v>
      </c>
      <c r="D87" s="7">
        <v>71.8</v>
      </c>
      <c r="E87" s="6"/>
      <c r="F87" s="6"/>
      <c r="G87" s="6"/>
    </row>
    <row r="88" spans="1:7" ht="13" x14ac:dyDescent="0.25">
      <c r="A88" s="11">
        <v>18</v>
      </c>
      <c r="B88" s="7">
        <v>22.8</v>
      </c>
      <c r="C88" s="7">
        <v>56.8</v>
      </c>
      <c r="D88" s="7">
        <v>84</v>
      </c>
      <c r="E88" s="6"/>
      <c r="F88" s="6"/>
      <c r="G88" s="6"/>
    </row>
    <row r="89" spans="1:7" ht="13" x14ac:dyDescent="0.25">
      <c r="A89" s="11">
        <v>19</v>
      </c>
      <c r="B89" s="7">
        <v>43.3</v>
      </c>
      <c r="C89" s="7">
        <v>64.599999999999994</v>
      </c>
      <c r="D89" s="7">
        <v>67.5</v>
      </c>
      <c r="E89" s="6"/>
      <c r="F89" s="6"/>
      <c r="G89" s="6"/>
    </row>
    <row r="90" spans="1:7" ht="13" x14ac:dyDescent="0.25">
      <c r="A90" s="11">
        <v>20</v>
      </c>
      <c r="B90" s="7">
        <v>34.200000000000003</v>
      </c>
      <c r="C90" s="7">
        <v>60.1</v>
      </c>
      <c r="D90" s="7">
        <v>89.5</v>
      </c>
      <c r="E90" s="6"/>
      <c r="F90" s="6"/>
      <c r="G90" s="6"/>
    </row>
    <row r="91" spans="1:7" ht="13" x14ac:dyDescent="0.25">
      <c r="A91" s="11">
        <v>21</v>
      </c>
      <c r="B91" s="7">
        <v>28.3</v>
      </c>
      <c r="C91" s="7">
        <v>51.9</v>
      </c>
      <c r="D91" s="7">
        <v>78.900000000000006</v>
      </c>
      <c r="E91" s="6"/>
      <c r="F91" s="6"/>
      <c r="G91" s="6"/>
    </row>
    <row r="92" spans="1:7" ht="13" x14ac:dyDescent="0.25">
      <c r="A92" s="11">
        <v>22</v>
      </c>
      <c r="B92" s="7">
        <v>44.4</v>
      </c>
      <c r="C92" s="7">
        <v>49.5</v>
      </c>
      <c r="D92" s="7">
        <v>98.7</v>
      </c>
      <c r="E92" s="6"/>
      <c r="F92" s="6"/>
      <c r="G92" s="6"/>
    </row>
    <row r="93" spans="1:7" ht="13" x14ac:dyDescent="0.25">
      <c r="A93" s="11">
        <v>23</v>
      </c>
      <c r="B93" s="7">
        <v>24.9</v>
      </c>
      <c r="C93" s="7">
        <v>46.6</v>
      </c>
      <c r="D93" s="7">
        <v>86.8</v>
      </c>
      <c r="E93" s="6"/>
      <c r="F93" s="6"/>
      <c r="G93" s="6"/>
    </row>
    <row r="94" spans="1:7" ht="13" x14ac:dyDescent="0.25">
      <c r="A94" s="11">
        <v>24</v>
      </c>
      <c r="B94" s="7">
        <v>27.6</v>
      </c>
      <c r="C94" s="7">
        <v>62.8</v>
      </c>
      <c r="D94" s="7">
        <v>76.400000000000006</v>
      </c>
      <c r="E94" s="6"/>
      <c r="F94" s="6"/>
      <c r="G94" s="6"/>
    </row>
    <row r="95" spans="1:7" ht="13" x14ac:dyDescent="0.25">
      <c r="A95" s="11">
        <v>25</v>
      </c>
      <c r="B95" s="7">
        <v>42.1</v>
      </c>
      <c r="C95" s="7">
        <v>47.1</v>
      </c>
      <c r="D95" s="7">
        <v>99.2</v>
      </c>
      <c r="E95" s="6"/>
      <c r="F95" s="6"/>
      <c r="G95" s="6"/>
    </row>
    <row r="96" spans="1:7" ht="13" x14ac:dyDescent="0.25">
      <c r="A96" s="11">
        <v>26</v>
      </c>
      <c r="B96" s="7">
        <v>38.200000000000003</v>
      </c>
      <c r="C96" s="7">
        <v>62.3</v>
      </c>
      <c r="D96" s="7">
        <v>93.9</v>
      </c>
      <c r="E96" s="17"/>
      <c r="F96" s="17"/>
      <c r="G96" s="17"/>
    </row>
    <row r="97" spans="1:7" ht="13" x14ac:dyDescent="0.25">
      <c r="A97" s="11">
        <v>27</v>
      </c>
      <c r="B97" s="7">
        <v>33.5</v>
      </c>
      <c r="C97" s="7">
        <v>53.1</v>
      </c>
      <c r="D97" s="7">
        <v>73.400000000000006</v>
      </c>
      <c r="E97" s="17"/>
      <c r="F97" s="17"/>
      <c r="G97" s="17"/>
    </row>
    <row r="98" spans="1:7" ht="13" x14ac:dyDescent="0.25">
      <c r="A98" s="11">
        <v>28</v>
      </c>
      <c r="B98" s="7">
        <v>22.5</v>
      </c>
      <c r="C98" s="7">
        <v>49.5</v>
      </c>
      <c r="D98" s="7">
        <v>92.6</v>
      </c>
      <c r="E98" s="17"/>
      <c r="F98" s="17"/>
      <c r="G98" s="17"/>
    </row>
    <row r="99" spans="1:7" ht="13" x14ac:dyDescent="0.25">
      <c r="A99" s="11">
        <v>29</v>
      </c>
      <c r="B99" s="7">
        <v>22.6</v>
      </c>
      <c r="C99" s="7">
        <v>46.6</v>
      </c>
      <c r="D99" s="7">
        <v>83.4</v>
      </c>
      <c r="E99" s="6"/>
      <c r="F99" s="6"/>
      <c r="G99" s="6"/>
    </row>
    <row r="100" spans="1:7" ht="13" x14ac:dyDescent="0.25">
      <c r="A100" s="11">
        <v>30</v>
      </c>
      <c r="B100" s="7">
        <v>37.6</v>
      </c>
      <c r="C100" s="7">
        <v>51.2</v>
      </c>
      <c r="D100" s="7">
        <v>86.4</v>
      </c>
      <c r="E100" s="2"/>
      <c r="F100" s="2"/>
      <c r="G100" s="2"/>
    </row>
    <row r="101" spans="1:7" ht="13" x14ac:dyDescent="0.25">
      <c r="A101" s="11">
        <v>31</v>
      </c>
      <c r="B101" s="7">
        <v>26.8</v>
      </c>
      <c r="C101" s="7">
        <v>59.1</v>
      </c>
      <c r="D101" s="7">
        <v>101.4</v>
      </c>
      <c r="E101" s="2"/>
      <c r="F101" s="2"/>
      <c r="G101" s="2"/>
    </row>
    <row r="102" spans="1:7" ht="13" x14ac:dyDescent="0.25">
      <c r="A102" s="11">
        <v>32</v>
      </c>
      <c r="B102" s="7">
        <v>40.200000000000003</v>
      </c>
      <c r="C102" s="7">
        <v>54.2</v>
      </c>
      <c r="D102" s="7">
        <v>66.5</v>
      </c>
      <c r="E102" s="2"/>
      <c r="F102" s="2"/>
      <c r="G102" s="2"/>
    </row>
    <row r="103" spans="1:7" ht="13" x14ac:dyDescent="0.25">
      <c r="A103" s="11">
        <v>33</v>
      </c>
      <c r="B103" s="7">
        <v>28.2</v>
      </c>
      <c r="C103" s="7">
        <v>61.7</v>
      </c>
      <c r="D103" s="7">
        <v>102.5</v>
      </c>
      <c r="E103" s="2"/>
      <c r="F103" s="2"/>
      <c r="G103" s="2"/>
    </row>
    <row r="104" spans="1:7" ht="13" x14ac:dyDescent="0.25">
      <c r="A104" s="11">
        <v>34</v>
      </c>
      <c r="B104" s="7">
        <v>28.5</v>
      </c>
      <c r="C104" s="7">
        <v>45.8</v>
      </c>
      <c r="D104" s="7">
        <v>71.2</v>
      </c>
      <c r="E104" s="2"/>
      <c r="F104" s="2"/>
      <c r="G104" s="2"/>
    </row>
    <row r="105" spans="1:7" ht="13" x14ac:dyDescent="0.25">
      <c r="A105" s="11">
        <v>35</v>
      </c>
      <c r="B105" s="7">
        <v>20.8</v>
      </c>
      <c r="C105" s="7">
        <v>52.2</v>
      </c>
      <c r="D105" s="7">
        <v>80.900000000000006</v>
      </c>
      <c r="E105" s="2"/>
      <c r="F105" s="2"/>
      <c r="G105" s="2"/>
    </row>
    <row r="106" spans="1:7" ht="13" x14ac:dyDescent="0.25">
      <c r="A106" s="11">
        <v>36</v>
      </c>
      <c r="B106" s="7">
        <v>40.4</v>
      </c>
      <c r="C106" s="7">
        <v>61.7</v>
      </c>
      <c r="D106" s="7">
        <v>71.3</v>
      </c>
      <c r="E106" s="2"/>
      <c r="F106" s="2"/>
      <c r="G106" s="2"/>
    </row>
    <row r="107" spans="1:7" ht="13" x14ac:dyDescent="0.25">
      <c r="A107" s="11">
        <v>37</v>
      </c>
      <c r="B107" s="7">
        <v>42.1</v>
      </c>
      <c r="C107" s="7">
        <v>55.9</v>
      </c>
      <c r="D107" s="7">
        <v>75.099999999999994</v>
      </c>
      <c r="E107" s="2"/>
      <c r="F107" s="2"/>
      <c r="G107" s="2"/>
    </row>
    <row r="108" spans="1:7" ht="13" x14ac:dyDescent="0.25">
      <c r="A108" s="11">
        <v>38</v>
      </c>
      <c r="B108" s="7">
        <v>40.299999999999997</v>
      </c>
      <c r="C108" s="7">
        <v>53.6</v>
      </c>
      <c r="D108" s="7">
        <v>79.099999999999994</v>
      </c>
      <c r="E108" s="2"/>
      <c r="F108" s="2"/>
      <c r="G108" s="2"/>
    </row>
    <row r="109" spans="1:7" ht="13" x14ac:dyDescent="0.25">
      <c r="A109" s="11">
        <v>39</v>
      </c>
      <c r="B109" s="7">
        <v>31.7</v>
      </c>
      <c r="C109" s="7">
        <v>52.4</v>
      </c>
      <c r="D109" s="7">
        <v>92.3</v>
      </c>
      <c r="E109" s="2"/>
      <c r="F109" s="2"/>
      <c r="G109" s="2"/>
    </row>
    <row r="110" spans="1:7" ht="13" x14ac:dyDescent="0.25">
      <c r="A110" s="11">
        <v>40</v>
      </c>
      <c r="B110" s="7">
        <v>44.1</v>
      </c>
      <c r="C110" s="7">
        <v>64.900000000000006</v>
      </c>
      <c r="D110" s="7">
        <v>92.1</v>
      </c>
      <c r="E110" s="2"/>
      <c r="F110" s="2"/>
      <c r="G110" s="2"/>
    </row>
    <row r="111" spans="1:7" ht="13" x14ac:dyDescent="0.25">
      <c r="A111" s="11">
        <v>41</v>
      </c>
      <c r="B111" s="7">
        <v>43.4</v>
      </c>
      <c r="C111" s="7">
        <v>49.3</v>
      </c>
      <c r="D111" s="7">
        <v>92</v>
      </c>
      <c r="E111" s="2"/>
      <c r="F111" s="2"/>
      <c r="G111" s="2"/>
    </row>
    <row r="112" spans="1:7" ht="13" x14ac:dyDescent="0.25">
      <c r="A112" s="11">
        <v>42</v>
      </c>
      <c r="B112" s="7">
        <v>31.4</v>
      </c>
      <c r="C112" s="7">
        <v>58.3</v>
      </c>
      <c r="D112" s="7">
        <v>81.400000000000006</v>
      </c>
      <c r="E112" s="2"/>
      <c r="F112" s="2"/>
      <c r="G112" s="2"/>
    </row>
    <row r="113" spans="1:7" ht="13" x14ac:dyDescent="0.25">
      <c r="A113" s="11">
        <v>43</v>
      </c>
      <c r="B113" s="7">
        <v>41.8</v>
      </c>
      <c r="C113" s="7">
        <v>52.9</v>
      </c>
      <c r="D113" s="7">
        <v>75.400000000000006</v>
      </c>
      <c r="E113" s="2"/>
      <c r="F113" s="2"/>
      <c r="G113" s="2"/>
    </row>
    <row r="114" spans="1:7" ht="13" x14ac:dyDescent="0.25">
      <c r="A114" s="11">
        <v>44</v>
      </c>
      <c r="B114" s="7">
        <v>21.7</v>
      </c>
      <c r="C114" s="7">
        <v>62.9</v>
      </c>
      <c r="D114" s="7">
        <v>91.8</v>
      </c>
      <c r="E114" s="2"/>
      <c r="F114" s="2"/>
      <c r="G114" s="2"/>
    </row>
    <row r="115" spans="1:7" ht="13" x14ac:dyDescent="0.25">
      <c r="A115" s="11">
        <v>45</v>
      </c>
      <c r="B115" s="7">
        <v>21</v>
      </c>
      <c r="C115" s="7">
        <v>58.6</v>
      </c>
      <c r="D115" s="7">
        <v>78</v>
      </c>
      <c r="E115" s="2"/>
      <c r="F115" s="2"/>
      <c r="G115" s="2"/>
    </row>
    <row r="116" spans="1:7" ht="13" x14ac:dyDescent="0.25">
      <c r="A116" s="11">
        <v>46</v>
      </c>
      <c r="B116" s="7">
        <v>20.399999999999999</v>
      </c>
      <c r="C116" s="7">
        <v>64.7</v>
      </c>
      <c r="D116" s="7">
        <v>98.6</v>
      </c>
      <c r="E116" s="2"/>
      <c r="F116" s="2"/>
      <c r="G116" s="2"/>
    </row>
    <row r="117" spans="1:7" ht="13" x14ac:dyDescent="0.25">
      <c r="A117" s="11">
        <v>47</v>
      </c>
      <c r="B117" s="7">
        <v>44.2</v>
      </c>
      <c r="C117" s="7">
        <v>56.6</v>
      </c>
      <c r="D117" s="7">
        <v>85.3</v>
      </c>
      <c r="E117" s="2"/>
      <c r="F117" s="2"/>
      <c r="G117" s="2"/>
    </row>
    <row r="118" spans="1:7" ht="13" x14ac:dyDescent="0.25">
      <c r="A118" s="11">
        <v>48</v>
      </c>
      <c r="B118" s="7">
        <v>43.3</v>
      </c>
      <c r="C118" s="7">
        <v>50.8</v>
      </c>
      <c r="D118" s="7">
        <v>103.9</v>
      </c>
      <c r="E118" s="2"/>
      <c r="F118" s="2"/>
      <c r="G118" s="2"/>
    </row>
    <row r="119" spans="1:7" ht="13" x14ac:dyDescent="0.25">
      <c r="A119" s="11">
        <v>49</v>
      </c>
      <c r="B119" s="7">
        <v>26.3</v>
      </c>
      <c r="C119" s="7">
        <v>45.8</v>
      </c>
      <c r="D119" s="7">
        <v>91.5</v>
      </c>
      <c r="E119" s="2"/>
      <c r="F119" s="2"/>
      <c r="G119" s="2"/>
    </row>
    <row r="120" spans="1:7" ht="13" x14ac:dyDescent="0.25">
      <c r="A120" s="11">
        <v>50</v>
      </c>
      <c r="B120" s="7">
        <v>24.4</v>
      </c>
      <c r="C120" s="7">
        <v>51.2</v>
      </c>
      <c r="D120" s="7">
        <v>79.8</v>
      </c>
      <c r="E120" s="2"/>
      <c r="F120" s="2"/>
      <c r="G120" s="2"/>
    </row>
    <row r="121" spans="1:7" ht="13" x14ac:dyDescent="0.25">
      <c r="A121" s="11">
        <v>51</v>
      </c>
      <c r="B121" s="7">
        <v>43.8</v>
      </c>
      <c r="C121" s="7">
        <v>49.8</v>
      </c>
      <c r="D121" s="7">
        <v>104.6</v>
      </c>
      <c r="E121" s="2"/>
      <c r="F121" s="2"/>
      <c r="G121" s="2"/>
    </row>
    <row r="122" spans="1:7" ht="13" x14ac:dyDescent="0.25">
      <c r="A122" s="11">
        <v>52</v>
      </c>
      <c r="B122" s="7">
        <v>26.6</v>
      </c>
      <c r="C122" s="7">
        <v>58.9</v>
      </c>
      <c r="D122" s="7">
        <v>103.9</v>
      </c>
      <c r="E122" s="2"/>
      <c r="F122" s="2"/>
      <c r="G122" s="2"/>
    </row>
    <row r="123" spans="1:7" ht="13" x14ac:dyDescent="0.25">
      <c r="A123" s="11">
        <v>53</v>
      </c>
      <c r="B123" s="7">
        <v>43.4</v>
      </c>
      <c r="C123" s="7">
        <v>47.9</v>
      </c>
      <c r="D123" s="7">
        <v>105.1</v>
      </c>
      <c r="E123" s="2"/>
      <c r="F123" s="2"/>
      <c r="G123" s="2"/>
    </row>
    <row r="124" spans="1:7" ht="13" x14ac:dyDescent="0.25">
      <c r="A124" s="11">
        <v>54</v>
      </c>
      <c r="B124" s="7">
        <v>41.2</v>
      </c>
      <c r="C124" s="7">
        <v>48.6</v>
      </c>
      <c r="D124" s="7">
        <v>97.5</v>
      </c>
      <c r="E124" s="2"/>
      <c r="F124" s="2"/>
      <c r="G124" s="2"/>
    </row>
    <row r="125" spans="1:7" ht="13" x14ac:dyDescent="0.25">
      <c r="A125" s="11">
        <v>55</v>
      </c>
      <c r="B125" s="7">
        <v>36.5</v>
      </c>
      <c r="C125" s="7">
        <v>58.1</v>
      </c>
      <c r="D125" s="7">
        <v>84.9</v>
      </c>
      <c r="E125" s="2"/>
      <c r="F125" s="2"/>
      <c r="G125" s="2"/>
    </row>
    <row r="126" spans="1:7" ht="13" x14ac:dyDescent="0.25">
      <c r="A126" s="11">
        <v>56</v>
      </c>
      <c r="B126" s="7">
        <v>23.6</v>
      </c>
      <c r="C126" s="7">
        <v>53.1</v>
      </c>
      <c r="D126" s="7">
        <v>94</v>
      </c>
      <c r="E126" s="2"/>
      <c r="F126" s="2"/>
      <c r="G126" s="2"/>
    </row>
    <row r="127" spans="1:7" ht="13" x14ac:dyDescent="0.25">
      <c r="A127" s="11">
        <v>57</v>
      </c>
      <c r="B127" s="7">
        <v>20.8</v>
      </c>
      <c r="C127" s="7">
        <v>64.599999999999994</v>
      </c>
      <c r="D127" s="7">
        <v>65.3</v>
      </c>
      <c r="E127" s="2"/>
      <c r="F127" s="2"/>
      <c r="G127" s="2"/>
    </row>
    <row r="128" spans="1:7" ht="13" x14ac:dyDescent="0.25">
      <c r="A128" s="11">
        <v>58</v>
      </c>
      <c r="B128" s="7">
        <v>39.299999999999997</v>
      </c>
      <c r="C128" s="7">
        <v>54.1</v>
      </c>
      <c r="D128" s="7">
        <v>93.7</v>
      </c>
      <c r="E128" s="2"/>
      <c r="F128" s="2"/>
      <c r="G128" s="2"/>
    </row>
    <row r="129" spans="1:7" ht="13" x14ac:dyDescent="0.25">
      <c r="A129" s="11">
        <v>59</v>
      </c>
      <c r="B129" s="7">
        <v>28.6</v>
      </c>
      <c r="C129" s="7">
        <v>62.4</v>
      </c>
      <c r="D129" s="7">
        <v>66.2</v>
      </c>
      <c r="E129" s="2"/>
      <c r="F129" s="2"/>
      <c r="G129" s="2"/>
    </row>
    <row r="130" spans="1:7" ht="13" x14ac:dyDescent="0.25">
      <c r="A130" s="11">
        <v>60</v>
      </c>
      <c r="B130" s="7">
        <v>30.2</v>
      </c>
      <c r="C130" s="7">
        <v>50</v>
      </c>
      <c r="D130" s="7">
        <v>104.5</v>
      </c>
      <c r="E130" s="2"/>
      <c r="F130" s="2"/>
      <c r="G130" s="2"/>
    </row>
    <row r="131" spans="1:7" ht="13" x14ac:dyDescent="0.25">
      <c r="A131" s="11">
        <v>61</v>
      </c>
      <c r="B131" s="7">
        <v>41.6</v>
      </c>
      <c r="C131" s="7">
        <v>55</v>
      </c>
      <c r="D131" s="7">
        <v>78</v>
      </c>
      <c r="E131" s="2"/>
      <c r="F131" s="2"/>
      <c r="G131" s="2"/>
    </row>
    <row r="132" spans="1:7" ht="13" x14ac:dyDescent="0.25">
      <c r="A132" s="11">
        <v>62</v>
      </c>
      <c r="B132" s="7">
        <v>21.7</v>
      </c>
      <c r="C132" s="7">
        <v>58.7</v>
      </c>
      <c r="D132" s="7">
        <v>73.400000000000006</v>
      </c>
      <c r="E132" s="2"/>
      <c r="F132" s="2"/>
      <c r="G132" s="2"/>
    </row>
    <row r="133" spans="1:7" ht="13.5" thickBot="1" x14ac:dyDescent="0.3">
      <c r="A133" s="14">
        <v>63</v>
      </c>
      <c r="B133" s="7">
        <v>30.9</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54.6</v>
      </c>
      <c r="C138" s="13">
        <f>ROUNDDOWN(AVERAGE(E5:G20),1)</f>
        <v>71.2</v>
      </c>
      <c r="D138" s="11">
        <f>'2021.6'!D138</f>
        <v>8438</v>
      </c>
      <c r="E138" s="11">
        <v>15939</v>
      </c>
      <c r="F138" s="11">
        <f>B138*D138</f>
        <v>460714.8</v>
      </c>
      <c r="G138" s="11">
        <f>C138*E138</f>
        <v>1134856.8</v>
      </c>
    </row>
    <row r="139" spans="1:7" ht="13" x14ac:dyDescent="0.25">
      <c r="A139" s="6" t="str">
        <f>A21</f>
        <v>Dongtai Jianggang Farm</v>
      </c>
      <c r="B139" s="13">
        <f>ROUNDDOWN(AVERAGE(B24:D33),1)</f>
        <v>58.1</v>
      </c>
      <c r="C139" s="13">
        <f>ROUNDDOWN(AVERAGE(E24:G52),1)</f>
        <v>73.5</v>
      </c>
      <c r="D139" s="11">
        <f>'2021.6'!D139</f>
        <v>9440</v>
      </c>
      <c r="E139" s="11">
        <v>29492</v>
      </c>
      <c r="F139" s="11">
        <f t="shared" ref="F139:G141" si="0">B139*D139</f>
        <v>548464</v>
      </c>
      <c r="G139" s="11">
        <f t="shared" si="0"/>
        <v>2167662</v>
      </c>
    </row>
    <row r="140" spans="1:7" ht="13" x14ac:dyDescent="0.25">
      <c r="A140" s="6" t="str">
        <f>A53</f>
        <v>Sheyang Linhai Farm</v>
      </c>
      <c r="B140" s="13">
        <f>ROUNDDOWN(AVERAGE(B56:D67),1)</f>
        <v>59</v>
      </c>
      <c r="C140" s="13">
        <f>ROUNDDOWN(AVERAGE(E56:G62),1)</f>
        <v>67.8</v>
      </c>
      <c r="D140" s="11">
        <f>'2021.6'!D140</f>
        <v>11825</v>
      </c>
      <c r="E140" s="11">
        <v>6423</v>
      </c>
      <c r="F140" s="11">
        <f t="shared" si="0"/>
        <v>697675</v>
      </c>
      <c r="G140" s="11">
        <f t="shared" si="0"/>
        <v>435479.39999999997</v>
      </c>
    </row>
    <row r="141" spans="1:7" ht="13" x14ac:dyDescent="0.25">
      <c r="A141" s="6" t="str">
        <f>A68</f>
        <v>Siyang Nanliuji</v>
      </c>
      <c r="B141" s="13">
        <f>ROUNDDOWN(AVERAGE(B71:D133),1)</f>
        <v>58</v>
      </c>
      <c r="C141" s="11">
        <f>ROUNDDOWN(AVERAGE(0),1)</f>
        <v>0</v>
      </c>
      <c r="D141" s="11">
        <f>'2021.6'!D141</f>
        <v>65005</v>
      </c>
      <c r="E141" s="11">
        <v>0</v>
      </c>
      <c r="F141" s="11">
        <f t="shared" si="0"/>
        <v>3770290</v>
      </c>
      <c r="G141" s="11">
        <f t="shared" si="0"/>
        <v>0</v>
      </c>
    </row>
    <row r="142" spans="1:7" ht="13" x14ac:dyDescent="0.25">
      <c r="A142" s="613" t="s">
        <v>154</v>
      </c>
      <c r="B142" s="617"/>
      <c r="C142" s="614"/>
      <c r="D142" s="11">
        <f>SUM(D138:D141)</f>
        <v>94708</v>
      </c>
      <c r="E142" s="11">
        <f>SUM(E138:E141)</f>
        <v>51854</v>
      </c>
      <c r="F142" s="11">
        <f>SUM(F138:F141)</f>
        <v>5477143.7999999998</v>
      </c>
      <c r="G142" s="11">
        <f>SUM(G138:G141)</f>
        <v>3737998.1999999997</v>
      </c>
    </row>
    <row r="144" spans="1:7" ht="13" x14ac:dyDescent="0.25">
      <c r="C144" s="613" t="s">
        <v>155</v>
      </c>
      <c r="D144" s="614"/>
    </row>
    <row r="145" spans="3:4" ht="13" x14ac:dyDescent="0.25">
      <c r="C145" s="11" t="s">
        <v>152</v>
      </c>
      <c r="D145" s="11" t="s">
        <v>153</v>
      </c>
    </row>
    <row r="146" spans="3:4" ht="13" x14ac:dyDescent="0.25">
      <c r="C146" s="12">
        <f>ROUNDDOWN(F142/D142,1)</f>
        <v>57.8</v>
      </c>
      <c r="D146" s="12">
        <f>ROUNDDOWN(G142/E142,1)</f>
        <v>72</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46"/>
  <sheetViews>
    <sheetView workbookViewId="0">
      <selection activeCell="A3" sqref="A3"/>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'2021.7'!A2:G2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22.2</v>
      </c>
      <c r="C5" s="7">
        <v>59</v>
      </c>
      <c r="D5" s="7">
        <v>92.7</v>
      </c>
      <c r="E5" s="7">
        <v>27.9</v>
      </c>
      <c r="F5" s="7">
        <v>63.3</v>
      </c>
      <c r="G5" s="7">
        <v>111</v>
      </c>
    </row>
    <row r="6" spans="1:7" ht="13" x14ac:dyDescent="0.25">
      <c r="A6" s="11">
        <v>2</v>
      </c>
      <c r="B6" s="7">
        <v>23.6</v>
      </c>
      <c r="C6" s="7">
        <v>52.1</v>
      </c>
      <c r="D6" s="7">
        <v>77.8</v>
      </c>
      <c r="E6" s="7">
        <v>37</v>
      </c>
      <c r="F6" s="7">
        <v>60.8</v>
      </c>
      <c r="G6" s="7">
        <v>87.8</v>
      </c>
    </row>
    <row r="7" spans="1:7" ht="13" x14ac:dyDescent="0.25">
      <c r="A7" s="11">
        <v>3</v>
      </c>
      <c r="B7" s="7">
        <v>39.4</v>
      </c>
      <c r="C7" s="7">
        <v>47.9</v>
      </c>
      <c r="D7" s="7">
        <v>95</v>
      </c>
      <c r="E7" s="7">
        <v>38</v>
      </c>
      <c r="F7" s="7">
        <v>63.8</v>
      </c>
      <c r="G7" s="7">
        <v>102.6</v>
      </c>
    </row>
    <row r="8" spans="1:7" ht="13" x14ac:dyDescent="0.25">
      <c r="A8" s="11">
        <v>4</v>
      </c>
      <c r="B8" s="7">
        <v>29.1</v>
      </c>
      <c r="C8" s="7">
        <v>51.6</v>
      </c>
      <c r="D8" s="7">
        <v>102.1</v>
      </c>
      <c r="E8" s="7">
        <v>25</v>
      </c>
      <c r="F8" s="7">
        <v>60.5</v>
      </c>
      <c r="G8" s="7">
        <v>104.1</v>
      </c>
    </row>
    <row r="9" spans="1:7" ht="13" x14ac:dyDescent="0.25">
      <c r="A9" s="11">
        <v>5</v>
      </c>
      <c r="B9" s="7">
        <v>37.299999999999997</v>
      </c>
      <c r="C9" s="7">
        <v>53</v>
      </c>
      <c r="D9" s="7">
        <v>102.2</v>
      </c>
      <c r="E9" s="7">
        <v>47.9</v>
      </c>
      <c r="F9" s="7">
        <v>78.5</v>
      </c>
      <c r="G9" s="7">
        <v>85.7</v>
      </c>
    </row>
    <row r="10" spans="1:7" ht="13" x14ac:dyDescent="0.25">
      <c r="A10" s="11">
        <v>6</v>
      </c>
      <c r="B10" s="7">
        <v>34.299999999999997</v>
      </c>
      <c r="C10" s="7">
        <v>61.3</v>
      </c>
      <c r="D10" s="7">
        <v>91.4</v>
      </c>
      <c r="E10" s="7">
        <v>56.3</v>
      </c>
      <c r="F10" s="7">
        <v>69.5</v>
      </c>
      <c r="G10" s="7">
        <v>97.6</v>
      </c>
    </row>
    <row r="11" spans="1:7" ht="13" x14ac:dyDescent="0.25">
      <c r="A11" s="11">
        <v>7</v>
      </c>
      <c r="B11" s="7">
        <v>35.799999999999997</v>
      </c>
      <c r="C11" s="7">
        <v>60.2</v>
      </c>
      <c r="D11" s="7">
        <v>76.3</v>
      </c>
      <c r="E11" s="7">
        <v>34.1</v>
      </c>
      <c r="F11" s="7">
        <v>77.2</v>
      </c>
      <c r="G11" s="7">
        <v>117.9</v>
      </c>
    </row>
    <row r="12" spans="1:7" ht="13" x14ac:dyDescent="0.25">
      <c r="A12" s="11">
        <v>8</v>
      </c>
      <c r="B12" s="7">
        <v>29</v>
      </c>
      <c r="C12" s="7">
        <v>59.8</v>
      </c>
      <c r="D12" s="7">
        <v>108.9</v>
      </c>
      <c r="E12" s="7">
        <v>58.2</v>
      </c>
      <c r="F12" s="7">
        <v>77.7</v>
      </c>
      <c r="G12" s="7">
        <v>85.9</v>
      </c>
    </row>
    <row r="13" spans="1:7" ht="13" x14ac:dyDescent="0.25">
      <c r="A13" s="11">
        <v>9</v>
      </c>
      <c r="B13" s="7">
        <v>31.2</v>
      </c>
      <c r="C13" s="7">
        <v>49.3</v>
      </c>
      <c r="D13" s="7">
        <v>97.2</v>
      </c>
      <c r="E13" s="7">
        <v>45.8</v>
      </c>
      <c r="F13" s="7">
        <v>77.900000000000006</v>
      </c>
      <c r="G13" s="7">
        <v>102.2</v>
      </c>
    </row>
    <row r="14" spans="1:7" ht="13" x14ac:dyDescent="0.25">
      <c r="A14" s="11">
        <v>10</v>
      </c>
      <c r="B14" s="7"/>
      <c r="C14" s="7"/>
      <c r="D14" s="7"/>
      <c r="E14" s="7">
        <v>54.8</v>
      </c>
      <c r="F14" s="7">
        <v>61.3</v>
      </c>
      <c r="G14" s="7">
        <v>94.2</v>
      </c>
    </row>
    <row r="15" spans="1:7" ht="13" x14ac:dyDescent="0.25">
      <c r="A15" s="11">
        <v>11</v>
      </c>
      <c r="B15" s="7"/>
      <c r="C15" s="7"/>
      <c r="D15" s="7"/>
      <c r="E15" s="7">
        <v>29.1</v>
      </c>
      <c r="F15" s="7">
        <v>60.6</v>
      </c>
      <c r="G15" s="7">
        <v>108.1</v>
      </c>
    </row>
    <row r="16" spans="1:7" ht="13" x14ac:dyDescent="0.25">
      <c r="A16" s="11">
        <v>12</v>
      </c>
      <c r="B16" s="7"/>
      <c r="C16" s="7"/>
      <c r="D16" s="7"/>
      <c r="E16" s="7">
        <v>34.6</v>
      </c>
      <c r="F16" s="7">
        <v>73.599999999999994</v>
      </c>
      <c r="G16" s="7">
        <v>95.9</v>
      </c>
    </row>
    <row r="17" spans="1:7" ht="13" x14ac:dyDescent="0.25">
      <c r="A17" s="11">
        <v>13</v>
      </c>
      <c r="B17" s="7"/>
      <c r="C17" s="7"/>
      <c r="D17" s="7"/>
      <c r="E17" s="7">
        <v>28.1</v>
      </c>
      <c r="F17" s="7">
        <v>72.8</v>
      </c>
      <c r="G17" s="7">
        <v>116.9</v>
      </c>
    </row>
    <row r="18" spans="1:7" ht="13" x14ac:dyDescent="0.25">
      <c r="A18" s="11">
        <v>14</v>
      </c>
      <c r="B18" s="7"/>
      <c r="C18" s="7"/>
      <c r="D18" s="7"/>
      <c r="E18" s="7">
        <v>33.5</v>
      </c>
      <c r="F18" s="7">
        <v>73.3</v>
      </c>
      <c r="G18" s="7">
        <v>112.8</v>
      </c>
    </row>
    <row r="19" spans="1:7" ht="13" x14ac:dyDescent="0.25">
      <c r="A19" s="11">
        <v>15</v>
      </c>
      <c r="B19" s="7"/>
      <c r="C19" s="7"/>
      <c r="D19" s="7"/>
      <c r="E19" s="7">
        <v>36.299999999999997</v>
      </c>
      <c r="F19" s="7">
        <v>78.400000000000006</v>
      </c>
      <c r="G19" s="7">
        <v>96.9</v>
      </c>
    </row>
    <row r="20" spans="1:7" ht="13.5" thickBot="1" x14ac:dyDescent="0.3">
      <c r="A20" s="14">
        <v>16</v>
      </c>
      <c r="B20" s="15"/>
      <c r="C20" s="15"/>
      <c r="D20" s="15"/>
      <c r="E20" s="7">
        <v>57</v>
      </c>
      <c r="F20" s="7">
        <v>81.2</v>
      </c>
      <c r="G20" s="7">
        <v>114.7</v>
      </c>
    </row>
    <row r="21" spans="1:7" ht="13.5" thickTop="1" x14ac:dyDescent="0.25">
      <c r="A21" s="612" t="str">
        <f>'2021.7'!A21:G21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44.3</v>
      </c>
      <c r="C24" s="7">
        <v>46</v>
      </c>
      <c r="D24" s="7">
        <v>98</v>
      </c>
      <c r="E24" s="7">
        <v>37.9</v>
      </c>
      <c r="F24" s="7">
        <v>83.6</v>
      </c>
      <c r="G24" s="7">
        <v>116.9</v>
      </c>
    </row>
    <row r="25" spans="1:7" ht="13" x14ac:dyDescent="0.25">
      <c r="A25" s="11">
        <v>2</v>
      </c>
      <c r="B25" s="7">
        <v>41.2</v>
      </c>
      <c r="C25" s="7">
        <v>48.6</v>
      </c>
      <c r="D25" s="7">
        <v>69.400000000000006</v>
      </c>
      <c r="E25" s="7">
        <v>28.2</v>
      </c>
      <c r="F25" s="7">
        <v>82.1</v>
      </c>
      <c r="G25" s="7">
        <v>96.4</v>
      </c>
    </row>
    <row r="26" spans="1:7" ht="13" x14ac:dyDescent="0.25">
      <c r="A26" s="11">
        <v>3</v>
      </c>
      <c r="B26" s="7">
        <v>37.299999999999997</v>
      </c>
      <c r="C26" s="7">
        <v>54.3</v>
      </c>
      <c r="D26" s="7">
        <v>103.2</v>
      </c>
      <c r="E26" s="7">
        <v>37.4</v>
      </c>
      <c r="F26" s="7">
        <v>78.7</v>
      </c>
      <c r="G26" s="7">
        <v>117.1</v>
      </c>
    </row>
    <row r="27" spans="1:7" ht="13" x14ac:dyDescent="0.25">
      <c r="A27" s="11">
        <v>4</v>
      </c>
      <c r="B27" s="7">
        <v>33.700000000000003</v>
      </c>
      <c r="C27" s="7">
        <v>55.8</v>
      </c>
      <c r="D27" s="7">
        <v>102.3</v>
      </c>
      <c r="E27" s="7">
        <v>55.1</v>
      </c>
      <c r="F27" s="7">
        <v>69.599999999999994</v>
      </c>
      <c r="G27" s="7">
        <v>89.1</v>
      </c>
    </row>
    <row r="28" spans="1:7" ht="13" x14ac:dyDescent="0.25">
      <c r="A28" s="11">
        <v>5</v>
      </c>
      <c r="B28" s="7">
        <v>38.9</v>
      </c>
      <c r="C28" s="7">
        <v>59.9</v>
      </c>
      <c r="D28" s="7">
        <v>79</v>
      </c>
      <c r="E28" s="7">
        <v>30.6</v>
      </c>
      <c r="F28" s="7">
        <v>84.8</v>
      </c>
      <c r="G28" s="7">
        <v>111.9</v>
      </c>
    </row>
    <row r="29" spans="1:7" ht="13" x14ac:dyDescent="0.25">
      <c r="A29" s="11">
        <v>6</v>
      </c>
      <c r="B29" s="7">
        <v>37.4</v>
      </c>
      <c r="C29" s="7">
        <v>55.4</v>
      </c>
      <c r="D29" s="7">
        <v>100.1</v>
      </c>
      <c r="E29" s="7">
        <v>45.9</v>
      </c>
      <c r="F29" s="7">
        <v>64.8</v>
      </c>
      <c r="G29" s="7">
        <v>111.7</v>
      </c>
    </row>
    <row r="30" spans="1:7" ht="13" x14ac:dyDescent="0.25">
      <c r="A30" s="11">
        <v>7</v>
      </c>
      <c r="B30" s="7">
        <v>31.6</v>
      </c>
      <c r="C30" s="7">
        <v>55.2</v>
      </c>
      <c r="D30" s="7">
        <v>106.8</v>
      </c>
      <c r="E30" s="7">
        <v>58.6</v>
      </c>
      <c r="F30" s="7">
        <v>64.2</v>
      </c>
      <c r="G30" s="7">
        <v>115.2</v>
      </c>
    </row>
    <row r="31" spans="1:7" ht="13" x14ac:dyDescent="0.25">
      <c r="A31" s="11">
        <v>8</v>
      </c>
      <c r="B31" s="7">
        <v>44.7</v>
      </c>
      <c r="C31" s="7">
        <v>63.6</v>
      </c>
      <c r="D31" s="7">
        <v>72.900000000000006</v>
      </c>
      <c r="E31" s="7">
        <v>50.6</v>
      </c>
      <c r="F31" s="7">
        <v>73.3</v>
      </c>
      <c r="G31" s="7">
        <v>111.3</v>
      </c>
    </row>
    <row r="32" spans="1:7" ht="13" x14ac:dyDescent="0.25">
      <c r="A32" s="11">
        <v>9</v>
      </c>
      <c r="B32" s="7">
        <v>40.4</v>
      </c>
      <c r="C32" s="7">
        <v>56.2</v>
      </c>
      <c r="D32" s="7">
        <v>67.3</v>
      </c>
      <c r="E32" s="7">
        <v>51.1</v>
      </c>
      <c r="F32" s="7">
        <v>82.7</v>
      </c>
      <c r="G32" s="7">
        <v>105.8</v>
      </c>
    </row>
    <row r="33" spans="1:7" ht="13" x14ac:dyDescent="0.25">
      <c r="A33" s="11">
        <v>10</v>
      </c>
      <c r="B33" s="7">
        <v>44.6</v>
      </c>
      <c r="C33" s="7">
        <v>51.9</v>
      </c>
      <c r="D33" s="7">
        <v>71.5</v>
      </c>
      <c r="E33" s="7">
        <v>31.4</v>
      </c>
      <c r="F33" s="7">
        <v>70.900000000000006</v>
      </c>
      <c r="G33" s="7">
        <v>92</v>
      </c>
    </row>
    <row r="34" spans="1:7" ht="13" x14ac:dyDescent="0.25">
      <c r="A34" s="11">
        <v>11</v>
      </c>
      <c r="B34" s="7"/>
      <c r="C34" s="7"/>
      <c r="D34" s="7"/>
      <c r="E34" s="7">
        <v>56.9</v>
      </c>
      <c r="F34" s="7">
        <v>71.900000000000006</v>
      </c>
      <c r="G34" s="7">
        <v>98.4</v>
      </c>
    </row>
    <row r="35" spans="1:7" ht="13" x14ac:dyDescent="0.25">
      <c r="A35" s="11">
        <v>12</v>
      </c>
      <c r="B35" s="7"/>
      <c r="C35" s="7"/>
      <c r="D35" s="7"/>
      <c r="E35" s="7">
        <v>33.6</v>
      </c>
      <c r="F35" s="7">
        <v>63.3</v>
      </c>
      <c r="G35" s="7">
        <v>86.1</v>
      </c>
    </row>
    <row r="36" spans="1:7" ht="13" x14ac:dyDescent="0.25">
      <c r="A36" s="11">
        <v>13</v>
      </c>
      <c r="B36" s="7"/>
      <c r="C36" s="7"/>
      <c r="D36" s="7"/>
      <c r="E36" s="7">
        <v>35.1</v>
      </c>
      <c r="F36" s="7">
        <v>77.2</v>
      </c>
      <c r="G36" s="7">
        <v>110.3</v>
      </c>
    </row>
    <row r="37" spans="1:7" ht="13" x14ac:dyDescent="0.25">
      <c r="A37" s="11">
        <v>14</v>
      </c>
      <c r="B37" s="7"/>
      <c r="C37" s="7"/>
      <c r="D37" s="7"/>
      <c r="E37" s="7">
        <v>43.9</v>
      </c>
      <c r="F37" s="7">
        <v>74.900000000000006</v>
      </c>
      <c r="G37" s="7">
        <v>107.7</v>
      </c>
    </row>
    <row r="38" spans="1:7" ht="13" x14ac:dyDescent="0.25">
      <c r="A38" s="11">
        <v>15</v>
      </c>
      <c r="B38" s="7"/>
      <c r="C38" s="7"/>
      <c r="D38" s="7"/>
      <c r="E38" s="7">
        <v>26.5</v>
      </c>
      <c r="F38" s="7">
        <v>63.3</v>
      </c>
      <c r="G38" s="7">
        <v>100.5</v>
      </c>
    </row>
    <row r="39" spans="1:7" ht="13" x14ac:dyDescent="0.25">
      <c r="A39" s="11">
        <v>16</v>
      </c>
      <c r="B39" s="7"/>
      <c r="C39" s="7"/>
      <c r="D39" s="7"/>
      <c r="E39" s="7">
        <v>35.799999999999997</v>
      </c>
      <c r="F39" s="7">
        <v>81.3</v>
      </c>
      <c r="G39" s="7">
        <v>86.3</v>
      </c>
    </row>
    <row r="40" spans="1:7" ht="13" x14ac:dyDescent="0.25">
      <c r="A40" s="11">
        <v>17</v>
      </c>
      <c r="B40" s="7"/>
      <c r="C40" s="7"/>
      <c r="D40" s="7"/>
      <c r="E40" s="7">
        <v>32.299999999999997</v>
      </c>
      <c r="F40" s="7">
        <v>64.5</v>
      </c>
      <c r="G40" s="7">
        <v>91.8</v>
      </c>
    </row>
    <row r="41" spans="1:7" ht="13" x14ac:dyDescent="0.25">
      <c r="A41" s="11">
        <v>18</v>
      </c>
      <c r="B41" s="7"/>
      <c r="C41" s="7"/>
      <c r="D41" s="7"/>
      <c r="E41" s="7">
        <v>27.8</v>
      </c>
      <c r="F41" s="7">
        <v>68</v>
      </c>
      <c r="G41" s="7">
        <v>118</v>
      </c>
    </row>
    <row r="42" spans="1:7" ht="13" x14ac:dyDescent="0.25">
      <c r="A42" s="11">
        <v>19</v>
      </c>
      <c r="B42" s="7"/>
      <c r="C42" s="7"/>
      <c r="D42" s="7"/>
      <c r="E42" s="7">
        <v>58.8</v>
      </c>
      <c r="F42" s="7">
        <v>78</v>
      </c>
      <c r="G42" s="7">
        <v>103.1</v>
      </c>
    </row>
    <row r="43" spans="1:7" ht="13" x14ac:dyDescent="0.25">
      <c r="A43" s="11">
        <v>20</v>
      </c>
      <c r="B43" s="7"/>
      <c r="C43" s="7"/>
      <c r="D43" s="7"/>
      <c r="E43" s="7">
        <v>26.6</v>
      </c>
      <c r="F43" s="7">
        <v>71.2</v>
      </c>
      <c r="G43" s="7">
        <v>94.3</v>
      </c>
    </row>
    <row r="44" spans="1:7" ht="13" x14ac:dyDescent="0.25">
      <c r="A44" s="11">
        <v>21</v>
      </c>
      <c r="B44" s="7"/>
      <c r="C44" s="7"/>
      <c r="D44" s="7"/>
      <c r="E44" s="7">
        <v>60</v>
      </c>
      <c r="F44" s="7">
        <v>60.8</v>
      </c>
      <c r="G44" s="7">
        <v>87.2</v>
      </c>
    </row>
    <row r="45" spans="1:7" ht="13" x14ac:dyDescent="0.25">
      <c r="A45" s="11">
        <v>22</v>
      </c>
      <c r="B45" s="7"/>
      <c r="C45" s="7"/>
      <c r="D45" s="7"/>
      <c r="E45" s="7">
        <v>38.5</v>
      </c>
      <c r="F45" s="7">
        <v>68.599999999999994</v>
      </c>
      <c r="G45" s="7">
        <v>104.2</v>
      </c>
    </row>
    <row r="46" spans="1:7" ht="13" x14ac:dyDescent="0.25">
      <c r="A46" s="11">
        <v>23</v>
      </c>
      <c r="B46" s="7"/>
      <c r="C46" s="7"/>
      <c r="D46" s="7"/>
      <c r="E46" s="7">
        <v>59.5</v>
      </c>
      <c r="F46" s="7">
        <v>72.8</v>
      </c>
      <c r="G46" s="7">
        <v>114.4</v>
      </c>
    </row>
    <row r="47" spans="1:7" ht="13" x14ac:dyDescent="0.25">
      <c r="A47" s="11">
        <v>24</v>
      </c>
      <c r="B47" s="7"/>
      <c r="C47" s="7"/>
      <c r="D47" s="7"/>
      <c r="E47" s="7">
        <v>58.5</v>
      </c>
      <c r="F47" s="7">
        <v>80.5</v>
      </c>
      <c r="G47" s="7">
        <v>97.5</v>
      </c>
    </row>
    <row r="48" spans="1:7" ht="13" x14ac:dyDescent="0.25">
      <c r="A48" s="11">
        <v>25</v>
      </c>
      <c r="B48" s="7"/>
      <c r="C48" s="7"/>
      <c r="D48" s="7"/>
      <c r="E48" s="7">
        <v>45.7</v>
      </c>
      <c r="F48" s="7">
        <v>64.400000000000006</v>
      </c>
      <c r="G48" s="7">
        <v>112.4</v>
      </c>
    </row>
    <row r="49" spans="1:7" ht="13" x14ac:dyDescent="0.25">
      <c r="A49" s="11">
        <v>26</v>
      </c>
      <c r="B49" s="7"/>
      <c r="C49" s="16"/>
      <c r="D49" s="7"/>
      <c r="E49" s="7">
        <v>28.3</v>
      </c>
      <c r="F49" s="7">
        <v>66.599999999999994</v>
      </c>
      <c r="G49" s="7">
        <v>111.3</v>
      </c>
    </row>
    <row r="50" spans="1:7" ht="13" x14ac:dyDescent="0.25">
      <c r="A50" s="11">
        <v>27</v>
      </c>
      <c r="B50" s="7"/>
      <c r="C50" s="16"/>
      <c r="D50" s="7"/>
      <c r="E50" s="7">
        <v>59.9</v>
      </c>
      <c r="F50" s="7">
        <v>79.8</v>
      </c>
      <c r="G50" s="7">
        <v>116.6</v>
      </c>
    </row>
    <row r="51" spans="1:7" ht="13" x14ac:dyDescent="0.25">
      <c r="A51" s="11">
        <v>28</v>
      </c>
      <c r="B51" s="7"/>
      <c r="C51" s="17"/>
      <c r="D51" s="7"/>
      <c r="E51" s="7">
        <v>26.8</v>
      </c>
      <c r="F51" s="7">
        <v>71.599999999999994</v>
      </c>
      <c r="G51" s="7">
        <v>109.3</v>
      </c>
    </row>
    <row r="52" spans="1:7" ht="13.5" thickBot="1" x14ac:dyDescent="0.3">
      <c r="A52" s="14">
        <v>29</v>
      </c>
      <c r="B52" s="18"/>
      <c r="C52" s="18"/>
      <c r="D52" s="15"/>
      <c r="E52" s="7">
        <v>59.3</v>
      </c>
      <c r="F52" s="7">
        <v>81</v>
      </c>
      <c r="G52" s="7">
        <v>109.4</v>
      </c>
    </row>
    <row r="53" spans="1:7" ht="13.5" thickTop="1" x14ac:dyDescent="0.25">
      <c r="A53" s="612" t="str">
        <f>'2021.7'!A53:G53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41.8</v>
      </c>
      <c r="C56" s="7">
        <v>62.5</v>
      </c>
      <c r="D56" s="7">
        <v>86.8</v>
      </c>
      <c r="E56" s="7">
        <v>26.3</v>
      </c>
      <c r="F56" s="7">
        <v>75.7</v>
      </c>
      <c r="G56" s="7">
        <v>93.9</v>
      </c>
    </row>
    <row r="57" spans="1:7" ht="13" x14ac:dyDescent="0.25">
      <c r="A57" s="11">
        <v>2</v>
      </c>
      <c r="B57" s="7">
        <v>34.9</v>
      </c>
      <c r="C57" s="7">
        <v>60.6</v>
      </c>
      <c r="D57" s="7">
        <v>99.7</v>
      </c>
      <c r="E57" s="7">
        <v>35.9</v>
      </c>
      <c r="F57" s="7">
        <v>72.2</v>
      </c>
      <c r="G57" s="7">
        <v>88.2</v>
      </c>
    </row>
    <row r="58" spans="1:7" ht="13" x14ac:dyDescent="0.25">
      <c r="A58" s="11">
        <v>3</v>
      </c>
      <c r="B58" s="7">
        <v>20.6</v>
      </c>
      <c r="C58" s="7">
        <v>62.9</v>
      </c>
      <c r="D58" s="7">
        <v>92.4</v>
      </c>
      <c r="E58" s="7">
        <v>28</v>
      </c>
      <c r="F58" s="7">
        <v>73.3</v>
      </c>
      <c r="G58" s="7">
        <v>114.8</v>
      </c>
    </row>
    <row r="59" spans="1:7" ht="13" x14ac:dyDescent="0.25">
      <c r="A59" s="11">
        <v>4</v>
      </c>
      <c r="B59" s="7">
        <v>35.700000000000003</v>
      </c>
      <c r="C59" s="7">
        <v>46.4</v>
      </c>
      <c r="D59" s="7">
        <v>96</v>
      </c>
      <c r="E59" s="7">
        <v>31.2</v>
      </c>
      <c r="F59" s="7">
        <v>70.2</v>
      </c>
      <c r="G59" s="7">
        <v>91.4</v>
      </c>
    </row>
    <row r="60" spans="1:7" ht="13" x14ac:dyDescent="0.25">
      <c r="A60" s="11">
        <v>5</v>
      </c>
      <c r="B60" s="7">
        <v>42.4</v>
      </c>
      <c r="C60" s="7">
        <v>49</v>
      </c>
      <c r="D60" s="7">
        <v>88.2</v>
      </c>
      <c r="E60" s="7">
        <v>49.5</v>
      </c>
      <c r="F60" s="7">
        <v>71.7</v>
      </c>
      <c r="G60" s="7">
        <v>93.9</v>
      </c>
    </row>
    <row r="61" spans="1:7" ht="13" x14ac:dyDescent="0.25">
      <c r="A61" s="11">
        <v>6</v>
      </c>
      <c r="B61" s="7">
        <v>23.4</v>
      </c>
      <c r="C61" s="7">
        <v>61.1</v>
      </c>
      <c r="D61" s="7">
        <v>66.7</v>
      </c>
      <c r="E61" s="7">
        <v>39.6</v>
      </c>
      <c r="F61" s="7">
        <v>68.900000000000006</v>
      </c>
      <c r="G61" s="7">
        <v>115.1</v>
      </c>
    </row>
    <row r="62" spans="1:7" ht="13" x14ac:dyDescent="0.25">
      <c r="A62" s="11">
        <v>7</v>
      </c>
      <c r="B62" s="7">
        <v>39</v>
      </c>
      <c r="C62" s="7">
        <v>50.9</v>
      </c>
      <c r="D62" s="7">
        <v>70.900000000000006</v>
      </c>
      <c r="E62" s="7">
        <v>52.3</v>
      </c>
      <c r="F62" s="7">
        <v>79.7</v>
      </c>
      <c r="G62" s="7">
        <v>89.7</v>
      </c>
    </row>
    <row r="63" spans="1:7" ht="13" x14ac:dyDescent="0.25">
      <c r="A63" s="11">
        <v>8</v>
      </c>
      <c r="B63" s="7">
        <v>25</v>
      </c>
      <c r="C63" s="7">
        <v>45.9</v>
      </c>
      <c r="D63" s="7">
        <v>75.3</v>
      </c>
      <c r="E63" s="7"/>
      <c r="F63" s="7"/>
      <c r="G63" s="7"/>
    </row>
    <row r="64" spans="1:7" ht="13" x14ac:dyDescent="0.25">
      <c r="A64" s="11">
        <v>9</v>
      </c>
      <c r="B64" s="7">
        <v>42.6</v>
      </c>
      <c r="C64" s="7">
        <v>48.5</v>
      </c>
      <c r="D64" s="7">
        <v>84.2</v>
      </c>
      <c r="E64" s="7"/>
      <c r="F64" s="7"/>
      <c r="G64" s="7"/>
    </row>
    <row r="65" spans="1:7" ht="13" x14ac:dyDescent="0.25">
      <c r="A65" s="11">
        <v>10</v>
      </c>
      <c r="B65" s="7">
        <v>42.1</v>
      </c>
      <c r="C65" s="7">
        <v>57</v>
      </c>
      <c r="D65" s="7">
        <v>68.900000000000006</v>
      </c>
      <c r="E65" s="7"/>
      <c r="F65" s="7"/>
      <c r="G65" s="7"/>
    </row>
    <row r="66" spans="1:7" ht="13" x14ac:dyDescent="0.25">
      <c r="A66" s="11">
        <v>11</v>
      </c>
      <c r="B66" s="7">
        <v>25.4</v>
      </c>
      <c r="C66" s="7">
        <v>53.1</v>
      </c>
      <c r="D66" s="7">
        <v>101.3</v>
      </c>
      <c r="E66" s="7"/>
      <c r="F66" s="7"/>
      <c r="G66" s="7"/>
    </row>
    <row r="67" spans="1:7" ht="13.5" thickBot="1" x14ac:dyDescent="0.3">
      <c r="A67" s="14">
        <v>12</v>
      </c>
      <c r="B67" s="7">
        <v>26.6</v>
      </c>
      <c r="C67" s="7">
        <v>52.6</v>
      </c>
      <c r="D67" s="7">
        <v>87.5</v>
      </c>
      <c r="E67" s="15"/>
      <c r="F67" s="15"/>
      <c r="G67" s="15"/>
    </row>
    <row r="68" spans="1:7" ht="13.5" thickTop="1" x14ac:dyDescent="0.25">
      <c r="A68" s="612" t="str">
        <f>'2021.7'!A68:G68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20.8</v>
      </c>
      <c r="C71" s="7">
        <v>46.8</v>
      </c>
      <c r="D71" s="7">
        <v>84.3</v>
      </c>
      <c r="E71" s="7"/>
      <c r="F71" s="7"/>
      <c r="G71" s="7"/>
    </row>
    <row r="72" spans="1:7" ht="13" x14ac:dyDescent="0.25">
      <c r="A72" s="11">
        <v>2</v>
      </c>
      <c r="B72" s="7">
        <v>36.6</v>
      </c>
      <c r="C72" s="7">
        <v>45.5</v>
      </c>
      <c r="D72" s="7">
        <v>85.9</v>
      </c>
      <c r="E72" s="6"/>
      <c r="F72" s="6"/>
      <c r="G72" s="7"/>
    </row>
    <row r="73" spans="1:7" ht="13" x14ac:dyDescent="0.25">
      <c r="A73" s="11">
        <v>3</v>
      </c>
      <c r="B73" s="7">
        <v>41</v>
      </c>
      <c r="C73" s="7">
        <v>56.6</v>
      </c>
      <c r="D73" s="7">
        <v>98.7</v>
      </c>
      <c r="E73" s="6"/>
      <c r="F73" s="6"/>
      <c r="G73" s="6"/>
    </row>
    <row r="74" spans="1:7" ht="13" x14ac:dyDescent="0.25">
      <c r="A74" s="11">
        <v>4</v>
      </c>
      <c r="B74" s="7">
        <v>35.4</v>
      </c>
      <c r="C74" s="7">
        <v>53.1</v>
      </c>
      <c r="D74" s="7">
        <v>106.2</v>
      </c>
      <c r="E74" s="6"/>
      <c r="F74" s="6"/>
      <c r="G74" s="6"/>
    </row>
    <row r="75" spans="1:7" ht="13" x14ac:dyDescent="0.25">
      <c r="A75" s="11">
        <v>5</v>
      </c>
      <c r="B75" s="7">
        <v>28.5</v>
      </c>
      <c r="C75" s="7">
        <v>52.2</v>
      </c>
      <c r="D75" s="7">
        <v>74.400000000000006</v>
      </c>
      <c r="E75" s="6"/>
      <c r="F75" s="6"/>
      <c r="G75" s="6"/>
    </row>
    <row r="76" spans="1:7" ht="13" x14ac:dyDescent="0.25">
      <c r="A76" s="11">
        <v>6</v>
      </c>
      <c r="B76" s="7">
        <v>38</v>
      </c>
      <c r="C76" s="7">
        <v>52.1</v>
      </c>
      <c r="D76" s="7">
        <v>70.599999999999994</v>
      </c>
      <c r="E76" s="6"/>
      <c r="F76" s="6"/>
      <c r="G76" s="6"/>
    </row>
    <row r="77" spans="1:7" ht="13" x14ac:dyDescent="0.25">
      <c r="A77" s="11">
        <v>7</v>
      </c>
      <c r="B77" s="7">
        <v>29.1</v>
      </c>
      <c r="C77" s="7">
        <v>51.7</v>
      </c>
      <c r="D77" s="7">
        <v>93.4</v>
      </c>
      <c r="E77" s="6"/>
      <c r="F77" s="6"/>
      <c r="G77" s="6"/>
    </row>
    <row r="78" spans="1:7" ht="13" x14ac:dyDescent="0.25">
      <c r="A78" s="11">
        <v>8</v>
      </c>
      <c r="B78" s="7">
        <v>35.1</v>
      </c>
      <c r="C78" s="7">
        <v>64.3</v>
      </c>
      <c r="D78" s="7">
        <v>68</v>
      </c>
      <c r="E78" s="6"/>
      <c r="F78" s="6"/>
      <c r="G78" s="6"/>
    </row>
    <row r="79" spans="1:7" ht="13" x14ac:dyDescent="0.25">
      <c r="A79" s="11">
        <v>9</v>
      </c>
      <c r="B79" s="7">
        <v>27.4</v>
      </c>
      <c r="C79" s="7">
        <v>47</v>
      </c>
      <c r="D79" s="7">
        <v>73.8</v>
      </c>
      <c r="E79" s="6"/>
      <c r="F79" s="6"/>
      <c r="G79" s="6"/>
    </row>
    <row r="80" spans="1:7" ht="13" x14ac:dyDescent="0.25">
      <c r="A80" s="11">
        <v>10</v>
      </c>
      <c r="B80" s="7">
        <v>25.4</v>
      </c>
      <c r="C80" s="7">
        <v>57.3</v>
      </c>
      <c r="D80" s="7">
        <v>84</v>
      </c>
      <c r="E80" s="6"/>
      <c r="F80" s="6"/>
      <c r="G80" s="6"/>
    </row>
    <row r="81" spans="1:7" ht="13" x14ac:dyDescent="0.25">
      <c r="A81" s="11">
        <v>11</v>
      </c>
      <c r="B81" s="7">
        <v>42.6</v>
      </c>
      <c r="C81" s="7">
        <v>46.5</v>
      </c>
      <c r="D81" s="7">
        <v>70.7</v>
      </c>
      <c r="E81" s="6"/>
      <c r="F81" s="6"/>
      <c r="G81" s="6"/>
    </row>
    <row r="82" spans="1:7" ht="13" x14ac:dyDescent="0.25">
      <c r="A82" s="11">
        <v>12</v>
      </c>
      <c r="B82" s="7">
        <v>38.4</v>
      </c>
      <c r="C82" s="7">
        <v>53.7</v>
      </c>
      <c r="D82" s="7">
        <v>88.6</v>
      </c>
      <c r="E82" s="6"/>
      <c r="F82" s="6"/>
      <c r="G82" s="6"/>
    </row>
    <row r="83" spans="1:7" ht="13" x14ac:dyDescent="0.25">
      <c r="A83" s="11">
        <v>13</v>
      </c>
      <c r="B83" s="7">
        <v>34.9</v>
      </c>
      <c r="C83" s="7">
        <v>48.2</v>
      </c>
      <c r="D83" s="7">
        <v>73.3</v>
      </c>
      <c r="E83" s="6"/>
      <c r="F83" s="6"/>
      <c r="G83" s="6"/>
    </row>
    <row r="84" spans="1:7" ht="13" x14ac:dyDescent="0.25">
      <c r="A84" s="11">
        <v>14</v>
      </c>
      <c r="B84" s="7">
        <v>23.3</v>
      </c>
      <c r="C84" s="7">
        <v>59.9</v>
      </c>
      <c r="D84" s="7">
        <v>67.599999999999994</v>
      </c>
      <c r="E84" s="6"/>
      <c r="F84" s="6"/>
      <c r="G84" s="6"/>
    </row>
    <row r="85" spans="1:7" ht="13" x14ac:dyDescent="0.25">
      <c r="A85" s="11">
        <v>15</v>
      </c>
      <c r="B85" s="7">
        <v>21</v>
      </c>
      <c r="C85" s="7">
        <v>62.4</v>
      </c>
      <c r="D85" s="7">
        <v>78.8</v>
      </c>
      <c r="E85" s="6"/>
      <c r="F85" s="6"/>
      <c r="G85" s="6"/>
    </row>
    <row r="86" spans="1:7" ht="13" x14ac:dyDescent="0.25">
      <c r="A86" s="11">
        <v>16</v>
      </c>
      <c r="B86" s="7">
        <v>39.799999999999997</v>
      </c>
      <c r="C86" s="7">
        <v>52.9</v>
      </c>
      <c r="D86" s="7">
        <v>66.3</v>
      </c>
      <c r="E86" s="6"/>
      <c r="F86" s="6"/>
      <c r="G86" s="6"/>
    </row>
    <row r="87" spans="1:7" ht="13" x14ac:dyDescent="0.25">
      <c r="A87" s="11">
        <v>17</v>
      </c>
      <c r="B87" s="7">
        <v>40.4</v>
      </c>
      <c r="C87" s="7">
        <v>50.3</v>
      </c>
      <c r="D87" s="7">
        <v>93</v>
      </c>
      <c r="E87" s="6"/>
      <c r="F87" s="6"/>
      <c r="G87" s="6"/>
    </row>
    <row r="88" spans="1:7" ht="13" x14ac:dyDescent="0.25">
      <c r="A88" s="11">
        <v>18</v>
      </c>
      <c r="B88" s="7">
        <v>40.9</v>
      </c>
      <c r="C88" s="7">
        <v>64.599999999999994</v>
      </c>
      <c r="D88" s="7">
        <v>70.8</v>
      </c>
      <c r="E88" s="6"/>
      <c r="F88" s="6"/>
      <c r="G88" s="6"/>
    </row>
    <row r="89" spans="1:7" ht="13" x14ac:dyDescent="0.25">
      <c r="A89" s="11">
        <v>19</v>
      </c>
      <c r="B89" s="7">
        <v>40.6</v>
      </c>
      <c r="C89" s="7">
        <v>55</v>
      </c>
      <c r="D89" s="7">
        <v>99.5</v>
      </c>
      <c r="E89" s="6"/>
      <c r="F89" s="6"/>
      <c r="G89" s="6"/>
    </row>
    <row r="90" spans="1:7" ht="13" x14ac:dyDescent="0.25">
      <c r="A90" s="11">
        <v>20</v>
      </c>
      <c r="B90" s="7">
        <v>36.799999999999997</v>
      </c>
      <c r="C90" s="7">
        <v>58.5</v>
      </c>
      <c r="D90" s="7">
        <v>107.5</v>
      </c>
      <c r="E90" s="6"/>
      <c r="F90" s="6"/>
      <c r="G90" s="6"/>
    </row>
    <row r="91" spans="1:7" ht="13" x14ac:dyDescent="0.25">
      <c r="A91" s="11">
        <v>21</v>
      </c>
      <c r="B91" s="7">
        <v>33.799999999999997</v>
      </c>
      <c r="C91" s="7">
        <v>46.2</v>
      </c>
      <c r="D91" s="7">
        <v>97.5</v>
      </c>
      <c r="E91" s="6"/>
      <c r="F91" s="6"/>
      <c r="G91" s="6"/>
    </row>
    <row r="92" spans="1:7" ht="13" x14ac:dyDescent="0.25">
      <c r="A92" s="11">
        <v>22</v>
      </c>
      <c r="B92" s="7">
        <v>20.8</v>
      </c>
      <c r="C92" s="7">
        <v>51.9</v>
      </c>
      <c r="D92" s="7">
        <v>104.9</v>
      </c>
      <c r="E92" s="6"/>
      <c r="F92" s="6"/>
      <c r="G92" s="6"/>
    </row>
    <row r="93" spans="1:7" ht="13" x14ac:dyDescent="0.25">
      <c r="A93" s="11">
        <v>23</v>
      </c>
      <c r="B93" s="7">
        <v>41.9</v>
      </c>
      <c r="C93" s="7">
        <v>47.8</v>
      </c>
      <c r="D93" s="7">
        <v>75.8</v>
      </c>
      <c r="E93" s="6"/>
      <c r="F93" s="6"/>
      <c r="G93" s="6"/>
    </row>
    <row r="94" spans="1:7" ht="13" x14ac:dyDescent="0.25">
      <c r="A94" s="11">
        <v>24</v>
      </c>
      <c r="B94" s="7">
        <v>22.6</v>
      </c>
      <c r="C94" s="7">
        <v>54</v>
      </c>
      <c r="D94" s="7">
        <v>97.8</v>
      </c>
      <c r="E94" s="6"/>
      <c r="F94" s="6"/>
      <c r="G94" s="6"/>
    </row>
    <row r="95" spans="1:7" ht="13" x14ac:dyDescent="0.25">
      <c r="A95" s="11">
        <v>25</v>
      </c>
      <c r="B95" s="7">
        <v>23.1</v>
      </c>
      <c r="C95" s="7">
        <v>59.8</v>
      </c>
      <c r="D95" s="7">
        <v>69.2</v>
      </c>
      <c r="E95" s="6"/>
      <c r="F95" s="6"/>
      <c r="G95" s="6"/>
    </row>
    <row r="96" spans="1:7" ht="13" x14ac:dyDescent="0.25">
      <c r="A96" s="11">
        <v>26</v>
      </c>
      <c r="B96" s="7">
        <v>37.6</v>
      </c>
      <c r="C96" s="7">
        <v>47.5</v>
      </c>
      <c r="D96" s="7">
        <v>88.3</v>
      </c>
      <c r="E96" s="17"/>
      <c r="F96" s="17"/>
      <c r="G96" s="17"/>
    </row>
    <row r="97" spans="1:7" ht="13" x14ac:dyDescent="0.25">
      <c r="A97" s="11">
        <v>27</v>
      </c>
      <c r="B97" s="7">
        <v>38.1</v>
      </c>
      <c r="C97" s="7">
        <v>64.2</v>
      </c>
      <c r="D97" s="7">
        <v>70</v>
      </c>
      <c r="E97" s="17"/>
      <c r="F97" s="17"/>
      <c r="G97" s="17"/>
    </row>
    <row r="98" spans="1:7" ht="13" x14ac:dyDescent="0.25">
      <c r="A98" s="11">
        <v>28</v>
      </c>
      <c r="B98" s="7">
        <v>29.4</v>
      </c>
      <c r="C98" s="7">
        <v>52.7</v>
      </c>
      <c r="D98" s="7">
        <v>100.7</v>
      </c>
      <c r="E98" s="17"/>
      <c r="F98" s="17"/>
      <c r="G98" s="17"/>
    </row>
    <row r="99" spans="1:7" ht="13" x14ac:dyDescent="0.25">
      <c r="A99" s="11">
        <v>29</v>
      </c>
      <c r="B99" s="7">
        <v>40.9</v>
      </c>
      <c r="C99" s="7">
        <v>48.7</v>
      </c>
      <c r="D99" s="7">
        <v>71.5</v>
      </c>
      <c r="E99" s="6"/>
      <c r="F99" s="6"/>
      <c r="G99" s="6"/>
    </row>
    <row r="100" spans="1:7" ht="13" x14ac:dyDescent="0.25">
      <c r="A100" s="11">
        <v>30</v>
      </c>
      <c r="B100" s="7">
        <v>24.3</v>
      </c>
      <c r="C100" s="7">
        <v>45.2</v>
      </c>
      <c r="D100" s="7">
        <v>71.900000000000006</v>
      </c>
      <c r="E100" s="2"/>
      <c r="F100" s="2"/>
      <c r="G100" s="2"/>
    </row>
    <row r="101" spans="1:7" ht="13" x14ac:dyDescent="0.25">
      <c r="A101" s="11">
        <v>31</v>
      </c>
      <c r="B101" s="7">
        <v>25.1</v>
      </c>
      <c r="C101" s="7">
        <v>64</v>
      </c>
      <c r="D101" s="7">
        <v>79.400000000000006</v>
      </c>
      <c r="E101" s="2"/>
      <c r="F101" s="2"/>
      <c r="G101" s="2"/>
    </row>
    <row r="102" spans="1:7" ht="13" x14ac:dyDescent="0.25">
      <c r="A102" s="11">
        <v>32</v>
      </c>
      <c r="B102" s="7">
        <v>36.1</v>
      </c>
      <c r="C102" s="7">
        <v>64.900000000000006</v>
      </c>
      <c r="D102" s="7">
        <v>83.4</v>
      </c>
      <c r="E102" s="2"/>
      <c r="F102" s="2"/>
      <c r="G102" s="2"/>
    </row>
    <row r="103" spans="1:7" ht="13" x14ac:dyDescent="0.25">
      <c r="A103" s="11">
        <v>33</v>
      </c>
      <c r="B103" s="7">
        <v>42.5</v>
      </c>
      <c r="C103" s="7">
        <v>64.900000000000006</v>
      </c>
      <c r="D103" s="7">
        <v>69.3</v>
      </c>
      <c r="E103" s="2"/>
      <c r="F103" s="2"/>
      <c r="G103" s="2"/>
    </row>
    <row r="104" spans="1:7" ht="13" x14ac:dyDescent="0.25">
      <c r="A104" s="11">
        <v>34</v>
      </c>
      <c r="B104" s="7">
        <v>24.3</v>
      </c>
      <c r="C104" s="7">
        <v>53.4</v>
      </c>
      <c r="D104" s="7">
        <v>91.3</v>
      </c>
      <c r="E104" s="2"/>
      <c r="F104" s="2"/>
      <c r="G104" s="2"/>
    </row>
    <row r="105" spans="1:7" ht="13" x14ac:dyDescent="0.25">
      <c r="A105" s="11">
        <v>35</v>
      </c>
      <c r="B105" s="7">
        <v>44.5</v>
      </c>
      <c r="C105" s="7">
        <v>64.900000000000006</v>
      </c>
      <c r="D105" s="7">
        <v>102.8</v>
      </c>
      <c r="E105" s="2"/>
      <c r="F105" s="2"/>
      <c r="G105" s="2"/>
    </row>
    <row r="106" spans="1:7" ht="13" x14ac:dyDescent="0.25">
      <c r="A106" s="11">
        <v>36</v>
      </c>
      <c r="B106" s="7">
        <v>43.6</v>
      </c>
      <c r="C106" s="7">
        <v>51.7</v>
      </c>
      <c r="D106" s="7">
        <v>102.7</v>
      </c>
      <c r="E106" s="2"/>
      <c r="F106" s="2"/>
      <c r="G106" s="2"/>
    </row>
    <row r="107" spans="1:7" ht="13" x14ac:dyDescent="0.25">
      <c r="A107" s="11">
        <v>37</v>
      </c>
      <c r="B107" s="7">
        <v>45</v>
      </c>
      <c r="C107" s="7">
        <v>62</v>
      </c>
      <c r="D107" s="7">
        <v>74.3</v>
      </c>
      <c r="E107" s="2"/>
      <c r="F107" s="2"/>
      <c r="G107" s="2"/>
    </row>
    <row r="108" spans="1:7" ht="13" x14ac:dyDescent="0.25">
      <c r="A108" s="11">
        <v>38</v>
      </c>
      <c r="B108" s="7">
        <v>26</v>
      </c>
      <c r="C108" s="7">
        <v>57.3</v>
      </c>
      <c r="D108" s="7">
        <v>72.7</v>
      </c>
      <c r="E108" s="2"/>
      <c r="F108" s="2"/>
      <c r="G108" s="2"/>
    </row>
    <row r="109" spans="1:7" ht="13" x14ac:dyDescent="0.25">
      <c r="A109" s="11">
        <v>39</v>
      </c>
      <c r="B109" s="7">
        <v>35.200000000000003</v>
      </c>
      <c r="C109" s="7">
        <v>50.7</v>
      </c>
      <c r="D109" s="7">
        <v>106.9</v>
      </c>
      <c r="E109" s="2"/>
      <c r="F109" s="2"/>
      <c r="G109" s="2"/>
    </row>
    <row r="110" spans="1:7" ht="13" x14ac:dyDescent="0.25">
      <c r="A110" s="11">
        <v>40</v>
      </c>
      <c r="B110" s="7">
        <v>40.1</v>
      </c>
      <c r="C110" s="7">
        <v>58.8</v>
      </c>
      <c r="D110" s="7">
        <v>71.099999999999994</v>
      </c>
      <c r="E110" s="2"/>
      <c r="F110" s="2"/>
      <c r="G110" s="2"/>
    </row>
    <row r="111" spans="1:7" ht="13" x14ac:dyDescent="0.25">
      <c r="A111" s="11">
        <v>41</v>
      </c>
      <c r="B111" s="7">
        <v>21.6</v>
      </c>
      <c r="C111" s="7">
        <v>52.7</v>
      </c>
      <c r="D111" s="7">
        <v>107</v>
      </c>
      <c r="E111" s="2"/>
      <c r="F111" s="2"/>
      <c r="G111" s="2"/>
    </row>
    <row r="112" spans="1:7" ht="13" x14ac:dyDescent="0.25">
      <c r="A112" s="11">
        <v>42</v>
      </c>
      <c r="B112" s="7">
        <v>26.3</v>
      </c>
      <c r="C112" s="7">
        <v>54.5</v>
      </c>
      <c r="D112" s="7">
        <v>103.6</v>
      </c>
      <c r="E112" s="2"/>
      <c r="F112" s="2"/>
      <c r="G112" s="2"/>
    </row>
    <row r="113" spans="1:7" ht="13" x14ac:dyDescent="0.25">
      <c r="A113" s="11">
        <v>43</v>
      </c>
      <c r="B113" s="7">
        <v>38.5</v>
      </c>
      <c r="C113" s="7">
        <v>54.5</v>
      </c>
      <c r="D113" s="7">
        <v>76.8</v>
      </c>
      <c r="E113" s="2"/>
      <c r="F113" s="2"/>
      <c r="G113" s="2"/>
    </row>
    <row r="114" spans="1:7" ht="13" x14ac:dyDescent="0.25">
      <c r="A114" s="11">
        <v>44</v>
      </c>
      <c r="B114" s="7">
        <v>42.1</v>
      </c>
      <c r="C114" s="7">
        <v>54.6</v>
      </c>
      <c r="D114" s="7">
        <v>100.8</v>
      </c>
      <c r="E114" s="2"/>
      <c r="F114" s="2"/>
      <c r="G114" s="2"/>
    </row>
    <row r="115" spans="1:7" ht="13" x14ac:dyDescent="0.25">
      <c r="A115" s="11">
        <v>45</v>
      </c>
      <c r="B115" s="7">
        <v>21.6</v>
      </c>
      <c r="C115" s="7">
        <v>49.2</v>
      </c>
      <c r="D115" s="7">
        <v>78.7</v>
      </c>
      <c r="E115" s="2"/>
      <c r="F115" s="2"/>
      <c r="G115" s="2"/>
    </row>
    <row r="116" spans="1:7" ht="13" x14ac:dyDescent="0.25">
      <c r="A116" s="11">
        <v>46</v>
      </c>
      <c r="B116" s="7">
        <v>28.9</v>
      </c>
      <c r="C116" s="7">
        <v>45.7</v>
      </c>
      <c r="D116" s="7">
        <v>97.6</v>
      </c>
      <c r="E116" s="2"/>
      <c r="F116" s="2"/>
      <c r="G116" s="2"/>
    </row>
    <row r="117" spans="1:7" ht="13" x14ac:dyDescent="0.25">
      <c r="A117" s="11">
        <v>47</v>
      </c>
      <c r="B117" s="7">
        <v>34.5</v>
      </c>
      <c r="C117" s="7">
        <v>48.7</v>
      </c>
      <c r="D117" s="7">
        <v>77.900000000000006</v>
      </c>
      <c r="E117" s="2"/>
      <c r="F117" s="2"/>
      <c r="G117" s="2"/>
    </row>
    <row r="118" spans="1:7" ht="13" x14ac:dyDescent="0.25">
      <c r="A118" s="11">
        <v>48</v>
      </c>
      <c r="B118" s="7">
        <v>26</v>
      </c>
      <c r="C118" s="7">
        <v>52.6</v>
      </c>
      <c r="D118" s="7">
        <v>102</v>
      </c>
      <c r="E118" s="2"/>
      <c r="F118" s="2"/>
      <c r="G118" s="2"/>
    </row>
    <row r="119" spans="1:7" ht="13" x14ac:dyDescent="0.25">
      <c r="A119" s="11">
        <v>49</v>
      </c>
      <c r="B119" s="7">
        <v>24</v>
      </c>
      <c r="C119" s="7">
        <v>56.4</v>
      </c>
      <c r="D119" s="7">
        <v>84.7</v>
      </c>
      <c r="E119" s="2"/>
      <c r="F119" s="2"/>
      <c r="G119" s="2"/>
    </row>
    <row r="120" spans="1:7" ht="13" x14ac:dyDescent="0.25">
      <c r="A120" s="11">
        <v>50</v>
      </c>
      <c r="B120" s="7">
        <v>33.200000000000003</v>
      </c>
      <c r="C120" s="7">
        <v>61</v>
      </c>
      <c r="D120" s="7">
        <v>106.7</v>
      </c>
      <c r="E120" s="2"/>
      <c r="F120" s="2"/>
      <c r="G120" s="2"/>
    </row>
    <row r="121" spans="1:7" ht="13" x14ac:dyDescent="0.25">
      <c r="A121" s="11">
        <v>51</v>
      </c>
      <c r="B121" s="7">
        <v>22.7</v>
      </c>
      <c r="C121" s="7">
        <v>53.7</v>
      </c>
      <c r="D121" s="7">
        <v>105.1</v>
      </c>
      <c r="E121" s="2"/>
      <c r="F121" s="2"/>
      <c r="G121" s="2"/>
    </row>
    <row r="122" spans="1:7" ht="13" x14ac:dyDescent="0.25">
      <c r="A122" s="11">
        <v>52</v>
      </c>
      <c r="B122" s="7">
        <v>31.7</v>
      </c>
      <c r="C122" s="7">
        <v>57.3</v>
      </c>
      <c r="D122" s="7">
        <v>93.1</v>
      </c>
      <c r="E122" s="2"/>
      <c r="F122" s="2"/>
      <c r="G122" s="2"/>
    </row>
    <row r="123" spans="1:7" ht="13" x14ac:dyDescent="0.25">
      <c r="A123" s="11">
        <v>53</v>
      </c>
      <c r="B123" s="7">
        <v>38.1</v>
      </c>
      <c r="C123" s="7">
        <v>56</v>
      </c>
      <c r="D123" s="7">
        <v>102.1</v>
      </c>
      <c r="E123" s="2"/>
      <c r="F123" s="2"/>
      <c r="G123" s="2"/>
    </row>
    <row r="124" spans="1:7" ht="13" x14ac:dyDescent="0.25">
      <c r="A124" s="11">
        <v>54</v>
      </c>
      <c r="B124" s="7">
        <v>22.7</v>
      </c>
      <c r="C124" s="7">
        <v>59.5</v>
      </c>
      <c r="D124" s="7">
        <v>73.3</v>
      </c>
      <c r="E124" s="2"/>
      <c r="F124" s="2"/>
      <c r="G124" s="2"/>
    </row>
    <row r="125" spans="1:7" ht="13" x14ac:dyDescent="0.25">
      <c r="A125" s="11">
        <v>55</v>
      </c>
      <c r="B125" s="7">
        <v>21.5</v>
      </c>
      <c r="C125" s="7">
        <v>60</v>
      </c>
      <c r="D125" s="7">
        <v>89.1</v>
      </c>
      <c r="E125" s="2"/>
      <c r="F125" s="2"/>
      <c r="G125" s="2"/>
    </row>
    <row r="126" spans="1:7" ht="13" x14ac:dyDescent="0.25">
      <c r="A126" s="11">
        <v>56</v>
      </c>
      <c r="B126" s="7">
        <v>27</v>
      </c>
      <c r="C126" s="7">
        <v>55.5</v>
      </c>
      <c r="D126" s="7">
        <v>81.900000000000006</v>
      </c>
      <c r="E126" s="2"/>
      <c r="F126" s="2"/>
      <c r="G126" s="2"/>
    </row>
    <row r="127" spans="1:7" ht="13" x14ac:dyDescent="0.25">
      <c r="A127" s="11">
        <v>57</v>
      </c>
      <c r="B127" s="7">
        <v>35.4</v>
      </c>
      <c r="C127" s="7">
        <v>62.8</v>
      </c>
      <c r="D127" s="7">
        <v>67.7</v>
      </c>
      <c r="E127" s="2"/>
      <c r="F127" s="2"/>
      <c r="G127" s="2"/>
    </row>
    <row r="128" spans="1:7" ht="13" x14ac:dyDescent="0.25">
      <c r="A128" s="11">
        <v>58</v>
      </c>
      <c r="B128" s="7">
        <v>31.1</v>
      </c>
      <c r="C128" s="7">
        <v>55.2</v>
      </c>
      <c r="D128" s="7">
        <v>67.400000000000006</v>
      </c>
      <c r="E128" s="2"/>
      <c r="F128" s="2"/>
      <c r="G128" s="2"/>
    </row>
    <row r="129" spans="1:7" ht="13" x14ac:dyDescent="0.25">
      <c r="A129" s="11">
        <v>59</v>
      </c>
      <c r="B129" s="7">
        <v>43.7</v>
      </c>
      <c r="C129" s="7">
        <v>54</v>
      </c>
      <c r="D129" s="7">
        <v>107.2</v>
      </c>
      <c r="E129" s="2"/>
      <c r="F129" s="2"/>
      <c r="G129" s="2"/>
    </row>
    <row r="130" spans="1:7" ht="13" x14ac:dyDescent="0.25">
      <c r="A130" s="11">
        <v>60</v>
      </c>
      <c r="B130" s="7">
        <v>35.700000000000003</v>
      </c>
      <c r="C130" s="7">
        <v>51.1</v>
      </c>
      <c r="D130" s="7">
        <v>103.7</v>
      </c>
      <c r="E130" s="2"/>
      <c r="F130" s="2"/>
      <c r="G130" s="2"/>
    </row>
    <row r="131" spans="1:7" ht="13" x14ac:dyDescent="0.25">
      <c r="A131" s="11">
        <v>61</v>
      </c>
      <c r="B131" s="7">
        <v>34.5</v>
      </c>
      <c r="C131" s="7">
        <v>60.8</v>
      </c>
      <c r="D131" s="7">
        <v>97.3</v>
      </c>
      <c r="E131" s="2"/>
      <c r="F131" s="2"/>
      <c r="G131" s="2"/>
    </row>
    <row r="132" spans="1:7" ht="13" x14ac:dyDescent="0.25">
      <c r="A132" s="11">
        <v>62</v>
      </c>
      <c r="B132" s="7">
        <v>32.9</v>
      </c>
      <c r="C132" s="7">
        <v>53.1</v>
      </c>
      <c r="D132" s="7">
        <v>77.400000000000006</v>
      </c>
      <c r="E132" s="2"/>
      <c r="F132" s="2"/>
      <c r="G132" s="2"/>
    </row>
    <row r="133" spans="1:7" ht="13.5" thickBot="1" x14ac:dyDescent="0.3">
      <c r="A133" s="14">
        <v>63</v>
      </c>
      <c r="B133" s="7">
        <v>34.799999999999997</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59.9</v>
      </c>
      <c r="C138" s="13">
        <f>ROUNDDOWN(AVERAGE(E5:G20),1)</f>
        <v>71</v>
      </c>
      <c r="D138" s="11">
        <f>'2021.7'!D138</f>
        <v>8438</v>
      </c>
      <c r="E138" s="11">
        <v>15962</v>
      </c>
      <c r="F138" s="11">
        <f>B138*D138</f>
        <v>505436.2</v>
      </c>
      <c r="G138" s="11">
        <f>C138*E138</f>
        <v>1133302</v>
      </c>
    </row>
    <row r="139" spans="1:7" ht="13" x14ac:dyDescent="0.25">
      <c r="A139" s="6" t="str">
        <f>A21</f>
        <v>Dongtai Jianggang Farm</v>
      </c>
      <c r="B139" s="13">
        <f>ROUNDDOWN(AVERAGE(B24:D33),1)</f>
        <v>60.3</v>
      </c>
      <c r="C139" s="13">
        <f>ROUNDDOWN(AVERAGE(E24:G52),1)</f>
        <v>73.3</v>
      </c>
      <c r="D139" s="11">
        <f>'2021.7'!D139</f>
        <v>9440</v>
      </c>
      <c r="E139" s="11">
        <v>29443</v>
      </c>
      <c r="F139" s="11">
        <f t="shared" ref="F139:G141" si="0">B139*D139</f>
        <v>569232</v>
      </c>
      <c r="G139" s="11">
        <f t="shared" si="0"/>
        <v>2158171.9</v>
      </c>
    </row>
    <row r="140" spans="1:7" ht="13" x14ac:dyDescent="0.25">
      <c r="A140" s="6" t="str">
        <f>A53</f>
        <v>Sheyang Linhai Farm</v>
      </c>
      <c r="B140" s="13">
        <f>ROUNDDOWN(AVERAGE(B56:D67),1)</f>
        <v>57.4</v>
      </c>
      <c r="C140" s="13">
        <f>ROUNDDOWN(AVERAGE(E56:G62),1)</f>
        <v>69.5</v>
      </c>
      <c r="D140" s="11">
        <f>'2021.7'!D140</f>
        <v>11825</v>
      </c>
      <c r="E140" s="11">
        <v>6410</v>
      </c>
      <c r="F140" s="11">
        <f t="shared" si="0"/>
        <v>678755</v>
      </c>
      <c r="G140" s="11">
        <f t="shared" si="0"/>
        <v>445495</v>
      </c>
    </row>
    <row r="141" spans="1:7" ht="13" x14ac:dyDescent="0.25">
      <c r="A141" s="6" t="str">
        <f>A68</f>
        <v>Siyang Nanliuji</v>
      </c>
      <c r="B141" s="13">
        <f>ROUNDDOWN(AVERAGE(B71:D133),1)</f>
        <v>57.8</v>
      </c>
      <c r="C141" s="11">
        <f>ROUNDDOWN(AVERAGE(0),1)</f>
        <v>0</v>
      </c>
      <c r="D141" s="11">
        <f>'2021.7'!D141</f>
        <v>65005</v>
      </c>
      <c r="E141" s="11">
        <v>0</v>
      </c>
      <c r="F141" s="11">
        <f t="shared" si="0"/>
        <v>3757289</v>
      </c>
      <c r="G141" s="11">
        <f t="shared" si="0"/>
        <v>0</v>
      </c>
    </row>
    <row r="142" spans="1:7" ht="13" x14ac:dyDescent="0.25">
      <c r="A142" s="613" t="s">
        <v>154</v>
      </c>
      <c r="B142" s="617"/>
      <c r="C142" s="614"/>
      <c r="D142" s="11">
        <f>SUM(D138:D141)</f>
        <v>94708</v>
      </c>
      <c r="E142" s="11">
        <f>SUM(E138:E141)</f>
        <v>51815</v>
      </c>
      <c r="F142" s="11">
        <f>SUM(F138:F141)</f>
        <v>5510712.2000000002</v>
      </c>
      <c r="G142" s="11">
        <f>SUM(G138:G141)</f>
        <v>3736968.9</v>
      </c>
    </row>
    <row r="144" spans="1:7" ht="13" x14ac:dyDescent="0.25">
      <c r="C144" s="613" t="s">
        <v>155</v>
      </c>
      <c r="D144" s="614"/>
    </row>
    <row r="145" spans="3:4" ht="13" x14ac:dyDescent="0.25">
      <c r="C145" s="11" t="s">
        <v>152</v>
      </c>
      <c r="D145" s="11" t="s">
        <v>153</v>
      </c>
    </row>
    <row r="146" spans="3:4" ht="13" x14ac:dyDescent="0.25">
      <c r="C146" s="12">
        <f>ROUNDDOWN(F142/D142,1)</f>
        <v>58.1</v>
      </c>
      <c r="D146" s="12">
        <f>ROUNDDOWN(G142/E142,1)</f>
        <v>72.099999999999994</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146"/>
  <sheetViews>
    <sheetView topLeftCell="A67" workbookViewId="0">
      <selection activeCell="A3" sqref="A3"/>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'2021.8'!A2:G2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32.700000000000003</v>
      </c>
      <c r="C5" s="7">
        <v>59</v>
      </c>
      <c r="D5" s="7">
        <v>77.599999999999994</v>
      </c>
      <c r="E5" s="7">
        <v>37.1</v>
      </c>
      <c r="F5" s="7">
        <v>67.7</v>
      </c>
      <c r="G5" s="7">
        <v>86.9</v>
      </c>
    </row>
    <row r="6" spans="1:7" ht="13" x14ac:dyDescent="0.25">
      <c r="A6" s="11">
        <v>2</v>
      </c>
      <c r="B6" s="7">
        <v>27.2</v>
      </c>
      <c r="C6" s="7">
        <v>46.5</v>
      </c>
      <c r="D6" s="7">
        <v>104.4</v>
      </c>
      <c r="E6" s="7">
        <v>42</v>
      </c>
      <c r="F6" s="7">
        <v>64.099999999999994</v>
      </c>
      <c r="G6" s="7">
        <v>91.8</v>
      </c>
    </row>
    <row r="7" spans="1:7" ht="13" x14ac:dyDescent="0.25">
      <c r="A7" s="11">
        <v>3</v>
      </c>
      <c r="B7" s="7">
        <v>36.9</v>
      </c>
      <c r="C7" s="7">
        <v>55.8</v>
      </c>
      <c r="D7" s="7">
        <v>104.3</v>
      </c>
      <c r="E7" s="7">
        <v>47.2</v>
      </c>
      <c r="F7" s="7">
        <v>69</v>
      </c>
      <c r="G7" s="7">
        <v>94.1</v>
      </c>
    </row>
    <row r="8" spans="1:7" ht="13" x14ac:dyDescent="0.25">
      <c r="A8" s="11">
        <v>4</v>
      </c>
      <c r="B8" s="7">
        <v>34.1</v>
      </c>
      <c r="C8" s="7">
        <v>49.1</v>
      </c>
      <c r="D8" s="7">
        <v>90.6</v>
      </c>
      <c r="E8" s="7">
        <v>40.9</v>
      </c>
      <c r="F8" s="7">
        <v>79.7</v>
      </c>
      <c r="G8" s="7">
        <v>91.2</v>
      </c>
    </row>
    <row r="9" spans="1:7" ht="13" x14ac:dyDescent="0.25">
      <c r="A9" s="11">
        <v>5</v>
      </c>
      <c r="B9" s="7">
        <v>42.8</v>
      </c>
      <c r="C9" s="7">
        <v>58.1</v>
      </c>
      <c r="D9" s="7">
        <v>94.5</v>
      </c>
      <c r="E9" s="7">
        <v>38.9</v>
      </c>
      <c r="F9" s="7">
        <v>60.2</v>
      </c>
      <c r="G9" s="7">
        <v>117.8</v>
      </c>
    </row>
    <row r="10" spans="1:7" ht="13" x14ac:dyDescent="0.25">
      <c r="A10" s="11">
        <v>6</v>
      </c>
      <c r="B10" s="7">
        <v>40.799999999999997</v>
      </c>
      <c r="C10" s="7">
        <v>59.9</v>
      </c>
      <c r="D10" s="7">
        <v>107.5</v>
      </c>
      <c r="E10" s="7">
        <v>42.4</v>
      </c>
      <c r="F10" s="7">
        <v>83.6</v>
      </c>
      <c r="G10" s="7">
        <v>99.6</v>
      </c>
    </row>
    <row r="11" spans="1:7" ht="13" x14ac:dyDescent="0.25">
      <c r="A11" s="11">
        <v>7</v>
      </c>
      <c r="B11" s="7">
        <v>39.1</v>
      </c>
      <c r="C11" s="7">
        <v>50.4</v>
      </c>
      <c r="D11" s="7">
        <v>102.7</v>
      </c>
      <c r="E11" s="7">
        <v>59.4</v>
      </c>
      <c r="F11" s="7">
        <v>62.3</v>
      </c>
      <c r="G11" s="7">
        <v>94.9</v>
      </c>
    </row>
    <row r="12" spans="1:7" ht="13" x14ac:dyDescent="0.25">
      <c r="A12" s="11">
        <v>8</v>
      </c>
      <c r="B12" s="7">
        <v>30.2</v>
      </c>
      <c r="C12" s="7">
        <v>49.5</v>
      </c>
      <c r="D12" s="7">
        <v>96.7</v>
      </c>
      <c r="E12" s="7">
        <v>39.6</v>
      </c>
      <c r="F12" s="7">
        <v>74.5</v>
      </c>
      <c r="G12" s="7">
        <v>96.5</v>
      </c>
    </row>
    <row r="13" spans="1:7" ht="13" x14ac:dyDescent="0.25">
      <c r="A13" s="11">
        <v>9</v>
      </c>
      <c r="B13" s="7">
        <v>29.8</v>
      </c>
      <c r="C13" s="7">
        <v>49.1</v>
      </c>
      <c r="D13" s="7">
        <v>79.7</v>
      </c>
      <c r="E13" s="7">
        <v>33.1</v>
      </c>
      <c r="F13" s="7">
        <v>67.5</v>
      </c>
      <c r="G13" s="7">
        <v>98.4</v>
      </c>
    </row>
    <row r="14" spans="1:7" ht="13" x14ac:dyDescent="0.25">
      <c r="A14" s="11">
        <v>10</v>
      </c>
      <c r="B14" s="7"/>
      <c r="C14" s="7"/>
      <c r="D14" s="7"/>
      <c r="E14" s="7">
        <v>44.4</v>
      </c>
      <c r="F14" s="7">
        <v>81.2</v>
      </c>
      <c r="G14" s="7">
        <v>111.9</v>
      </c>
    </row>
    <row r="15" spans="1:7" ht="13" x14ac:dyDescent="0.25">
      <c r="A15" s="11">
        <v>11</v>
      </c>
      <c r="B15" s="7"/>
      <c r="C15" s="7"/>
      <c r="D15" s="7"/>
      <c r="E15" s="7">
        <v>30.4</v>
      </c>
      <c r="F15" s="7">
        <v>78.099999999999994</v>
      </c>
      <c r="G15" s="7">
        <v>101</v>
      </c>
    </row>
    <row r="16" spans="1:7" ht="13" x14ac:dyDescent="0.25">
      <c r="A16" s="11">
        <v>12</v>
      </c>
      <c r="B16" s="7"/>
      <c r="C16" s="7"/>
      <c r="D16" s="7"/>
      <c r="E16" s="7">
        <v>53</v>
      </c>
      <c r="F16" s="7">
        <v>71.7</v>
      </c>
      <c r="G16" s="7">
        <v>119.3</v>
      </c>
    </row>
    <row r="17" spans="1:7" ht="13" x14ac:dyDescent="0.25">
      <c r="A17" s="11">
        <v>13</v>
      </c>
      <c r="B17" s="7"/>
      <c r="C17" s="7"/>
      <c r="D17" s="7"/>
      <c r="E17" s="7">
        <v>35.9</v>
      </c>
      <c r="F17" s="7">
        <v>73.8</v>
      </c>
      <c r="G17" s="7">
        <v>90.2</v>
      </c>
    </row>
    <row r="18" spans="1:7" ht="13" x14ac:dyDescent="0.25">
      <c r="A18" s="11">
        <v>14</v>
      </c>
      <c r="B18" s="7"/>
      <c r="C18" s="7"/>
      <c r="D18" s="7"/>
      <c r="E18" s="7">
        <v>58.7</v>
      </c>
      <c r="F18" s="7">
        <v>70.2</v>
      </c>
      <c r="G18" s="7">
        <v>96.9</v>
      </c>
    </row>
    <row r="19" spans="1:7" ht="13" x14ac:dyDescent="0.25">
      <c r="A19" s="11">
        <v>15</v>
      </c>
      <c r="B19" s="7"/>
      <c r="C19" s="7"/>
      <c r="D19" s="7"/>
      <c r="E19" s="7">
        <v>59.9</v>
      </c>
      <c r="F19" s="7">
        <v>68.3</v>
      </c>
      <c r="G19" s="7">
        <v>97.2</v>
      </c>
    </row>
    <row r="20" spans="1:7" ht="13.5" thickBot="1" x14ac:dyDescent="0.3">
      <c r="A20" s="14">
        <v>16</v>
      </c>
      <c r="B20" s="15"/>
      <c r="C20" s="15"/>
      <c r="D20" s="15"/>
      <c r="E20" s="7">
        <v>47.7</v>
      </c>
      <c r="F20" s="7">
        <v>68.5</v>
      </c>
      <c r="G20" s="7">
        <v>106.6</v>
      </c>
    </row>
    <row r="21" spans="1:7" ht="13.5" thickTop="1" x14ac:dyDescent="0.25">
      <c r="A21" s="612" t="str">
        <f>'2021.8'!A21:G21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39.4</v>
      </c>
      <c r="C24" s="7">
        <v>50.2</v>
      </c>
      <c r="D24" s="7">
        <v>71.3</v>
      </c>
      <c r="E24" s="7">
        <v>25.2</v>
      </c>
      <c r="F24" s="7">
        <v>83.4</v>
      </c>
      <c r="G24" s="7">
        <v>97.7</v>
      </c>
    </row>
    <row r="25" spans="1:7" ht="13" x14ac:dyDescent="0.25">
      <c r="A25" s="11">
        <v>2</v>
      </c>
      <c r="B25" s="7">
        <v>41.1</v>
      </c>
      <c r="C25" s="7">
        <v>58.2</v>
      </c>
      <c r="D25" s="7">
        <v>73.3</v>
      </c>
      <c r="E25" s="7">
        <v>36.4</v>
      </c>
      <c r="F25" s="7">
        <v>74</v>
      </c>
      <c r="G25" s="7">
        <v>110.1</v>
      </c>
    </row>
    <row r="26" spans="1:7" ht="13" x14ac:dyDescent="0.25">
      <c r="A26" s="11">
        <v>3</v>
      </c>
      <c r="B26" s="7">
        <v>43.6</v>
      </c>
      <c r="C26" s="7">
        <v>57.4</v>
      </c>
      <c r="D26" s="7">
        <v>103.6</v>
      </c>
      <c r="E26" s="7">
        <v>56</v>
      </c>
      <c r="F26" s="7">
        <v>74.3</v>
      </c>
      <c r="G26" s="7">
        <v>91.1</v>
      </c>
    </row>
    <row r="27" spans="1:7" ht="13" x14ac:dyDescent="0.25">
      <c r="A27" s="11">
        <v>4</v>
      </c>
      <c r="B27" s="7">
        <v>34.299999999999997</v>
      </c>
      <c r="C27" s="7">
        <v>48.9</v>
      </c>
      <c r="D27" s="7">
        <v>86.3</v>
      </c>
      <c r="E27" s="7">
        <v>57.5</v>
      </c>
      <c r="F27" s="7">
        <v>78.3</v>
      </c>
      <c r="G27" s="7">
        <v>112.5</v>
      </c>
    </row>
    <row r="28" spans="1:7" ht="13" x14ac:dyDescent="0.25">
      <c r="A28" s="11">
        <v>5</v>
      </c>
      <c r="B28" s="7">
        <v>37.700000000000003</v>
      </c>
      <c r="C28" s="7">
        <v>64.599999999999994</v>
      </c>
      <c r="D28" s="7">
        <v>89.3</v>
      </c>
      <c r="E28" s="7">
        <v>46.9</v>
      </c>
      <c r="F28" s="7">
        <v>61.9</v>
      </c>
      <c r="G28" s="7">
        <v>86.5</v>
      </c>
    </row>
    <row r="29" spans="1:7" ht="13" x14ac:dyDescent="0.25">
      <c r="A29" s="11">
        <v>6</v>
      </c>
      <c r="B29" s="7">
        <v>25</v>
      </c>
      <c r="C29" s="7">
        <v>53.1</v>
      </c>
      <c r="D29" s="7">
        <v>108.4</v>
      </c>
      <c r="E29" s="7">
        <v>27.1</v>
      </c>
      <c r="F29" s="7">
        <v>77.099999999999994</v>
      </c>
      <c r="G29" s="7">
        <v>93.3</v>
      </c>
    </row>
    <row r="30" spans="1:7" ht="13" x14ac:dyDescent="0.25">
      <c r="A30" s="11">
        <v>7</v>
      </c>
      <c r="B30" s="7">
        <v>42.3</v>
      </c>
      <c r="C30" s="7">
        <v>51.2</v>
      </c>
      <c r="D30" s="7">
        <v>66</v>
      </c>
      <c r="E30" s="7">
        <v>42.8</v>
      </c>
      <c r="F30" s="7">
        <v>74.8</v>
      </c>
      <c r="G30" s="7">
        <v>113</v>
      </c>
    </row>
    <row r="31" spans="1:7" ht="13" x14ac:dyDescent="0.25">
      <c r="A31" s="11">
        <v>8</v>
      </c>
      <c r="B31" s="7">
        <v>33.799999999999997</v>
      </c>
      <c r="C31" s="7">
        <v>59.2</v>
      </c>
      <c r="D31" s="7">
        <v>72.099999999999994</v>
      </c>
      <c r="E31" s="7">
        <v>30</v>
      </c>
      <c r="F31" s="7">
        <v>81.7</v>
      </c>
      <c r="G31" s="7">
        <v>89.7</v>
      </c>
    </row>
    <row r="32" spans="1:7" ht="13" x14ac:dyDescent="0.25">
      <c r="A32" s="11">
        <v>9</v>
      </c>
      <c r="B32" s="7">
        <v>39.5</v>
      </c>
      <c r="C32" s="7">
        <v>64.599999999999994</v>
      </c>
      <c r="D32" s="7">
        <v>69.900000000000006</v>
      </c>
      <c r="E32" s="7">
        <v>55.6</v>
      </c>
      <c r="F32" s="7">
        <v>74.400000000000006</v>
      </c>
      <c r="G32" s="7">
        <v>114.8</v>
      </c>
    </row>
    <row r="33" spans="1:7" ht="13" x14ac:dyDescent="0.25">
      <c r="A33" s="11">
        <v>10</v>
      </c>
      <c r="B33" s="7">
        <v>34.9</v>
      </c>
      <c r="C33" s="7">
        <v>57</v>
      </c>
      <c r="D33" s="7">
        <v>75.900000000000006</v>
      </c>
      <c r="E33" s="7">
        <v>32.5</v>
      </c>
      <c r="F33" s="7">
        <v>63.9</v>
      </c>
      <c r="G33" s="7">
        <v>97.1</v>
      </c>
    </row>
    <row r="34" spans="1:7" ht="13" x14ac:dyDescent="0.25">
      <c r="A34" s="11">
        <v>11</v>
      </c>
      <c r="B34" s="7"/>
      <c r="C34" s="7"/>
      <c r="D34" s="7"/>
      <c r="E34" s="7">
        <v>25</v>
      </c>
      <c r="F34" s="7">
        <v>72</v>
      </c>
      <c r="G34" s="7">
        <v>119.2</v>
      </c>
    </row>
    <row r="35" spans="1:7" ht="13" x14ac:dyDescent="0.25">
      <c r="A35" s="11">
        <v>12</v>
      </c>
      <c r="B35" s="7"/>
      <c r="C35" s="7"/>
      <c r="D35" s="7"/>
      <c r="E35" s="7">
        <v>49.1</v>
      </c>
      <c r="F35" s="7">
        <v>67</v>
      </c>
      <c r="G35" s="7">
        <v>94.3</v>
      </c>
    </row>
    <row r="36" spans="1:7" ht="13" x14ac:dyDescent="0.25">
      <c r="A36" s="11">
        <v>13</v>
      </c>
      <c r="B36" s="7"/>
      <c r="C36" s="7"/>
      <c r="D36" s="7"/>
      <c r="E36" s="7">
        <v>55.2</v>
      </c>
      <c r="F36" s="7">
        <v>84</v>
      </c>
      <c r="G36" s="7">
        <v>119.7</v>
      </c>
    </row>
    <row r="37" spans="1:7" ht="13" x14ac:dyDescent="0.25">
      <c r="A37" s="11">
        <v>14</v>
      </c>
      <c r="B37" s="7"/>
      <c r="C37" s="7"/>
      <c r="D37" s="7"/>
      <c r="E37" s="7">
        <v>49.8</v>
      </c>
      <c r="F37" s="7">
        <v>62.2</v>
      </c>
      <c r="G37" s="7">
        <v>97.7</v>
      </c>
    </row>
    <row r="38" spans="1:7" ht="13" x14ac:dyDescent="0.25">
      <c r="A38" s="11">
        <v>15</v>
      </c>
      <c r="B38" s="7"/>
      <c r="C38" s="7"/>
      <c r="D38" s="7"/>
      <c r="E38" s="7">
        <v>25.7</v>
      </c>
      <c r="F38" s="7">
        <v>61.8</v>
      </c>
      <c r="G38" s="7">
        <v>92.5</v>
      </c>
    </row>
    <row r="39" spans="1:7" ht="13" x14ac:dyDescent="0.25">
      <c r="A39" s="11">
        <v>16</v>
      </c>
      <c r="B39" s="7"/>
      <c r="C39" s="7"/>
      <c r="D39" s="7"/>
      <c r="E39" s="7">
        <v>28.4</v>
      </c>
      <c r="F39" s="7">
        <v>74.3</v>
      </c>
      <c r="G39" s="7">
        <v>102.8</v>
      </c>
    </row>
    <row r="40" spans="1:7" ht="13" x14ac:dyDescent="0.25">
      <c r="A40" s="11">
        <v>17</v>
      </c>
      <c r="B40" s="7"/>
      <c r="C40" s="7"/>
      <c r="D40" s="7"/>
      <c r="E40" s="7">
        <v>27.8</v>
      </c>
      <c r="F40" s="7">
        <v>82</v>
      </c>
      <c r="G40" s="7">
        <v>109.6</v>
      </c>
    </row>
    <row r="41" spans="1:7" ht="13" x14ac:dyDescent="0.25">
      <c r="A41" s="11">
        <v>18</v>
      </c>
      <c r="B41" s="7"/>
      <c r="C41" s="7"/>
      <c r="D41" s="7"/>
      <c r="E41" s="7">
        <v>55</v>
      </c>
      <c r="F41" s="7">
        <v>62.1</v>
      </c>
      <c r="G41" s="7">
        <v>103.8</v>
      </c>
    </row>
    <row r="42" spans="1:7" ht="13" x14ac:dyDescent="0.25">
      <c r="A42" s="11">
        <v>19</v>
      </c>
      <c r="B42" s="7"/>
      <c r="C42" s="7"/>
      <c r="D42" s="7"/>
      <c r="E42" s="7">
        <v>47.2</v>
      </c>
      <c r="F42" s="7">
        <v>76.099999999999994</v>
      </c>
      <c r="G42" s="7">
        <v>99.7</v>
      </c>
    </row>
    <row r="43" spans="1:7" ht="13" x14ac:dyDescent="0.25">
      <c r="A43" s="11">
        <v>20</v>
      </c>
      <c r="B43" s="7"/>
      <c r="C43" s="7"/>
      <c r="D43" s="7"/>
      <c r="E43" s="7">
        <v>50.6</v>
      </c>
      <c r="F43" s="7">
        <v>75.7</v>
      </c>
      <c r="G43" s="7">
        <v>105.6</v>
      </c>
    </row>
    <row r="44" spans="1:7" ht="13" x14ac:dyDescent="0.25">
      <c r="A44" s="11">
        <v>21</v>
      </c>
      <c r="B44" s="7"/>
      <c r="C44" s="7"/>
      <c r="D44" s="7"/>
      <c r="E44" s="7">
        <v>45.4</v>
      </c>
      <c r="F44" s="7">
        <v>65.099999999999994</v>
      </c>
      <c r="G44" s="7">
        <v>108.8</v>
      </c>
    </row>
    <row r="45" spans="1:7" ht="13" x14ac:dyDescent="0.25">
      <c r="A45" s="11">
        <v>22</v>
      </c>
      <c r="B45" s="7"/>
      <c r="C45" s="7"/>
      <c r="D45" s="7"/>
      <c r="E45" s="7">
        <v>50.3</v>
      </c>
      <c r="F45" s="7">
        <v>72</v>
      </c>
      <c r="G45" s="7">
        <v>99.9</v>
      </c>
    </row>
    <row r="46" spans="1:7" ht="13" x14ac:dyDescent="0.25">
      <c r="A46" s="11">
        <v>23</v>
      </c>
      <c r="B46" s="7"/>
      <c r="C46" s="7"/>
      <c r="D46" s="7"/>
      <c r="E46" s="7">
        <v>57.7</v>
      </c>
      <c r="F46" s="7">
        <v>71.900000000000006</v>
      </c>
      <c r="G46" s="7">
        <v>119.9</v>
      </c>
    </row>
    <row r="47" spans="1:7" ht="13" x14ac:dyDescent="0.25">
      <c r="A47" s="11">
        <v>24</v>
      </c>
      <c r="B47" s="7"/>
      <c r="C47" s="7"/>
      <c r="D47" s="7"/>
      <c r="E47" s="7">
        <v>35.9</v>
      </c>
      <c r="F47" s="7">
        <v>67.099999999999994</v>
      </c>
      <c r="G47" s="7">
        <v>107.4</v>
      </c>
    </row>
    <row r="48" spans="1:7" ht="13" x14ac:dyDescent="0.25">
      <c r="A48" s="11">
        <v>25</v>
      </c>
      <c r="B48" s="7"/>
      <c r="C48" s="7"/>
      <c r="D48" s="7"/>
      <c r="E48" s="7">
        <v>53</v>
      </c>
      <c r="F48" s="7">
        <v>62</v>
      </c>
      <c r="G48" s="7">
        <v>94.9</v>
      </c>
    </row>
    <row r="49" spans="1:7" ht="13" x14ac:dyDescent="0.25">
      <c r="A49" s="11">
        <v>26</v>
      </c>
      <c r="B49" s="7"/>
      <c r="C49" s="16"/>
      <c r="D49" s="7"/>
      <c r="E49" s="7">
        <v>53.9</v>
      </c>
      <c r="F49" s="7">
        <v>73.5</v>
      </c>
      <c r="G49" s="7">
        <v>117.5</v>
      </c>
    </row>
    <row r="50" spans="1:7" ht="13" x14ac:dyDescent="0.25">
      <c r="A50" s="11">
        <v>27</v>
      </c>
      <c r="B50" s="7"/>
      <c r="C50" s="16"/>
      <c r="D50" s="7"/>
      <c r="E50" s="7">
        <v>37</v>
      </c>
      <c r="F50" s="7">
        <v>79.400000000000006</v>
      </c>
      <c r="G50" s="7">
        <v>92.6</v>
      </c>
    </row>
    <row r="51" spans="1:7" ht="13" x14ac:dyDescent="0.25">
      <c r="A51" s="11">
        <v>28</v>
      </c>
      <c r="B51" s="7"/>
      <c r="C51" s="17"/>
      <c r="D51" s="7"/>
      <c r="E51" s="7">
        <v>31.8</v>
      </c>
      <c r="F51" s="7">
        <v>63.8</v>
      </c>
      <c r="G51" s="7">
        <v>96.5</v>
      </c>
    </row>
    <row r="52" spans="1:7" ht="13.5" thickBot="1" x14ac:dyDescent="0.3">
      <c r="A52" s="14">
        <v>29</v>
      </c>
      <c r="B52" s="18"/>
      <c r="C52" s="18"/>
      <c r="D52" s="15"/>
      <c r="E52" s="7">
        <v>59.1</v>
      </c>
      <c r="F52" s="7">
        <v>67.8</v>
      </c>
      <c r="G52" s="7">
        <v>111.7</v>
      </c>
    </row>
    <row r="53" spans="1:7" ht="13.5" thickTop="1" x14ac:dyDescent="0.25">
      <c r="A53" s="612" t="str">
        <f>'2021.8'!A53:G53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22.9</v>
      </c>
      <c r="C56" s="7">
        <v>60.6</v>
      </c>
      <c r="D56" s="7">
        <v>83</v>
      </c>
      <c r="E56" s="7">
        <v>49</v>
      </c>
      <c r="F56" s="7">
        <v>71.400000000000006</v>
      </c>
      <c r="G56" s="7">
        <v>116</v>
      </c>
    </row>
    <row r="57" spans="1:7" ht="13" x14ac:dyDescent="0.25">
      <c r="A57" s="11">
        <v>2</v>
      </c>
      <c r="B57" s="7">
        <v>39.799999999999997</v>
      </c>
      <c r="C57" s="7">
        <v>47.4</v>
      </c>
      <c r="D57" s="7">
        <v>109.8</v>
      </c>
      <c r="E57" s="7">
        <v>31.5</v>
      </c>
      <c r="F57" s="7">
        <v>73.5</v>
      </c>
      <c r="G57" s="7">
        <v>118.8</v>
      </c>
    </row>
    <row r="58" spans="1:7" ht="13" x14ac:dyDescent="0.25">
      <c r="A58" s="11">
        <v>3</v>
      </c>
      <c r="B58" s="7">
        <v>40.700000000000003</v>
      </c>
      <c r="C58" s="7">
        <v>45.1</v>
      </c>
      <c r="D58" s="7">
        <v>92</v>
      </c>
      <c r="E58" s="7">
        <v>54.4</v>
      </c>
      <c r="F58" s="7">
        <v>74.5</v>
      </c>
      <c r="G58" s="7">
        <v>93.9</v>
      </c>
    </row>
    <row r="59" spans="1:7" ht="13" x14ac:dyDescent="0.25">
      <c r="A59" s="11">
        <v>4</v>
      </c>
      <c r="B59" s="7">
        <v>44.8</v>
      </c>
      <c r="C59" s="7">
        <v>64.599999999999994</v>
      </c>
      <c r="D59" s="7">
        <v>67</v>
      </c>
      <c r="E59" s="7">
        <v>57.6</v>
      </c>
      <c r="F59" s="7">
        <v>79.2</v>
      </c>
      <c r="G59" s="7">
        <v>94.1</v>
      </c>
    </row>
    <row r="60" spans="1:7" ht="13" x14ac:dyDescent="0.25">
      <c r="A60" s="11">
        <v>5</v>
      </c>
      <c r="B60" s="7">
        <v>42</v>
      </c>
      <c r="C60" s="7">
        <v>59.5</v>
      </c>
      <c r="D60" s="7">
        <v>92</v>
      </c>
      <c r="E60" s="7">
        <v>25.4</v>
      </c>
      <c r="F60" s="7">
        <v>71.7</v>
      </c>
      <c r="G60" s="7">
        <v>91.2</v>
      </c>
    </row>
    <row r="61" spans="1:7" ht="13" x14ac:dyDescent="0.25">
      <c r="A61" s="11">
        <v>6</v>
      </c>
      <c r="B61" s="7">
        <v>23.3</v>
      </c>
      <c r="C61" s="7">
        <v>56.1</v>
      </c>
      <c r="D61" s="7">
        <v>73.7</v>
      </c>
      <c r="E61" s="7">
        <v>25.2</v>
      </c>
      <c r="F61" s="7">
        <v>76.7</v>
      </c>
      <c r="G61" s="7">
        <v>92.6</v>
      </c>
    </row>
    <row r="62" spans="1:7" ht="13" x14ac:dyDescent="0.25">
      <c r="A62" s="11">
        <v>7</v>
      </c>
      <c r="B62" s="7">
        <v>32.4</v>
      </c>
      <c r="C62" s="7">
        <v>50.7</v>
      </c>
      <c r="D62" s="7">
        <v>93.7</v>
      </c>
      <c r="E62" s="7">
        <v>53.1</v>
      </c>
      <c r="F62" s="7">
        <v>79.5</v>
      </c>
      <c r="G62" s="7">
        <v>90.1</v>
      </c>
    </row>
    <row r="63" spans="1:7" ht="13" x14ac:dyDescent="0.25">
      <c r="A63" s="11">
        <v>8</v>
      </c>
      <c r="B63" s="7">
        <v>29.6</v>
      </c>
      <c r="C63" s="7">
        <v>59.2</v>
      </c>
      <c r="D63" s="7">
        <v>65.599999999999994</v>
      </c>
      <c r="E63" s="7"/>
      <c r="F63" s="7"/>
      <c r="G63" s="7"/>
    </row>
    <row r="64" spans="1:7" ht="13" x14ac:dyDescent="0.25">
      <c r="A64" s="11">
        <v>9</v>
      </c>
      <c r="B64" s="7">
        <v>32.200000000000003</v>
      </c>
      <c r="C64" s="7">
        <v>59.7</v>
      </c>
      <c r="D64" s="7">
        <v>91.9</v>
      </c>
      <c r="E64" s="7"/>
      <c r="F64" s="7"/>
      <c r="G64" s="7"/>
    </row>
    <row r="65" spans="1:7" ht="13" x14ac:dyDescent="0.25">
      <c r="A65" s="11">
        <v>10</v>
      </c>
      <c r="B65" s="7">
        <v>42.5</v>
      </c>
      <c r="C65" s="7">
        <v>50.1</v>
      </c>
      <c r="D65" s="7">
        <v>100.9</v>
      </c>
      <c r="E65" s="7"/>
      <c r="F65" s="7"/>
      <c r="G65" s="7"/>
    </row>
    <row r="66" spans="1:7" ht="13" x14ac:dyDescent="0.25">
      <c r="A66" s="11">
        <v>11</v>
      </c>
      <c r="B66" s="7">
        <v>40.1</v>
      </c>
      <c r="C66" s="7">
        <v>46.7</v>
      </c>
      <c r="D66" s="7">
        <v>107.1</v>
      </c>
      <c r="E66" s="7"/>
      <c r="F66" s="7"/>
      <c r="G66" s="7"/>
    </row>
    <row r="67" spans="1:7" ht="13.5" thickBot="1" x14ac:dyDescent="0.3">
      <c r="A67" s="14">
        <v>12</v>
      </c>
      <c r="B67" s="7">
        <v>29.8</v>
      </c>
      <c r="C67" s="7">
        <v>60.8</v>
      </c>
      <c r="D67" s="7">
        <v>109.6</v>
      </c>
      <c r="E67" s="15"/>
      <c r="F67" s="15"/>
      <c r="G67" s="15"/>
    </row>
    <row r="68" spans="1:7" ht="13.5" thickTop="1" x14ac:dyDescent="0.25">
      <c r="A68" s="612" t="str">
        <f>'2021.8'!A68:G68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38.299999999999997</v>
      </c>
      <c r="C71" s="7">
        <v>53.8</v>
      </c>
      <c r="D71" s="7">
        <v>90.1</v>
      </c>
      <c r="E71" s="7"/>
      <c r="F71" s="7"/>
      <c r="G71" s="7"/>
    </row>
    <row r="72" spans="1:7" ht="13" x14ac:dyDescent="0.25">
      <c r="A72" s="11">
        <v>2</v>
      </c>
      <c r="B72" s="7">
        <v>42.3</v>
      </c>
      <c r="C72" s="7">
        <v>53</v>
      </c>
      <c r="D72" s="7">
        <v>72.599999999999994</v>
      </c>
      <c r="E72" s="6"/>
      <c r="F72" s="6"/>
      <c r="G72" s="7"/>
    </row>
    <row r="73" spans="1:7" ht="13" x14ac:dyDescent="0.25">
      <c r="A73" s="11">
        <v>3</v>
      </c>
      <c r="B73" s="7">
        <v>23.6</v>
      </c>
      <c r="C73" s="7">
        <v>59</v>
      </c>
      <c r="D73" s="7">
        <v>70.5</v>
      </c>
      <c r="E73" s="6"/>
      <c r="F73" s="6"/>
      <c r="G73" s="6"/>
    </row>
    <row r="74" spans="1:7" ht="13" x14ac:dyDescent="0.25">
      <c r="A74" s="11">
        <v>4</v>
      </c>
      <c r="B74" s="7">
        <v>40.1</v>
      </c>
      <c r="C74" s="7">
        <v>55.1</v>
      </c>
      <c r="D74" s="7">
        <v>94.5</v>
      </c>
      <c r="E74" s="6"/>
      <c r="F74" s="6"/>
      <c r="G74" s="6"/>
    </row>
    <row r="75" spans="1:7" ht="13" x14ac:dyDescent="0.25">
      <c r="A75" s="11">
        <v>5</v>
      </c>
      <c r="B75" s="7">
        <v>40.700000000000003</v>
      </c>
      <c r="C75" s="7">
        <v>54.3</v>
      </c>
      <c r="D75" s="7">
        <v>65.3</v>
      </c>
      <c r="E75" s="6"/>
      <c r="F75" s="6"/>
      <c r="G75" s="6"/>
    </row>
    <row r="76" spans="1:7" ht="13" x14ac:dyDescent="0.25">
      <c r="A76" s="11">
        <v>6</v>
      </c>
      <c r="B76" s="7">
        <v>36.5</v>
      </c>
      <c r="C76" s="7">
        <v>55</v>
      </c>
      <c r="D76" s="7">
        <v>69.7</v>
      </c>
      <c r="E76" s="6"/>
      <c r="F76" s="6"/>
      <c r="G76" s="6"/>
    </row>
    <row r="77" spans="1:7" ht="13" x14ac:dyDescent="0.25">
      <c r="A77" s="11">
        <v>7</v>
      </c>
      <c r="B77" s="7">
        <v>41.7</v>
      </c>
      <c r="C77" s="7">
        <v>49.9</v>
      </c>
      <c r="D77" s="7">
        <v>88.9</v>
      </c>
      <c r="E77" s="6"/>
      <c r="F77" s="6"/>
      <c r="G77" s="6"/>
    </row>
    <row r="78" spans="1:7" ht="13" x14ac:dyDescent="0.25">
      <c r="A78" s="11">
        <v>8</v>
      </c>
      <c r="B78" s="7">
        <v>38.5</v>
      </c>
      <c r="C78" s="7">
        <v>58.2</v>
      </c>
      <c r="D78" s="7">
        <v>91.4</v>
      </c>
      <c r="E78" s="6"/>
      <c r="F78" s="6"/>
      <c r="G78" s="6"/>
    </row>
    <row r="79" spans="1:7" ht="13" x14ac:dyDescent="0.25">
      <c r="A79" s="11">
        <v>9</v>
      </c>
      <c r="B79" s="7">
        <v>27.7</v>
      </c>
      <c r="C79" s="7">
        <v>49.8</v>
      </c>
      <c r="D79" s="7">
        <v>70.599999999999994</v>
      </c>
      <c r="E79" s="6"/>
      <c r="F79" s="6"/>
      <c r="G79" s="6"/>
    </row>
    <row r="80" spans="1:7" ht="13" x14ac:dyDescent="0.25">
      <c r="A80" s="11">
        <v>10</v>
      </c>
      <c r="B80" s="7">
        <v>40.299999999999997</v>
      </c>
      <c r="C80" s="7">
        <v>62.4</v>
      </c>
      <c r="D80" s="7">
        <v>100.6</v>
      </c>
      <c r="E80" s="6"/>
      <c r="F80" s="6"/>
      <c r="G80" s="6"/>
    </row>
    <row r="81" spans="1:7" ht="13" x14ac:dyDescent="0.25">
      <c r="A81" s="11">
        <v>11</v>
      </c>
      <c r="B81" s="7">
        <v>31.8</v>
      </c>
      <c r="C81" s="7">
        <v>55.2</v>
      </c>
      <c r="D81" s="7">
        <v>91.1</v>
      </c>
      <c r="E81" s="6"/>
      <c r="F81" s="6"/>
      <c r="G81" s="6"/>
    </row>
    <row r="82" spans="1:7" ht="13" x14ac:dyDescent="0.25">
      <c r="A82" s="11">
        <v>12</v>
      </c>
      <c r="B82" s="7">
        <v>25.6</v>
      </c>
      <c r="C82" s="7">
        <v>58</v>
      </c>
      <c r="D82" s="7">
        <v>92.2</v>
      </c>
      <c r="E82" s="6"/>
      <c r="F82" s="6"/>
      <c r="G82" s="6"/>
    </row>
    <row r="83" spans="1:7" ht="13" x14ac:dyDescent="0.25">
      <c r="A83" s="11">
        <v>13</v>
      </c>
      <c r="B83" s="7">
        <v>27.6</v>
      </c>
      <c r="C83" s="7">
        <v>60.3</v>
      </c>
      <c r="D83" s="7">
        <v>98.5</v>
      </c>
      <c r="E83" s="6"/>
      <c r="F83" s="6"/>
      <c r="G83" s="6"/>
    </row>
    <row r="84" spans="1:7" ht="13" x14ac:dyDescent="0.25">
      <c r="A84" s="11">
        <v>14</v>
      </c>
      <c r="B84" s="7">
        <v>40</v>
      </c>
      <c r="C84" s="7">
        <v>48.1</v>
      </c>
      <c r="D84" s="7">
        <v>97.1</v>
      </c>
      <c r="E84" s="6"/>
      <c r="F84" s="6"/>
      <c r="G84" s="6"/>
    </row>
    <row r="85" spans="1:7" ht="13" x14ac:dyDescent="0.25">
      <c r="A85" s="11">
        <v>15</v>
      </c>
      <c r="B85" s="7">
        <v>23.9</v>
      </c>
      <c r="C85" s="7">
        <v>51.9</v>
      </c>
      <c r="D85" s="7">
        <v>74</v>
      </c>
      <c r="E85" s="6"/>
      <c r="F85" s="6"/>
      <c r="G85" s="6"/>
    </row>
    <row r="86" spans="1:7" ht="13" x14ac:dyDescent="0.25">
      <c r="A86" s="11">
        <v>16</v>
      </c>
      <c r="B86" s="7">
        <v>24.5</v>
      </c>
      <c r="C86" s="7">
        <v>46.7</v>
      </c>
      <c r="D86" s="7">
        <v>109.6</v>
      </c>
      <c r="E86" s="6"/>
      <c r="F86" s="6"/>
      <c r="G86" s="6"/>
    </row>
    <row r="87" spans="1:7" ht="13" x14ac:dyDescent="0.25">
      <c r="A87" s="11">
        <v>17</v>
      </c>
      <c r="B87" s="7">
        <v>36.1</v>
      </c>
      <c r="C87" s="7">
        <v>51.9</v>
      </c>
      <c r="D87" s="7">
        <v>70.2</v>
      </c>
      <c r="E87" s="6"/>
      <c r="F87" s="6"/>
      <c r="G87" s="6"/>
    </row>
    <row r="88" spans="1:7" ht="13" x14ac:dyDescent="0.25">
      <c r="A88" s="11">
        <v>18</v>
      </c>
      <c r="B88" s="7">
        <v>42</v>
      </c>
      <c r="C88" s="7">
        <v>62.7</v>
      </c>
      <c r="D88" s="7">
        <v>95.9</v>
      </c>
      <c r="E88" s="6"/>
      <c r="F88" s="6"/>
      <c r="G88" s="6"/>
    </row>
    <row r="89" spans="1:7" ht="13" x14ac:dyDescent="0.25">
      <c r="A89" s="11">
        <v>19</v>
      </c>
      <c r="B89" s="7">
        <v>22.6</v>
      </c>
      <c r="C89" s="7">
        <v>47</v>
      </c>
      <c r="D89" s="7">
        <v>103.4</v>
      </c>
      <c r="E89" s="6"/>
      <c r="F89" s="6"/>
      <c r="G89" s="6"/>
    </row>
    <row r="90" spans="1:7" ht="13" x14ac:dyDescent="0.25">
      <c r="A90" s="11">
        <v>20</v>
      </c>
      <c r="B90" s="7">
        <v>23.4</v>
      </c>
      <c r="C90" s="7">
        <v>63.3</v>
      </c>
      <c r="D90" s="7">
        <v>94.6</v>
      </c>
      <c r="E90" s="6"/>
      <c r="F90" s="6"/>
      <c r="G90" s="6"/>
    </row>
    <row r="91" spans="1:7" ht="13" x14ac:dyDescent="0.25">
      <c r="A91" s="11">
        <v>21</v>
      </c>
      <c r="B91" s="7">
        <v>32.200000000000003</v>
      </c>
      <c r="C91" s="7">
        <v>61.5</v>
      </c>
      <c r="D91" s="7">
        <v>90.7</v>
      </c>
      <c r="E91" s="6"/>
      <c r="F91" s="6"/>
      <c r="G91" s="6"/>
    </row>
    <row r="92" spans="1:7" ht="13" x14ac:dyDescent="0.25">
      <c r="A92" s="11">
        <v>22</v>
      </c>
      <c r="B92" s="7">
        <v>32.799999999999997</v>
      </c>
      <c r="C92" s="7">
        <v>57.6</v>
      </c>
      <c r="D92" s="7">
        <v>92.1</v>
      </c>
      <c r="E92" s="6"/>
      <c r="F92" s="6"/>
      <c r="G92" s="6"/>
    </row>
    <row r="93" spans="1:7" ht="13" x14ac:dyDescent="0.25">
      <c r="A93" s="11">
        <v>23</v>
      </c>
      <c r="B93" s="7">
        <v>24.5</v>
      </c>
      <c r="C93" s="7">
        <v>59.6</v>
      </c>
      <c r="D93" s="7">
        <v>101.4</v>
      </c>
      <c r="E93" s="6"/>
      <c r="F93" s="6"/>
      <c r="G93" s="6"/>
    </row>
    <row r="94" spans="1:7" ht="13" x14ac:dyDescent="0.25">
      <c r="A94" s="11">
        <v>24</v>
      </c>
      <c r="B94" s="7">
        <v>26.8</v>
      </c>
      <c r="C94" s="7">
        <v>51.5</v>
      </c>
      <c r="D94" s="7">
        <v>109.1</v>
      </c>
      <c r="E94" s="6"/>
      <c r="F94" s="6"/>
      <c r="G94" s="6"/>
    </row>
    <row r="95" spans="1:7" ht="13" x14ac:dyDescent="0.25">
      <c r="A95" s="11">
        <v>25</v>
      </c>
      <c r="B95" s="7">
        <v>27.4</v>
      </c>
      <c r="C95" s="7">
        <v>51</v>
      </c>
      <c r="D95" s="7">
        <v>96</v>
      </c>
      <c r="E95" s="6"/>
      <c r="F95" s="6"/>
      <c r="G95" s="6"/>
    </row>
    <row r="96" spans="1:7" ht="13" x14ac:dyDescent="0.25">
      <c r="A96" s="11">
        <v>26</v>
      </c>
      <c r="B96" s="7">
        <v>33.1</v>
      </c>
      <c r="C96" s="7">
        <v>63.7</v>
      </c>
      <c r="D96" s="7">
        <v>104.6</v>
      </c>
      <c r="E96" s="17"/>
      <c r="F96" s="17"/>
      <c r="G96" s="17"/>
    </row>
    <row r="97" spans="1:7" ht="13" x14ac:dyDescent="0.25">
      <c r="A97" s="11">
        <v>27</v>
      </c>
      <c r="B97" s="7">
        <v>21.3</v>
      </c>
      <c r="C97" s="7">
        <v>54.9</v>
      </c>
      <c r="D97" s="7">
        <v>93.1</v>
      </c>
      <c r="E97" s="17"/>
      <c r="F97" s="17"/>
      <c r="G97" s="17"/>
    </row>
    <row r="98" spans="1:7" ht="13" x14ac:dyDescent="0.25">
      <c r="A98" s="11">
        <v>28</v>
      </c>
      <c r="B98" s="7">
        <v>32.4</v>
      </c>
      <c r="C98" s="7">
        <v>64.2</v>
      </c>
      <c r="D98" s="7">
        <v>76.400000000000006</v>
      </c>
      <c r="E98" s="17"/>
      <c r="F98" s="17"/>
      <c r="G98" s="17"/>
    </row>
    <row r="99" spans="1:7" ht="13" x14ac:dyDescent="0.25">
      <c r="A99" s="11">
        <v>29</v>
      </c>
      <c r="B99" s="7">
        <v>26.1</v>
      </c>
      <c r="C99" s="7">
        <v>50.6</v>
      </c>
      <c r="D99" s="7">
        <v>75</v>
      </c>
      <c r="E99" s="6"/>
      <c r="F99" s="6"/>
      <c r="G99" s="6"/>
    </row>
    <row r="100" spans="1:7" ht="13" x14ac:dyDescent="0.25">
      <c r="A100" s="11">
        <v>30</v>
      </c>
      <c r="B100" s="7">
        <v>25.6</v>
      </c>
      <c r="C100" s="7">
        <v>49.8</v>
      </c>
      <c r="D100" s="7">
        <v>70.5</v>
      </c>
      <c r="E100" s="2"/>
      <c r="F100" s="2"/>
      <c r="G100" s="2"/>
    </row>
    <row r="101" spans="1:7" ht="13" x14ac:dyDescent="0.25">
      <c r="A101" s="11">
        <v>31</v>
      </c>
      <c r="B101" s="7">
        <v>39.700000000000003</v>
      </c>
      <c r="C101" s="7">
        <v>55.4</v>
      </c>
      <c r="D101" s="7">
        <v>75.8</v>
      </c>
      <c r="E101" s="2"/>
      <c r="F101" s="2"/>
      <c r="G101" s="2"/>
    </row>
    <row r="102" spans="1:7" ht="13" x14ac:dyDescent="0.25">
      <c r="A102" s="11">
        <v>32</v>
      </c>
      <c r="B102" s="7">
        <v>38.4</v>
      </c>
      <c r="C102" s="7">
        <v>63.6</v>
      </c>
      <c r="D102" s="7">
        <v>68.8</v>
      </c>
      <c r="E102" s="2"/>
      <c r="F102" s="2"/>
      <c r="G102" s="2"/>
    </row>
    <row r="103" spans="1:7" ht="13" x14ac:dyDescent="0.25">
      <c r="A103" s="11">
        <v>33</v>
      </c>
      <c r="B103" s="7">
        <v>22.4</v>
      </c>
      <c r="C103" s="7">
        <v>64.2</v>
      </c>
      <c r="D103" s="7">
        <v>103.2</v>
      </c>
      <c r="E103" s="2"/>
      <c r="F103" s="2"/>
      <c r="G103" s="2"/>
    </row>
    <row r="104" spans="1:7" ht="13" x14ac:dyDescent="0.25">
      <c r="A104" s="11">
        <v>34</v>
      </c>
      <c r="B104" s="7">
        <v>34.200000000000003</v>
      </c>
      <c r="C104" s="7">
        <v>61.4</v>
      </c>
      <c r="D104" s="7">
        <v>109.2</v>
      </c>
      <c r="E104" s="2"/>
      <c r="F104" s="2"/>
      <c r="G104" s="2"/>
    </row>
    <row r="105" spans="1:7" ht="13" x14ac:dyDescent="0.25">
      <c r="A105" s="11">
        <v>35</v>
      </c>
      <c r="B105" s="7">
        <v>39.4</v>
      </c>
      <c r="C105" s="7">
        <v>46.2</v>
      </c>
      <c r="D105" s="7">
        <v>68.7</v>
      </c>
      <c r="E105" s="2"/>
      <c r="F105" s="2"/>
      <c r="G105" s="2"/>
    </row>
    <row r="106" spans="1:7" ht="13" x14ac:dyDescent="0.25">
      <c r="A106" s="11">
        <v>36</v>
      </c>
      <c r="B106" s="7">
        <v>31.1</v>
      </c>
      <c r="C106" s="7">
        <v>58</v>
      </c>
      <c r="D106" s="7">
        <v>75</v>
      </c>
      <c r="E106" s="2"/>
      <c r="F106" s="2"/>
      <c r="G106" s="2"/>
    </row>
    <row r="107" spans="1:7" ht="13" x14ac:dyDescent="0.25">
      <c r="A107" s="11">
        <v>37</v>
      </c>
      <c r="B107" s="7">
        <v>29</v>
      </c>
      <c r="C107" s="7">
        <v>62.3</v>
      </c>
      <c r="D107" s="7">
        <v>82.8</v>
      </c>
      <c r="E107" s="2"/>
      <c r="F107" s="2"/>
      <c r="G107" s="2"/>
    </row>
    <row r="108" spans="1:7" ht="13" x14ac:dyDescent="0.25">
      <c r="A108" s="11">
        <v>38</v>
      </c>
      <c r="B108" s="7">
        <v>30.5</v>
      </c>
      <c r="C108" s="7">
        <v>48.2</v>
      </c>
      <c r="D108" s="7">
        <v>99.8</v>
      </c>
      <c r="E108" s="2"/>
      <c r="F108" s="2"/>
      <c r="G108" s="2"/>
    </row>
    <row r="109" spans="1:7" ht="13" x14ac:dyDescent="0.25">
      <c r="A109" s="11">
        <v>39</v>
      </c>
      <c r="B109" s="7">
        <v>42.6</v>
      </c>
      <c r="C109" s="7">
        <v>51.8</v>
      </c>
      <c r="D109" s="7">
        <v>100.5</v>
      </c>
      <c r="E109" s="2"/>
      <c r="F109" s="2"/>
      <c r="G109" s="2"/>
    </row>
    <row r="110" spans="1:7" ht="13" x14ac:dyDescent="0.25">
      <c r="A110" s="11">
        <v>40</v>
      </c>
      <c r="B110" s="7">
        <v>34.200000000000003</v>
      </c>
      <c r="C110" s="7">
        <v>63.8</v>
      </c>
      <c r="D110" s="7">
        <v>105.5</v>
      </c>
      <c r="E110" s="2"/>
      <c r="F110" s="2"/>
      <c r="G110" s="2"/>
    </row>
    <row r="111" spans="1:7" ht="13" x14ac:dyDescent="0.25">
      <c r="A111" s="11">
        <v>41</v>
      </c>
      <c r="B111" s="7">
        <v>30.3</v>
      </c>
      <c r="C111" s="7">
        <v>55.6</v>
      </c>
      <c r="D111" s="7">
        <v>109.7</v>
      </c>
      <c r="E111" s="2"/>
      <c r="F111" s="2"/>
      <c r="G111" s="2"/>
    </row>
    <row r="112" spans="1:7" ht="13" x14ac:dyDescent="0.25">
      <c r="A112" s="11">
        <v>42</v>
      </c>
      <c r="B112" s="7">
        <v>31.8</v>
      </c>
      <c r="C112" s="7">
        <v>46.9</v>
      </c>
      <c r="D112" s="7">
        <v>98.7</v>
      </c>
      <c r="E112" s="2"/>
      <c r="F112" s="2"/>
      <c r="G112" s="2"/>
    </row>
    <row r="113" spans="1:7" ht="13" x14ac:dyDescent="0.25">
      <c r="A113" s="11">
        <v>43</v>
      </c>
      <c r="B113" s="7">
        <v>34.700000000000003</v>
      </c>
      <c r="C113" s="7">
        <v>63.4</v>
      </c>
      <c r="D113" s="7">
        <v>76.5</v>
      </c>
      <c r="E113" s="2"/>
      <c r="F113" s="2"/>
      <c r="G113" s="2"/>
    </row>
    <row r="114" spans="1:7" ht="13" x14ac:dyDescent="0.25">
      <c r="A114" s="11">
        <v>44</v>
      </c>
      <c r="B114" s="7">
        <v>37</v>
      </c>
      <c r="C114" s="7">
        <v>58.2</v>
      </c>
      <c r="D114" s="7">
        <v>92.3</v>
      </c>
      <c r="E114" s="2"/>
      <c r="F114" s="2"/>
      <c r="G114" s="2"/>
    </row>
    <row r="115" spans="1:7" ht="13" x14ac:dyDescent="0.25">
      <c r="A115" s="11">
        <v>45</v>
      </c>
      <c r="B115" s="7">
        <v>29.1</v>
      </c>
      <c r="C115" s="7">
        <v>50.8</v>
      </c>
      <c r="D115" s="7">
        <v>93.9</v>
      </c>
      <c r="E115" s="2"/>
      <c r="F115" s="2"/>
      <c r="G115" s="2"/>
    </row>
    <row r="116" spans="1:7" ht="13" x14ac:dyDescent="0.25">
      <c r="A116" s="11">
        <v>46</v>
      </c>
      <c r="B116" s="7">
        <v>35.6</v>
      </c>
      <c r="C116" s="7">
        <v>58.2</v>
      </c>
      <c r="D116" s="7">
        <v>96</v>
      </c>
      <c r="E116" s="2"/>
      <c r="F116" s="2"/>
      <c r="G116" s="2"/>
    </row>
    <row r="117" spans="1:7" ht="13" x14ac:dyDescent="0.25">
      <c r="A117" s="11">
        <v>47</v>
      </c>
      <c r="B117" s="7">
        <v>25.1</v>
      </c>
      <c r="C117" s="7">
        <v>64.400000000000006</v>
      </c>
      <c r="D117" s="7">
        <v>78.2</v>
      </c>
      <c r="E117" s="2"/>
      <c r="F117" s="2"/>
      <c r="G117" s="2"/>
    </row>
    <row r="118" spans="1:7" ht="13" x14ac:dyDescent="0.25">
      <c r="A118" s="11">
        <v>48</v>
      </c>
      <c r="B118" s="7">
        <v>24.7</v>
      </c>
      <c r="C118" s="7">
        <v>47</v>
      </c>
      <c r="D118" s="7">
        <v>105.5</v>
      </c>
      <c r="E118" s="2"/>
      <c r="F118" s="2"/>
      <c r="G118" s="2"/>
    </row>
    <row r="119" spans="1:7" ht="13" x14ac:dyDescent="0.25">
      <c r="A119" s="11">
        <v>49</v>
      </c>
      <c r="B119" s="7">
        <v>41.9</v>
      </c>
      <c r="C119" s="7">
        <v>64.900000000000006</v>
      </c>
      <c r="D119" s="7">
        <v>101.2</v>
      </c>
      <c r="E119" s="2"/>
      <c r="F119" s="2"/>
      <c r="G119" s="2"/>
    </row>
    <row r="120" spans="1:7" ht="13" x14ac:dyDescent="0.25">
      <c r="A120" s="11">
        <v>50</v>
      </c>
      <c r="B120" s="7">
        <v>40.4</v>
      </c>
      <c r="C120" s="7">
        <v>50.5</v>
      </c>
      <c r="D120" s="7">
        <v>87.5</v>
      </c>
      <c r="E120" s="2"/>
      <c r="F120" s="2"/>
      <c r="G120" s="2"/>
    </row>
    <row r="121" spans="1:7" ht="13" x14ac:dyDescent="0.25">
      <c r="A121" s="11">
        <v>51</v>
      </c>
      <c r="B121" s="7">
        <v>35.200000000000003</v>
      </c>
      <c r="C121" s="7">
        <v>60.3</v>
      </c>
      <c r="D121" s="7">
        <v>92.9</v>
      </c>
      <c r="E121" s="2"/>
      <c r="F121" s="2"/>
      <c r="G121" s="2"/>
    </row>
    <row r="122" spans="1:7" ht="13" x14ac:dyDescent="0.25">
      <c r="A122" s="11">
        <v>52</v>
      </c>
      <c r="B122" s="7">
        <v>31.8</v>
      </c>
      <c r="C122" s="7">
        <v>58.5</v>
      </c>
      <c r="D122" s="7">
        <v>65.7</v>
      </c>
      <c r="E122" s="2"/>
      <c r="F122" s="2"/>
      <c r="G122" s="2"/>
    </row>
    <row r="123" spans="1:7" ht="13" x14ac:dyDescent="0.25">
      <c r="A123" s="11">
        <v>53</v>
      </c>
      <c r="B123" s="7">
        <v>31.9</v>
      </c>
      <c r="C123" s="7">
        <v>59.7</v>
      </c>
      <c r="D123" s="7">
        <v>80.5</v>
      </c>
      <c r="E123" s="2"/>
      <c r="F123" s="2"/>
      <c r="G123" s="2"/>
    </row>
    <row r="124" spans="1:7" ht="13" x14ac:dyDescent="0.25">
      <c r="A124" s="11">
        <v>54</v>
      </c>
      <c r="B124" s="7">
        <v>20.100000000000001</v>
      </c>
      <c r="C124" s="7">
        <v>51.5</v>
      </c>
      <c r="D124" s="7">
        <v>71.599999999999994</v>
      </c>
      <c r="E124" s="2"/>
      <c r="F124" s="2"/>
      <c r="G124" s="2"/>
    </row>
    <row r="125" spans="1:7" ht="13" x14ac:dyDescent="0.25">
      <c r="A125" s="11">
        <v>55</v>
      </c>
      <c r="B125" s="7">
        <v>23.7</v>
      </c>
      <c r="C125" s="7">
        <v>64.2</v>
      </c>
      <c r="D125" s="7">
        <v>70</v>
      </c>
      <c r="E125" s="2"/>
      <c r="F125" s="2"/>
      <c r="G125" s="2"/>
    </row>
    <row r="126" spans="1:7" ht="13" x14ac:dyDescent="0.25">
      <c r="A126" s="11">
        <v>56</v>
      </c>
      <c r="B126" s="7">
        <v>33.700000000000003</v>
      </c>
      <c r="C126" s="7">
        <v>63.2</v>
      </c>
      <c r="D126" s="7">
        <v>91.4</v>
      </c>
      <c r="E126" s="2"/>
      <c r="F126" s="2"/>
      <c r="G126" s="2"/>
    </row>
    <row r="127" spans="1:7" ht="13" x14ac:dyDescent="0.25">
      <c r="A127" s="11">
        <v>57</v>
      </c>
      <c r="B127" s="7">
        <v>38</v>
      </c>
      <c r="C127" s="7">
        <v>56.8</v>
      </c>
      <c r="D127" s="7">
        <v>85.2</v>
      </c>
      <c r="E127" s="2"/>
      <c r="F127" s="2"/>
      <c r="G127" s="2"/>
    </row>
    <row r="128" spans="1:7" ht="13" x14ac:dyDescent="0.25">
      <c r="A128" s="11">
        <v>58</v>
      </c>
      <c r="B128" s="7">
        <v>28.1</v>
      </c>
      <c r="C128" s="7">
        <v>62.8</v>
      </c>
      <c r="D128" s="7">
        <v>82.6</v>
      </c>
      <c r="E128" s="2"/>
      <c r="F128" s="2"/>
      <c r="G128" s="2"/>
    </row>
    <row r="129" spans="1:7" ht="13" x14ac:dyDescent="0.25">
      <c r="A129" s="11">
        <v>59</v>
      </c>
      <c r="B129" s="7">
        <v>40.4</v>
      </c>
      <c r="C129" s="7">
        <v>56.6</v>
      </c>
      <c r="D129" s="7">
        <v>103.2</v>
      </c>
      <c r="E129" s="2"/>
      <c r="F129" s="2"/>
      <c r="G129" s="2"/>
    </row>
    <row r="130" spans="1:7" ht="13" x14ac:dyDescent="0.25">
      <c r="A130" s="11">
        <v>60</v>
      </c>
      <c r="B130" s="7">
        <v>34.4</v>
      </c>
      <c r="C130" s="7">
        <v>64.5</v>
      </c>
      <c r="D130" s="7">
        <v>71.599999999999994</v>
      </c>
      <c r="E130" s="2"/>
      <c r="F130" s="2"/>
      <c r="G130" s="2"/>
    </row>
    <row r="131" spans="1:7" ht="13" x14ac:dyDescent="0.25">
      <c r="A131" s="11">
        <v>61</v>
      </c>
      <c r="B131" s="7">
        <v>33.6</v>
      </c>
      <c r="C131" s="7">
        <v>51</v>
      </c>
      <c r="D131" s="7">
        <v>89.2</v>
      </c>
      <c r="E131" s="2"/>
      <c r="F131" s="2"/>
      <c r="G131" s="2"/>
    </row>
    <row r="132" spans="1:7" ht="13" x14ac:dyDescent="0.25">
      <c r="A132" s="11">
        <v>62</v>
      </c>
      <c r="B132" s="7">
        <v>44.3</v>
      </c>
      <c r="C132" s="7">
        <v>60.1</v>
      </c>
      <c r="D132" s="7">
        <v>66.400000000000006</v>
      </c>
      <c r="E132" s="2"/>
      <c r="F132" s="2"/>
      <c r="G132" s="2"/>
    </row>
    <row r="133" spans="1:7" ht="13.5" thickBot="1" x14ac:dyDescent="0.3">
      <c r="A133" s="14">
        <v>63</v>
      </c>
      <c r="B133" s="7">
        <v>43.4</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61</v>
      </c>
      <c r="C138" s="13">
        <f>ROUNDDOWN(AVERAGE(E5:G20),1)</f>
        <v>71.7</v>
      </c>
      <c r="D138" s="11">
        <f>'2021.8'!D138</f>
        <v>8438</v>
      </c>
      <c r="E138" s="11">
        <v>15972</v>
      </c>
      <c r="F138" s="11">
        <f>B138*D138</f>
        <v>514718</v>
      </c>
      <c r="G138" s="11">
        <f>C138*E138</f>
        <v>1145192.4000000001</v>
      </c>
    </row>
    <row r="139" spans="1:7" ht="13" x14ac:dyDescent="0.25">
      <c r="A139" s="6" t="str">
        <f>A21</f>
        <v>Dongtai Jianggang Farm</v>
      </c>
      <c r="B139" s="13">
        <f>ROUNDDOWN(AVERAGE(B24:D33),1)</f>
        <v>58.4</v>
      </c>
      <c r="C139" s="13">
        <f>ROUNDDOWN(AVERAGE(E24:G52),1)</f>
        <v>72.7</v>
      </c>
      <c r="D139" s="11">
        <f>'2021.8'!D139</f>
        <v>9440</v>
      </c>
      <c r="E139" s="11">
        <v>29493</v>
      </c>
      <c r="F139" s="11">
        <f t="shared" ref="F139:G141" si="0">B139*D139</f>
        <v>551296</v>
      </c>
      <c r="G139" s="11">
        <f t="shared" si="0"/>
        <v>2144141.1</v>
      </c>
    </row>
    <row r="140" spans="1:7" ht="13" x14ac:dyDescent="0.25">
      <c r="A140" s="6" t="str">
        <f>A53</f>
        <v>Sheyang Linhai Farm</v>
      </c>
      <c r="B140" s="13">
        <f>ROUNDDOWN(AVERAGE(B56:D67),1)</f>
        <v>60.1</v>
      </c>
      <c r="C140" s="13">
        <f>ROUNDDOWN(AVERAGE(E56:G62),1)</f>
        <v>72.3</v>
      </c>
      <c r="D140" s="11">
        <f>'2021.8'!D140</f>
        <v>11825</v>
      </c>
      <c r="E140" s="11">
        <v>6435</v>
      </c>
      <c r="F140" s="11">
        <f t="shared" si="0"/>
        <v>710682.5</v>
      </c>
      <c r="G140" s="11">
        <f t="shared" si="0"/>
        <v>465250.5</v>
      </c>
    </row>
    <row r="141" spans="1:7" ht="13" x14ac:dyDescent="0.25">
      <c r="A141" s="6" t="str">
        <f>A68</f>
        <v>Siyang Nanliuji</v>
      </c>
      <c r="B141" s="13">
        <f>ROUNDDOWN(AVERAGE(B71:D133),1)</f>
        <v>58.8</v>
      </c>
      <c r="C141" s="11">
        <f>ROUNDDOWN(AVERAGE(0),1)</f>
        <v>0</v>
      </c>
      <c r="D141" s="11">
        <f>'2021.8'!D141</f>
        <v>65005</v>
      </c>
      <c r="E141" s="11">
        <v>0</v>
      </c>
      <c r="F141" s="11">
        <f t="shared" si="0"/>
        <v>3822294</v>
      </c>
      <c r="G141" s="11">
        <f t="shared" si="0"/>
        <v>0</v>
      </c>
    </row>
    <row r="142" spans="1:7" ht="13" x14ac:dyDescent="0.25">
      <c r="A142" s="613" t="s">
        <v>154</v>
      </c>
      <c r="B142" s="617"/>
      <c r="C142" s="614"/>
      <c r="D142" s="11">
        <f>SUM(D138:D141)</f>
        <v>94708</v>
      </c>
      <c r="E142" s="11">
        <f>SUM(E138:E141)</f>
        <v>51900</v>
      </c>
      <c r="F142" s="11">
        <f>SUM(F138:F141)</f>
        <v>5598990.5</v>
      </c>
      <c r="G142" s="11">
        <f>SUM(G138:G141)</f>
        <v>3754584</v>
      </c>
    </row>
    <row r="144" spans="1:7" ht="13" x14ac:dyDescent="0.25">
      <c r="C144" s="613" t="s">
        <v>155</v>
      </c>
      <c r="D144" s="614"/>
    </row>
    <row r="145" spans="3:4" ht="13" x14ac:dyDescent="0.25">
      <c r="C145" s="11" t="s">
        <v>152</v>
      </c>
      <c r="D145" s="11" t="s">
        <v>153</v>
      </c>
    </row>
    <row r="146" spans="3:4" ht="13" x14ac:dyDescent="0.25">
      <c r="C146" s="12">
        <f>ROUNDDOWN(F142/D142,1)</f>
        <v>59.1</v>
      </c>
      <c r="D146" s="12">
        <f>ROUNDDOWN(G142/E142,1)</f>
        <v>72.3</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146"/>
  <sheetViews>
    <sheetView workbookViewId="0">
      <selection activeCell="C129" sqref="C129"/>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'2021.9'!A2:G2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32.700000000000003</v>
      </c>
      <c r="C5" s="7">
        <v>49.9</v>
      </c>
      <c r="D5" s="7">
        <v>98.9</v>
      </c>
      <c r="E5" s="7">
        <v>32.1</v>
      </c>
      <c r="F5" s="7">
        <v>64.7</v>
      </c>
      <c r="G5" s="7">
        <v>95.7</v>
      </c>
    </row>
    <row r="6" spans="1:7" ht="13" x14ac:dyDescent="0.25">
      <c r="A6" s="11">
        <v>2</v>
      </c>
      <c r="B6" s="7">
        <v>22.9</v>
      </c>
      <c r="C6" s="7">
        <v>51.1</v>
      </c>
      <c r="D6" s="7">
        <v>75.8</v>
      </c>
      <c r="E6" s="7">
        <v>57.7</v>
      </c>
      <c r="F6" s="7">
        <v>80.7</v>
      </c>
      <c r="G6" s="7">
        <v>85.9</v>
      </c>
    </row>
    <row r="7" spans="1:7" ht="13" x14ac:dyDescent="0.25">
      <c r="A7" s="11">
        <v>3</v>
      </c>
      <c r="B7" s="7">
        <v>41.7</v>
      </c>
      <c r="C7" s="7">
        <v>57.3</v>
      </c>
      <c r="D7" s="7">
        <v>98.4</v>
      </c>
      <c r="E7" s="7">
        <v>29.1</v>
      </c>
      <c r="F7" s="7">
        <v>62.2</v>
      </c>
      <c r="G7" s="7">
        <v>85.4</v>
      </c>
    </row>
    <row r="8" spans="1:7" ht="13" x14ac:dyDescent="0.25">
      <c r="A8" s="11">
        <v>4</v>
      </c>
      <c r="B8" s="7">
        <v>40.700000000000003</v>
      </c>
      <c r="C8" s="7">
        <v>54.1</v>
      </c>
      <c r="D8" s="7">
        <v>100.7</v>
      </c>
      <c r="E8" s="7">
        <v>25.9</v>
      </c>
      <c r="F8" s="7">
        <v>81.900000000000006</v>
      </c>
      <c r="G8" s="7">
        <v>106.2</v>
      </c>
    </row>
    <row r="9" spans="1:7" ht="13" x14ac:dyDescent="0.25">
      <c r="A9" s="11">
        <v>5</v>
      </c>
      <c r="B9" s="7">
        <v>29.9</v>
      </c>
      <c r="C9" s="7">
        <v>51.4</v>
      </c>
      <c r="D9" s="7">
        <v>96.9</v>
      </c>
      <c r="E9" s="7">
        <v>33.1</v>
      </c>
      <c r="F9" s="7">
        <v>79.400000000000006</v>
      </c>
      <c r="G9" s="7">
        <v>118</v>
      </c>
    </row>
    <row r="10" spans="1:7" ht="13" x14ac:dyDescent="0.25">
      <c r="A10" s="11">
        <v>6</v>
      </c>
      <c r="B10" s="7">
        <v>29.2</v>
      </c>
      <c r="C10" s="7">
        <v>59.8</v>
      </c>
      <c r="D10" s="7">
        <v>101.1</v>
      </c>
      <c r="E10" s="7">
        <v>37</v>
      </c>
      <c r="F10" s="7">
        <v>75</v>
      </c>
      <c r="G10" s="7">
        <v>94.4</v>
      </c>
    </row>
    <row r="11" spans="1:7" ht="13" x14ac:dyDescent="0.25">
      <c r="A11" s="11">
        <v>7</v>
      </c>
      <c r="B11" s="7">
        <v>28.2</v>
      </c>
      <c r="C11" s="7">
        <v>57.2</v>
      </c>
      <c r="D11" s="7">
        <v>109.9</v>
      </c>
      <c r="E11" s="7">
        <v>52</v>
      </c>
      <c r="F11" s="7">
        <v>77.5</v>
      </c>
      <c r="G11" s="7">
        <v>117.9</v>
      </c>
    </row>
    <row r="12" spans="1:7" ht="13" x14ac:dyDescent="0.25">
      <c r="A12" s="11">
        <v>8</v>
      </c>
      <c r="B12" s="7">
        <v>23.7</v>
      </c>
      <c r="C12" s="7">
        <v>56.7</v>
      </c>
      <c r="D12" s="7">
        <v>74.3</v>
      </c>
      <c r="E12" s="7">
        <v>54.4</v>
      </c>
      <c r="F12" s="7">
        <v>75.599999999999994</v>
      </c>
      <c r="G12" s="7">
        <v>105.2</v>
      </c>
    </row>
    <row r="13" spans="1:7" ht="13" x14ac:dyDescent="0.25">
      <c r="A13" s="11">
        <v>9</v>
      </c>
      <c r="B13" s="7">
        <v>25.3</v>
      </c>
      <c r="C13" s="7">
        <v>60.9</v>
      </c>
      <c r="D13" s="7">
        <v>97.5</v>
      </c>
      <c r="E13" s="7">
        <v>45.5</v>
      </c>
      <c r="F13" s="7">
        <v>68</v>
      </c>
      <c r="G13" s="7">
        <v>94.9</v>
      </c>
    </row>
    <row r="14" spans="1:7" ht="13" x14ac:dyDescent="0.25">
      <c r="A14" s="11">
        <v>10</v>
      </c>
      <c r="B14" s="7"/>
      <c r="C14" s="7"/>
      <c r="D14" s="7"/>
      <c r="E14" s="7">
        <v>39.200000000000003</v>
      </c>
      <c r="F14" s="7">
        <v>65.099999999999994</v>
      </c>
      <c r="G14" s="7">
        <v>86.7</v>
      </c>
    </row>
    <row r="15" spans="1:7" ht="13" x14ac:dyDescent="0.25">
      <c r="A15" s="11">
        <v>11</v>
      </c>
      <c r="B15" s="7"/>
      <c r="C15" s="7"/>
      <c r="D15" s="7"/>
      <c r="E15" s="7">
        <v>47.6</v>
      </c>
      <c r="F15" s="7">
        <v>77.5</v>
      </c>
      <c r="G15" s="7">
        <v>104</v>
      </c>
    </row>
    <row r="16" spans="1:7" ht="13" x14ac:dyDescent="0.25">
      <c r="A16" s="11">
        <v>12</v>
      </c>
      <c r="B16" s="7"/>
      <c r="C16" s="7"/>
      <c r="D16" s="7"/>
      <c r="E16" s="7">
        <v>27.1</v>
      </c>
      <c r="F16" s="7">
        <v>82.5</v>
      </c>
      <c r="G16" s="7">
        <v>111.6</v>
      </c>
    </row>
    <row r="17" spans="1:7" ht="13" x14ac:dyDescent="0.25">
      <c r="A17" s="11">
        <v>13</v>
      </c>
      <c r="B17" s="7"/>
      <c r="C17" s="7"/>
      <c r="D17" s="7"/>
      <c r="E17" s="7">
        <v>48.6</v>
      </c>
      <c r="F17" s="7">
        <v>79.2</v>
      </c>
      <c r="G17" s="7">
        <v>100.4</v>
      </c>
    </row>
    <row r="18" spans="1:7" ht="13" x14ac:dyDescent="0.25">
      <c r="A18" s="11">
        <v>14</v>
      </c>
      <c r="B18" s="7"/>
      <c r="C18" s="7"/>
      <c r="D18" s="7"/>
      <c r="E18" s="7">
        <v>58.6</v>
      </c>
      <c r="F18" s="7">
        <v>76.900000000000006</v>
      </c>
      <c r="G18" s="7">
        <v>110.6</v>
      </c>
    </row>
    <row r="19" spans="1:7" ht="13" x14ac:dyDescent="0.25">
      <c r="A19" s="11">
        <v>15</v>
      </c>
      <c r="B19" s="7"/>
      <c r="C19" s="7"/>
      <c r="D19" s="7"/>
      <c r="E19" s="7">
        <v>30</v>
      </c>
      <c r="F19" s="7">
        <v>69.5</v>
      </c>
      <c r="G19" s="7">
        <v>94.8</v>
      </c>
    </row>
    <row r="20" spans="1:7" ht="13.5" thickBot="1" x14ac:dyDescent="0.3">
      <c r="A20" s="14">
        <v>16</v>
      </c>
      <c r="B20" s="15"/>
      <c r="C20" s="15"/>
      <c r="D20" s="15"/>
      <c r="E20" s="7">
        <v>53.6</v>
      </c>
      <c r="F20" s="7">
        <v>65.8</v>
      </c>
      <c r="G20" s="7">
        <v>119.5</v>
      </c>
    </row>
    <row r="21" spans="1:7" ht="13.5" thickTop="1" x14ac:dyDescent="0.25">
      <c r="A21" s="612" t="str">
        <f>'2021.9'!A21:G21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27.3</v>
      </c>
      <c r="C24" s="7">
        <v>58</v>
      </c>
      <c r="D24" s="7">
        <v>110</v>
      </c>
      <c r="E24" s="7">
        <v>37.299999999999997</v>
      </c>
      <c r="F24" s="7">
        <v>71.2</v>
      </c>
      <c r="G24" s="7">
        <v>94.4</v>
      </c>
    </row>
    <row r="25" spans="1:7" ht="13" x14ac:dyDescent="0.25">
      <c r="A25" s="11">
        <v>2</v>
      </c>
      <c r="B25" s="7">
        <v>31.6</v>
      </c>
      <c r="C25" s="7">
        <v>61.4</v>
      </c>
      <c r="D25" s="7">
        <v>83.7</v>
      </c>
      <c r="E25" s="7">
        <v>45.3</v>
      </c>
      <c r="F25" s="7">
        <v>83</v>
      </c>
      <c r="G25" s="7">
        <v>119.8</v>
      </c>
    </row>
    <row r="26" spans="1:7" ht="13" x14ac:dyDescent="0.25">
      <c r="A26" s="11">
        <v>3</v>
      </c>
      <c r="B26" s="7">
        <v>29.4</v>
      </c>
      <c r="C26" s="7">
        <v>58.1</v>
      </c>
      <c r="D26" s="7">
        <v>69.099999999999994</v>
      </c>
      <c r="E26" s="7">
        <v>30.7</v>
      </c>
      <c r="F26" s="7">
        <v>64</v>
      </c>
      <c r="G26" s="7">
        <v>98</v>
      </c>
    </row>
    <row r="27" spans="1:7" ht="13" x14ac:dyDescent="0.25">
      <c r="A27" s="11">
        <v>4</v>
      </c>
      <c r="B27" s="7">
        <v>37.799999999999997</v>
      </c>
      <c r="C27" s="7">
        <v>51.5</v>
      </c>
      <c r="D27" s="7">
        <v>65.3</v>
      </c>
      <c r="E27" s="7">
        <v>28</v>
      </c>
      <c r="F27" s="7">
        <v>60.2</v>
      </c>
      <c r="G27" s="7">
        <v>97.8</v>
      </c>
    </row>
    <row r="28" spans="1:7" ht="13" x14ac:dyDescent="0.25">
      <c r="A28" s="11">
        <v>5</v>
      </c>
      <c r="B28" s="7">
        <v>30.1</v>
      </c>
      <c r="C28" s="7">
        <v>53.8</v>
      </c>
      <c r="D28" s="7">
        <v>77.099999999999994</v>
      </c>
      <c r="E28" s="7">
        <v>51.6</v>
      </c>
      <c r="F28" s="7">
        <v>66.8</v>
      </c>
      <c r="G28" s="7">
        <v>111.5</v>
      </c>
    </row>
    <row r="29" spans="1:7" ht="13" x14ac:dyDescent="0.25">
      <c r="A29" s="11">
        <v>6</v>
      </c>
      <c r="B29" s="7">
        <v>23.5</v>
      </c>
      <c r="C29" s="7">
        <v>56.6</v>
      </c>
      <c r="D29" s="7">
        <v>97.3</v>
      </c>
      <c r="E29" s="7">
        <v>31.3</v>
      </c>
      <c r="F29" s="7">
        <v>65.099999999999994</v>
      </c>
      <c r="G29" s="7">
        <v>112.1</v>
      </c>
    </row>
    <row r="30" spans="1:7" ht="13" x14ac:dyDescent="0.25">
      <c r="A30" s="11">
        <v>7</v>
      </c>
      <c r="B30" s="7">
        <v>43.5</v>
      </c>
      <c r="C30" s="7">
        <v>56.3</v>
      </c>
      <c r="D30" s="7">
        <v>97</v>
      </c>
      <c r="E30" s="7">
        <v>37.700000000000003</v>
      </c>
      <c r="F30" s="7">
        <v>82</v>
      </c>
      <c r="G30" s="7">
        <v>114.1</v>
      </c>
    </row>
    <row r="31" spans="1:7" ht="13" x14ac:dyDescent="0.25">
      <c r="A31" s="11">
        <v>8</v>
      </c>
      <c r="B31" s="7">
        <v>43</v>
      </c>
      <c r="C31" s="7">
        <v>63.5</v>
      </c>
      <c r="D31" s="7">
        <v>96.5</v>
      </c>
      <c r="E31" s="7">
        <v>44.1</v>
      </c>
      <c r="F31" s="7">
        <v>62.5</v>
      </c>
      <c r="G31" s="7">
        <v>93.5</v>
      </c>
    </row>
    <row r="32" spans="1:7" ht="13" x14ac:dyDescent="0.25">
      <c r="A32" s="11">
        <v>9</v>
      </c>
      <c r="B32" s="7">
        <v>29.5</v>
      </c>
      <c r="C32" s="7">
        <v>58.1</v>
      </c>
      <c r="D32" s="7">
        <v>107.7</v>
      </c>
      <c r="E32" s="7">
        <v>33.5</v>
      </c>
      <c r="F32" s="7">
        <v>62.9</v>
      </c>
      <c r="G32" s="7">
        <v>87.1</v>
      </c>
    </row>
    <row r="33" spans="1:7" ht="13" x14ac:dyDescent="0.25">
      <c r="A33" s="11">
        <v>10</v>
      </c>
      <c r="B33" s="7">
        <v>25.7</v>
      </c>
      <c r="C33" s="7">
        <v>47.1</v>
      </c>
      <c r="D33" s="7">
        <v>94.1</v>
      </c>
      <c r="E33" s="7">
        <v>56.6</v>
      </c>
      <c r="F33" s="7">
        <v>68.099999999999994</v>
      </c>
      <c r="G33" s="7">
        <v>107.4</v>
      </c>
    </row>
    <row r="34" spans="1:7" ht="13" x14ac:dyDescent="0.25">
      <c r="A34" s="11">
        <v>11</v>
      </c>
      <c r="B34" s="7"/>
      <c r="C34" s="7"/>
      <c r="D34" s="7"/>
      <c r="E34" s="7">
        <v>30.1</v>
      </c>
      <c r="F34" s="7">
        <v>66.599999999999994</v>
      </c>
      <c r="G34" s="7">
        <v>119.6</v>
      </c>
    </row>
    <row r="35" spans="1:7" ht="13" x14ac:dyDescent="0.25">
      <c r="A35" s="11">
        <v>12</v>
      </c>
      <c r="B35" s="7"/>
      <c r="C35" s="7"/>
      <c r="D35" s="7"/>
      <c r="E35" s="7">
        <v>45.8</v>
      </c>
      <c r="F35" s="7">
        <v>77.3</v>
      </c>
      <c r="G35" s="7">
        <v>116.6</v>
      </c>
    </row>
    <row r="36" spans="1:7" ht="13" x14ac:dyDescent="0.25">
      <c r="A36" s="11">
        <v>13</v>
      </c>
      <c r="B36" s="7"/>
      <c r="C36" s="7"/>
      <c r="D36" s="7"/>
      <c r="E36" s="7">
        <v>57.6</v>
      </c>
      <c r="F36" s="7">
        <v>63.2</v>
      </c>
      <c r="G36" s="7">
        <v>109.8</v>
      </c>
    </row>
    <row r="37" spans="1:7" ht="13" x14ac:dyDescent="0.25">
      <c r="A37" s="11">
        <v>14</v>
      </c>
      <c r="B37" s="7"/>
      <c r="C37" s="7"/>
      <c r="D37" s="7"/>
      <c r="E37" s="7">
        <v>27.9</v>
      </c>
      <c r="F37" s="7">
        <v>75.8</v>
      </c>
      <c r="G37" s="7">
        <v>117</v>
      </c>
    </row>
    <row r="38" spans="1:7" ht="13" x14ac:dyDescent="0.25">
      <c r="A38" s="11">
        <v>15</v>
      </c>
      <c r="B38" s="7"/>
      <c r="C38" s="7"/>
      <c r="D38" s="7"/>
      <c r="E38" s="7">
        <v>52.2</v>
      </c>
      <c r="F38" s="7">
        <v>60.2</v>
      </c>
      <c r="G38" s="7">
        <v>103</v>
      </c>
    </row>
    <row r="39" spans="1:7" ht="13" x14ac:dyDescent="0.25">
      <c r="A39" s="11">
        <v>16</v>
      </c>
      <c r="B39" s="7"/>
      <c r="C39" s="7"/>
      <c r="D39" s="7"/>
      <c r="E39" s="7">
        <v>56</v>
      </c>
      <c r="F39" s="7">
        <v>70.099999999999994</v>
      </c>
      <c r="G39" s="7">
        <v>118.9</v>
      </c>
    </row>
    <row r="40" spans="1:7" ht="13" x14ac:dyDescent="0.25">
      <c r="A40" s="11">
        <v>17</v>
      </c>
      <c r="B40" s="7"/>
      <c r="C40" s="7"/>
      <c r="D40" s="7"/>
      <c r="E40" s="7">
        <v>30.4</v>
      </c>
      <c r="F40" s="7">
        <v>84.2</v>
      </c>
      <c r="G40" s="7">
        <v>100.6</v>
      </c>
    </row>
    <row r="41" spans="1:7" ht="13" x14ac:dyDescent="0.25">
      <c r="A41" s="11">
        <v>18</v>
      </c>
      <c r="B41" s="7"/>
      <c r="C41" s="7"/>
      <c r="D41" s="7"/>
      <c r="E41" s="7">
        <v>57.5</v>
      </c>
      <c r="F41" s="7">
        <v>79.7</v>
      </c>
      <c r="G41" s="7">
        <v>114.3</v>
      </c>
    </row>
    <row r="42" spans="1:7" ht="13" x14ac:dyDescent="0.25">
      <c r="A42" s="11">
        <v>19</v>
      </c>
      <c r="B42" s="7"/>
      <c r="C42" s="7"/>
      <c r="D42" s="7"/>
      <c r="E42" s="7">
        <v>54.6</v>
      </c>
      <c r="F42" s="7">
        <v>82.3</v>
      </c>
      <c r="G42" s="7">
        <v>116.4</v>
      </c>
    </row>
    <row r="43" spans="1:7" ht="13" x14ac:dyDescent="0.25">
      <c r="A43" s="11">
        <v>20</v>
      </c>
      <c r="B43" s="7"/>
      <c r="C43" s="7"/>
      <c r="D43" s="7"/>
      <c r="E43" s="7">
        <v>51.2</v>
      </c>
      <c r="F43" s="7">
        <v>61.3</v>
      </c>
      <c r="G43" s="7">
        <v>99.4</v>
      </c>
    </row>
    <row r="44" spans="1:7" ht="13" x14ac:dyDescent="0.25">
      <c r="A44" s="11">
        <v>21</v>
      </c>
      <c r="B44" s="7"/>
      <c r="C44" s="7"/>
      <c r="D44" s="7"/>
      <c r="E44" s="7">
        <v>53.4</v>
      </c>
      <c r="F44" s="7">
        <v>74</v>
      </c>
      <c r="G44" s="7">
        <v>107</v>
      </c>
    </row>
    <row r="45" spans="1:7" ht="13" x14ac:dyDescent="0.25">
      <c r="A45" s="11">
        <v>22</v>
      </c>
      <c r="B45" s="7"/>
      <c r="C45" s="7"/>
      <c r="D45" s="7"/>
      <c r="E45" s="7">
        <v>36</v>
      </c>
      <c r="F45" s="7">
        <v>63.4</v>
      </c>
      <c r="G45" s="7">
        <v>113.4</v>
      </c>
    </row>
    <row r="46" spans="1:7" ht="13" x14ac:dyDescent="0.25">
      <c r="A46" s="11">
        <v>23</v>
      </c>
      <c r="B46" s="7"/>
      <c r="C46" s="7"/>
      <c r="D46" s="7"/>
      <c r="E46" s="7">
        <v>58.4</v>
      </c>
      <c r="F46" s="7">
        <v>76</v>
      </c>
      <c r="G46" s="7">
        <v>102</v>
      </c>
    </row>
    <row r="47" spans="1:7" ht="13" x14ac:dyDescent="0.25">
      <c r="A47" s="11">
        <v>24</v>
      </c>
      <c r="B47" s="7"/>
      <c r="C47" s="7"/>
      <c r="D47" s="7"/>
      <c r="E47" s="7">
        <v>46.7</v>
      </c>
      <c r="F47" s="7">
        <v>71.2</v>
      </c>
      <c r="G47" s="7">
        <v>95.1</v>
      </c>
    </row>
    <row r="48" spans="1:7" ht="13" x14ac:dyDescent="0.25">
      <c r="A48" s="11">
        <v>25</v>
      </c>
      <c r="B48" s="7"/>
      <c r="C48" s="7"/>
      <c r="D48" s="7"/>
      <c r="E48" s="7">
        <v>33.200000000000003</v>
      </c>
      <c r="F48" s="7">
        <v>77.3</v>
      </c>
      <c r="G48" s="7">
        <v>113.2</v>
      </c>
    </row>
    <row r="49" spans="1:7" ht="13" x14ac:dyDescent="0.25">
      <c r="A49" s="11">
        <v>26</v>
      </c>
      <c r="B49" s="7"/>
      <c r="C49" s="16"/>
      <c r="D49" s="7"/>
      <c r="E49" s="7">
        <v>37.6</v>
      </c>
      <c r="F49" s="7">
        <v>74.3</v>
      </c>
      <c r="G49" s="7">
        <v>94.8</v>
      </c>
    </row>
    <row r="50" spans="1:7" ht="13" x14ac:dyDescent="0.25">
      <c r="A50" s="11">
        <v>27</v>
      </c>
      <c r="B50" s="7"/>
      <c r="C50" s="16"/>
      <c r="D50" s="7"/>
      <c r="E50" s="7">
        <v>51.9</v>
      </c>
      <c r="F50" s="7">
        <v>73.400000000000006</v>
      </c>
      <c r="G50" s="7">
        <v>101</v>
      </c>
    </row>
    <row r="51" spans="1:7" ht="13" x14ac:dyDescent="0.25">
      <c r="A51" s="11">
        <v>28</v>
      </c>
      <c r="B51" s="7"/>
      <c r="C51" s="17"/>
      <c r="D51" s="7"/>
      <c r="E51" s="7">
        <v>49.1</v>
      </c>
      <c r="F51" s="7">
        <v>72.400000000000006</v>
      </c>
      <c r="G51" s="7">
        <v>99.8</v>
      </c>
    </row>
    <row r="52" spans="1:7" ht="13.5" thickBot="1" x14ac:dyDescent="0.3">
      <c r="A52" s="14">
        <v>29</v>
      </c>
      <c r="B52" s="18"/>
      <c r="C52" s="18"/>
      <c r="D52" s="15"/>
      <c r="E52" s="7">
        <v>26.1</v>
      </c>
      <c r="F52" s="7">
        <v>75.599999999999994</v>
      </c>
      <c r="G52" s="7">
        <v>102.9</v>
      </c>
    </row>
    <row r="53" spans="1:7" ht="13.5" thickTop="1" x14ac:dyDescent="0.25">
      <c r="A53" s="612" t="str">
        <f>'2021.9'!A53:G53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40.5</v>
      </c>
      <c r="C56" s="7">
        <v>57.2</v>
      </c>
      <c r="D56" s="7">
        <v>67.400000000000006</v>
      </c>
      <c r="E56" s="7">
        <v>42.4</v>
      </c>
      <c r="F56" s="7">
        <v>77.7</v>
      </c>
      <c r="G56" s="7">
        <v>97.9</v>
      </c>
    </row>
    <row r="57" spans="1:7" ht="13" x14ac:dyDescent="0.25">
      <c r="A57" s="11">
        <v>2</v>
      </c>
      <c r="B57" s="7">
        <v>35.700000000000003</v>
      </c>
      <c r="C57" s="7">
        <v>46.9</v>
      </c>
      <c r="D57" s="7">
        <v>106.7</v>
      </c>
      <c r="E57" s="7">
        <v>52.1</v>
      </c>
      <c r="F57" s="7">
        <v>85</v>
      </c>
      <c r="G57" s="7">
        <v>109.1</v>
      </c>
    </row>
    <row r="58" spans="1:7" ht="13" x14ac:dyDescent="0.25">
      <c r="A58" s="11">
        <v>3</v>
      </c>
      <c r="B58" s="7">
        <v>21.4</v>
      </c>
      <c r="C58" s="7">
        <v>49.4</v>
      </c>
      <c r="D58" s="7">
        <v>109.4</v>
      </c>
      <c r="E58" s="7">
        <v>58.3</v>
      </c>
      <c r="F58" s="7">
        <v>65.400000000000006</v>
      </c>
      <c r="G58" s="7">
        <v>99.9</v>
      </c>
    </row>
    <row r="59" spans="1:7" ht="13" x14ac:dyDescent="0.25">
      <c r="A59" s="11">
        <v>4</v>
      </c>
      <c r="B59" s="7">
        <v>25.3</v>
      </c>
      <c r="C59" s="7">
        <v>63.9</v>
      </c>
      <c r="D59" s="7">
        <v>71.8</v>
      </c>
      <c r="E59" s="7">
        <v>40</v>
      </c>
      <c r="F59" s="7">
        <v>66.7</v>
      </c>
      <c r="G59" s="7">
        <v>118.9</v>
      </c>
    </row>
    <row r="60" spans="1:7" ht="13" x14ac:dyDescent="0.25">
      <c r="A60" s="11">
        <v>5</v>
      </c>
      <c r="B60" s="7">
        <v>23.9</v>
      </c>
      <c r="C60" s="7">
        <v>49.3</v>
      </c>
      <c r="D60" s="7">
        <v>85.9</v>
      </c>
      <c r="E60" s="7">
        <v>27.8</v>
      </c>
      <c r="F60" s="7">
        <v>74.5</v>
      </c>
      <c r="G60" s="7">
        <v>108.4</v>
      </c>
    </row>
    <row r="61" spans="1:7" ht="13" x14ac:dyDescent="0.25">
      <c r="A61" s="11">
        <v>6</v>
      </c>
      <c r="B61" s="7">
        <v>36.700000000000003</v>
      </c>
      <c r="C61" s="7">
        <v>52.8</v>
      </c>
      <c r="D61" s="7">
        <v>108.4</v>
      </c>
      <c r="E61" s="7">
        <v>42.5</v>
      </c>
      <c r="F61" s="7">
        <v>66.7</v>
      </c>
      <c r="G61" s="7">
        <v>110.6</v>
      </c>
    </row>
    <row r="62" spans="1:7" ht="13" x14ac:dyDescent="0.25">
      <c r="A62" s="11">
        <v>7</v>
      </c>
      <c r="B62" s="7">
        <v>26.8</v>
      </c>
      <c r="C62" s="7">
        <v>54.5</v>
      </c>
      <c r="D62" s="7">
        <v>89.4</v>
      </c>
      <c r="E62" s="7">
        <v>47.5</v>
      </c>
      <c r="F62" s="7">
        <v>68.3</v>
      </c>
      <c r="G62" s="7">
        <v>117.7</v>
      </c>
    </row>
    <row r="63" spans="1:7" ht="13" x14ac:dyDescent="0.25">
      <c r="A63" s="11">
        <v>8</v>
      </c>
      <c r="B63" s="7">
        <v>40.1</v>
      </c>
      <c r="C63" s="7">
        <v>63.7</v>
      </c>
      <c r="D63" s="7">
        <v>81.5</v>
      </c>
      <c r="E63" s="7"/>
      <c r="F63" s="7"/>
      <c r="G63" s="7"/>
    </row>
    <row r="64" spans="1:7" ht="13" x14ac:dyDescent="0.25">
      <c r="A64" s="11">
        <v>9</v>
      </c>
      <c r="B64" s="7">
        <v>38.4</v>
      </c>
      <c r="C64" s="7">
        <v>51.2</v>
      </c>
      <c r="D64" s="7">
        <v>89.2</v>
      </c>
      <c r="E64" s="7"/>
      <c r="F64" s="7"/>
      <c r="G64" s="7"/>
    </row>
    <row r="65" spans="1:7" ht="13" x14ac:dyDescent="0.25">
      <c r="A65" s="11">
        <v>10</v>
      </c>
      <c r="B65" s="7">
        <v>24.5</v>
      </c>
      <c r="C65" s="7">
        <v>50.3</v>
      </c>
      <c r="D65" s="7">
        <v>88</v>
      </c>
      <c r="E65" s="7"/>
      <c r="F65" s="7"/>
      <c r="G65" s="7"/>
    </row>
    <row r="66" spans="1:7" ht="13" x14ac:dyDescent="0.25">
      <c r="A66" s="11">
        <v>11</v>
      </c>
      <c r="B66" s="7">
        <v>29.9</v>
      </c>
      <c r="C66" s="7">
        <v>51.9</v>
      </c>
      <c r="D66" s="7">
        <v>109.5</v>
      </c>
      <c r="E66" s="7"/>
      <c r="F66" s="7"/>
      <c r="G66" s="7"/>
    </row>
    <row r="67" spans="1:7" ht="13.5" thickBot="1" x14ac:dyDescent="0.3">
      <c r="A67" s="14">
        <v>12</v>
      </c>
      <c r="B67" s="7">
        <v>31.7</v>
      </c>
      <c r="C67" s="7">
        <v>56.3</v>
      </c>
      <c r="D67" s="7">
        <v>68.8</v>
      </c>
      <c r="E67" s="15"/>
      <c r="F67" s="15"/>
      <c r="G67" s="15"/>
    </row>
    <row r="68" spans="1:7" ht="13.5" thickTop="1" x14ac:dyDescent="0.25">
      <c r="A68" s="612" t="str">
        <f>'2021.9'!A68:G68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28.5</v>
      </c>
      <c r="C71" s="7">
        <v>57.2</v>
      </c>
      <c r="D71" s="7">
        <v>91.3</v>
      </c>
      <c r="E71" s="7"/>
      <c r="F71" s="7"/>
      <c r="G71" s="7"/>
    </row>
    <row r="72" spans="1:7" ht="13" x14ac:dyDescent="0.25">
      <c r="A72" s="11">
        <v>2</v>
      </c>
      <c r="B72" s="7">
        <v>22.1</v>
      </c>
      <c r="C72" s="7">
        <v>53.9</v>
      </c>
      <c r="D72" s="7">
        <v>90.7</v>
      </c>
      <c r="E72" s="6"/>
      <c r="F72" s="6"/>
      <c r="G72" s="7"/>
    </row>
    <row r="73" spans="1:7" ht="13" x14ac:dyDescent="0.25">
      <c r="A73" s="11">
        <v>3</v>
      </c>
      <c r="B73" s="7">
        <v>20.2</v>
      </c>
      <c r="C73" s="7">
        <v>51.9</v>
      </c>
      <c r="D73" s="7">
        <v>96.1</v>
      </c>
      <c r="E73" s="6"/>
      <c r="F73" s="6"/>
      <c r="G73" s="6"/>
    </row>
    <row r="74" spans="1:7" ht="13" x14ac:dyDescent="0.25">
      <c r="A74" s="11">
        <v>4</v>
      </c>
      <c r="B74" s="7">
        <v>39.9</v>
      </c>
      <c r="C74" s="7">
        <v>63.5</v>
      </c>
      <c r="D74" s="7">
        <v>66.7</v>
      </c>
      <c r="E74" s="6"/>
      <c r="F74" s="6"/>
      <c r="G74" s="6"/>
    </row>
    <row r="75" spans="1:7" ht="13" x14ac:dyDescent="0.25">
      <c r="A75" s="11">
        <v>5</v>
      </c>
      <c r="B75" s="7">
        <v>37.5</v>
      </c>
      <c r="C75" s="7">
        <v>54.8</v>
      </c>
      <c r="D75" s="7">
        <v>105.3</v>
      </c>
      <c r="E75" s="6"/>
      <c r="F75" s="6"/>
      <c r="G75" s="6"/>
    </row>
    <row r="76" spans="1:7" ht="13" x14ac:dyDescent="0.25">
      <c r="A76" s="11">
        <v>6</v>
      </c>
      <c r="B76" s="7">
        <v>40.200000000000003</v>
      </c>
      <c r="C76" s="7">
        <v>50.4</v>
      </c>
      <c r="D76" s="7">
        <v>85</v>
      </c>
      <c r="E76" s="6"/>
      <c r="F76" s="6"/>
      <c r="G76" s="6"/>
    </row>
    <row r="77" spans="1:7" ht="13" x14ac:dyDescent="0.25">
      <c r="A77" s="11">
        <v>7</v>
      </c>
      <c r="B77" s="7">
        <v>37.200000000000003</v>
      </c>
      <c r="C77" s="7">
        <v>58</v>
      </c>
      <c r="D77" s="7">
        <v>72.7</v>
      </c>
      <c r="E77" s="6"/>
      <c r="F77" s="6"/>
      <c r="G77" s="6"/>
    </row>
    <row r="78" spans="1:7" ht="13" x14ac:dyDescent="0.25">
      <c r="A78" s="11">
        <v>8</v>
      </c>
      <c r="B78" s="7">
        <v>44.9</v>
      </c>
      <c r="C78" s="7">
        <v>46.9</v>
      </c>
      <c r="D78" s="7">
        <v>72.2</v>
      </c>
      <c r="E78" s="6"/>
      <c r="F78" s="6"/>
      <c r="G78" s="6"/>
    </row>
    <row r="79" spans="1:7" ht="13" x14ac:dyDescent="0.25">
      <c r="A79" s="11">
        <v>9</v>
      </c>
      <c r="B79" s="7">
        <v>39.6</v>
      </c>
      <c r="C79" s="7">
        <v>61.9</v>
      </c>
      <c r="D79" s="7">
        <v>87.1</v>
      </c>
      <c r="E79" s="6"/>
      <c r="F79" s="6"/>
      <c r="G79" s="6"/>
    </row>
    <row r="80" spans="1:7" ht="13" x14ac:dyDescent="0.25">
      <c r="A80" s="11">
        <v>10</v>
      </c>
      <c r="B80" s="7">
        <v>21.2</v>
      </c>
      <c r="C80" s="7">
        <v>47.5</v>
      </c>
      <c r="D80" s="7">
        <v>101</v>
      </c>
      <c r="E80" s="6"/>
      <c r="F80" s="6"/>
      <c r="G80" s="6"/>
    </row>
    <row r="81" spans="1:7" ht="13" x14ac:dyDescent="0.25">
      <c r="A81" s="11">
        <v>11</v>
      </c>
      <c r="B81" s="7">
        <v>32.299999999999997</v>
      </c>
      <c r="C81" s="7">
        <v>50.8</v>
      </c>
      <c r="D81" s="7">
        <v>82.1</v>
      </c>
      <c r="E81" s="6"/>
      <c r="F81" s="6"/>
      <c r="G81" s="6"/>
    </row>
    <row r="82" spans="1:7" ht="13" x14ac:dyDescent="0.25">
      <c r="A82" s="11">
        <v>12</v>
      </c>
      <c r="B82" s="7">
        <v>39.299999999999997</v>
      </c>
      <c r="C82" s="7">
        <v>57</v>
      </c>
      <c r="D82" s="7">
        <v>107.2</v>
      </c>
      <c r="E82" s="6"/>
      <c r="F82" s="6"/>
      <c r="G82" s="6"/>
    </row>
    <row r="83" spans="1:7" ht="13" x14ac:dyDescent="0.25">
      <c r="A83" s="11">
        <v>13</v>
      </c>
      <c r="B83" s="7">
        <v>20.5</v>
      </c>
      <c r="C83" s="7">
        <v>58.3</v>
      </c>
      <c r="D83" s="7">
        <v>96.6</v>
      </c>
      <c r="E83" s="6"/>
      <c r="F83" s="6"/>
      <c r="G83" s="6"/>
    </row>
    <row r="84" spans="1:7" ht="13" x14ac:dyDescent="0.25">
      <c r="A84" s="11">
        <v>14</v>
      </c>
      <c r="B84" s="7">
        <v>24.4</v>
      </c>
      <c r="C84" s="7">
        <v>56.8</v>
      </c>
      <c r="D84" s="7">
        <v>89.5</v>
      </c>
      <c r="E84" s="6"/>
      <c r="F84" s="6"/>
      <c r="G84" s="6"/>
    </row>
    <row r="85" spans="1:7" ht="13" x14ac:dyDescent="0.25">
      <c r="A85" s="11">
        <v>15</v>
      </c>
      <c r="B85" s="7">
        <v>36.700000000000003</v>
      </c>
      <c r="C85" s="7">
        <v>58.9</v>
      </c>
      <c r="D85" s="7">
        <v>100.4</v>
      </c>
      <c r="E85" s="6"/>
      <c r="F85" s="6"/>
      <c r="G85" s="6"/>
    </row>
    <row r="86" spans="1:7" ht="13" x14ac:dyDescent="0.25">
      <c r="A86" s="11">
        <v>16</v>
      </c>
      <c r="B86" s="7">
        <v>35.6</v>
      </c>
      <c r="C86" s="7">
        <v>51.4</v>
      </c>
      <c r="D86" s="7">
        <v>71.5</v>
      </c>
      <c r="E86" s="6"/>
      <c r="F86" s="6"/>
      <c r="G86" s="6"/>
    </row>
    <row r="87" spans="1:7" ht="13" x14ac:dyDescent="0.25">
      <c r="A87" s="11">
        <v>17</v>
      </c>
      <c r="B87" s="7">
        <v>24.2</v>
      </c>
      <c r="C87" s="7">
        <v>45.5</v>
      </c>
      <c r="D87" s="7">
        <v>104.2</v>
      </c>
      <c r="E87" s="6"/>
      <c r="F87" s="6"/>
      <c r="G87" s="6"/>
    </row>
    <row r="88" spans="1:7" ht="13" x14ac:dyDescent="0.25">
      <c r="A88" s="11">
        <v>18</v>
      </c>
      <c r="B88" s="7">
        <v>23.5</v>
      </c>
      <c r="C88" s="7">
        <v>58.6</v>
      </c>
      <c r="D88" s="7">
        <v>96.5</v>
      </c>
      <c r="E88" s="6"/>
      <c r="F88" s="6"/>
      <c r="G88" s="6"/>
    </row>
    <row r="89" spans="1:7" ht="13" x14ac:dyDescent="0.25">
      <c r="A89" s="11">
        <v>19</v>
      </c>
      <c r="B89" s="7">
        <v>30.5</v>
      </c>
      <c r="C89" s="7">
        <v>50.6</v>
      </c>
      <c r="D89" s="7">
        <v>75.400000000000006</v>
      </c>
      <c r="E89" s="6"/>
      <c r="F89" s="6"/>
      <c r="G89" s="6"/>
    </row>
    <row r="90" spans="1:7" ht="13" x14ac:dyDescent="0.25">
      <c r="A90" s="11">
        <v>20</v>
      </c>
      <c r="B90" s="7">
        <v>26.6</v>
      </c>
      <c r="C90" s="7">
        <v>61.2</v>
      </c>
      <c r="D90" s="7">
        <v>109.3</v>
      </c>
      <c r="E90" s="6"/>
      <c r="F90" s="6"/>
      <c r="G90" s="6"/>
    </row>
    <row r="91" spans="1:7" ht="13" x14ac:dyDescent="0.25">
      <c r="A91" s="11">
        <v>21</v>
      </c>
      <c r="B91" s="7">
        <v>35.1</v>
      </c>
      <c r="C91" s="7">
        <v>56.3</v>
      </c>
      <c r="D91" s="7">
        <v>101.8</v>
      </c>
      <c r="E91" s="6"/>
      <c r="F91" s="6"/>
      <c r="G91" s="6"/>
    </row>
    <row r="92" spans="1:7" ht="13" x14ac:dyDescent="0.25">
      <c r="A92" s="11">
        <v>22</v>
      </c>
      <c r="B92" s="7">
        <v>22.1</v>
      </c>
      <c r="C92" s="7">
        <v>46</v>
      </c>
      <c r="D92" s="7">
        <v>66.3</v>
      </c>
      <c r="E92" s="6"/>
      <c r="F92" s="6"/>
      <c r="G92" s="6"/>
    </row>
    <row r="93" spans="1:7" ht="13" x14ac:dyDescent="0.25">
      <c r="A93" s="11">
        <v>23</v>
      </c>
      <c r="B93" s="7">
        <v>34.4</v>
      </c>
      <c r="C93" s="7">
        <v>63.6</v>
      </c>
      <c r="D93" s="7">
        <v>96.3</v>
      </c>
      <c r="E93" s="6"/>
      <c r="F93" s="6"/>
      <c r="G93" s="6"/>
    </row>
    <row r="94" spans="1:7" ht="13" x14ac:dyDescent="0.25">
      <c r="A94" s="11">
        <v>24</v>
      </c>
      <c r="B94" s="7">
        <v>20.7</v>
      </c>
      <c r="C94" s="7">
        <v>63.8</v>
      </c>
      <c r="D94" s="7">
        <v>76.400000000000006</v>
      </c>
      <c r="E94" s="6"/>
      <c r="F94" s="6"/>
      <c r="G94" s="6"/>
    </row>
    <row r="95" spans="1:7" ht="13" x14ac:dyDescent="0.25">
      <c r="A95" s="11">
        <v>25</v>
      </c>
      <c r="B95" s="7">
        <v>41.8</v>
      </c>
      <c r="C95" s="7">
        <v>51.5</v>
      </c>
      <c r="D95" s="7">
        <v>65.8</v>
      </c>
      <c r="E95" s="6"/>
      <c r="F95" s="6"/>
      <c r="G95" s="6"/>
    </row>
    <row r="96" spans="1:7" ht="13" x14ac:dyDescent="0.25">
      <c r="A96" s="11">
        <v>26</v>
      </c>
      <c r="B96" s="7">
        <v>38.799999999999997</v>
      </c>
      <c r="C96" s="7">
        <v>62.1</v>
      </c>
      <c r="D96" s="7">
        <v>85.5</v>
      </c>
      <c r="E96" s="17"/>
      <c r="F96" s="17"/>
      <c r="G96" s="17"/>
    </row>
    <row r="97" spans="1:7" ht="13" x14ac:dyDescent="0.25">
      <c r="A97" s="11">
        <v>27</v>
      </c>
      <c r="B97" s="7">
        <v>34.700000000000003</v>
      </c>
      <c r="C97" s="7">
        <v>47.7</v>
      </c>
      <c r="D97" s="7">
        <v>107.2</v>
      </c>
      <c r="E97" s="17"/>
      <c r="F97" s="17"/>
      <c r="G97" s="17"/>
    </row>
    <row r="98" spans="1:7" ht="13" x14ac:dyDescent="0.25">
      <c r="A98" s="11">
        <v>28</v>
      </c>
      <c r="B98" s="7">
        <v>30.1</v>
      </c>
      <c r="C98" s="7">
        <v>56.4</v>
      </c>
      <c r="D98" s="7">
        <v>95.3</v>
      </c>
      <c r="E98" s="17"/>
      <c r="F98" s="17"/>
      <c r="G98" s="17"/>
    </row>
    <row r="99" spans="1:7" ht="13" x14ac:dyDescent="0.25">
      <c r="A99" s="11">
        <v>29</v>
      </c>
      <c r="B99" s="7">
        <v>29</v>
      </c>
      <c r="C99" s="7">
        <v>60.1</v>
      </c>
      <c r="D99" s="7">
        <v>106.4</v>
      </c>
      <c r="E99" s="6"/>
      <c r="F99" s="6"/>
      <c r="G99" s="6"/>
    </row>
    <row r="100" spans="1:7" ht="13" x14ac:dyDescent="0.25">
      <c r="A100" s="11">
        <v>30</v>
      </c>
      <c r="B100" s="7">
        <v>28.9</v>
      </c>
      <c r="C100" s="7">
        <v>58</v>
      </c>
      <c r="D100" s="7">
        <v>86.9</v>
      </c>
      <c r="E100" s="2"/>
      <c r="F100" s="2"/>
      <c r="G100" s="2"/>
    </row>
    <row r="101" spans="1:7" ht="13" x14ac:dyDescent="0.25">
      <c r="A101" s="11">
        <v>31</v>
      </c>
      <c r="B101" s="7">
        <v>24.4</v>
      </c>
      <c r="C101" s="7">
        <v>64.5</v>
      </c>
      <c r="D101" s="7">
        <v>73.599999999999994</v>
      </c>
      <c r="E101" s="2"/>
      <c r="F101" s="2"/>
      <c r="G101" s="2"/>
    </row>
    <row r="102" spans="1:7" ht="13" x14ac:dyDescent="0.25">
      <c r="A102" s="11">
        <v>32</v>
      </c>
      <c r="B102" s="7">
        <v>37.799999999999997</v>
      </c>
      <c r="C102" s="7">
        <v>63.9</v>
      </c>
      <c r="D102" s="7">
        <v>84.5</v>
      </c>
      <c r="E102" s="2"/>
      <c r="F102" s="2"/>
      <c r="G102" s="2"/>
    </row>
    <row r="103" spans="1:7" ht="13" x14ac:dyDescent="0.25">
      <c r="A103" s="11">
        <v>33</v>
      </c>
      <c r="B103" s="7">
        <v>24.3</v>
      </c>
      <c r="C103" s="7">
        <v>54.6</v>
      </c>
      <c r="D103" s="7">
        <v>100.1</v>
      </c>
      <c r="E103" s="2"/>
      <c r="F103" s="2"/>
      <c r="G103" s="2"/>
    </row>
    <row r="104" spans="1:7" ht="13" x14ac:dyDescent="0.25">
      <c r="A104" s="11">
        <v>34</v>
      </c>
      <c r="B104" s="7">
        <v>38.1</v>
      </c>
      <c r="C104" s="7">
        <v>63.6</v>
      </c>
      <c r="D104" s="7">
        <v>91.5</v>
      </c>
      <c r="E104" s="2"/>
      <c r="F104" s="2"/>
      <c r="G104" s="2"/>
    </row>
    <row r="105" spans="1:7" ht="13" x14ac:dyDescent="0.25">
      <c r="A105" s="11">
        <v>35</v>
      </c>
      <c r="B105" s="7">
        <v>20.399999999999999</v>
      </c>
      <c r="C105" s="7">
        <v>63.3</v>
      </c>
      <c r="D105" s="7">
        <v>84.6</v>
      </c>
      <c r="E105" s="2"/>
      <c r="F105" s="2"/>
      <c r="G105" s="2"/>
    </row>
    <row r="106" spans="1:7" ht="13" x14ac:dyDescent="0.25">
      <c r="A106" s="11">
        <v>36</v>
      </c>
      <c r="B106" s="7">
        <v>36</v>
      </c>
      <c r="C106" s="7">
        <v>48.8</v>
      </c>
      <c r="D106" s="7">
        <v>106.3</v>
      </c>
      <c r="E106" s="2"/>
      <c r="F106" s="2"/>
      <c r="G106" s="2"/>
    </row>
    <row r="107" spans="1:7" ht="13" x14ac:dyDescent="0.25">
      <c r="A107" s="11">
        <v>37</v>
      </c>
      <c r="B107" s="7">
        <v>37.4</v>
      </c>
      <c r="C107" s="7">
        <v>51</v>
      </c>
      <c r="D107" s="7">
        <v>85.8</v>
      </c>
      <c r="E107" s="2"/>
      <c r="F107" s="2"/>
      <c r="G107" s="2"/>
    </row>
    <row r="108" spans="1:7" ht="13" x14ac:dyDescent="0.25">
      <c r="A108" s="11">
        <v>38</v>
      </c>
      <c r="B108" s="7">
        <v>35.9</v>
      </c>
      <c r="C108" s="7">
        <v>63.3</v>
      </c>
      <c r="D108" s="7">
        <v>81.400000000000006</v>
      </c>
      <c r="E108" s="2"/>
      <c r="F108" s="2"/>
      <c r="G108" s="2"/>
    </row>
    <row r="109" spans="1:7" ht="13" x14ac:dyDescent="0.25">
      <c r="A109" s="11">
        <v>39</v>
      </c>
      <c r="B109" s="7">
        <v>33.1</v>
      </c>
      <c r="C109" s="7">
        <v>55.6</v>
      </c>
      <c r="D109" s="7">
        <v>96.4</v>
      </c>
      <c r="E109" s="2"/>
      <c r="F109" s="2"/>
      <c r="G109" s="2"/>
    </row>
    <row r="110" spans="1:7" ht="13" x14ac:dyDescent="0.25">
      <c r="A110" s="11">
        <v>40</v>
      </c>
      <c r="B110" s="7">
        <v>39.4</v>
      </c>
      <c r="C110" s="7">
        <v>49.2</v>
      </c>
      <c r="D110" s="7">
        <v>74.400000000000006</v>
      </c>
      <c r="E110" s="2"/>
      <c r="F110" s="2"/>
      <c r="G110" s="2"/>
    </row>
    <row r="111" spans="1:7" ht="13" x14ac:dyDescent="0.25">
      <c r="A111" s="11">
        <v>41</v>
      </c>
      <c r="B111" s="7">
        <v>37.200000000000003</v>
      </c>
      <c r="C111" s="7">
        <v>46.6</v>
      </c>
      <c r="D111" s="7">
        <v>74.8</v>
      </c>
      <c r="E111" s="2"/>
      <c r="F111" s="2"/>
      <c r="G111" s="2"/>
    </row>
    <row r="112" spans="1:7" ht="13" x14ac:dyDescent="0.25">
      <c r="A112" s="11">
        <v>42</v>
      </c>
      <c r="B112" s="7">
        <v>31</v>
      </c>
      <c r="C112" s="7">
        <v>62.8</v>
      </c>
      <c r="D112" s="7">
        <v>100.9</v>
      </c>
      <c r="E112" s="2"/>
      <c r="F112" s="2"/>
      <c r="G112" s="2"/>
    </row>
    <row r="113" spans="1:7" ht="13" x14ac:dyDescent="0.25">
      <c r="A113" s="11">
        <v>43</v>
      </c>
      <c r="B113" s="7">
        <v>38.9</v>
      </c>
      <c r="C113" s="7">
        <v>48</v>
      </c>
      <c r="D113" s="7">
        <v>71.400000000000006</v>
      </c>
      <c r="E113" s="2"/>
      <c r="F113" s="2"/>
      <c r="G113" s="2"/>
    </row>
    <row r="114" spans="1:7" ht="13" x14ac:dyDescent="0.25">
      <c r="A114" s="11">
        <v>44</v>
      </c>
      <c r="B114" s="7">
        <v>35.299999999999997</v>
      </c>
      <c r="C114" s="7">
        <v>64.2</v>
      </c>
      <c r="D114" s="7">
        <v>89.3</v>
      </c>
      <c r="E114" s="2"/>
      <c r="F114" s="2"/>
      <c r="G114" s="2"/>
    </row>
    <row r="115" spans="1:7" ht="13" x14ac:dyDescent="0.25">
      <c r="A115" s="11">
        <v>45</v>
      </c>
      <c r="B115" s="7">
        <v>37.799999999999997</v>
      </c>
      <c r="C115" s="7">
        <v>48.6</v>
      </c>
      <c r="D115" s="7">
        <v>81</v>
      </c>
      <c r="E115" s="2"/>
      <c r="F115" s="2"/>
      <c r="G115" s="2"/>
    </row>
    <row r="116" spans="1:7" ht="13" x14ac:dyDescent="0.25">
      <c r="A116" s="11">
        <v>46</v>
      </c>
      <c r="B116" s="7">
        <v>27.2</v>
      </c>
      <c r="C116" s="7">
        <v>61.8</v>
      </c>
      <c r="D116" s="7">
        <v>72.599999999999994</v>
      </c>
      <c r="E116" s="2"/>
      <c r="F116" s="2"/>
      <c r="G116" s="2"/>
    </row>
    <row r="117" spans="1:7" ht="13" x14ac:dyDescent="0.25">
      <c r="A117" s="11">
        <v>47</v>
      </c>
      <c r="B117" s="7">
        <v>25.9</v>
      </c>
      <c r="C117" s="7">
        <v>57.6</v>
      </c>
      <c r="D117" s="7">
        <v>65.7</v>
      </c>
      <c r="E117" s="2"/>
      <c r="F117" s="2"/>
      <c r="G117" s="2"/>
    </row>
    <row r="118" spans="1:7" ht="13" x14ac:dyDescent="0.25">
      <c r="A118" s="11">
        <v>48</v>
      </c>
      <c r="B118" s="7">
        <v>26.9</v>
      </c>
      <c r="C118" s="7">
        <v>64.099999999999994</v>
      </c>
      <c r="D118" s="7">
        <v>84.8</v>
      </c>
      <c r="E118" s="2"/>
      <c r="F118" s="2"/>
      <c r="G118" s="2"/>
    </row>
    <row r="119" spans="1:7" ht="13" x14ac:dyDescent="0.25">
      <c r="A119" s="11">
        <v>49</v>
      </c>
      <c r="B119" s="7">
        <v>38.799999999999997</v>
      </c>
      <c r="C119" s="7">
        <v>50.8</v>
      </c>
      <c r="D119" s="7">
        <v>72.900000000000006</v>
      </c>
      <c r="E119" s="2"/>
      <c r="F119" s="2"/>
      <c r="G119" s="2"/>
    </row>
    <row r="120" spans="1:7" ht="13" x14ac:dyDescent="0.25">
      <c r="A120" s="11">
        <v>50</v>
      </c>
      <c r="B120" s="7">
        <v>24.7</v>
      </c>
      <c r="C120" s="7">
        <v>47.8</v>
      </c>
      <c r="D120" s="7">
        <v>82.5</v>
      </c>
      <c r="E120" s="2"/>
      <c r="F120" s="2"/>
      <c r="G120" s="2"/>
    </row>
    <row r="121" spans="1:7" ht="13" x14ac:dyDescent="0.25">
      <c r="A121" s="11">
        <v>51</v>
      </c>
      <c r="B121" s="7">
        <v>40.700000000000003</v>
      </c>
      <c r="C121" s="7">
        <v>51.2</v>
      </c>
      <c r="D121" s="7">
        <v>105.9</v>
      </c>
      <c r="E121" s="2"/>
      <c r="F121" s="2"/>
      <c r="G121" s="2"/>
    </row>
    <row r="122" spans="1:7" ht="13" x14ac:dyDescent="0.25">
      <c r="A122" s="11">
        <v>52</v>
      </c>
      <c r="B122" s="7">
        <v>20.6</v>
      </c>
      <c r="C122" s="7">
        <v>45.8</v>
      </c>
      <c r="D122" s="7">
        <v>97.9</v>
      </c>
      <c r="E122" s="2"/>
      <c r="F122" s="2"/>
      <c r="G122" s="2"/>
    </row>
    <row r="123" spans="1:7" ht="13" x14ac:dyDescent="0.25">
      <c r="A123" s="11">
        <v>53</v>
      </c>
      <c r="B123" s="7">
        <v>43.9</v>
      </c>
      <c r="C123" s="7">
        <v>50.5</v>
      </c>
      <c r="D123" s="7">
        <v>83.1</v>
      </c>
      <c r="E123" s="2"/>
      <c r="F123" s="2"/>
      <c r="G123" s="2"/>
    </row>
    <row r="124" spans="1:7" ht="13" x14ac:dyDescent="0.25">
      <c r="A124" s="11">
        <v>54</v>
      </c>
      <c r="B124" s="7">
        <v>23.2</v>
      </c>
      <c r="C124" s="7">
        <v>64</v>
      </c>
      <c r="D124" s="7">
        <v>99</v>
      </c>
      <c r="E124" s="2"/>
      <c r="F124" s="2"/>
      <c r="G124" s="2"/>
    </row>
    <row r="125" spans="1:7" ht="13" x14ac:dyDescent="0.25">
      <c r="A125" s="11">
        <v>55</v>
      </c>
      <c r="B125" s="7">
        <v>35</v>
      </c>
      <c r="C125" s="7">
        <v>58.5</v>
      </c>
      <c r="D125" s="7">
        <v>79</v>
      </c>
      <c r="E125" s="2"/>
      <c r="F125" s="2"/>
      <c r="G125" s="2"/>
    </row>
    <row r="126" spans="1:7" ht="13" x14ac:dyDescent="0.25">
      <c r="A126" s="11">
        <v>56</v>
      </c>
      <c r="B126" s="7">
        <v>34.700000000000003</v>
      </c>
      <c r="C126" s="7">
        <v>59.8</v>
      </c>
      <c r="D126" s="7">
        <v>87.2</v>
      </c>
      <c r="E126" s="2"/>
      <c r="F126" s="2"/>
      <c r="G126" s="2"/>
    </row>
    <row r="127" spans="1:7" ht="13" x14ac:dyDescent="0.25">
      <c r="A127" s="11">
        <v>57</v>
      </c>
      <c r="B127" s="7">
        <v>36.1</v>
      </c>
      <c r="C127" s="7">
        <v>56</v>
      </c>
      <c r="D127" s="7">
        <v>67.7</v>
      </c>
      <c r="E127" s="2"/>
      <c r="F127" s="2"/>
      <c r="G127" s="2"/>
    </row>
    <row r="128" spans="1:7" ht="13" x14ac:dyDescent="0.25">
      <c r="A128" s="11">
        <v>58</v>
      </c>
      <c r="B128" s="7">
        <v>30.5</v>
      </c>
      <c r="C128" s="7">
        <v>64.5</v>
      </c>
      <c r="D128" s="7">
        <v>82.2</v>
      </c>
      <c r="E128" s="2"/>
      <c r="F128" s="2"/>
      <c r="G128" s="2"/>
    </row>
    <row r="129" spans="1:7" ht="13" x14ac:dyDescent="0.25">
      <c r="A129" s="11">
        <v>59</v>
      </c>
      <c r="B129" s="7">
        <v>25.5</v>
      </c>
      <c r="C129" s="7">
        <v>64.099999999999994</v>
      </c>
      <c r="D129" s="7">
        <v>95.6</v>
      </c>
      <c r="E129" s="2"/>
      <c r="F129" s="2"/>
      <c r="G129" s="2"/>
    </row>
    <row r="130" spans="1:7" ht="13" x14ac:dyDescent="0.25">
      <c r="A130" s="11">
        <v>60</v>
      </c>
      <c r="B130" s="7">
        <v>42</v>
      </c>
      <c r="C130" s="7">
        <v>53.4</v>
      </c>
      <c r="D130" s="7">
        <v>98.1</v>
      </c>
      <c r="E130" s="2"/>
      <c r="F130" s="2"/>
      <c r="G130" s="2"/>
    </row>
    <row r="131" spans="1:7" ht="13" x14ac:dyDescent="0.25">
      <c r="A131" s="11">
        <v>61</v>
      </c>
      <c r="B131" s="7">
        <v>22.3</v>
      </c>
      <c r="C131" s="7">
        <v>51.7</v>
      </c>
      <c r="D131" s="7">
        <v>75.400000000000006</v>
      </c>
      <c r="E131" s="2"/>
      <c r="F131" s="2"/>
      <c r="G131" s="2"/>
    </row>
    <row r="132" spans="1:7" ht="13" x14ac:dyDescent="0.25">
      <c r="A132" s="11">
        <v>62</v>
      </c>
      <c r="B132" s="7">
        <v>35.1</v>
      </c>
      <c r="C132" s="7">
        <v>48.8</v>
      </c>
      <c r="D132" s="7">
        <v>85.4</v>
      </c>
      <c r="E132" s="2"/>
      <c r="F132" s="2"/>
      <c r="G132" s="2"/>
    </row>
    <row r="133" spans="1:7" ht="13.5" thickBot="1" x14ac:dyDescent="0.3">
      <c r="A133" s="14">
        <v>63</v>
      </c>
      <c r="B133" s="7">
        <v>22.7</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11" t="str">
        <f>A2</f>
        <v>Siyang Aiyuan Farm</v>
      </c>
      <c r="B138" s="13">
        <f>ROUNDDOWN(AVERAGE(B5:D13),1)</f>
        <v>60.2</v>
      </c>
      <c r="C138" s="13">
        <f>ROUNDDOWN(AVERAGE(E5:G20),1)</f>
        <v>72.5</v>
      </c>
      <c r="D138" s="11">
        <f>'2021.9'!D138</f>
        <v>8438</v>
      </c>
      <c r="E138" s="11">
        <v>15945</v>
      </c>
      <c r="F138" s="11">
        <f>B138*D138</f>
        <v>507967.60000000003</v>
      </c>
      <c r="G138" s="11">
        <f>C138*E138</f>
        <v>1156012.5</v>
      </c>
    </row>
    <row r="139" spans="1:7" ht="13" x14ac:dyDescent="0.25">
      <c r="A139" s="11" t="str">
        <f>A21</f>
        <v>Dongtai Jianggang Farm</v>
      </c>
      <c r="B139" s="13">
        <f>ROUNDDOWN(AVERAGE(B24:D33),1)</f>
        <v>59.4</v>
      </c>
      <c r="C139" s="13">
        <f>ROUNDDOWN(AVERAGE(E24:G52),1)</f>
        <v>73.5</v>
      </c>
      <c r="D139" s="11">
        <f>'2021.9'!D139</f>
        <v>9440</v>
      </c>
      <c r="E139" s="11">
        <v>29496</v>
      </c>
      <c r="F139" s="11">
        <f t="shared" ref="F139:G141" si="0">B139*D139</f>
        <v>560736</v>
      </c>
      <c r="G139" s="11">
        <f t="shared" si="0"/>
        <v>2167956</v>
      </c>
    </row>
    <row r="140" spans="1:7" ht="13" x14ac:dyDescent="0.25">
      <c r="A140" s="11" t="str">
        <f>A53</f>
        <v>Sheyang Linhai Farm</v>
      </c>
      <c r="B140" s="13">
        <f>ROUNDDOWN(AVERAGE(B56:D67),1)</f>
        <v>58.2</v>
      </c>
      <c r="C140" s="13">
        <f>ROUNDDOWN(AVERAGE(E56:G62),1)</f>
        <v>75.099999999999994</v>
      </c>
      <c r="D140" s="11">
        <f>'2021.9'!D140</f>
        <v>11825</v>
      </c>
      <c r="E140" s="11">
        <v>6418</v>
      </c>
      <c r="F140" s="11">
        <f t="shared" si="0"/>
        <v>688215</v>
      </c>
      <c r="G140" s="11">
        <f t="shared" si="0"/>
        <v>481991.8</v>
      </c>
    </row>
    <row r="141" spans="1:7" ht="13" x14ac:dyDescent="0.25">
      <c r="A141" s="11" t="str">
        <f>A68</f>
        <v>Siyang Nanliuji</v>
      </c>
      <c r="B141" s="13">
        <f>ROUNDDOWN(AVERAGE(B71:D133),1)</f>
        <v>58.1</v>
      </c>
      <c r="C141" s="11">
        <f>ROUNDDOWN(AVERAGE(0),1)</f>
        <v>0</v>
      </c>
      <c r="D141" s="11">
        <f>'2021.9'!D141</f>
        <v>65005</v>
      </c>
      <c r="E141" s="11">
        <v>0</v>
      </c>
      <c r="F141" s="11">
        <f t="shared" si="0"/>
        <v>3776790.5</v>
      </c>
      <c r="G141" s="11">
        <f t="shared" si="0"/>
        <v>0</v>
      </c>
    </row>
    <row r="142" spans="1:7" ht="13" x14ac:dyDescent="0.25">
      <c r="A142" s="613" t="s">
        <v>154</v>
      </c>
      <c r="B142" s="617"/>
      <c r="C142" s="614"/>
      <c r="D142" s="11">
        <f>SUM(D138:D141)</f>
        <v>94708</v>
      </c>
      <c r="E142" s="11">
        <f>SUM(E138:E141)</f>
        <v>51859</v>
      </c>
      <c r="F142" s="11">
        <f>SUM(F138:F141)</f>
        <v>5533709.0999999996</v>
      </c>
      <c r="G142" s="11">
        <f>SUM(G138:G141)</f>
        <v>3805960.3</v>
      </c>
    </row>
    <row r="144" spans="1:7" ht="13" x14ac:dyDescent="0.25">
      <c r="C144" s="613" t="s">
        <v>155</v>
      </c>
      <c r="D144" s="614"/>
    </row>
    <row r="145" spans="3:4" ht="13" x14ac:dyDescent="0.25">
      <c r="C145" s="11" t="s">
        <v>152</v>
      </c>
      <c r="D145" s="11" t="s">
        <v>153</v>
      </c>
    </row>
    <row r="146" spans="3:4" ht="13" x14ac:dyDescent="0.25">
      <c r="C146" s="12">
        <f>ROUNDDOWN(F142/D142,1)</f>
        <v>58.4</v>
      </c>
      <c r="D146" s="12">
        <f>ROUNDDOWN(G142/E142,1)</f>
        <v>73.3</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146"/>
  <sheetViews>
    <sheetView topLeftCell="A52" workbookViewId="0">
      <selection activeCell="A3" sqref="A3"/>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'2021.10'!A2:G2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21.2</v>
      </c>
      <c r="C5" s="7">
        <v>59.5</v>
      </c>
      <c r="D5" s="7">
        <v>76.5</v>
      </c>
      <c r="E5" s="7">
        <v>26</v>
      </c>
      <c r="F5" s="7">
        <v>79.3</v>
      </c>
      <c r="G5" s="7">
        <v>111.7</v>
      </c>
    </row>
    <row r="6" spans="1:7" ht="13" x14ac:dyDescent="0.25">
      <c r="A6" s="11">
        <v>2</v>
      </c>
      <c r="B6" s="7">
        <v>27.8</v>
      </c>
      <c r="C6" s="7">
        <v>61.3</v>
      </c>
      <c r="D6" s="7">
        <v>71.8</v>
      </c>
      <c r="E6" s="7">
        <v>29.7</v>
      </c>
      <c r="F6" s="7">
        <v>64</v>
      </c>
      <c r="G6" s="7">
        <v>88.1</v>
      </c>
    </row>
    <row r="7" spans="1:7" ht="13" x14ac:dyDescent="0.25">
      <c r="A7" s="11">
        <v>3</v>
      </c>
      <c r="B7" s="7">
        <v>39.299999999999997</v>
      </c>
      <c r="C7" s="7">
        <v>57.3</v>
      </c>
      <c r="D7" s="7">
        <v>102.9</v>
      </c>
      <c r="E7" s="7">
        <v>52.4</v>
      </c>
      <c r="F7" s="7">
        <v>74.2</v>
      </c>
      <c r="G7" s="7">
        <v>89.5</v>
      </c>
    </row>
    <row r="8" spans="1:7" ht="13" x14ac:dyDescent="0.25">
      <c r="A8" s="11">
        <v>4</v>
      </c>
      <c r="B8" s="7">
        <v>34.4</v>
      </c>
      <c r="C8" s="7">
        <v>63.5</v>
      </c>
      <c r="D8" s="7">
        <v>89.9</v>
      </c>
      <c r="E8" s="7">
        <v>56.7</v>
      </c>
      <c r="F8" s="7">
        <v>70.8</v>
      </c>
      <c r="G8" s="7">
        <v>93.5</v>
      </c>
    </row>
    <row r="9" spans="1:7" ht="13" x14ac:dyDescent="0.25">
      <c r="A9" s="11">
        <v>5</v>
      </c>
      <c r="B9" s="7">
        <v>23.6</v>
      </c>
      <c r="C9" s="7">
        <v>56.7</v>
      </c>
      <c r="D9" s="7">
        <v>81.900000000000006</v>
      </c>
      <c r="E9" s="7">
        <v>48.7</v>
      </c>
      <c r="F9" s="7">
        <v>83.8</v>
      </c>
      <c r="G9" s="7">
        <v>99.4</v>
      </c>
    </row>
    <row r="10" spans="1:7" ht="13" x14ac:dyDescent="0.25">
      <c r="A10" s="11">
        <v>6</v>
      </c>
      <c r="B10" s="7">
        <v>39.200000000000003</v>
      </c>
      <c r="C10" s="7">
        <v>55.1</v>
      </c>
      <c r="D10" s="7">
        <v>90.5</v>
      </c>
      <c r="E10" s="7">
        <v>46.8</v>
      </c>
      <c r="F10" s="7">
        <v>67.3</v>
      </c>
      <c r="G10" s="7">
        <v>95.2</v>
      </c>
    </row>
    <row r="11" spans="1:7" ht="13" x14ac:dyDescent="0.25">
      <c r="A11" s="11">
        <v>7</v>
      </c>
      <c r="B11" s="7">
        <v>35.4</v>
      </c>
      <c r="C11" s="7">
        <v>59.1</v>
      </c>
      <c r="D11" s="7">
        <v>75.400000000000006</v>
      </c>
      <c r="E11" s="7">
        <v>56.9</v>
      </c>
      <c r="F11" s="7">
        <v>82.4</v>
      </c>
      <c r="G11" s="7">
        <v>102.9</v>
      </c>
    </row>
    <row r="12" spans="1:7" ht="13" x14ac:dyDescent="0.25">
      <c r="A12" s="11">
        <v>8</v>
      </c>
      <c r="B12" s="7">
        <v>31.6</v>
      </c>
      <c r="C12" s="7">
        <v>50.7</v>
      </c>
      <c r="D12" s="7">
        <v>66.7</v>
      </c>
      <c r="E12" s="7">
        <v>45.1</v>
      </c>
      <c r="F12" s="7">
        <v>75.8</v>
      </c>
      <c r="G12" s="7">
        <v>99.1</v>
      </c>
    </row>
    <row r="13" spans="1:7" ht="13" x14ac:dyDescent="0.25">
      <c r="A13" s="11">
        <v>9</v>
      </c>
      <c r="B13" s="7">
        <v>41</v>
      </c>
      <c r="C13" s="7">
        <v>55</v>
      </c>
      <c r="D13" s="7">
        <v>104.4</v>
      </c>
      <c r="E13" s="7">
        <v>42.3</v>
      </c>
      <c r="F13" s="7">
        <v>63.6</v>
      </c>
      <c r="G13" s="7">
        <v>102</v>
      </c>
    </row>
    <row r="14" spans="1:7" ht="13" x14ac:dyDescent="0.25">
      <c r="A14" s="11">
        <v>10</v>
      </c>
      <c r="B14" s="7"/>
      <c r="C14" s="7"/>
      <c r="D14" s="7"/>
      <c r="E14" s="7">
        <v>44.8</v>
      </c>
      <c r="F14" s="7">
        <v>83</v>
      </c>
      <c r="G14" s="7">
        <v>88.6</v>
      </c>
    </row>
    <row r="15" spans="1:7" ht="13" x14ac:dyDescent="0.25">
      <c r="A15" s="11">
        <v>11</v>
      </c>
      <c r="B15" s="7"/>
      <c r="C15" s="7"/>
      <c r="D15" s="7"/>
      <c r="E15" s="7">
        <v>33.4</v>
      </c>
      <c r="F15" s="7">
        <v>75.8</v>
      </c>
      <c r="G15" s="7">
        <v>97.7</v>
      </c>
    </row>
    <row r="16" spans="1:7" ht="13" x14ac:dyDescent="0.25">
      <c r="A16" s="11">
        <v>12</v>
      </c>
      <c r="B16" s="7"/>
      <c r="C16" s="7"/>
      <c r="D16" s="7"/>
      <c r="E16" s="7">
        <v>32</v>
      </c>
      <c r="F16" s="7">
        <v>72.5</v>
      </c>
      <c r="G16" s="7">
        <v>91.2</v>
      </c>
    </row>
    <row r="17" spans="1:7" ht="13" x14ac:dyDescent="0.25">
      <c r="A17" s="11">
        <v>13</v>
      </c>
      <c r="B17" s="7"/>
      <c r="C17" s="7"/>
      <c r="D17" s="7"/>
      <c r="E17" s="7">
        <v>34.799999999999997</v>
      </c>
      <c r="F17" s="7">
        <v>85</v>
      </c>
      <c r="G17" s="7">
        <v>107.8</v>
      </c>
    </row>
    <row r="18" spans="1:7" ht="13" x14ac:dyDescent="0.25">
      <c r="A18" s="11">
        <v>14</v>
      </c>
      <c r="B18" s="7"/>
      <c r="C18" s="7"/>
      <c r="D18" s="7"/>
      <c r="E18" s="7">
        <v>35.4</v>
      </c>
      <c r="F18" s="7">
        <v>72.599999999999994</v>
      </c>
      <c r="G18" s="7">
        <v>95.8</v>
      </c>
    </row>
    <row r="19" spans="1:7" ht="13" x14ac:dyDescent="0.25">
      <c r="A19" s="11">
        <v>15</v>
      </c>
      <c r="B19" s="7"/>
      <c r="C19" s="7"/>
      <c r="D19" s="7"/>
      <c r="E19" s="7">
        <v>53.7</v>
      </c>
      <c r="F19" s="7">
        <v>78.2</v>
      </c>
      <c r="G19" s="7">
        <v>111.4</v>
      </c>
    </row>
    <row r="20" spans="1:7" ht="13.5" thickBot="1" x14ac:dyDescent="0.3">
      <c r="A20" s="14">
        <v>16</v>
      </c>
      <c r="B20" s="15"/>
      <c r="C20" s="15"/>
      <c r="D20" s="15"/>
      <c r="E20" s="7">
        <v>48.5</v>
      </c>
      <c r="F20" s="7">
        <v>64.099999999999994</v>
      </c>
      <c r="G20" s="7">
        <v>95.6</v>
      </c>
    </row>
    <row r="21" spans="1:7" ht="13.5" thickTop="1" x14ac:dyDescent="0.25">
      <c r="A21" s="612" t="str">
        <f>'2021.10'!A21:G21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20.100000000000001</v>
      </c>
      <c r="C24" s="7">
        <v>59.7</v>
      </c>
      <c r="D24" s="7">
        <v>65.099999999999994</v>
      </c>
      <c r="E24" s="7">
        <v>37.5</v>
      </c>
      <c r="F24" s="7">
        <v>75.2</v>
      </c>
      <c r="G24" s="7">
        <v>109.9</v>
      </c>
    </row>
    <row r="25" spans="1:7" ht="13" x14ac:dyDescent="0.25">
      <c r="A25" s="11">
        <v>2</v>
      </c>
      <c r="B25" s="7">
        <v>38.200000000000003</v>
      </c>
      <c r="C25" s="7">
        <v>55.8</v>
      </c>
      <c r="D25" s="7">
        <v>68.099999999999994</v>
      </c>
      <c r="E25" s="7">
        <v>54.1</v>
      </c>
      <c r="F25" s="7">
        <v>81.8</v>
      </c>
      <c r="G25" s="7">
        <v>97</v>
      </c>
    </row>
    <row r="26" spans="1:7" ht="13" x14ac:dyDescent="0.25">
      <c r="A26" s="11">
        <v>3</v>
      </c>
      <c r="B26" s="7">
        <v>20.7</v>
      </c>
      <c r="C26" s="7">
        <v>55.9</v>
      </c>
      <c r="D26" s="7">
        <v>80.2</v>
      </c>
      <c r="E26" s="7">
        <v>36.9</v>
      </c>
      <c r="F26" s="7">
        <v>71.400000000000006</v>
      </c>
      <c r="G26" s="7">
        <v>95.2</v>
      </c>
    </row>
    <row r="27" spans="1:7" ht="13" x14ac:dyDescent="0.25">
      <c r="A27" s="11">
        <v>4</v>
      </c>
      <c r="B27" s="7">
        <v>21</v>
      </c>
      <c r="C27" s="7">
        <v>48.6</v>
      </c>
      <c r="D27" s="7">
        <v>83.6</v>
      </c>
      <c r="E27" s="7">
        <v>53.1</v>
      </c>
      <c r="F27" s="7">
        <v>84.6</v>
      </c>
      <c r="G27" s="7">
        <v>90.9</v>
      </c>
    </row>
    <row r="28" spans="1:7" ht="13" x14ac:dyDescent="0.25">
      <c r="A28" s="11">
        <v>5</v>
      </c>
      <c r="B28" s="7">
        <v>41.5</v>
      </c>
      <c r="C28" s="7">
        <v>63.7</v>
      </c>
      <c r="D28" s="7">
        <v>72.5</v>
      </c>
      <c r="E28" s="7">
        <v>37.200000000000003</v>
      </c>
      <c r="F28" s="7">
        <v>65.7</v>
      </c>
      <c r="G28" s="7">
        <v>101.5</v>
      </c>
    </row>
    <row r="29" spans="1:7" ht="13" x14ac:dyDescent="0.25">
      <c r="A29" s="11">
        <v>6</v>
      </c>
      <c r="B29" s="7">
        <v>37.700000000000003</v>
      </c>
      <c r="C29" s="7">
        <v>47.9</v>
      </c>
      <c r="D29" s="7">
        <v>87.5</v>
      </c>
      <c r="E29" s="7">
        <v>27.7</v>
      </c>
      <c r="F29" s="7">
        <v>66.8</v>
      </c>
      <c r="G29" s="7">
        <v>101.1</v>
      </c>
    </row>
    <row r="30" spans="1:7" ht="13" x14ac:dyDescent="0.25">
      <c r="A30" s="11">
        <v>7</v>
      </c>
      <c r="B30" s="7">
        <v>32.6</v>
      </c>
      <c r="C30" s="7">
        <v>62.8</v>
      </c>
      <c r="D30" s="7">
        <v>100.5</v>
      </c>
      <c r="E30" s="7">
        <v>55.5</v>
      </c>
      <c r="F30" s="7">
        <v>81</v>
      </c>
      <c r="G30" s="7">
        <v>111.6</v>
      </c>
    </row>
    <row r="31" spans="1:7" ht="13" x14ac:dyDescent="0.25">
      <c r="A31" s="11">
        <v>8</v>
      </c>
      <c r="B31" s="7">
        <v>29</v>
      </c>
      <c r="C31" s="7">
        <v>60.5</v>
      </c>
      <c r="D31" s="7">
        <v>102.2</v>
      </c>
      <c r="E31" s="7">
        <v>33.299999999999997</v>
      </c>
      <c r="F31" s="7">
        <v>85</v>
      </c>
      <c r="G31" s="7">
        <v>95.7</v>
      </c>
    </row>
    <row r="32" spans="1:7" ht="13" x14ac:dyDescent="0.25">
      <c r="A32" s="11">
        <v>9</v>
      </c>
      <c r="B32" s="7">
        <v>33.299999999999997</v>
      </c>
      <c r="C32" s="7">
        <v>52.4</v>
      </c>
      <c r="D32" s="7">
        <v>109.2</v>
      </c>
      <c r="E32" s="7">
        <v>32.700000000000003</v>
      </c>
      <c r="F32" s="7">
        <v>82.4</v>
      </c>
      <c r="G32" s="7">
        <v>109.7</v>
      </c>
    </row>
    <row r="33" spans="1:7" ht="13" x14ac:dyDescent="0.25">
      <c r="A33" s="11">
        <v>10</v>
      </c>
      <c r="B33" s="7">
        <v>35.1</v>
      </c>
      <c r="C33" s="7">
        <v>61.3</v>
      </c>
      <c r="D33" s="7">
        <v>99</v>
      </c>
      <c r="E33" s="7">
        <v>58.9</v>
      </c>
      <c r="F33" s="7">
        <v>60.5</v>
      </c>
      <c r="G33" s="7">
        <v>110.2</v>
      </c>
    </row>
    <row r="34" spans="1:7" ht="13" x14ac:dyDescent="0.25">
      <c r="A34" s="11">
        <v>11</v>
      </c>
      <c r="B34" s="7"/>
      <c r="C34" s="7"/>
      <c r="D34" s="7"/>
      <c r="E34" s="7">
        <v>51.3</v>
      </c>
      <c r="F34" s="7">
        <v>79.599999999999994</v>
      </c>
      <c r="G34" s="7">
        <v>111</v>
      </c>
    </row>
    <row r="35" spans="1:7" ht="13" x14ac:dyDescent="0.25">
      <c r="A35" s="11">
        <v>12</v>
      </c>
      <c r="B35" s="7"/>
      <c r="C35" s="7"/>
      <c r="D35" s="7"/>
      <c r="E35" s="7">
        <v>33.299999999999997</v>
      </c>
      <c r="F35" s="7">
        <v>60</v>
      </c>
      <c r="G35" s="7">
        <v>106.8</v>
      </c>
    </row>
    <row r="36" spans="1:7" ht="13" x14ac:dyDescent="0.25">
      <c r="A36" s="11">
        <v>13</v>
      </c>
      <c r="B36" s="7"/>
      <c r="C36" s="7"/>
      <c r="D36" s="7"/>
      <c r="E36" s="7">
        <v>25.1</v>
      </c>
      <c r="F36" s="7">
        <v>65.5</v>
      </c>
      <c r="G36" s="7">
        <v>112.5</v>
      </c>
    </row>
    <row r="37" spans="1:7" ht="13" x14ac:dyDescent="0.25">
      <c r="A37" s="11">
        <v>14</v>
      </c>
      <c r="B37" s="7"/>
      <c r="C37" s="7"/>
      <c r="D37" s="7"/>
      <c r="E37" s="7">
        <v>27.8</v>
      </c>
      <c r="F37" s="7">
        <v>78.7</v>
      </c>
      <c r="G37" s="7">
        <v>91.2</v>
      </c>
    </row>
    <row r="38" spans="1:7" ht="13" x14ac:dyDescent="0.25">
      <c r="A38" s="11">
        <v>15</v>
      </c>
      <c r="B38" s="7"/>
      <c r="C38" s="7"/>
      <c r="D38" s="7"/>
      <c r="E38" s="7">
        <v>25.1</v>
      </c>
      <c r="F38" s="7">
        <v>81.900000000000006</v>
      </c>
      <c r="G38" s="7">
        <v>100.9</v>
      </c>
    </row>
    <row r="39" spans="1:7" ht="13" x14ac:dyDescent="0.25">
      <c r="A39" s="11">
        <v>16</v>
      </c>
      <c r="B39" s="7"/>
      <c r="C39" s="7"/>
      <c r="D39" s="7"/>
      <c r="E39" s="7">
        <v>48.6</v>
      </c>
      <c r="F39" s="7">
        <v>69.5</v>
      </c>
      <c r="G39" s="7">
        <v>111</v>
      </c>
    </row>
    <row r="40" spans="1:7" ht="13" x14ac:dyDescent="0.25">
      <c r="A40" s="11">
        <v>17</v>
      </c>
      <c r="B40" s="7"/>
      <c r="C40" s="7"/>
      <c r="D40" s="7"/>
      <c r="E40" s="7">
        <v>49.8</v>
      </c>
      <c r="F40" s="7">
        <v>78.900000000000006</v>
      </c>
      <c r="G40" s="7">
        <v>116.3</v>
      </c>
    </row>
    <row r="41" spans="1:7" ht="13" x14ac:dyDescent="0.25">
      <c r="A41" s="11">
        <v>18</v>
      </c>
      <c r="B41" s="7"/>
      <c r="C41" s="7"/>
      <c r="D41" s="7"/>
      <c r="E41" s="7">
        <v>27.2</v>
      </c>
      <c r="F41" s="7">
        <v>65</v>
      </c>
      <c r="G41" s="7">
        <v>88.8</v>
      </c>
    </row>
    <row r="42" spans="1:7" ht="13" x14ac:dyDescent="0.25">
      <c r="A42" s="11">
        <v>19</v>
      </c>
      <c r="B42" s="7"/>
      <c r="C42" s="7"/>
      <c r="D42" s="7"/>
      <c r="E42" s="7">
        <v>55.6</v>
      </c>
      <c r="F42" s="7">
        <v>68.900000000000006</v>
      </c>
      <c r="G42" s="7">
        <v>108.7</v>
      </c>
    </row>
    <row r="43" spans="1:7" ht="13" x14ac:dyDescent="0.25">
      <c r="A43" s="11">
        <v>20</v>
      </c>
      <c r="B43" s="7"/>
      <c r="C43" s="7"/>
      <c r="D43" s="7"/>
      <c r="E43" s="7">
        <v>41.4</v>
      </c>
      <c r="F43" s="7">
        <v>68.099999999999994</v>
      </c>
      <c r="G43" s="7">
        <v>116.9</v>
      </c>
    </row>
    <row r="44" spans="1:7" ht="13" x14ac:dyDescent="0.25">
      <c r="A44" s="11">
        <v>21</v>
      </c>
      <c r="B44" s="7"/>
      <c r="C44" s="7"/>
      <c r="D44" s="7"/>
      <c r="E44" s="7">
        <v>46.5</v>
      </c>
      <c r="F44" s="7">
        <v>69.900000000000006</v>
      </c>
      <c r="G44" s="7">
        <v>91.1</v>
      </c>
    </row>
    <row r="45" spans="1:7" ht="13" x14ac:dyDescent="0.25">
      <c r="A45" s="11">
        <v>22</v>
      </c>
      <c r="B45" s="7"/>
      <c r="C45" s="7"/>
      <c r="D45" s="7"/>
      <c r="E45" s="7">
        <v>43.1</v>
      </c>
      <c r="F45" s="7">
        <v>68.5</v>
      </c>
      <c r="G45" s="7">
        <v>107.1</v>
      </c>
    </row>
    <row r="46" spans="1:7" ht="13" x14ac:dyDescent="0.25">
      <c r="A46" s="11">
        <v>23</v>
      </c>
      <c r="B46" s="7"/>
      <c r="C46" s="7"/>
      <c r="D46" s="7"/>
      <c r="E46" s="7">
        <v>33.6</v>
      </c>
      <c r="F46" s="7">
        <v>80.2</v>
      </c>
      <c r="G46" s="7">
        <v>88.2</v>
      </c>
    </row>
    <row r="47" spans="1:7" ht="13" x14ac:dyDescent="0.25">
      <c r="A47" s="11">
        <v>24</v>
      </c>
      <c r="B47" s="7"/>
      <c r="C47" s="7"/>
      <c r="D47" s="7"/>
      <c r="E47" s="7">
        <v>53.6</v>
      </c>
      <c r="F47" s="7">
        <v>81</v>
      </c>
      <c r="G47" s="7">
        <v>93.3</v>
      </c>
    </row>
    <row r="48" spans="1:7" ht="13" x14ac:dyDescent="0.25">
      <c r="A48" s="11">
        <v>25</v>
      </c>
      <c r="B48" s="7"/>
      <c r="C48" s="7"/>
      <c r="D48" s="7"/>
      <c r="E48" s="7">
        <v>27.2</v>
      </c>
      <c r="F48" s="7">
        <v>71.3</v>
      </c>
      <c r="G48" s="7">
        <v>94.9</v>
      </c>
    </row>
    <row r="49" spans="1:7" ht="13" x14ac:dyDescent="0.25">
      <c r="A49" s="11">
        <v>26</v>
      </c>
      <c r="B49" s="7"/>
      <c r="C49" s="16"/>
      <c r="D49" s="7"/>
      <c r="E49" s="7">
        <v>55.2</v>
      </c>
      <c r="F49" s="7">
        <v>78</v>
      </c>
      <c r="G49" s="7">
        <v>113.2</v>
      </c>
    </row>
    <row r="50" spans="1:7" ht="13" x14ac:dyDescent="0.25">
      <c r="A50" s="11">
        <v>27</v>
      </c>
      <c r="B50" s="7"/>
      <c r="C50" s="16"/>
      <c r="D50" s="7"/>
      <c r="E50" s="7">
        <v>28.4</v>
      </c>
      <c r="F50" s="7">
        <v>76.3</v>
      </c>
      <c r="G50" s="7">
        <v>119.2</v>
      </c>
    </row>
    <row r="51" spans="1:7" ht="13" x14ac:dyDescent="0.25">
      <c r="A51" s="11">
        <v>28</v>
      </c>
      <c r="B51" s="7"/>
      <c r="C51" s="17"/>
      <c r="D51" s="7"/>
      <c r="E51" s="7">
        <v>42</v>
      </c>
      <c r="F51" s="7">
        <v>81.900000000000006</v>
      </c>
      <c r="G51" s="7">
        <v>116.3</v>
      </c>
    </row>
    <row r="52" spans="1:7" ht="13.5" thickBot="1" x14ac:dyDescent="0.3">
      <c r="A52" s="14">
        <v>29</v>
      </c>
      <c r="B52" s="18"/>
      <c r="C52" s="18"/>
      <c r="D52" s="15"/>
      <c r="E52" s="7">
        <v>58.4</v>
      </c>
      <c r="F52" s="7">
        <v>61</v>
      </c>
      <c r="G52" s="7">
        <v>106.7</v>
      </c>
    </row>
    <row r="53" spans="1:7" ht="13.5" thickTop="1" x14ac:dyDescent="0.25">
      <c r="A53" s="612" t="str">
        <f>'2021.10'!A53:G53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36.700000000000003</v>
      </c>
      <c r="C56" s="7">
        <v>64.099999999999994</v>
      </c>
      <c r="D56" s="7">
        <v>106.3</v>
      </c>
      <c r="E56" s="7">
        <v>39.799999999999997</v>
      </c>
      <c r="F56" s="7">
        <v>83.7</v>
      </c>
      <c r="G56" s="7">
        <v>101.5</v>
      </c>
    </row>
    <row r="57" spans="1:7" ht="13" x14ac:dyDescent="0.25">
      <c r="A57" s="11">
        <v>2</v>
      </c>
      <c r="B57" s="7">
        <v>39</v>
      </c>
      <c r="C57" s="7">
        <v>54.7</v>
      </c>
      <c r="D57" s="7">
        <v>65.5</v>
      </c>
      <c r="E57" s="7">
        <v>31.3</v>
      </c>
      <c r="F57" s="7">
        <v>77.3</v>
      </c>
      <c r="G57" s="7">
        <v>94.4</v>
      </c>
    </row>
    <row r="58" spans="1:7" ht="13" x14ac:dyDescent="0.25">
      <c r="A58" s="11">
        <v>3</v>
      </c>
      <c r="B58" s="7">
        <v>32.200000000000003</v>
      </c>
      <c r="C58" s="7">
        <v>56.8</v>
      </c>
      <c r="D58" s="7">
        <v>87.7</v>
      </c>
      <c r="E58" s="7">
        <v>50.2</v>
      </c>
      <c r="F58" s="7">
        <v>66.7</v>
      </c>
      <c r="G58" s="7">
        <v>110</v>
      </c>
    </row>
    <row r="59" spans="1:7" ht="13" x14ac:dyDescent="0.25">
      <c r="A59" s="11">
        <v>4</v>
      </c>
      <c r="B59" s="7">
        <v>38.700000000000003</v>
      </c>
      <c r="C59" s="7">
        <v>64.8</v>
      </c>
      <c r="D59" s="7">
        <v>71.7</v>
      </c>
      <c r="E59" s="7">
        <v>48.5</v>
      </c>
      <c r="F59" s="7">
        <v>73.2</v>
      </c>
      <c r="G59" s="7">
        <v>94.2</v>
      </c>
    </row>
    <row r="60" spans="1:7" ht="13" x14ac:dyDescent="0.25">
      <c r="A60" s="11">
        <v>5</v>
      </c>
      <c r="B60" s="7">
        <v>27.8</v>
      </c>
      <c r="C60" s="7">
        <v>46.5</v>
      </c>
      <c r="D60" s="7">
        <v>69.400000000000006</v>
      </c>
      <c r="E60" s="7">
        <v>27.6</v>
      </c>
      <c r="F60" s="7">
        <v>67.400000000000006</v>
      </c>
      <c r="G60" s="7">
        <v>111.3</v>
      </c>
    </row>
    <row r="61" spans="1:7" ht="13" x14ac:dyDescent="0.25">
      <c r="A61" s="11">
        <v>6</v>
      </c>
      <c r="B61" s="7">
        <v>25.4</v>
      </c>
      <c r="C61" s="7">
        <v>56.1</v>
      </c>
      <c r="D61" s="7">
        <v>88.8</v>
      </c>
      <c r="E61" s="7">
        <v>41.4</v>
      </c>
      <c r="F61" s="7">
        <v>78.7</v>
      </c>
      <c r="G61" s="7">
        <v>103.3</v>
      </c>
    </row>
    <row r="62" spans="1:7" ht="13" x14ac:dyDescent="0.25">
      <c r="A62" s="11">
        <v>7</v>
      </c>
      <c r="B62" s="7">
        <v>20.2</v>
      </c>
      <c r="C62" s="7">
        <v>55.7</v>
      </c>
      <c r="D62" s="7">
        <v>82.7</v>
      </c>
      <c r="E62" s="7">
        <v>32.4</v>
      </c>
      <c r="F62" s="7">
        <v>77.7</v>
      </c>
      <c r="G62" s="7">
        <v>109.2</v>
      </c>
    </row>
    <row r="63" spans="1:7" ht="13" x14ac:dyDescent="0.25">
      <c r="A63" s="11">
        <v>8</v>
      </c>
      <c r="B63" s="7">
        <v>44.5</v>
      </c>
      <c r="C63" s="7">
        <v>49.2</v>
      </c>
      <c r="D63" s="7">
        <v>68.8</v>
      </c>
      <c r="E63" s="7"/>
      <c r="F63" s="7"/>
      <c r="G63" s="7"/>
    </row>
    <row r="64" spans="1:7" ht="13" x14ac:dyDescent="0.25">
      <c r="A64" s="11">
        <v>9</v>
      </c>
      <c r="B64" s="7">
        <v>20.2</v>
      </c>
      <c r="C64" s="7">
        <v>50.5</v>
      </c>
      <c r="D64" s="7">
        <v>79.2</v>
      </c>
      <c r="E64" s="7"/>
      <c r="F64" s="7"/>
      <c r="G64" s="7"/>
    </row>
    <row r="65" spans="1:7" ht="13" x14ac:dyDescent="0.25">
      <c r="A65" s="11">
        <v>10</v>
      </c>
      <c r="B65" s="7">
        <v>26.5</v>
      </c>
      <c r="C65" s="7">
        <v>63.9</v>
      </c>
      <c r="D65" s="7">
        <v>90.7</v>
      </c>
      <c r="E65" s="7"/>
      <c r="F65" s="7"/>
      <c r="G65" s="7"/>
    </row>
    <row r="66" spans="1:7" ht="13" x14ac:dyDescent="0.25">
      <c r="A66" s="11">
        <v>11</v>
      </c>
      <c r="B66" s="7">
        <v>42.7</v>
      </c>
      <c r="C66" s="7">
        <v>51.7</v>
      </c>
      <c r="D66" s="7">
        <v>98</v>
      </c>
      <c r="E66" s="7"/>
      <c r="F66" s="7"/>
      <c r="G66" s="7"/>
    </row>
    <row r="67" spans="1:7" ht="13.5" thickBot="1" x14ac:dyDescent="0.3">
      <c r="A67" s="14">
        <v>12</v>
      </c>
      <c r="B67" s="7">
        <v>35.4</v>
      </c>
      <c r="C67" s="7">
        <v>64.5</v>
      </c>
      <c r="D67" s="7">
        <v>76.3</v>
      </c>
      <c r="E67" s="15"/>
      <c r="F67" s="15"/>
      <c r="G67" s="15"/>
    </row>
    <row r="68" spans="1:7" ht="13.5" thickTop="1" x14ac:dyDescent="0.25">
      <c r="A68" s="612" t="str">
        <f>'2021.10'!A68:G68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39.200000000000003</v>
      </c>
      <c r="C71" s="7">
        <v>55.6</v>
      </c>
      <c r="D71" s="7">
        <v>86.5</v>
      </c>
      <c r="E71" s="7"/>
      <c r="F71" s="7"/>
      <c r="G71" s="7"/>
    </row>
    <row r="72" spans="1:7" ht="13" x14ac:dyDescent="0.25">
      <c r="A72" s="11">
        <v>2</v>
      </c>
      <c r="B72" s="7">
        <v>32.200000000000003</v>
      </c>
      <c r="C72" s="7">
        <v>50.8</v>
      </c>
      <c r="D72" s="7">
        <v>92.5</v>
      </c>
      <c r="E72" s="6"/>
      <c r="F72" s="6"/>
      <c r="G72" s="7"/>
    </row>
    <row r="73" spans="1:7" ht="13" x14ac:dyDescent="0.25">
      <c r="A73" s="11">
        <v>3</v>
      </c>
      <c r="B73" s="7">
        <v>32.1</v>
      </c>
      <c r="C73" s="7">
        <v>63.1</v>
      </c>
      <c r="D73" s="7">
        <v>66.7</v>
      </c>
      <c r="E73" s="6"/>
      <c r="F73" s="6"/>
      <c r="G73" s="6"/>
    </row>
    <row r="74" spans="1:7" ht="13" x14ac:dyDescent="0.25">
      <c r="A74" s="11">
        <v>4</v>
      </c>
      <c r="B74" s="7">
        <v>28.4</v>
      </c>
      <c r="C74" s="7">
        <v>62.3</v>
      </c>
      <c r="D74" s="7">
        <v>96.3</v>
      </c>
      <c r="E74" s="6"/>
      <c r="F74" s="6"/>
      <c r="G74" s="6"/>
    </row>
    <row r="75" spans="1:7" ht="13" x14ac:dyDescent="0.25">
      <c r="A75" s="11">
        <v>5</v>
      </c>
      <c r="B75" s="7">
        <v>34.200000000000003</v>
      </c>
      <c r="C75" s="7">
        <v>56.7</v>
      </c>
      <c r="D75" s="7">
        <v>65.7</v>
      </c>
      <c r="E75" s="6"/>
      <c r="F75" s="6"/>
      <c r="G75" s="6"/>
    </row>
    <row r="76" spans="1:7" ht="13" x14ac:dyDescent="0.25">
      <c r="A76" s="11">
        <v>6</v>
      </c>
      <c r="B76" s="7">
        <v>33.700000000000003</v>
      </c>
      <c r="C76" s="7">
        <v>57.3</v>
      </c>
      <c r="D76" s="7">
        <v>70.8</v>
      </c>
      <c r="E76" s="6"/>
      <c r="F76" s="6"/>
      <c r="G76" s="6"/>
    </row>
    <row r="77" spans="1:7" ht="13" x14ac:dyDescent="0.25">
      <c r="A77" s="11">
        <v>7</v>
      </c>
      <c r="B77" s="7">
        <v>27.8</v>
      </c>
      <c r="C77" s="7">
        <v>51.5</v>
      </c>
      <c r="D77" s="7">
        <v>67.8</v>
      </c>
      <c r="E77" s="6"/>
      <c r="F77" s="6"/>
      <c r="G77" s="6"/>
    </row>
    <row r="78" spans="1:7" ht="13" x14ac:dyDescent="0.25">
      <c r="A78" s="11">
        <v>8</v>
      </c>
      <c r="B78" s="7">
        <v>30.8</v>
      </c>
      <c r="C78" s="7">
        <v>45</v>
      </c>
      <c r="D78" s="7">
        <v>89.1</v>
      </c>
      <c r="E78" s="6"/>
      <c r="F78" s="6"/>
      <c r="G78" s="6"/>
    </row>
    <row r="79" spans="1:7" ht="13" x14ac:dyDescent="0.25">
      <c r="A79" s="11">
        <v>9</v>
      </c>
      <c r="B79" s="7">
        <v>24.3</v>
      </c>
      <c r="C79" s="7">
        <v>57.9</v>
      </c>
      <c r="D79" s="7">
        <v>108.2</v>
      </c>
      <c r="E79" s="6"/>
      <c r="F79" s="6"/>
      <c r="G79" s="6"/>
    </row>
    <row r="80" spans="1:7" ht="13" x14ac:dyDescent="0.25">
      <c r="A80" s="11">
        <v>10</v>
      </c>
      <c r="B80" s="7">
        <v>21.4</v>
      </c>
      <c r="C80" s="7">
        <v>57.7</v>
      </c>
      <c r="D80" s="7">
        <v>94.1</v>
      </c>
      <c r="E80" s="6"/>
      <c r="F80" s="6"/>
      <c r="G80" s="6"/>
    </row>
    <row r="81" spans="1:7" ht="13" x14ac:dyDescent="0.25">
      <c r="A81" s="11">
        <v>11</v>
      </c>
      <c r="B81" s="7">
        <v>20.5</v>
      </c>
      <c r="C81" s="7">
        <v>62.4</v>
      </c>
      <c r="D81" s="7">
        <v>107</v>
      </c>
      <c r="E81" s="6"/>
      <c r="F81" s="6"/>
      <c r="G81" s="6"/>
    </row>
    <row r="82" spans="1:7" ht="13" x14ac:dyDescent="0.25">
      <c r="A82" s="11">
        <v>12</v>
      </c>
      <c r="B82" s="7">
        <v>32.1</v>
      </c>
      <c r="C82" s="7">
        <v>48.5</v>
      </c>
      <c r="D82" s="7">
        <v>68.3</v>
      </c>
      <c r="E82" s="6"/>
      <c r="F82" s="6"/>
      <c r="G82" s="6"/>
    </row>
    <row r="83" spans="1:7" ht="13" x14ac:dyDescent="0.25">
      <c r="A83" s="11">
        <v>13</v>
      </c>
      <c r="B83" s="7">
        <v>22.9</v>
      </c>
      <c r="C83" s="7">
        <v>50.7</v>
      </c>
      <c r="D83" s="7">
        <v>65.599999999999994</v>
      </c>
      <c r="E83" s="6"/>
      <c r="F83" s="6"/>
      <c r="G83" s="6"/>
    </row>
    <row r="84" spans="1:7" ht="13" x14ac:dyDescent="0.25">
      <c r="A84" s="11">
        <v>14</v>
      </c>
      <c r="B84" s="7">
        <v>33.6</v>
      </c>
      <c r="C84" s="7">
        <v>46.6</v>
      </c>
      <c r="D84" s="7">
        <v>109.5</v>
      </c>
      <c r="E84" s="6"/>
      <c r="F84" s="6"/>
      <c r="G84" s="6"/>
    </row>
    <row r="85" spans="1:7" ht="13" x14ac:dyDescent="0.25">
      <c r="A85" s="11">
        <v>15</v>
      </c>
      <c r="B85" s="7">
        <v>43.9</v>
      </c>
      <c r="C85" s="7">
        <v>51.5</v>
      </c>
      <c r="D85" s="7">
        <v>101.1</v>
      </c>
      <c r="E85" s="6"/>
      <c r="F85" s="6"/>
      <c r="G85" s="6"/>
    </row>
    <row r="86" spans="1:7" ht="13" x14ac:dyDescent="0.25">
      <c r="A86" s="11">
        <v>16</v>
      </c>
      <c r="B86" s="7">
        <v>42.2</v>
      </c>
      <c r="C86" s="7">
        <v>46.3</v>
      </c>
      <c r="D86" s="7">
        <v>89.7</v>
      </c>
      <c r="E86" s="6"/>
      <c r="F86" s="6"/>
      <c r="G86" s="6"/>
    </row>
    <row r="87" spans="1:7" ht="13" x14ac:dyDescent="0.25">
      <c r="A87" s="11">
        <v>17</v>
      </c>
      <c r="B87" s="7">
        <v>42.7</v>
      </c>
      <c r="C87" s="7">
        <v>45.1</v>
      </c>
      <c r="D87" s="7">
        <v>92.5</v>
      </c>
      <c r="E87" s="6"/>
      <c r="F87" s="6"/>
      <c r="G87" s="6"/>
    </row>
    <row r="88" spans="1:7" ht="13" x14ac:dyDescent="0.25">
      <c r="A88" s="11">
        <v>18</v>
      </c>
      <c r="B88" s="7">
        <v>27.4</v>
      </c>
      <c r="C88" s="7">
        <v>60.5</v>
      </c>
      <c r="D88" s="7">
        <v>76.900000000000006</v>
      </c>
      <c r="E88" s="6"/>
      <c r="F88" s="6"/>
      <c r="G88" s="6"/>
    </row>
    <row r="89" spans="1:7" ht="13" x14ac:dyDescent="0.25">
      <c r="A89" s="11">
        <v>19</v>
      </c>
      <c r="B89" s="7">
        <v>40.200000000000003</v>
      </c>
      <c r="C89" s="7">
        <v>51.6</v>
      </c>
      <c r="D89" s="7">
        <v>101.9</v>
      </c>
      <c r="E89" s="6"/>
      <c r="F89" s="6"/>
      <c r="G89" s="6"/>
    </row>
    <row r="90" spans="1:7" ht="13" x14ac:dyDescent="0.25">
      <c r="A90" s="11">
        <v>20</v>
      </c>
      <c r="B90" s="7">
        <v>28.7</v>
      </c>
      <c r="C90" s="7">
        <v>58.1</v>
      </c>
      <c r="D90" s="7">
        <v>87.1</v>
      </c>
      <c r="E90" s="6"/>
      <c r="F90" s="6"/>
      <c r="G90" s="6"/>
    </row>
    <row r="91" spans="1:7" ht="13" x14ac:dyDescent="0.25">
      <c r="A91" s="11">
        <v>21</v>
      </c>
      <c r="B91" s="7">
        <v>32.6</v>
      </c>
      <c r="C91" s="7">
        <v>58.7</v>
      </c>
      <c r="D91" s="7">
        <v>109.2</v>
      </c>
      <c r="E91" s="6"/>
      <c r="F91" s="6"/>
      <c r="G91" s="6"/>
    </row>
    <row r="92" spans="1:7" ht="13" x14ac:dyDescent="0.25">
      <c r="A92" s="11">
        <v>22</v>
      </c>
      <c r="B92" s="7">
        <v>22.2</v>
      </c>
      <c r="C92" s="7">
        <v>48.7</v>
      </c>
      <c r="D92" s="7">
        <v>96.4</v>
      </c>
      <c r="E92" s="6"/>
      <c r="F92" s="6"/>
      <c r="G92" s="6"/>
    </row>
    <row r="93" spans="1:7" ht="13" x14ac:dyDescent="0.25">
      <c r="A93" s="11">
        <v>23</v>
      </c>
      <c r="B93" s="7">
        <v>43.5</v>
      </c>
      <c r="C93" s="7">
        <v>49.4</v>
      </c>
      <c r="D93" s="7">
        <v>103.7</v>
      </c>
      <c r="E93" s="6"/>
      <c r="F93" s="6"/>
      <c r="G93" s="6"/>
    </row>
    <row r="94" spans="1:7" ht="13" x14ac:dyDescent="0.25">
      <c r="A94" s="11">
        <v>24</v>
      </c>
      <c r="B94" s="7">
        <v>28.2</v>
      </c>
      <c r="C94" s="7">
        <v>58.4</v>
      </c>
      <c r="D94" s="7">
        <v>75.099999999999994</v>
      </c>
      <c r="E94" s="6"/>
      <c r="F94" s="6"/>
      <c r="G94" s="6"/>
    </row>
    <row r="95" spans="1:7" ht="13" x14ac:dyDescent="0.25">
      <c r="A95" s="11">
        <v>25</v>
      </c>
      <c r="B95" s="7">
        <v>24.6</v>
      </c>
      <c r="C95" s="7">
        <v>62.3</v>
      </c>
      <c r="D95" s="7">
        <v>79.099999999999994</v>
      </c>
      <c r="E95" s="6"/>
      <c r="F95" s="6"/>
      <c r="G95" s="6"/>
    </row>
    <row r="96" spans="1:7" ht="13" x14ac:dyDescent="0.25">
      <c r="A96" s="11">
        <v>26</v>
      </c>
      <c r="B96" s="7">
        <v>32.200000000000003</v>
      </c>
      <c r="C96" s="7">
        <v>62.3</v>
      </c>
      <c r="D96" s="7">
        <v>73.099999999999994</v>
      </c>
      <c r="E96" s="17"/>
      <c r="F96" s="17"/>
      <c r="G96" s="17"/>
    </row>
    <row r="97" spans="1:7" ht="13" x14ac:dyDescent="0.25">
      <c r="A97" s="11">
        <v>27</v>
      </c>
      <c r="B97" s="7">
        <v>31.4</v>
      </c>
      <c r="C97" s="7">
        <v>52.8</v>
      </c>
      <c r="D97" s="7">
        <v>67.900000000000006</v>
      </c>
      <c r="E97" s="17"/>
      <c r="F97" s="17"/>
      <c r="G97" s="17"/>
    </row>
    <row r="98" spans="1:7" ht="13" x14ac:dyDescent="0.25">
      <c r="A98" s="11">
        <v>28</v>
      </c>
      <c r="B98" s="7">
        <v>23.9</v>
      </c>
      <c r="C98" s="7">
        <v>54.2</v>
      </c>
      <c r="D98" s="7">
        <v>83.1</v>
      </c>
      <c r="E98" s="17"/>
      <c r="F98" s="17"/>
      <c r="G98" s="17"/>
    </row>
    <row r="99" spans="1:7" ht="13" x14ac:dyDescent="0.25">
      <c r="A99" s="11">
        <v>29</v>
      </c>
      <c r="B99" s="7">
        <v>32.4</v>
      </c>
      <c r="C99" s="7">
        <v>57.2</v>
      </c>
      <c r="D99" s="7">
        <v>73.400000000000006</v>
      </c>
      <c r="E99" s="6"/>
      <c r="F99" s="6"/>
      <c r="G99" s="6"/>
    </row>
    <row r="100" spans="1:7" ht="13" x14ac:dyDescent="0.25">
      <c r="A100" s="11">
        <v>30</v>
      </c>
      <c r="B100" s="7">
        <v>42.5</v>
      </c>
      <c r="C100" s="7">
        <v>57.2</v>
      </c>
      <c r="D100" s="7">
        <v>98.1</v>
      </c>
      <c r="E100" s="2"/>
      <c r="F100" s="2"/>
      <c r="G100" s="2"/>
    </row>
    <row r="101" spans="1:7" ht="13" x14ac:dyDescent="0.25">
      <c r="A101" s="11">
        <v>31</v>
      </c>
      <c r="B101" s="7">
        <v>30.9</v>
      </c>
      <c r="C101" s="7">
        <v>50</v>
      </c>
      <c r="D101" s="7">
        <v>79.3</v>
      </c>
      <c r="E101" s="2"/>
      <c r="F101" s="2"/>
      <c r="G101" s="2"/>
    </row>
    <row r="102" spans="1:7" ht="13" x14ac:dyDescent="0.25">
      <c r="A102" s="11">
        <v>32</v>
      </c>
      <c r="B102" s="7">
        <v>22.1</v>
      </c>
      <c r="C102" s="7">
        <v>64</v>
      </c>
      <c r="D102" s="7">
        <v>90.8</v>
      </c>
      <c r="E102" s="2"/>
      <c r="F102" s="2"/>
      <c r="G102" s="2"/>
    </row>
    <row r="103" spans="1:7" ht="13" x14ac:dyDescent="0.25">
      <c r="A103" s="11">
        <v>33</v>
      </c>
      <c r="B103" s="7">
        <v>44.2</v>
      </c>
      <c r="C103" s="7">
        <v>48.2</v>
      </c>
      <c r="D103" s="7">
        <v>100.1</v>
      </c>
      <c r="E103" s="2"/>
      <c r="F103" s="2"/>
      <c r="G103" s="2"/>
    </row>
    <row r="104" spans="1:7" ht="13" x14ac:dyDescent="0.25">
      <c r="A104" s="11">
        <v>34</v>
      </c>
      <c r="B104" s="7">
        <v>34.4</v>
      </c>
      <c r="C104" s="7">
        <v>63.9</v>
      </c>
      <c r="D104" s="7">
        <v>91.1</v>
      </c>
      <c r="E104" s="2"/>
      <c r="F104" s="2"/>
      <c r="G104" s="2"/>
    </row>
    <row r="105" spans="1:7" ht="13" x14ac:dyDescent="0.25">
      <c r="A105" s="11">
        <v>35</v>
      </c>
      <c r="B105" s="7">
        <v>36.9</v>
      </c>
      <c r="C105" s="7">
        <v>58.5</v>
      </c>
      <c r="D105" s="7">
        <v>86.6</v>
      </c>
      <c r="E105" s="2"/>
      <c r="F105" s="2"/>
      <c r="G105" s="2"/>
    </row>
    <row r="106" spans="1:7" ht="13" x14ac:dyDescent="0.25">
      <c r="A106" s="11">
        <v>36</v>
      </c>
      <c r="B106" s="7">
        <v>30.2</v>
      </c>
      <c r="C106" s="7">
        <v>55.7</v>
      </c>
      <c r="D106" s="7">
        <v>83.1</v>
      </c>
      <c r="E106" s="2"/>
      <c r="F106" s="2"/>
      <c r="G106" s="2"/>
    </row>
    <row r="107" spans="1:7" ht="13" x14ac:dyDescent="0.25">
      <c r="A107" s="11">
        <v>37</v>
      </c>
      <c r="B107" s="7">
        <v>22</v>
      </c>
      <c r="C107" s="7">
        <v>54.9</v>
      </c>
      <c r="D107" s="7">
        <v>78.8</v>
      </c>
      <c r="E107" s="2"/>
      <c r="F107" s="2"/>
      <c r="G107" s="2"/>
    </row>
    <row r="108" spans="1:7" ht="13" x14ac:dyDescent="0.25">
      <c r="A108" s="11">
        <v>38</v>
      </c>
      <c r="B108" s="7">
        <v>22.4</v>
      </c>
      <c r="C108" s="7">
        <v>51.3</v>
      </c>
      <c r="D108" s="7">
        <v>106.8</v>
      </c>
      <c r="E108" s="2"/>
      <c r="F108" s="2"/>
      <c r="G108" s="2"/>
    </row>
    <row r="109" spans="1:7" ht="13" x14ac:dyDescent="0.25">
      <c r="A109" s="11">
        <v>39</v>
      </c>
      <c r="B109" s="7">
        <v>23.7</v>
      </c>
      <c r="C109" s="7">
        <v>54.3</v>
      </c>
      <c r="D109" s="7">
        <v>84</v>
      </c>
      <c r="E109" s="2"/>
      <c r="F109" s="2"/>
      <c r="G109" s="2"/>
    </row>
    <row r="110" spans="1:7" ht="13" x14ac:dyDescent="0.25">
      <c r="A110" s="11">
        <v>40</v>
      </c>
      <c r="B110" s="7">
        <v>40.200000000000003</v>
      </c>
      <c r="C110" s="7">
        <v>55.6</v>
      </c>
      <c r="D110" s="7">
        <v>107.7</v>
      </c>
      <c r="E110" s="2"/>
      <c r="F110" s="2"/>
      <c r="G110" s="2"/>
    </row>
    <row r="111" spans="1:7" ht="13" x14ac:dyDescent="0.25">
      <c r="A111" s="11">
        <v>41</v>
      </c>
      <c r="B111" s="7">
        <v>24.7</v>
      </c>
      <c r="C111" s="7">
        <v>60.3</v>
      </c>
      <c r="D111" s="7">
        <v>67</v>
      </c>
      <c r="E111" s="2"/>
      <c r="F111" s="2"/>
      <c r="G111" s="2"/>
    </row>
    <row r="112" spans="1:7" ht="13" x14ac:dyDescent="0.25">
      <c r="A112" s="11">
        <v>42</v>
      </c>
      <c r="B112" s="7">
        <v>33.5</v>
      </c>
      <c r="C112" s="7">
        <v>63.1</v>
      </c>
      <c r="D112" s="7">
        <v>93.5</v>
      </c>
      <c r="E112" s="2"/>
      <c r="F112" s="2"/>
      <c r="G112" s="2"/>
    </row>
    <row r="113" spans="1:7" ht="13" x14ac:dyDescent="0.25">
      <c r="A113" s="11">
        <v>43</v>
      </c>
      <c r="B113" s="7">
        <v>41.1</v>
      </c>
      <c r="C113" s="7">
        <v>62.4</v>
      </c>
      <c r="D113" s="7">
        <v>87.4</v>
      </c>
      <c r="E113" s="2"/>
      <c r="F113" s="2"/>
      <c r="G113" s="2"/>
    </row>
    <row r="114" spans="1:7" ht="13" x14ac:dyDescent="0.25">
      <c r="A114" s="11">
        <v>44</v>
      </c>
      <c r="B114" s="7">
        <v>24.1</v>
      </c>
      <c r="C114" s="7">
        <v>59.8</v>
      </c>
      <c r="D114" s="7">
        <v>69.7</v>
      </c>
      <c r="E114" s="2"/>
      <c r="F114" s="2"/>
      <c r="G114" s="2"/>
    </row>
    <row r="115" spans="1:7" ht="13" x14ac:dyDescent="0.25">
      <c r="A115" s="11">
        <v>45</v>
      </c>
      <c r="B115" s="7">
        <v>21.2</v>
      </c>
      <c r="C115" s="7">
        <v>62.5</v>
      </c>
      <c r="D115" s="7">
        <v>83.3</v>
      </c>
      <c r="E115" s="2"/>
      <c r="F115" s="2"/>
      <c r="G115" s="2"/>
    </row>
    <row r="116" spans="1:7" ht="13" x14ac:dyDescent="0.25">
      <c r="A116" s="11">
        <v>46</v>
      </c>
      <c r="B116" s="7">
        <v>44.4</v>
      </c>
      <c r="C116" s="7">
        <v>49.7</v>
      </c>
      <c r="D116" s="7">
        <v>68.599999999999994</v>
      </c>
      <c r="E116" s="2"/>
      <c r="F116" s="2"/>
      <c r="G116" s="2"/>
    </row>
    <row r="117" spans="1:7" ht="13" x14ac:dyDescent="0.25">
      <c r="A117" s="11">
        <v>47</v>
      </c>
      <c r="B117" s="7">
        <v>20.100000000000001</v>
      </c>
      <c r="C117" s="7">
        <v>57</v>
      </c>
      <c r="D117" s="7">
        <v>66.599999999999994</v>
      </c>
      <c r="E117" s="2"/>
      <c r="F117" s="2"/>
      <c r="G117" s="2"/>
    </row>
    <row r="118" spans="1:7" ht="13" x14ac:dyDescent="0.25">
      <c r="A118" s="11">
        <v>48</v>
      </c>
      <c r="B118" s="7">
        <v>34.299999999999997</v>
      </c>
      <c r="C118" s="7">
        <v>58.5</v>
      </c>
      <c r="D118" s="7">
        <v>70.3</v>
      </c>
      <c r="E118" s="2"/>
      <c r="F118" s="2"/>
      <c r="G118" s="2"/>
    </row>
    <row r="119" spans="1:7" ht="13" x14ac:dyDescent="0.25">
      <c r="A119" s="11">
        <v>49</v>
      </c>
      <c r="B119" s="7">
        <v>27.3</v>
      </c>
      <c r="C119" s="7">
        <v>49.2</v>
      </c>
      <c r="D119" s="7">
        <v>75.2</v>
      </c>
      <c r="E119" s="2"/>
      <c r="F119" s="2"/>
      <c r="G119" s="2"/>
    </row>
    <row r="120" spans="1:7" ht="13" x14ac:dyDescent="0.25">
      <c r="A120" s="11">
        <v>50</v>
      </c>
      <c r="B120" s="7">
        <v>35.4</v>
      </c>
      <c r="C120" s="7">
        <v>49.9</v>
      </c>
      <c r="D120" s="7">
        <v>98.8</v>
      </c>
      <c r="E120" s="2"/>
      <c r="F120" s="2"/>
      <c r="G120" s="2"/>
    </row>
    <row r="121" spans="1:7" ht="13" x14ac:dyDescent="0.25">
      <c r="A121" s="11">
        <v>51</v>
      </c>
      <c r="B121" s="7">
        <v>37.4</v>
      </c>
      <c r="C121" s="7">
        <v>58.7</v>
      </c>
      <c r="D121" s="7">
        <v>107.8</v>
      </c>
      <c r="E121" s="2"/>
      <c r="F121" s="2"/>
      <c r="G121" s="2"/>
    </row>
    <row r="122" spans="1:7" ht="13" x14ac:dyDescent="0.25">
      <c r="A122" s="11">
        <v>52</v>
      </c>
      <c r="B122" s="7">
        <v>43.1</v>
      </c>
      <c r="C122" s="7">
        <v>55.9</v>
      </c>
      <c r="D122" s="7">
        <v>102.5</v>
      </c>
      <c r="E122" s="2"/>
      <c r="F122" s="2"/>
      <c r="G122" s="2"/>
    </row>
    <row r="123" spans="1:7" ht="13" x14ac:dyDescent="0.25">
      <c r="A123" s="11">
        <v>53</v>
      </c>
      <c r="B123" s="7">
        <v>29.1</v>
      </c>
      <c r="C123" s="7">
        <v>60.6</v>
      </c>
      <c r="D123" s="7">
        <v>101.8</v>
      </c>
      <c r="E123" s="2"/>
      <c r="F123" s="2"/>
      <c r="G123" s="2"/>
    </row>
    <row r="124" spans="1:7" ht="13" x14ac:dyDescent="0.25">
      <c r="A124" s="11">
        <v>54</v>
      </c>
      <c r="B124" s="7">
        <v>39.799999999999997</v>
      </c>
      <c r="C124" s="7">
        <v>55.9</v>
      </c>
      <c r="D124" s="7">
        <v>106</v>
      </c>
      <c r="E124" s="2"/>
      <c r="F124" s="2"/>
      <c r="G124" s="2"/>
    </row>
    <row r="125" spans="1:7" ht="13" x14ac:dyDescent="0.25">
      <c r="A125" s="11">
        <v>55</v>
      </c>
      <c r="B125" s="7">
        <v>30.9</v>
      </c>
      <c r="C125" s="7">
        <v>48.7</v>
      </c>
      <c r="D125" s="7">
        <v>108.5</v>
      </c>
      <c r="E125" s="2"/>
      <c r="F125" s="2"/>
      <c r="G125" s="2"/>
    </row>
    <row r="126" spans="1:7" ht="13" x14ac:dyDescent="0.25">
      <c r="A126" s="11">
        <v>56</v>
      </c>
      <c r="B126" s="7">
        <v>23.4</v>
      </c>
      <c r="C126" s="7">
        <v>64.400000000000006</v>
      </c>
      <c r="D126" s="7">
        <v>71.3</v>
      </c>
      <c r="E126" s="2"/>
      <c r="F126" s="2"/>
      <c r="G126" s="2"/>
    </row>
    <row r="127" spans="1:7" ht="13" x14ac:dyDescent="0.25">
      <c r="A127" s="11">
        <v>57</v>
      </c>
      <c r="B127" s="7">
        <v>35.700000000000003</v>
      </c>
      <c r="C127" s="7">
        <v>46.8</v>
      </c>
      <c r="D127" s="7">
        <v>102.9</v>
      </c>
      <c r="E127" s="2"/>
      <c r="F127" s="2"/>
      <c r="G127" s="2"/>
    </row>
    <row r="128" spans="1:7" ht="13" x14ac:dyDescent="0.25">
      <c r="A128" s="11">
        <v>58</v>
      </c>
      <c r="B128" s="7">
        <v>37.700000000000003</v>
      </c>
      <c r="C128" s="7">
        <v>59.4</v>
      </c>
      <c r="D128" s="7">
        <v>67.5</v>
      </c>
      <c r="E128" s="2"/>
      <c r="F128" s="2"/>
      <c r="G128" s="2"/>
    </row>
    <row r="129" spans="1:7" ht="13" x14ac:dyDescent="0.25">
      <c r="A129" s="11">
        <v>59</v>
      </c>
      <c r="B129" s="7">
        <v>31.4</v>
      </c>
      <c r="C129" s="7">
        <v>55.8</v>
      </c>
      <c r="D129" s="7">
        <v>104.9</v>
      </c>
      <c r="E129" s="2"/>
      <c r="F129" s="2"/>
      <c r="G129" s="2"/>
    </row>
    <row r="130" spans="1:7" ht="13" x14ac:dyDescent="0.25">
      <c r="A130" s="11">
        <v>60</v>
      </c>
      <c r="B130" s="7">
        <v>40.700000000000003</v>
      </c>
      <c r="C130" s="7">
        <v>58.2</v>
      </c>
      <c r="D130" s="7">
        <v>66.599999999999994</v>
      </c>
      <c r="E130" s="2"/>
      <c r="F130" s="2"/>
      <c r="G130" s="2"/>
    </row>
    <row r="131" spans="1:7" ht="13" x14ac:dyDescent="0.25">
      <c r="A131" s="11">
        <v>61</v>
      </c>
      <c r="B131" s="7">
        <v>29.1</v>
      </c>
      <c r="C131" s="7">
        <v>54.3</v>
      </c>
      <c r="D131" s="7">
        <v>79.8</v>
      </c>
      <c r="E131" s="2"/>
      <c r="F131" s="2"/>
      <c r="G131" s="2"/>
    </row>
    <row r="132" spans="1:7" ht="13" x14ac:dyDescent="0.25">
      <c r="A132" s="11">
        <v>62</v>
      </c>
      <c r="B132" s="7">
        <v>26.2</v>
      </c>
      <c r="C132" s="7">
        <v>57.1</v>
      </c>
      <c r="D132" s="7">
        <v>80</v>
      </c>
      <c r="E132" s="2"/>
      <c r="F132" s="2"/>
      <c r="G132" s="2"/>
    </row>
    <row r="133" spans="1:7" ht="13.5" thickBot="1" x14ac:dyDescent="0.3">
      <c r="A133" s="14">
        <v>63</v>
      </c>
      <c r="B133" s="7">
        <v>43.5</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6" t="str">
        <f>A2</f>
        <v>Siyang Aiyuan Farm</v>
      </c>
      <c r="B138" s="13">
        <f>ROUNDDOWN(AVERAGE(B5:D13),1)</f>
        <v>58.2</v>
      </c>
      <c r="C138" s="13">
        <f>ROUNDDOWN(AVERAGE(E5:G20),1)</f>
        <v>71.8</v>
      </c>
      <c r="D138" s="11">
        <f>'2021.10'!D138</f>
        <v>8438</v>
      </c>
      <c r="E138" s="11">
        <v>15937</v>
      </c>
      <c r="F138" s="11">
        <f>B138*D138</f>
        <v>491091.60000000003</v>
      </c>
      <c r="G138" s="11">
        <f>C138*E138</f>
        <v>1144276.5999999999</v>
      </c>
    </row>
    <row r="139" spans="1:7" ht="13" x14ac:dyDescent="0.25">
      <c r="A139" s="6" t="str">
        <f>A21</f>
        <v>Dongtai Jianggang Farm</v>
      </c>
      <c r="B139" s="13">
        <f>ROUNDDOWN(AVERAGE(B24:D33),1)</f>
        <v>58.1</v>
      </c>
      <c r="C139" s="13">
        <f>ROUNDDOWN(AVERAGE(E24:G52),1)</f>
        <v>73</v>
      </c>
      <c r="D139" s="11">
        <f>'2021.10'!D139</f>
        <v>9440</v>
      </c>
      <c r="E139" s="11">
        <v>29471</v>
      </c>
      <c r="F139" s="11">
        <f t="shared" ref="F139:G141" si="0">B139*D139</f>
        <v>548464</v>
      </c>
      <c r="G139" s="11">
        <f t="shared" si="0"/>
        <v>2151383</v>
      </c>
    </row>
    <row r="140" spans="1:7" ht="13" x14ac:dyDescent="0.25">
      <c r="A140" s="6" t="str">
        <f>A53</f>
        <v>Sheyang Linhai Farm</v>
      </c>
      <c r="B140" s="13">
        <f>ROUNDDOWN(AVERAGE(B56:D67),1)</f>
        <v>57</v>
      </c>
      <c r="C140" s="13">
        <f>ROUNDDOWN(AVERAGE(E56:G62),1)</f>
        <v>72.3</v>
      </c>
      <c r="D140" s="11">
        <f>'2021.10'!D140</f>
        <v>11825</v>
      </c>
      <c r="E140" s="11">
        <v>6419</v>
      </c>
      <c r="F140" s="11">
        <f t="shared" si="0"/>
        <v>674025</v>
      </c>
      <c r="G140" s="11">
        <f t="shared" si="0"/>
        <v>464093.69999999995</v>
      </c>
    </row>
    <row r="141" spans="1:7" ht="13" x14ac:dyDescent="0.25">
      <c r="A141" s="6" t="str">
        <f>A68</f>
        <v>Siyang Nanliuji</v>
      </c>
      <c r="B141" s="13">
        <f>ROUNDDOWN(AVERAGE(B71:D133),1)</f>
        <v>57.9</v>
      </c>
      <c r="C141" s="11">
        <f>ROUNDDOWN(AVERAGE(0),1)</f>
        <v>0</v>
      </c>
      <c r="D141" s="11">
        <f>'2021.10'!D141</f>
        <v>65005</v>
      </c>
      <c r="E141" s="11">
        <v>0</v>
      </c>
      <c r="F141" s="11">
        <f t="shared" si="0"/>
        <v>3763789.5</v>
      </c>
      <c r="G141" s="11">
        <f t="shared" si="0"/>
        <v>0</v>
      </c>
    </row>
    <row r="142" spans="1:7" ht="13" x14ac:dyDescent="0.25">
      <c r="A142" s="613" t="s">
        <v>154</v>
      </c>
      <c r="B142" s="617"/>
      <c r="C142" s="614"/>
      <c r="D142" s="11">
        <f>SUM(D138:D141)</f>
        <v>94708</v>
      </c>
      <c r="E142" s="11">
        <f>SUM(E138:E141)</f>
        <v>51827</v>
      </c>
      <c r="F142" s="11">
        <f>SUM(F138:F141)</f>
        <v>5477370.0999999996</v>
      </c>
      <c r="G142" s="11">
        <f>SUM(G138:G141)</f>
        <v>3759753.3</v>
      </c>
    </row>
    <row r="144" spans="1:7" ht="13" x14ac:dyDescent="0.25">
      <c r="C144" s="613" t="s">
        <v>155</v>
      </c>
      <c r="D144" s="614"/>
    </row>
    <row r="145" spans="3:4" ht="13" x14ac:dyDescent="0.25">
      <c r="C145" s="11" t="s">
        <v>152</v>
      </c>
      <c r="D145" s="11" t="s">
        <v>153</v>
      </c>
    </row>
    <row r="146" spans="3:4" ht="13" x14ac:dyDescent="0.25">
      <c r="C146" s="12">
        <f>ROUNDDOWN(F142/D142,1)</f>
        <v>57.8</v>
      </c>
      <c r="D146" s="12">
        <f>ROUNDDOWN(G142/E142,1)</f>
        <v>72.5</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46"/>
  <sheetViews>
    <sheetView topLeftCell="A121" workbookViewId="0">
      <selection activeCell="A138" sqref="A138:A141"/>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'2021.11'!A2:G2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38.700000000000003</v>
      </c>
      <c r="C5" s="7">
        <v>49.9</v>
      </c>
      <c r="D5" s="7">
        <v>97</v>
      </c>
      <c r="E5" s="7">
        <v>53.3</v>
      </c>
      <c r="F5" s="7">
        <v>70.400000000000006</v>
      </c>
      <c r="G5" s="7">
        <v>105.3</v>
      </c>
    </row>
    <row r="6" spans="1:7" ht="13" x14ac:dyDescent="0.25">
      <c r="A6" s="11">
        <v>2</v>
      </c>
      <c r="B6" s="7">
        <v>27</v>
      </c>
      <c r="C6" s="7">
        <v>62.8</v>
      </c>
      <c r="D6" s="7">
        <v>108.4</v>
      </c>
      <c r="E6" s="7">
        <v>49.4</v>
      </c>
      <c r="F6" s="7">
        <v>83.2</v>
      </c>
      <c r="G6" s="7">
        <v>100.2</v>
      </c>
    </row>
    <row r="7" spans="1:7" ht="13" x14ac:dyDescent="0.25">
      <c r="A7" s="11">
        <v>3</v>
      </c>
      <c r="B7" s="7">
        <v>39.4</v>
      </c>
      <c r="C7" s="7">
        <v>55.4</v>
      </c>
      <c r="D7" s="7">
        <v>66.7</v>
      </c>
      <c r="E7" s="7">
        <v>48.4</v>
      </c>
      <c r="F7" s="7">
        <v>67.900000000000006</v>
      </c>
      <c r="G7" s="7">
        <v>85.9</v>
      </c>
    </row>
    <row r="8" spans="1:7" ht="13" x14ac:dyDescent="0.25">
      <c r="A8" s="11">
        <v>4</v>
      </c>
      <c r="B8" s="7">
        <v>37.5</v>
      </c>
      <c r="C8" s="7">
        <v>52.7</v>
      </c>
      <c r="D8" s="7">
        <v>73.599999999999994</v>
      </c>
      <c r="E8" s="7">
        <v>36.5</v>
      </c>
      <c r="F8" s="7">
        <v>70.099999999999994</v>
      </c>
      <c r="G8" s="7">
        <v>115.8</v>
      </c>
    </row>
    <row r="9" spans="1:7" ht="13" x14ac:dyDescent="0.25">
      <c r="A9" s="11">
        <v>5</v>
      </c>
      <c r="B9" s="7">
        <v>26.2</v>
      </c>
      <c r="C9" s="7">
        <v>45.3</v>
      </c>
      <c r="D9" s="7">
        <v>80.3</v>
      </c>
      <c r="E9" s="7">
        <v>26.1</v>
      </c>
      <c r="F9" s="7">
        <v>62.7</v>
      </c>
      <c r="G9" s="7">
        <v>88.6</v>
      </c>
    </row>
    <row r="10" spans="1:7" ht="13" x14ac:dyDescent="0.25">
      <c r="A10" s="11">
        <v>6</v>
      </c>
      <c r="B10" s="7">
        <v>32.200000000000003</v>
      </c>
      <c r="C10" s="7">
        <v>56.6</v>
      </c>
      <c r="D10" s="7">
        <v>79.3</v>
      </c>
      <c r="E10" s="7">
        <v>59.6</v>
      </c>
      <c r="F10" s="7">
        <v>66.8</v>
      </c>
      <c r="G10" s="7">
        <v>111.8</v>
      </c>
    </row>
    <row r="11" spans="1:7" ht="13" x14ac:dyDescent="0.25">
      <c r="A11" s="11">
        <v>7</v>
      </c>
      <c r="B11" s="7">
        <v>21.6</v>
      </c>
      <c r="C11" s="7">
        <v>52</v>
      </c>
      <c r="D11" s="7">
        <v>71.3</v>
      </c>
      <c r="E11" s="7">
        <v>49.8</v>
      </c>
      <c r="F11" s="7">
        <v>66.5</v>
      </c>
      <c r="G11" s="7">
        <v>115</v>
      </c>
    </row>
    <row r="12" spans="1:7" ht="13" x14ac:dyDescent="0.25">
      <c r="A12" s="11">
        <v>8</v>
      </c>
      <c r="B12" s="7">
        <v>35.4</v>
      </c>
      <c r="C12" s="7">
        <v>55.6</v>
      </c>
      <c r="D12" s="7">
        <v>89.3</v>
      </c>
      <c r="E12" s="7">
        <v>42.7</v>
      </c>
      <c r="F12" s="7">
        <v>84.9</v>
      </c>
      <c r="G12" s="7">
        <v>102.1</v>
      </c>
    </row>
    <row r="13" spans="1:7" ht="13" x14ac:dyDescent="0.25">
      <c r="A13" s="11">
        <v>9</v>
      </c>
      <c r="B13" s="7">
        <v>24.3</v>
      </c>
      <c r="C13" s="7">
        <v>53.3</v>
      </c>
      <c r="D13" s="7">
        <v>102.3</v>
      </c>
      <c r="E13" s="7">
        <v>28.4</v>
      </c>
      <c r="F13" s="7">
        <v>60.4</v>
      </c>
      <c r="G13" s="7">
        <v>119.8</v>
      </c>
    </row>
    <row r="14" spans="1:7" ht="13" x14ac:dyDescent="0.25">
      <c r="A14" s="11">
        <v>10</v>
      </c>
      <c r="B14" s="7"/>
      <c r="C14" s="7"/>
      <c r="D14" s="7"/>
      <c r="E14" s="7">
        <v>26.4</v>
      </c>
      <c r="F14" s="7">
        <v>68.400000000000006</v>
      </c>
      <c r="G14" s="7">
        <v>118.2</v>
      </c>
    </row>
    <row r="15" spans="1:7" ht="13" x14ac:dyDescent="0.25">
      <c r="A15" s="11">
        <v>11</v>
      </c>
      <c r="B15" s="7"/>
      <c r="C15" s="7"/>
      <c r="D15" s="7"/>
      <c r="E15" s="7">
        <v>46.3</v>
      </c>
      <c r="F15" s="7">
        <v>66.2</v>
      </c>
      <c r="G15" s="7">
        <v>103.2</v>
      </c>
    </row>
    <row r="16" spans="1:7" ht="13" x14ac:dyDescent="0.25">
      <c r="A16" s="11">
        <v>12</v>
      </c>
      <c r="B16" s="7"/>
      <c r="C16" s="7"/>
      <c r="D16" s="7"/>
      <c r="E16" s="7">
        <v>40.1</v>
      </c>
      <c r="F16" s="7">
        <v>83.2</v>
      </c>
      <c r="G16" s="7">
        <v>109.2</v>
      </c>
    </row>
    <row r="17" spans="1:7" ht="13" x14ac:dyDescent="0.25">
      <c r="A17" s="11">
        <v>13</v>
      </c>
      <c r="B17" s="7"/>
      <c r="C17" s="7"/>
      <c r="D17" s="7"/>
      <c r="E17" s="7">
        <v>57</v>
      </c>
      <c r="F17" s="7">
        <v>76.599999999999994</v>
      </c>
      <c r="G17" s="7">
        <v>97.1</v>
      </c>
    </row>
    <row r="18" spans="1:7" ht="13" x14ac:dyDescent="0.25">
      <c r="A18" s="11">
        <v>14</v>
      </c>
      <c r="B18" s="7"/>
      <c r="C18" s="7"/>
      <c r="D18" s="7"/>
      <c r="E18" s="7">
        <v>48.2</v>
      </c>
      <c r="F18" s="7">
        <v>63.8</v>
      </c>
      <c r="G18" s="7">
        <v>103.9</v>
      </c>
    </row>
    <row r="19" spans="1:7" ht="13" x14ac:dyDescent="0.25">
      <c r="A19" s="11">
        <v>15</v>
      </c>
      <c r="B19" s="7"/>
      <c r="C19" s="7"/>
      <c r="D19" s="7"/>
      <c r="E19" s="7">
        <v>53.8</v>
      </c>
      <c r="F19" s="7">
        <v>76.400000000000006</v>
      </c>
      <c r="G19" s="7">
        <v>103</v>
      </c>
    </row>
    <row r="20" spans="1:7" ht="13.5" thickBot="1" x14ac:dyDescent="0.3">
      <c r="A20" s="14">
        <v>16</v>
      </c>
      <c r="B20" s="15"/>
      <c r="C20" s="15"/>
      <c r="D20" s="15"/>
      <c r="E20" s="7">
        <v>58.3</v>
      </c>
      <c r="F20" s="7">
        <v>63.4</v>
      </c>
      <c r="G20" s="7">
        <v>91</v>
      </c>
    </row>
    <row r="21" spans="1:7" ht="13.5" thickTop="1" x14ac:dyDescent="0.25">
      <c r="A21" s="612" t="str">
        <f>'2021.11'!A21:G21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26.7</v>
      </c>
      <c r="C24" s="7">
        <v>60.4</v>
      </c>
      <c r="D24" s="7">
        <v>65.5</v>
      </c>
      <c r="E24" s="7">
        <v>31.3</v>
      </c>
      <c r="F24" s="7">
        <v>75.099999999999994</v>
      </c>
      <c r="G24" s="7">
        <v>99.6</v>
      </c>
    </row>
    <row r="25" spans="1:7" ht="13" x14ac:dyDescent="0.25">
      <c r="A25" s="11">
        <v>2</v>
      </c>
      <c r="B25" s="7">
        <v>42.7</v>
      </c>
      <c r="C25" s="7">
        <v>47.7</v>
      </c>
      <c r="D25" s="7">
        <v>72</v>
      </c>
      <c r="E25" s="7">
        <v>43.6</v>
      </c>
      <c r="F25" s="7">
        <v>75.2</v>
      </c>
      <c r="G25" s="7">
        <v>114.3</v>
      </c>
    </row>
    <row r="26" spans="1:7" ht="13" x14ac:dyDescent="0.25">
      <c r="A26" s="11">
        <v>3</v>
      </c>
      <c r="B26" s="7">
        <v>25.4</v>
      </c>
      <c r="C26" s="7">
        <v>46.2</v>
      </c>
      <c r="D26" s="7">
        <v>65.5</v>
      </c>
      <c r="E26" s="7">
        <v>53.3</v>
      </c>
      <c r="F26" s="7">
        <v>84.2</v>
      </c>
      <c r="G26" s="7">
        <v>107.6</v>
      </c>
    </row>
    <row r="27" spans="1:7" ht="13" x14ac:dyDescent="0.25">
      <c r="A27" s="11">
        <v>4</v>
      </c>
      <c r="B27" s="7">
        <v>31.5</v>
      </c>
      <c r="C27" s="7">
        <v>63</v>
      </c>
      <c r="D27" s="7">
        <v>94.1</v>
      </c>
      <c r="E27" s="7">
        <v>37.700000000000003</v>
      </c>
      <c r="F27" s="7">
        <v>79.3</v>
      </c>
      <c r="G27" s="7">
        <v>98.5</v>
      </c>
    </row>
    <row r="28" spans="1:7" ht="13" x14ac:dyDescent="0.25">
      <c r="A28" s="11">
        <v>5</v>
      </c>
      <c r="B28" s="7">
        <v>20.2</v>
      </c>
      <c r="C28" s="7">
        <v>60.8</v>
      </c>
      <c r="D28" s="7">
        <v>71.7</v>
      </c>
      <c r="E28" s="7">
        <v>39.700000000000003</v>
      </c>
      <c r="F28" s="7">
        <v>75.3</v>
      </c>
      <c r="G28" s="7">
        <v>113.5</v>
      </c>
    </row>
    <row r="29" spans="1:7" ht="13" x14ac:dyDescent="0.25">
      <c r="A29" s="11">
        <v>6</v>
      </c>
      <c r="B29" s="7">
        <v>30.4</v>
      </c>
      <c r="C29" s="7">
        <v>60.8</v>
      </c>
      <c r="D29" s="7">
        <v>74.5</v>
      </c>
      <c r="E29" s="7">
        <v>27.7</v>
      </c>
      <c r="F29" s="7">
        <v>85</v>
      </c>
      <c r="G29" s="7">
        <v>99.9</v>
      </c>
    </row>
    <row r="30" spans="1:7" ht="13" x14ac:dyDescent="0.25">
      <c r="A30" s="11">
        <v>7</v>
      </c>
      <c r="B30" s="7">
        <v>37</v>
      </c>
      <c r="C30" s="7">
        <v>60.4</v>
      </c>
      <c r="D30" s="7">
        <v>79.7</v>
      </c>
      <c r="E30" s="7">
        <v>25.9</v>
      </c>
      <c r="F30" s="7">
        <v>78.5</v>
      </c>
      <c r="G30" s="7">
        <v>89</v>
      </c>
    </row>
    <row r="31" spans="1:7" ht="13" x14ac:dyDescent="0.25">
      <c r="A31" s="11">
        <v>8</v>
      </c>
      <c r="B31" s="7">
        <v>32.200000000000003</v>
      </c>
      <c r="C31" s="7">
        <v>56</v>
      </c>
      <c r="D31" s="7">
        <v>65.8</v>
      </c>
      <c r="E31" s="7">
        <v>46</v>
      </c>
      <c r="F31" s="7">
        <v>60.7</v>
      </c>
      <c r="G31" s="7">
        <v>100.8</v>
      </c>
    </row>
    <row r="32" spans="1:7" ht="13" x14ac:dyDescent="0.25">
      <c r="A32" s="11">
        <v>9</v>
      </c>
      <c r="B32" s="7">
        <v>22</v>
      </c>
      <c r="C32" s="7">
        <v>55.3</v>
      </c>
      <c r="D32" s="7">
        <v>95.5</v>
      </c>
      <c r="E32" s="7">
        <v>33.299999999999997</v>
      </c>
      <c r="F32" s="7">
        <v>64.400000000000006</v>
      </c>
      <c r="G32" s="7">
        <v>112.2</v>
      </c>
    </row>
    <row r="33" spans="1:7" ht="13" x14ac:dyDescent="0.25">
      <c r="A33" s="11">
        <v>10</v>
      </c>
      <c r="B33" s="7">
        <v>35</v>
      </c>
      <c r="C33" s="7">
        <v>54.9</v>
      </c>
      <c r="D33" s="7">
        <v>100.9</v>
      </c>
      <c r="E33" s="7">
        <v>56.5</v>
      </c>
      <c r="F33" s="7">
        <v>71.900000000000006</v>
      </c>
      <c r="G33" s="7">
        <v>103.6</v>
      </c>
    </row>
    <row r="34" spans="1:7" ht="13" x14ac:dyDescent="0.25">
      <c r="A34" s="11">
        <v>11</v>
      </c>
      <c r="B34" s="7"/>
      <c r="C34" s="7"/>
      <c r="D34" s="7"/>
      <c r="E34" s="7">
        <v>40.9</v>
      </c>
      <c r="F34" s="7">
        <v>63.9</v>
      </c>
      <c r="G34" s="7">
        <v>99.5</v>
      </c>
    </row>
    <row r="35" spans="1:7" ht="13" x14ac:dyDescent="0.25">
      <c r="A35" s="11">
        <v>12</v>
      </c>
      <c r="B35" s="7"/>
      <c r="C35" s="7"/>
      <c r="D35" s="7"/>
      <c r="E35" s="7">
        <v>57.1</v>
      </c>
      <c r="F35" s="7">
        <v>68</v>
      </c>
      <c r="G35" s="7">
        <v>101.7</v>
      </c>
    </row>
    <row r="36" spans="1:7" ht="13" x14ac:dyDescent="0.25">
      <c r="A36" s="11">
        <v>13</v>
      </c>
      <c r="B36" s="7"/>
      <c r="C36" s="7"/>
      <c r="D36" s="7"/>
      <c r="E36" s="7">
        <v>33.200000000000003</v>
      </c>
      <c r="F36" s="7">
        <v>82.4</v>
      </c>
      <c r="G36" s="7">
        <v>107.3</v>
      </c>
    </row>
    <row r="37" spans="1:7" ht="13" x14ac:dyDescent="0.25">
      <c r="A37" s="11">
        <v>14</v>
      </c>
      <c r="B37" s="7"/>
      <c r="C37" s="7"/>
      <c r="D37" s="7"/>
      <c r="E37" s="7">
        <v>36.200000000000003</v>
      </c>
      <c r="F37" s="7">
        <v>70.3</v>
      </c>
      <c r="G37" s="7">
        <v>99.6</v>
      </c>
    </row>
    <row r="38" spans="1:7" ht="13" x14ac:dyDescent="0.25">
      <c r="A38" s="11">
        <v>15</v>
      </c>
      <c r="B38" s="7"/>
      <c r="C38" s="7"/>
      <c r="D38" s="7"/>
      <c r="E38" s="7">
        <v>44.5</v>
      </c>
      <c r="F38" s="7">
        <v>83.7</v>
      </c>
      <c r="G38" s="7">
        <v>101.5</v>
      </c>
    </row>
    <row r="39" spans="1:7" ht="13" x14ac:dyDescent="0.25">
      <c r="A39" s="11">
        <v>16</v>
      </c>
      <c r="B39" s="7"/>
      <c r="C39" s="7"/>
      <c r="D39" s="7"/>
      <c r="E39" s="7">
        <v>43.6</v>
      </c>
      <c r="F39" s="7">
        <v>61.6</v>
      </c>
      <c r="G39" s="7">
        <v>116.3</v>
      </c>
    </row>
    <row r="40" spans="1:7" ht="13" x14ac:dyDescent="0.25">
      <c r="A40" s="11">
        <v>17</v>
      </c>
      <c r="B40" s="7"/>
      <c r="C40" s="7"/>
      <c r="D40" s="7"/>
      <c r="E40" s="7">
        <v>55.5</v>
      </c>
      <c r="F40" s="7">
        <v>82.6</v>
      </c>
      <c r="G40" s="7">
        <v>113.3</v>
      </c>
    </row>
    <row r="41" spans="1:7" ht="13" x14ac:dyDescent="0.25">
      <c r="A41" s="11">
        <v>18</v>
      </c>
      <c r="B41" s="7"/>
      <c r="C41" s="7"/>
      <c r="D41" s="7"/>
      <c r="E41" s="7">
        <v>50.3</v>
      </c>
      <c r="F41" s="7">
        <v>60.9</v>
      </c>
      <c r="G41" s="7">
        <v>116.6</v>
      </c>
    </row>
    <row r="42" spans="1:7" ht="13" x14ac:dyDescent="0.25">
      <c r="A42" s="11">
        <v>19</v>
      </c>
      <c r="B42" s="7"/>
      <c r="C42" s="7"/>
      <c r="D42" s="7"/>
      <c r="E42" s="7">
        <v>34.799999999999997</v>
      </c>
      <c r="F42" s="7">
        <v>82.2</v>
      </c>
      <c r="G42" s="7">
        <v>85.7</v>
      </c>
    </row>
    <row r="43" spans="1:7" ht="13" x14ac:dyDescent="0.25">
      <c r="A43" s="11">
        <v>20</v>
      </c>
      <c r="B43" s="7"/>
      <c r="C43" s="7"/>
      <c r="D43" s="7"/>
      <c r="E43" s="7">
        <v>36.200000000000003</v>
      </c>
      <c r="F43" s="7">
        <v>83.5</v>
      </c>
      <c r="G43" s="7">
        <v>113.9</v>
      </c>
    </row>
    <row r="44" spans="1:7" ht="13" x14ac:dyDescent="0.25">
      <c r="A44" s="11">
        <v>21</v>
      </c>
      <c r="B44" s="7"/>
      <c r="C44" s="7"/>
      <c r="D44" s="7"/>
      <c r="E44" s="7">
        <v>30.8</v>
      </c>
      <c r="F44" s="7">
        <v>63.6</v>
      </c>
      <c r="G44" s="7">
        <v>106.9</v>
      </c>
    </row>
    <row r="45" spans="1:7" ht="13" x14ac:dyDescent="0.25">
      <c r="A45" s="11">
        <v>22</v>
      </c>
      <c r="B45" s="7"/>
      <c r="C45" s="7"/>
      <c r="D45" s="7"/>
      <c r="E45" s="7">
        <v>36.299999999999997</v>
      </c>
      <c r="F45" s="7">
        <v>77.400000000000006</v>
      </c>
      <c r="G45" s="7">
        <v>100.5</v>
      </c>
    </row>
    <row r="46" spans="1:7" ht="13" x14ac:dyDescent="0.25">
      <c r="A46" s="11">
        <v>23</v>
      </c>
      <c r="B46" s="7"/>
      <c r="C46" s="7"/>
      <c r="D46" s="7"/>
      <c r="E46" s="7">
        <v>31.1</v>
      </c>
      <c r="F46" s="7">
        <v>70.2</v>
      </c>
      <c r="G46" s="7">
        <v>106.1</v>
      </c>
    </row>
    <row r="47" spans="1:7" ht="13" x14ac:dyDescent="0.25">
      <c r="A47" s="11">
        <v>24</v>
      </c>
      <c r="B47" s="7"/>
      <c r="C47" s="7"/>
      <c r="D47" s="7"/>
      <c r="E47" s="7">
        <v>43.9</v>
      </c>
      <c r="F47" s="7">
        <v>64.599999999999994</v>
      </c>
      <c r="G47" s="7">
        <v>97.1</v>
      </c>
    </row>
    <row r="48" spans="1:7" ht="13" x14ac:dyDescent="0.25">
      <c r="A48" s="11">
        <v>25</v>
      </c>
      <c r="B48" s="7"/>
      <c r="C48" s="7"/>
      <c r="D48" s="7"/>
      <c r="E48" s="7">
        <v>45.3</v>
      </c>
      <c r="F48" s="7">
        <v>74.599999999999994</v>
      </c>
      <c r="G48" s="7">
        <v>105.7</v>
      </c>
    </row>
    <row r="49" spans="1:7" ht="13" x14ac:dyDescent="0.25">
      <c r="A49" s="11">
        <v>26</v>
      </c>
      <c r="B49" s="7"/>
      <c r="C49" s="16"/>
      <c r="D49" s="7"/>
      <c r="E49" s="7">
        <v>58.5</v>
      </c>
      <c r="F49" s="7">
        <v>73.900000000000006</v>
      </c>
      <c r="G49" s="7">
        <v>90.4</v>
      </c>
    </row>
    <row r="50" spans="1:7" ht="13" x14ac:dyDescent="0.25">
      <c r="A50" s="11">
        <v>27</v>
      </c>
      <c r="B50" s="7"/>
      <c r="C50" s="16"/>
      <c r="D50" s="7"/>
      <c r="E50" s="7">
        <v>32.5</v>
      </c>
      <c r="F50" s="7">
        <v>74.3</v>
      </c>
      <c r="G50" s="7">
        <v>88.3</v>
      </c>
    </row>
    <row r="51" spans="1:7" ht="13" x14ac:dyDescent="0.25">
      <c r="A51" s="11">
        <v>28</v>
      </c>
      <c r="B51" s="7"/>
      <c r="C51" s="17"/>
      <c r="D51" s="7"/>
      <c r="E51" s="7">
        <v>26.3</v>
      </c>
      <c r="F51" s="7">
        <v>64.3</v>
      </c>
      <c r="G51" s="7">
        <v>93.7</v>
      </c>
    </row>
    <row r="52" spans="1:7" ht="13.5" thickBot="1" x14ac:dyDescent="0.3">
      <c r="A52" s="14">
        <v>29</v>
      </c>
      <c r="B52" s="18"/>
      <c r="C52" s="18"/>
      <c r="D52" s="15"/>
      <c r="E52" s="7">
        <v>54.5</v>
      </c>
      <c r="F52" s="7">
        <v>71.900000000000006</v>
      </c>
      <c r="G52" s="7">
        <v>96.6</v>
      </c>
    </row>
    <row r="53" spans="1:7" ht="13.5" thickTop="1" x14ac:dyDescent="0.25">
      <c r="A53" s="612" t="str">
        <f>'2021.11'!A53:G53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26.3</v>
      </c>
      <c r="C56" s="7">
        <v>63.3</v>
      </c>
      <c r="D56" s="7">
        <v>107.9</v>
      </c>
      <c r="E56" s="7">
        <v>31.7</v>
      </c>
      <c r="F56" s="7">
        <v>66.3</v>
      </c>
      <c r="G56" s="7">
        <v>89.2</v>
      </c>
    </row>
    <row r="57" spans="1:7" ht="13" x14ac:dyDescent="0.25">
      <c r="A57" s="11">
        <v>2</v>
      </c>
      <c r="B57" s="7">
        <v>39.4</v>
      </c>
      <c r="C57" s="7">
        <v>59.5</v>
      </c>
      <c r="D57" s="7">
        <v>106.9</v>
      </c>
      <c r="E57" s="7">
        <v>54</v>
      </c>
      <c r="F57" s="7">
        <v>64.099999999999994</v>
      </c>
      <c r="G57" s="7">
        <v>100.3</v>
      </c>
    </row>
    <row r="58" spans="1:7" ht="13" x14ac:dyDescent="0.25">
      <c r="A58" s="11">
        <v>3</v>
      </c>
      <c r="B58" s="7">
        <v>32.299999999999997</v>
      </c>
      <c r="C58" s="7">
        <v>60.7</v>
      </c>
      <c r="D58" s="7">
        <v>69</v>
      </c>
      <c r="E58" s="7">
        <v>46.2</v>
      </c>
      <c r="F58" s="7">
        <v>65.599999999999994</v>
      </c>
      <c r="G58" s="7">
        <v>95.5</v>
      </c>
    </row>
    <row r="59" spans="1:7" ht="13" x14ac:dyDescent="0.25">
      <c r="A59" s="11">
        <v>4</v>
      </c>
      <c r="B59" s="7">
        <v>43.3</v>
      </c>
      <c r="C59" s="7">
        <v>45</v>
      </c>
      <c r="D59" s="7">
        <v>75.8</v>
      </c>
      <c r="E59" s="7">
        <v>52.1</v>
      </c>
      <c r="F59" s="7">
        <v>68.3</v>
      </c>
      <c r="G59" s="7">
        <v>99.8</v>
      </c>
    </row>
    <row r="60" spans="1:7" ht="13" x14ac:dyDescent="0.25">
      <c r="A60" s="11">
        <v>5</v>
      </c>
      <c r="B60" s="7">
        <v>35.5</v>
      </c>
      <c r="C60" s="7">
        <v>56.7</v>
      </c>
      <c r="D60" s="7">
        <v>107.9</v>
      </c>
      <c r="E60" s="7">
        <v>32.799999999999997</v>
      </c>
      <c r="F60" s="7">
        <v>64.900000000000006</v>
      </c>
      <c r="G60" s="7">
        <v>88.7</v>
      </c>
    </row>
    <row r="61" spans="1:7" ht="13" x14ac:dyDescent="0.25">
      <c r="A61" s="11">
        <v>6</v>
      </c>
      <c r="B61" s="7">
        <v>36.299999999999997</v>
      </c>
      <c r="C61" s="7">
        <v>49.1</v>
      </c>
      <c r="D61" s="7">
        <v>83.9</v>
      </c>
      <c r="E61" s="7">
        <v>51.3</v>
      </c>
      <c r="F61" s="7">
        <v>63.5</v>
      </c>
      <c r="G61" s="7">
        <v>88.1</v>
      </c>
    </row>
    <row r="62" spans="1:7" ht="13" x14ac:dyDescent="0.25">
      <c r="A62" s="11">
        <v>7</v>
      </c>
      <c r="B62" s="7">
        <v>25.6</v>
      </c>
      <c r="C62" s="7">
        <v>51.3</v>
      </c>
      <c r="D62" s="7">
        <v>73.099999999999994</v>
      </c>
      <c r="E62" s="7">
        <v>35</v>
      </c>
      <c r="F62" s="7">
        <v>68.2</v>
      </c>
      <c r="G62" s="7">
        <v>112.2</v>
      </c>
    </row>
    <row r="63" spans="1:7" ht="13" x14ac:dyDescent="0.25">
      <c r="A63" s="11">
        <v>8</v>
      </c>
      <c r="B63" s="7">
        <v>25.2</v>
      </c>
      <c r="C63" s="7">
        <v>52.4</v>
      </c>
      <c r="D63" s="7">
        <v>98.3</v>
      </c>
      <c r="E63" s="7"/>
      <c r="F63" s="7"/>
      <c r="G63" s="7"/>
    </row>
    <row r="64" spans="1:7" ht="13" x14ac:dyDescent="0.25">
      <c r="A64" s="11">
        <v>9</v>
      </c>
      <c r="B64" s="7">
        <v>29.6</v>
      </c>
      <c r="C64" s="7">
        <v>54.4</v>
      </c>
      <c r="D64" s="7">
        <v>84.8</v>
      </c>
      <c r="E64" s="7"/>
      <c r="F64" s="7"/>
      <c r="G64" s="7"/>
    </row>
    <row r="65" spans="1:7" ht="13" x14ac:dyDescent="0.25">
      <c r="A65" s="11">
        <v>10</v>
      </c>
      <c r="B65" s="7">
        <v>28.7</v>
      </c>
      <c r="C65" s="7">
        <v>48.3</v>
      </c>
      <c r="D65" s="7">
        <v>102.3</v>
      </c>
      <c r="E65" s="7"/>
      <c r="F65" s="7"/>
      <c r="G65" s="7"/>
    </row>
    <row r="66" spans="1:7" ht="13" x14ac:dyDescent="0.25">
      <c r="A66" s="11">
        <v>11</v>
      </c>
      <c r="B66" s="7">
        <v>40.200000000000003</v>
      </c>
      <c r="C66" s="7">
        <v>52.8</v>
      </c>
      <c r="D66" s="7">
        <v>94.1</v>
      </c>
      <c r="E66" s="7"/>
      <c r="F66" s="7"/>
      <c r="G66" s="7"/>
    </row>
    <row r="67" spans="1:7" ht="13.5" thickBot="1" x14ac:dyDescent="0.3">
      <c r="A67" s="14">
        <v>12</v>
      </c>
      <c r="B67" s="7">
        <v>31</v>
      </c>
      <c r="C67" s="7">
        <v>60.1</v>
      </c>
      <c r="D67" s="7">
        <v>87.8</v>
      </c>
      <c r="E67" s="15"/>
      <c r="F67" s="15"/>
      <c r="G67" s="15"/>
    </row>
    <row r="68" spans="1:7" ht="13.5" thickTop="1" x14ac:dyDescent="0.25">
      <c r="A68" s="612" t="str">
        <f>'2021.11'!A68:G68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35.299999999999997</v>
      </c>
      <c r="C71" s="7">
        <v>50.4</v>
      </c>
      <c r="D71" s="7">
        <v>80.8</v>
      </c>
      <c r="E71" s="7"/>
      <c r="F71" s="7"/>
      <c r="G71" s="7"/>
    </row>
    <row r="72" spans="1:7" ht="13" x14ac:dyDescent="0.25">
      <c r="A72" s="11">
        <v>2</v>
      </c>
      <c r="B72" s="7">
        <v>22</v>
      </c>
      <c r="C72" s="7">
        <v>55.3</v>
      </c>
      <c r="D72" s="7">
        <v>94.2</v>
      </c>
      <c r="E72" s="6"/>
      <c r="F72" s="6"/>
      <c r="G72" s="7"/>
    </row>
    <row r="73" spans="1:7" ht="13" x14ac:dyDescent="0.25">
      <c r="A73" s="11">
        <v>3</v>
      </c>
      <c r="B73" s="7">
        <v>38.9</v>
      </c>
      <c r="C73" s="7">
        <v>63.8</v>
      </c>
      <c r="D73" s="7">
        <v>94.6</v>
      </c>
      <c r="E73" s="6"/>
      <c r="F73" s="6"/>
      <c r="G73" s="6"/>
    </row>
    <row r="74" spans="1:7" ht="13" x14ac:dyDescent="0.25">
      <c r="A74" s="11">
        <v>4</v>
      </c>
      <c r="B74" s="7">
        <v>40</v>
      </c>
      <c r="C74" s="7">
        <v>48.5</v>
      </c>
      <c r="D74" s="7">
        <v>89.4</v>
      </c>
      <c r="E74" s="6"/>
      <c r="F74" s="6"/>
      <c r="G74" s="6"/>
    </row>
    <row r="75" spans="1:7" ht="13" x14ac:dyDescent="0.25">
      <c r="A75" s="11">
        <v>5</v>
      </c>
      <c r="B75" s="7">
        <v>35.9</v>
      </c>
      <c r="C75" s="7">
        <v>47.8</v>
      </c>
      <c r="D75" s="7">
        <v>102.7</v>
      </c>
      <c r="E75" s="6"/>
      <c r="F75" s="6"/>
      <c r="G75" s="6"/>
    </row>
    <row r="76" spans="1:7" ht="13" x14ac:dyDescent="0.25">
      <c r="A76" s="11">
        <v>6</v>
      </c>
      <c r="B76" s="7">
        <v>39.200000000000003</v>
      </c>
      <c r="C76" s="7">
        <v>64.2</v>
      </c>
      <c r="D76" s="7">
        <v>94.2</v>
      </c>
      <c r="E76" s="6"/>
      <c r="F76" s="6"/>
      <c r="G76" s="6"/>
    </row>
    <row r="77" spans="1:7" ht="13" x14ac:dyDescent="0.25">
      <c r="A77" s="11">
        <v>7</v>
      </c>
      <c r="B77" s="7">
        <v>44.7</v>
      </c>
      <c r="C77" s="7">
        <v>45.1</v>
      </c>
      <c r="D77" s="7">
        <v>74.5</v>
      </c>
      <c r="E77" s="6"/>
      <c r="F77" s="6"/>
      <c r="G77" s="6"/>
    </row>
    <row r="78" spans="1:7" ht="13" x14ac:dyDescent="0.25">
      <c r="A78" s="11">
        <v>8</v>
      </c>
      <c r="B78" s="7">
        <v>30</v>
      </c>
      <c r="C78" s="7">
        <v>56.6</v>
      </c>
      <c r="D78" s="7">
        <v>67.900000000000006</v>
      </c>
      <c r="E78" s="6"/>
      <c r="F78" s="6"/>
      <c r="G78" s="6"/>
    </row>
    <row r="79" spans="1:7" ht="13" x14ac:dyDescent="0.25">
      <c r="A79" s="11">
        <v>9</v>
      </c>
      <c r="B79" s="7">
        <v>37.9</v>
      </c>
      <c r="C79" s="7">
        <v>54.9</v>
      </c>
      <c r="D79" s="7">
        <v>73.7</v>
      </c>
      <c r="E79" s="6"/>
      <c r="F79" s="6"/>
      <c r="G79" s="6"/>
    </row>
    <row r="80" spans="1:7" ht="13" x14ac:dyDescent="0.25">
      <c r="A80" s="11">
        <v>10</v>
      </c>
      <c r="B80" s="7">
        <v>37.9</v>
      </c>
      <c r="C80" s="7">
        <v>48.8</v>
      </c>
      <c r="D80" s="7">
        <v>105.9</v>
      </c>
      <c r="E80" s="6"/>
      <c r="F80" s="6"/>
      <c r="G80" s="6"/>
    </row>
    <row r="81" spans="1:7" ht="13" x14ac:dyDescent="0.25">
      <c r="A81" s="11">
        <v>11</v>
      </c>
      <c r="B81" s="7">
        <v>28.4</v>
      </c>
      <c r="C81" s="7">
        <v>57.6</v>
      </c>
      <c r="D81" s="7">
        <v>93.3</v>
      </c>
      <c r="E81" s="6"/>
      <c r="F81" s="6"/>
      <c r="G81" s="6"/>
    </row>
    <row r="82" spans="1:7" ht="13" x14ac:dyDescent="0.25">
      <c r="A82" s="11">
        <v>12</v>
      </c>
      <c r="B82" s="7">
        <v>33.4</v>
      </c>
      <c r="C82" s="7">
        <v>49.9</v>
      </c>
      <c r="D82" s="7">
        <v>95.6</v>
      </c>
      <c r="E82" s="6"/>
      <c r="F82" s="6"/>
      <c r="G82" s="6"/>
    </row>
    <row r="83" spans="1:7" ht="13" x14ac:dyDescent="0.25">
      <c r="A83" s="11">
        <v>13</v>
      </c>
      <c r="B83" s="7">
        <v>44.6</v>
      </c>
      <c r="C83" s="7">
        <v>51.5</v>
      </c>
      <c r="D83" s="7">
        <v>79.400000000000006</v>
      </c>
      <c r="E83" s="6"/>
      <c r="F83" s="6"/>
      <c r="G83" s="6"/>
    </row>
    <row r="84" spans="1:7" ht="13" x14ac:dyDescent="0.25">
      <c r="A84" s="11">
        <v>14</v>
      </c>
      <c r="B84" s="7">
        <v>34.299999999999997</v>
      </c>
      <c r="C84" s="7">
        <v>59.9</v>
      </c>
      <c r="D84" s="7">
        <v>81</v>
      </c>
      <c r="E84" s="6"/>
      <c r="F84" s="6"/>
      <c r="G84" s="6"/>
    </row>
    <row r="85" spans="1:7" ht="13" x14ac:dyDescent="0.25">
      <c r="A85" s="11">
        <v>15</v>
      </c>
      <c r="B85" s="7">
        <v>20.9</v>
      </c>
      <c r="C85" s="7">
        <v>55.2</v>
      </c>
      <c r="D85" s="7">
        <v>85.7</v>
      </c>
      <c r="E85" s="6"/>
      <c r="F85" s="6"/>
      <c r="G85" s="6"/>
    </row>
    <row r="86" spans="1:7" ht="13" x14ac:dyDescent="0.25">
      <c r="A86" s="11">
        <v>16</v>
      </c>
      <c r="B86" s="7">
        <v>41.1</v>
      </c>
      <c r="C86" s="7">
        <v>54.7</v>
      </c>
      <c r="D86" s="7">
        <v>88.2</v>
      </c>
      <c r="E86" s="6"/>
      <c r="F86" s="6"/>
      <c r="G86" s="6"/>
    </row>
    <row r="87" spans="1:7" ht="13" x14ac:dyDescent="0.25">
      <c r="A87" s="11">
        <v>17</v>
      </c>
      <c r="B87" s="7">
        <v>39.4</v>
      </c>
      <c r="C87" s="7">
        <v>52.7</v>
      </c>
      <c r="D87" s="7">
        <v>70</v>
      </c>
      <c r="E87" s="6"/>
      <c r="F87" s="6"/>
      <c r="G87" s="6"/>
    </row>
    <row r="88" spans="1:7" ht="13" x14ac:dyDescent="0.25">
      <c r="A88" s="11">
        <v>18</v>
      </c>
      <c r="B88" s="7">
        <v>29.1</v>
      </c>
      <c r="C88" s="7">
        <v>56.5</v>
      </c>
      <c r="D88" s="7">
        <v>92.7</v>
      </c>
      <c r="E88" s="6"/>
      <c r="F88" s="6"/>
      <c r="G88" s="6"/>
    </row>
    <row r="89" spans="1:7" ht="13" x14ac:dyDescent="0.25">
      <c r="A89" s="11">
        <v>19</v>
      </c>
      <c r="B89" s="7">
        <v>44.7</v>
      </c>
      <c r="C89" s="7">
        <v>64</v>
      </c>
      <c r="D89" s="7">
        <v>98.4</v>
      </c>
      <c r="E89" s="6"/>
      <c r="F89" s="6"/>
      <c r="G89" s="6"/>
    </row>
    <row r="90" spans="1:7" ht="13" x14ac:dyDescent="0.25">
      <c r="A90" s="11">
        <v>20</v>
      </c>
      <c r="B90" s="7">
        <v>32.5</v>
      </c>
      <c r="C90" s="7">
        <v>51.4</v>
      </c>
      <c r="D90" s="7">
        <v>100.5</v>
      </c>
      <c r="E90" s="6"/>
      <c r="F90" s="6"/>
      <c r="G90" s="6"/>
    </row>
    <row r="91" spans="1:7" ht="13" x14ac:dyDescent="0.25">
      <c r="A91" s="11">
        <v>21</v>
      </c>
      <c r="B91" s="7">
        <v>24.7</v>
      </c>
      <c r="C91" s="7">
        <v>62.8</v>
      </c>
      <c r="D91" s="7">
        <v>106.1</v>
      </c>
      <c r="E91" s="6"/>
      <c r="F91" s="6"/>
      <c r="G91" s="6"/>
    </row>
    <row r="92" spans="1:7" ht="13" x14ac:dyDescent="0.25">
      <c r="A92" s="11">
        <v>22</v>
      </c>
      <c r="B92" s="7">
        <v>40</v>
      </c>
      <c r="C92" s="7">
        <v>48.2</v>
      </c>
      <c r="D92" s="7">
        <v>90.7</v>
      </c>
      <c r="E92" s="6"/>
      <c r="F92" s="6"/>
      <c r="G92" s="6"/>
    </row>
    <row r="93" spans="1:7" ht="13" x14ac:dyDescent="0.25">
      <c r="A93" s="11">
        <v>23</v>
      </c>
      <c r="B93" s="7">
        <v>27.9</v>
      </c>
      <c r="C93" s="7">
        <v>58.6</v>
      </c>
      <c r="D93" s="7">
        <v>77.2</v>
      </c>
      <c r="E93" s="6"/>
      <c r="F93" s="6"/>
      <c r="G93" s="6"/>
    </row>
    <row r="94" spans="1:7" ht="13" x14ac:dyDescent="0.25">
      <c r="A94" s="11">
        <v>24</v>
      </c>
      <c r="B94" s="7">
        <v>30.3</v>
      </c>
      <c r="C94" s="7">
        <v>65</v>
      </c>
      <c r="D94" s="7">
        <v>95</v>
      </c>
      <c r="E94" s="6"/>
      <c r="F94" s="6"/>
      <c r="G94" s="6"/>
    </row>
    <row r="95" spans="1:7" ht="13" x14ac:dyDescent="0.25">
      <c r="A95" s="11">
        <v>25</v>
      </c>
      <c r="B95" s="7">
        <v>32.200000000000003</v>
      </c>
      <c r="C95" s="7">
        <v>59.7</v>
      </c>
      <c r="D95" s="7">
        <v>70.599999999999994</v>
      </c>
      <c r="E95" s="6"/>
      <c r="F95" s="6"/>
      <c r="G95" s="6"/>
    </row>
    <row r="96" spans="1:7" ht="13" x14ac:dyDescent="0.25">
      <c r="A96" s="11">
        <v>26</v>
      </c>
      <c r="B96" s="7">
        <v>21.3</v>
      </c>
      <c r="C96" s="7">
        <v>64.5</v>
      </c>
      <c r="D96" s="7">
        <v>108.5</v>
      </c>
      <c r="E96" s="17"/>
      <c r="F96" s="17"/>
      <c r="G96" s="17"/>
    </row>
    <row r="97" spans="1:7" ht="13" x14ac:dyDescent="0.25">
      <c r="A97" s="11">
        <v>27</v>
      </c>
      <c r="B97" s="7">
        <v>24.7</v>
      </c>
      <c r="C97" s="7">
        <v>59.9</v>
      </c>
      <c r="D97" s="7">
        <v>90.3</v>
      </c>
      <c r="E97" s="17"/>
      <c r="F97" s="17"/>
      <c r="G97" s="17"/>
    </row>
    <row r="98" spans="1:7" ht="13" x14ac:dyDescent="0.25">
      <c r="A98" s="11">
        <v>28</v>
      </c>
      <c r="B98" s="7">
        <v>38.1</v>
      </c>
      <c r="C98" s="7">
        <v>59.2</v>
      </c>
      <c r="D98" s="7">
        <v>72.599999999999994</v>
      </c>
      <c r="E98" s="17"/>
      <c r="F98" s="17"/>
      <c r="G98" s="17"/>
    </row>
    <row r="99" spans="1:7" ht="13" x14ac:dyDescent="0.25">
      <c r="A99" s="11">
        <v>29</v>
      </c>
      <c r="B99" s="7">
        <v>24.4</v>
      </c>
      <c r="C99" s="7">
        <v>52.1</v>
      </c>
      <c r="D99" s="7">
        <v>89.6</v>
      </c>
      <c r="E99" s="6"/>
      <c r="F99" s="6"/>
      <c r="G99" s="6"/>
    </row>
    <row r="100" spans="1:7" ht="13" x14ac:dyDescent="0.25">
      <c r="A100" s="11">
        <v>30</v>
      </c>
      <c r="B100" s="7">
        <v>41.3</v>
      </c>
      <c r="C100" s="7">
        <v>58.5</v>
      </c>
      <c r="D100" s="7">
        <v>107.5</v>
      </c>
      <c r="E100" s="2"/>
      <c r="F100" s="2"/>
      <c r="G100" s="2"/>
    </row>
    <row r="101" spans="1:7" ht="13" x14ac:dyDescent="0.25">
      <c r="A101" s="11">
        <v>31</v>
      </c>
      <c r="B101" s="7">
        <v>27.6</v>
      </c>
      <c r="C101" s="7">
        <v>46.1</v>
      </c>
      <c r="D101" s="7">
        <v>83</v>
      </c>
      <c r="E101" s="2"/>
      <c r="F101" s="2"/>
      <c r="G101" s="2"/>
    </row>
    <row r="102" spans="1:7" ht="13" x14ac:dyDescent="0.25">
      <c r="A102" s="11">
        <v>32</v>
      </c>
      <c r="B102" s="7">
        <v>39.4</v>
      </c>
      <c r="C102" s="7">
        <v>60.4</v>
      </c>
      <c r="D102" s="7">
        <v>87.5</v>
      </c>
      <c r="E102" s="2"/>
      <c r="F102" s="2"/>
      <c r="G102" s="2"/>
    </row>
    <row r="103" spans="1:7" ht="13" x14ac:dyDescent="0.25">
      <c r="A103" s="11">
        <v>33</v>
      </c>
      <c r="B103" s="7">
        <v>43.1</v>
      </c>
      <c r="C103" s="7">
        <v>52</v>
      </c>
      <c r="D103" s="7">
        <v>109.6</v>
      </c>
      <c r="E103" s="2"/>
      <c r="F103" s="2"/>
      <c r="G103" s="2"/>
    </row>
    <row r="104" spans="1:7" ht="13" x14ac:dyDescent="0.25">
      <c r="A104" s="11">
        <v>34</v>
      </c>
      <c r="B104" s="7">
        <v>39.5</v>
      </c>
      <c r="C104" s="7">
        <v>60.3</v>
      </c>
      <c r="D104" s="7">
        <v>100.8</v>
      </c>
      <c r="E104" s="2"/>
      <c r="F104" s="2"/>
      <c r="G104" s="2"/>
    </row>
    <row r="105" spans="1:7" ht="13" x14ac:dyDescent="0.25">
      <c r="A105" s="11">
        <v>35</v>
      </c>
      <c r="B105" s="7">
        <v>26.7</v>
      </c>
      <c r="C105" s="7">
        <v>51.6</v>
      </c>
      <c r="D105" s="7">
        <v>82.8</v>
      </c>
      <c r="E105" s="2"/>
      <c r="F105" s="2"/>
      <c r="G105" s="2"/>
    </row>
    <row r="106" spans="1:7" ht="13" x14ac:dyDescent="0.25">
      <c r="A106" s="11">
        <v>36</v>
      </c>
      <c r="B106" s="7">
        <v>20.5</v>
      </c>
      <c r="C106" s="7">
        <v>59.3</v>
      </c>
      <c r="D106" s="7">
        <v>87.3</v>
      </c>
      <c r="E106" s="2"/>
      <c r="F106" s="2"/>
      <c r="G106" s="2"/>
    </row>
    <row r="107" spans="1:7" ht="13" x14ac:dyDescent="0.25">
      <c r="A107" s="11">
        <v>37</v>
      </c>
      <c r="B107" s="7">
        <v>42.2</v>
      </c>
      <c r="C107" s="7">
        <v>62.9</v>
      </c>
      <c r="D107" s="7">
        <v>81.900000000000006</v>
      </c>
      <c r="E107" s="2"/>
      <c r="F107" s="2"/>
      <c r="G107" s="2"/>
    </row>
    <row r="108" spans="1:7" ht="13" x14ac:dyDescent="0.25">
      <c r="A108" s="11">
        <v>38</v>
      </c>
      <c r="B108" s="7">
        <v>35.9</v>
      </c>
      <c r="C108" s="7">
        <v>45</v>
      </c>
      <c r="D108" s="7">
        <v>78.400000000000006</v>
      </c>
      <c r="E108" s="2"/>
      <c r="F108" s="2"/>
      <c r="G108" s="2"/>
    </row>
    <row r="109" spans="1:7" ht="13" x14ac:dyDescent="0.25">
      <c r="A109" s="11">
        <v>39</v>
      </c>
      <c r="B109" s="7">
        <v>26.3</v>
      </c>
      <c r="C109" s="7">
        <v>64.5</v>
      </c>
      <c r="D109" s="7">
        <v>67.099999999999994</v>
      </c>
      <c r="E109" s="2"/>
      <c r="F109" s="2"/>
      <c r="G109" s="2"/>
    </row>
    <row r="110" spans="1:7" ht="13" x14ac:dyDescent="0.25">
      <c r="A110" s="11">
        <v>40</v>
      </c>
      <c r="B110" s="7">
        <v>26.8</v>
      </c>
      <c r="C110" s="7">
        <v>64.8</v>
      </c>
      <c r="D110" s="7">
        <v>77.599999999999994</v>
      </c>
      <c r="E110" s="2"/>
      <c r="F110" s="2"/>
      <c r="G110" s="2"/>
    </row>
    <row r="111" spans="1:7" ht="13" x14ac:dyDescent="0.25">
      <c r="A111" s="11">
        <v>41</v>
      </c>
      <c r="B111" s="7">
        <v>37.1</v>
      </c>
      <c r="C111" s="7">
        <v>64.400000000000006</v>
      </c>
      <c r="D111" s="7">
        <v>108</v>
      </c>
      <c r="E111" s="2"/>
      <c r="F111" s="2"/>
      <c r="G111" s="2"/>
    </row>
    <row r="112" spans="1:7" ht="13" x14ac:dyDescent="0.25">
      <c r="A112" s="11">
        <v>42</v>
      </c>
      <c r="B112" s="7">
        <v>32.299999999999997</v>
      </c>
      <c r="C112" s="7">
        <v>64</v>
      </c>
      <c r="D112" s="7">
        <v>74.3</v>
      </c>
      <c r="E112" s="2"/>
      <c r="F112" s="2"/>
      <c r="G112" s="2"/>
    </row>
    <row r="113" spans="1:7" ht="13" x14ac:dyDescent="0.25">
      <c r="A113" s="11">
        <v>43</v>
      </c>
      <c r="B113" s="7">
        <v>28.9</v>
      </c>
      <c r="C113" s="7">
        <v>61.7</v>
      </c>
      <c r="D113" s="7">
        <v>80.400000000000006</v>
      </c>
      <c r="E113" s="2"/>
      <c r="F113" s="2"/>
      <c r="G113" s="2"/>
    </row>
    <row r="114" spans="1:7" ht="13" x14ac:dyDescent="0.25">
      <c r="A114" s="11">
        <v>44</v>
      </c>
      <c r="B114" s="7">
        <v>22.3</v>
      </c>
      <c r="C114" s="7">
        <v>50.2</v>
      </c>
      <c r="D114" s="7">
        <v>97.7</v>
      </c>
      <c r="E114" s="2"/>
      <c r="F114" s="2"/>
      <c r="G114" s="2"/>
    </row>
    <row r="115" spans="1:7" ht="13" x14ac:dyDescent="0.25">
      <c r="A115" s="11">
        <v>45</v>
      </c>
      <c r="B115" s="7">
        <v>27.7</v>
      </c>
      <c r="C115" s="7">
        <v>51.2</v>
      </c>
      <c r="D115" s="7">
        <v>81.099999999999994</v>
      </c>
      <c r="E115" s="2"/>
      <c r="F115" s="2"/>
      <c r="G115" s="2"/>
    </row>
    <row r="116" spans="1:7" ht="13" x14ac:dyDescent="0.25">
      <c r="A116" s="11">
        <v>46</v>
      </c>
      <c r="B116" s="7">
        <v>22.5</v>
      </c>
      <c r="C116" s="7">
        <v>64</v>
      </c>
      <c r="D116" s="7">
        <v>68.900000000000006</v>
      </c>
      <c r="E116" s="2"/>
      <c r="F116" s="2"/>
      <c r="G116" s="2"/>
    </row>
    <row r="117" spans="1:7" ht="13" x14ac:dyDescent="0.25">
      <c r="A117" s="11">
        <v>47</v>
      </c>
      <c r="B117" s="7">
        <v>39.299999999999997</v>
      </c>
      <c r="C117" s="7">
        <v>50.7</v>
      </c>
      <c r="D117" s="7">
        <v>91.1</v>
      </c>
      <c r="E117" s="2"/>
      <c r="F117" s="2"/>
      <c r="G117" s="2"/>
    </row>
    <row r="118" spans="1:7" ht="13" x14ac:dyDescent="0.25">
      <c r="A118" s="11">
        <v>48</v>
      </c>
      <c r="B118" s="7">
        <v>23</v>
      </c>
      <c r="C118" s="7">
        <v>58</v>
      </c>
      <c r="D118" s="7">
        <v>105.9</v>
      </c>
      <c r="E118" s="2"/>
      <c r="F118" s="2"/>
      <c r="G118" s="2"/>
    </row>
    <row r="119" spans="1:7" ht="13" x14ac:dyDescent="0.25">
      <c r="A119" s="11">
        <v>49</v>
      </c>
      <c r="B119" s="7">
        <v>36.1</v>
      </c>
      <c r="C119" s="7">
        <v>52.1</v>
      </c>
      <c r="D119" s="7">
        <v>99.4</v>
      </c>
      <c r="E119" s="2"/>
      <c r="F119" s="2"/>
      <c r="G119" s="2"/>
    </row>
    <row r="120" spans="1:7" ht="13" x14ac:dyDescent="0.25">
      <c r="A120" s="11">
        <v>50</v>
      </c>
      <c r="B120" s="7">
        <v>24.5</v>
      </c>
      <c r="C120" s="7">
        <v>58.6</v>
      </c>
      <c r="D120" s="7">
        <v>104.1</v>
      </c>
      <c r="E120" s="2"/>
      <c r="F120" s="2"/>
      <c r="G120" s="2"/>
    </row>
    <row r="121" spans="1:7" ht="13" x14ac:dyDescent="0.25">
      <c r="A121" s="11">
        <v>51</v>
      </c>
      <c r="B121" s="7">
        <v>22.5</v>
      </c>
      <c r="C121" s="7">
        <v>57.8</v>
      </c>
      <c r="D121" s="7">
        <v>105.1</v>
      </c>
      <c r="E121" s="2"/>
      <c r="F121" s="2"/>
      <c r="G121" s="2"/>
    </row>
    <row r="122" spans="1:7" ht="13" x14ac:dyDescent="0.25">
      <c r="A122" s="11">
        <v>52</v>
      </c>
      <c r="B122" s="7">
        <v>33</v>
      </c>
      <c r="C122" s="7">
        <v>54</v>
      </c>
      <c r="D122" s="7">
        <v>65.7</v>
      </c>
      <c r="E122" s="2"/>
      <c r="F122" s="2"/>
      <c r="G122" s="2"/>
    </row>
    <row r="123" spans="1:7" ht="13" x14ac:dyDescent="0.25">
      <c r="A123" s="11">
        <v>53</v>
      </c>
      <c r="B123" s="7">
        <v>43.6</v>
      </c>
      <c r="C123" s="7">
        <v>46.2</v>
      </c>
      <c r="D123" s="7">
        <v>77.7</v>
      </c>
      <c r="E123" s="2"/>
      <c r="F123" s="2"/>
      <c r="G123" s="2"/>
    </row>
    <row r="124" spans="1:7" ht="13" x14ac:dyDescent="0.25">
      <c r="A124" s="11">
        <v>54</v>
      </c>
      <c r="B124" s="7">
        <v>35.4</v>
      </c>
      <c r="C124" s="7">
        <v>49.6</v>
      </c>
      <c r="D124" s="7">
        <v>81.8</v>
      </c>
      <c r="E124" s="2"/>
      <c r="F124" s="2"/>
      <c r="G124" s="2"/>
    </row>
    <row r="125" spans="1:7" ht="13" x14ac:dyDescent="0.25">
      <c r="A125" s="11">
        <v>55</v>
      </c>
      <c r="B125" s="7">
        <v>36.4</v>
      </c>
      <c r="C125" s="7">
        <v>54.4</v>
      </c>
      <c r="D125" s="7">
        <v>72.5</v>
      </c>
      <c r="E125" s="2"/>
      <c r="F125" s="2"/>
      <c r="G125" s="2"/>
    </row>
    <row r="126" spans="1:7" ht="13" x14ac:dyDescent="0.25">
      <c r="A126" s="11">
        <v>56</v>
      </c>
      <c r="B126" s="7">
        <v>27</v>
      </c>
      <c r="C126" s="7">
        <v>57.8</v>
      </c>
      <c r="D126" s="7">
        <v>101.3</v>
      </c>
      <c r="E126" s="2"/>
      <c r="F126" s="2"/>
      <c r="G126" s="2"/>
    </row>
    <row r="127" spans="1:7" ht="13" x14ac:dyDescent="0.25">
      <c r="A127" s="11">
        <v>57</v>
      </c>
      <c r="B127" s="7">
        <v>35.200000000000003</v>
      </c>
      <c r="C127" s="7">
        <v>51.7</v>
      </c>
      <c r="D127" s="7">
        <v>68</v>
      </c>
      <c r="E127" s="2"/>
      <c r="F127" s="2"/>
      <c r="G127" s="2"/>
    </row>
    <row r="128" spans="1:7" ht="13" x14ac:dyDescent="0.25">
      <c r="A128" s="11">
        <v>58</v>
      </c>
      <c r="B128" s="7">
        <v>34</v>
      </c>
      <c r="C128" s="7">
        <v>57.3</v>
      </c>
      <c r="D128" s="7">
        <v>68.3</v>
      </c>
      <c r="E128" s="2"/>
      <c r="F128" s="2"/>
      <c r="G128" s="2"/>
    </row>
    <row r="129" spans="1:7" ht="13" x14ac:dyDescent="0.25">
      <c r="A129" s="11">
        <v>59</v>
      </c>
      <c r="B129" s="7">
        <v>32.700000000000003</v>
      </c>
      <c r="C129" s="7">
        <v>52.7</v>
      </c>
      <c r="D129" s="7">
        <v>103.5</v>
      </c>
      <c r="E129" s="2"/>
      <c r="F129" s="2"/>
      <c r="G129" s="2"/>
    </row>
    <row r="130" spans="1:7" ht="13" x14ac:dyDescent="0.25">
      <c r="A130" s="11">
        <v>60</v>
      </c>
      <c r="B130" s="7">
        <v>20.399999999999999</v>
      </c>
      <c r="C130" s="7">
        <v>50.7</v>
      </c>
      <c r="D130" s="7">
        <v>98.6</v>
      </c>
      <c r="E130" s="2"/>
      <c r="F130" s="2"/>
      <c r="G130" s="2"/>
    </row>
    <row r="131" spans="1:7" ht="13" x14ac:dyDescent="0.25">
      <c r="A131" s="11">
        <v>61</v>
      </c>
      <c r="B131" s="7">
        <v>33.4</v>
      </c>
      <c r="C131" s="7">
        <v>55.4</v>
      </c>
      <c r="D131" s="7">
        <v>88.8</v>
      </c>
      <c r="E131" s="2"/>
      <c r="F131" s="2"/>
      <c r="G131" s="2"/>
    </row>
    <row r="132" spans="1:7" ht="13" x14ac:dyDescent="0.25">
      <c r="A132" s="11">
        <v>62</v>
      </c>
      <c r="B132" s="7">
        <v>27</v>
      </c>
      <c r="C132" s="7">
        <v>61.2</v>
      </c>
      <c r="D132" s="7">
        <v>76</v>
      </c>
      <c r="E132" s="2"/>
      <c r="F132" s="2"/>
      <c r="G132" s="2"/>
    </row>
    <row r="133" spans="1:7" ht="13.5" thickBot="1" x14ac:dyDescent="0.3">
      <c r="A133" s="14">
        <v>63</v>
      </c>
      <c r="B133" s="7">
        <v>21</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11" t="str">
        <f>A2</f>
        <v>Siyang Aiyuan Farm</v>
      </c>
      <c r="B138" s="13">
        <f>ROUNDDOWN(AVERAGE(B5:D13),1)</f>
        <v>56.8</v>
      </c>
      <c r="C138" s="13">
        <f>ROUNDDOWN(AVERAGE(E5:G20),1)</f>
        <v>73.400000000000006</v>
      </c>
      <c r="D138" s="11">
        <f>'2021.11'!D138</f>
        <v>8438</v>
      </c>
      <c r="E138" s="11">
        <v>15932</v>
      </c>
      <c r="F138" s="11">
        <f>B138*D138</f>
        <v>479278.39999999997</v>
      </c>
      <c r="G138" s="11">
        <f>C138*E138</f>
        <v>1169408.8</v>
      </c>
    </row>
    <row r="139" spans="1:7" ht="13" x14ac:dyDescent="0.25">
      <c r="A139" s="11" t="str">
        <f>A21</f>
        <v>Dongtai Jianggang Farm</v>
      </c>
      <c r="B139" s="13">
        <f>ROUNDDOWN(AVERAGE(B24:D33),1)</f>
        <v>55.1</v>
      </c>
      <c r="C139" s="13">
        <f>ROUNDDOWN(AVERAGE(E24:G52),1)</f>
        <v>72.2</v>
      </c>
      <c r="D139" s="11">
        <f>'2021.11'!D139</f>
        <v>9440</v>
      </c>
      <c r="E139" s="11">
        <v>29483</v>
      </c>
      <c r="F139" s="11">
        <f t="shared" ref="F139:G141" si="0">B139*D139</f>
        <v>520144</v>
      </c>
      <c r="G139" s="11">
        <f t="shared" si="0"/>
        <v>2128672.6</v>
      </c>
    </row>
    <row r="140" spans="1:7" ht="13" x14ac:dyDescent="0.25">
      <c r="A140" s="11" t="str">
        <f>A53</f>
        <v>Sheyang Linhai Farm</v>
      </c>
      <c r="B140" s="13">
        <f>ROUNDDOWN(AVERAGE(B56:D67),1)</f>
        <v>59.4</v>
      </c>
      <c r="C140" s="13">
        <f>ROUNDDOWN(AVERAGE(E56:G62),1)</f>
        <v>68.400000000000006</v>
      </c>
      <c r="D140" s="11">
        <f>'2021.11'!D140</f>
        <v>11825</v>
      </c>
      <c r="E140" s="11">
        <v>6439</v>
      </c>
      <c r="F140" s="11">
        <f t="shared" si="0"/>
        <v>702405</v>
      </c>
      <c r="G140" s="11">
        <f t="shared" si="0"/>
        <v>440427.60000000003</v>
      </c>
    </row>
    <row r="141" spans="1:7" ht="13" x14ac:dyDescent="0.25">
      <c r="A141" s="11" t="str">
        <f>A68</f>
        <v>Siyang Nanliuji</v>
      </c>
      <c r="B141" s="13">
        <f>ROUNDDOWN(AVERAGE(B71:D133),1)</f>
        <v>58.5</v>
      </c>
      <c r="C141" s="11">
        <f>ROUNDDOWN(AVERAGE(0),1)</f>
        <v>0</v>
      </c>
      <c r="D141" s="11">
        <f>'2021.11'!D141</f>
        <v>65005</v>
      </c>
      <c r="E141" s="11">
        <v>0</v>
      </c>
      <c r="F141" s="11">
        <f t="shared" si="0"/>
        <v>3802792.5</v>
      </c>
      <c r="G141" s="11">
        <f t="shared" si="0"/>
        <v>0</v>
      </c>
    </row>
    <row r="142" spans="1:7" ht="13" x14ac:dyDescent="0.25">
      <c r="A142" s="613" t="s">
        <v>154</v>
      </c>
      <c r="B142" s="617"/>
      <c r="C142" s="614"/>
      <c r="D142" s="11">
        <f>SUM(D138:D141)</f>
        <v>94708</v>
      </c>
      <c r="E142" s="11">
        <f>SUM(E138:E141)</f>
        <v>51854</v>
      </c>
      <c r="F142" s="11">
        <f>SUM(F138:F141)</f>
        <v>5504619.9000000004</v>
      </c>
      <c r="G142" s="11">
        <f>SUM(G138:G141)</f>
        <v>3738509.0000000005</v>
      </c>
    </row>
    <row r="144" spans="1:7" ht="13" x14ac:dyDescent="0.25">
      <c r="C144" s="613" t="s">
        <v>155</v>
      </c>
      <c r="D144" s="614"/>
    </row>
    <row r="145" spans="3:4" ht="13" x14ac:dyDescent="0.25">
      <c r="C145" s="11" t="s">
        <v>152</v>
      </c>
      <c r="D145" s="11" t="s">
        <v>153</v>
      </c>
    </row>
    <row r="146" spans="3:4" ht="13" x14ac:dyDescent="0.25">
      <c r="C146" s="12">
        <f>ROUNDDOWN(F142/D142,1)</f>
        <v>58.1</v>
      </c>
      <c r="D146" s="12">
        <f>ROUNDDOWN(G142/E142,1)</f>
        <v>72</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469"/>
  <sheetViews>
    <sheetView topLeftCell="A67" zoomScaleNormal="100" workbookViewId="0">
      <selection activeCell="C88" sqref="C88"/>
    </sheetView>
  </sheetViews>
  <sheetFormatPr defaultRowHeight="13.5" x14ac:dyDescent="0.35"/>
  <cols>
    <col min="1" max="1" width="56" style="51" bestFit="1" customWidth="1"/>
    <col min="2" max="2" width="20.81640625" style="51" customWidth="1"/>
    <col min="3" max="3" width="24.453125" style="51" customWidth="1"/>
    <col min="4" max="4" width="28.453125" style="51" bestFit="1" customWidth="1"/>
    <col min="5" max="5" width="47" style="51" customWidth="1"/>
    <col min="6" max="6" width="9.453125" style="51" bestFit="1" customWidth="1"/>
    <col min="7" max="7" width="11" style="51" bestFit="1" customWidth="1"/>
    <col min="8" max="8" width="10.26953125" style="51" bestFit="1" customWidth="1"/>
    <col min="9" max="9" width="9.26953125" style="51" bestFit="1" customWidth="1"/>
    <col min="10" max="16384" width="8.7265625" style="51"/>
  </cols>
  <sheetData>
    <row r="1" spans="1:6" ht="16" x14ac:dyDescent="0.4">
      <c r="A1" s="237" t="s">
        <v>46</v>
      </c>
    </row>
    <row r="3" spans="1:6" x14ac:dyDescent="0.35">
      <c r="E3" s="247"/>
    </row>
    <row r="4" spans="1:6" x14ac:dyDescent="0.35">
      <c r="A4" s="298" t="s">
        <v>21</v>
      </c>
    </row>
    <row r="5" spans="1:6" x14ac:dyDescent="0.35">
      <c r="A5" s="298"/>
    </row>
    <row r="6" spans="1:6" x14ac:dyDescent="0.35">
      <c r="A6" s="299" t="s">
        <v>42</v>
      </c>
      <c r="B6" s="299"/>
    </row>
    <row r="7" spans="1:6" x14ac:dyDescent="0.35">
      <c r="A7" s="238"/>
    </row>
    <row r="8" spans="1:6" ht="16" x14ac:dyDescent="0.35">
      <c r="A8" s="300"/>
      <c r="B8" s="301"/>
      <c r="D8" s="302"/>
      <c r="E8" s="247"/>
    </row>
    <row r="9" spans="1:6" ht="16" x14ac:dyDescent="0.35">
      <c r="A9" s="300"/>
      <c r="B9" s="301"/>
      <c r="C9" s="303"/>
      <c r="D9" s="303"/>
      <c r="E9" s="247"/>
    </row>
    <row r="10" spans="1:6" ht="16" x14ac:dyDescent="0.35">
      <c r="A10" s="300"/>
      <c r="B10" s="301"/>
      <c r="C10" s="303"/>
      <c r="D10" s="303"/>
      <c r="E10" s="247"/>
    </row>
    <row r="11" spans="1:6" ht="16" x14ac:dyDescent="0.35">
      <c r="B11" s="301"/>
      <c r="C11" s="303"/>
      <c r="D11" s="303"/>
      <c r="E11" s="247"/>
    </row>
    <row r="12" spans="1:6" ht="16.5" thickBot="1" x14ac:dyDescent="0.4">
      <c r="A12" s="300"/>
      <c r="B12" s="301"/>
      <c r="C12" s="303"/>
      <c r="D12" s="303"/>
    </row>
    <row r="13" spans="1:6" ht="14" thickTop="1" x14ac:dyDescent="0.35">
      <c r="A13" s="304" t="s">
        <v>64</v>
      </c>
      <c r="B13" s="305" t="s">
        <v>63</v>
      </c>
      <c r="C13" s="305" t="s">
        <v>61</v>
      </c>
      <c r="D13" s="470" t="s">
        <v>62</v>
      </c>
      <c r="E13" s="471"/>
    </row>
    <row r="14" spans="1:6" ht="15" customHeight="1" x14ac:dyDescent="0.45">
      <c r="A14" s="306" t="s">
        <v>288</v>
      </c>
      <c r="B14" s="260"/>
      <c r="C14" s="474" t="s">
        <v>101</v>
      </c>
      <c r="D14" s="454" t="s">
        <v>385</v>
      </c>
      <c r="E14" s="478"/>
      <c r="F14" s="148"/>
    </row>
    <row r="15" spans="1:6" ht="15" customHeight="1" x14ac:dyDescent="0.35">
      <c r="A15" s="308" t="str">
        <f>'Baseline Emission'!A297</f>
        <v>10-June-2020 to 30-June-2020</v>
      </c>
      <c r="B15" s="260">
        <f>'monitoring results'!H4</f>
        <v>32.014750000000006</v>
      </c>
      <c r="C15" s="474"/>
      <c r="D15" s="454"/>
      <c r="E15" s="478"/>
      <c r="F15" s="148"/>
    </row>
    <row r="16" spans="1:6" ht="15" customHeight="1" x14ac:dyDescent="0.35">
      <c r="A16" s="308" t="str">
        <f>'Baseline Emission'!A298</f>
        <v>01-July-2020 to 31-July-2020</v>
      </c>
      <c r="B16" s="260">
        <f>'monitoring results'!H5</f>
        <v>33.897970000000001</v>
      </c>
      <c r="C16" s="474"/>
      <c r="D16" s="454"/>
      <c r="E16" s="478"/>
      <c r="F16" s="148"/>
    </row>
    <row r="17" spans="1:6" ht="15" customHeight="1" x14ac:dyDescent="0.35">
      <c r="A17" s="308" t="str">
        <f>'Baseline Emission'!A299</f>
        <v>01-August-2020 to 31-August-2020</v>
      </c>
      <c r="B17" s="260">
        <f>'monitoring results'!H6</f>
        <v>30.445399999999999</v>
      </c>
      <c r="C17" s="474"/>
      <c r="D17" s="454"/>
      <c r="E17" s="478"/>
      <c r="F17" s="148"/>
    </row>
    <row r="18" spans="1:6" ht="15" customHeight="1" x14ac:dyDescent="0.35">
      <c r="A18" s="308" t="str">
        <f>'Baseline Emission'!A300</f>
        <v>01-September-2020 to 30-September-2020</v>
      </c>
      <c r="B18" s="260">
        <f>'monitoring results'!H7</f>
        <v>31.073139999999999</v>
      </c>
      <c r="C18" s="474"/>
      <c r="D18" s="454"/>
      <c r="E18" s="478"/>
      <c r="F18" s="148"/>
    </row>
    <row r="19" spans="1:6" ht="15" customHeight="1" x14ac:dyDescent="0.35">
      <c r="A19" s="308" t="str">
        <f>'Baseline Emission'!A301</f>
        <v>01-October-2020 to 31-October-2020</v>
      </c>
      <c r="B19" s="260">
        <f>'monitoring results'!H8</f>
        <v>35.153450000000007</v>
      </c>
      <c r="C19" s="474"/>
      <c r="D19" s="454"/>
      <c r="E19" s="478"/>
      <c r="F19" s="148"/>
    </row>
    <row r="20" spans="1:6" ht="15" customHeight="1" x14ac:dyDescent="0.35">
      <c r="A20" s="308" t="str">
        <f>'Baseline Emission'!A302</f>
        <v>01-November-2020 to 30-November-2020</v>
      </c>
      <c r="B20" s="260">
        <f>'monitoring results'!H9</f>
        <v>34.211840000000002</v>
      </c>
      <c r="C20" s="474"/>
      <c r="D20" s="454"/>
      <c r="E20" s="478"/>
      <c r="F20" s="148"/>
    </row>
    <row r="21" spans="1:6" ht="15" customHeight="1" x14ac:dyDescent="0.35">
      <c r="A21" s="308" t="str">
        <f>'Baseline Emission'!A303</f>
        <v>01-December-2020 to 31-December-2020</v>
      </c>
      <c r="B21" s="260">
        <f>'monitoring results'!H10</f>
        <v>33.584100000000007</v>
      </c>
      <c r="C21" s="474"/>
      <c r="D21" s="454"/>
      <c r="E21" s="478"/>
      <c r="F21" s="148"/>
    </row>
    <row r="22" spans="1:6" ht="15" customHeight="1" x14ac:dyDescent="0.35">
      <c r="A22" s="308" t="str">
        <f>'Baseline Emission'!A304</f>
        <v>01-January-2021 to 31-January-2021</v>
      </c>
      <c r="B22" s="260">
        <f>'monitoring results'!H11</f>
        <v>32.642490000000002</v>
      </c>
      <c r="C22" s="474"/>
      <c r="D22" s="454"/>
      <c r="E22" s="478"/>
      <c r="F22" s="148"/>
    </row>
    <row r="23" spans="1:6" ht="15" customHeight="1" x14ac:dyDescent="0.35">
      <c r="A23" s="308" t="str">
        <f>'Baseline Emission'!A305</f>
        <v>01-February-2021 to 28-February-2021</v>
      </c>
      <c r="B23" s="260">
        <f>'monitoring results'!H12</f>
        <v>33.897970000000001</v>
      </c>
      <c r="C23" s="474"/>
      <c r="D23" s="454"/>
      <c r="E23" s="478"/>
      <c r="F23" s="148"/>
    </row>
    <row r="24" spans="1:6" ht="15" customHeight="1" x14ac:dyDescent="0.35">
      <c r="A24" s="308" t="str">
        <f>'Baseline Emission'!A306</f>
        <v>01-March-2021 to 31-March-2021</v>
      </c>
      <c r="B24" s="260">
        <f>'monitoring results'!H13</f>
        <v>35.467320000000001</v>
      </c>
      <c r="C24" s="474"/>
      <c r="D24" s="454"/>
      <c r="E24" s="478"/>
      <c r="F24" s="148"/>
    </row>
    <row r="25" spans="1:6" ht="15" customHeight="1" x14ac:dyDescent="0.35">
      <c r="A25" s="308" t="str">
        <f>'Baseline Emission'!A307</f>
        <v>01-April-2021 to 30-April-2021</v>
      </c>
      <c r="B25" s="260">
        <f>'monitoring results'!H14</f>
        <v>33.897970000000001</v>
      </c>
      <c r="C25" s="474"/>
      <c r="D25" s="454"/>
      <c r="E25" s="478"/>
      <c r="F25" s="148"/>
    </row>
    <row r="26" spans="1:6" ht="15" customHeight="1" x14ac:dyDescent="0.35">
      <c r="A26" s="308" t="str">
        <f>'Baseline Emission'!A308</f>
        <v>01-May-2021 to 31-May-2021</v>
      </c>
      <c r="B26" s="260">
        <f>'monitoring results'!H15</f>
        <v>30.131529999999998</v>
      </c>
      <c r="C26" s="474"/>
      <c r="D26" s="454"/>
      <c r="E26" s="478"/>
      <c r="F26" s="148"/>
    </row>
    <row r="27" spans="1:6" ht="15" customHeight="1" x14ac:dyDescent="0.35">
      <c r="A27" s="308" t="str">
        <f>'Baseline Emission'!A309</f>
        <v>01-June-2021 to 30-June-2021</v>
      </c>
      <c r="B27" s="260">
        <f>'monitoring results'!H16</f>
        <v>30.131529999999998</v>
      </c>
      <c r="C27" s="474"/>
      <c r="D27" s="454"/>
      <c r="E27" s="478"/>
      <c r="F27" s="148"/>
    </row>
    <row r="28" spans="1:6" ht="15" customHeight="1" x14ac:dyDescent="0.35">
      <c r="A28" s="308" t="str">
        <f>'Baseline Emission'!A310</f>
        <v>01-July-2021 to 31-July-2021</v>
      </c>
      <c r="B28" s="260">
        <f>'monitoring results'!H17</f>
        <v>32.956360000000004</v>
      </c>
      <c r="C28" s="474"/>
      <c r="D28" s="454"/>
      <c r="E28" s="478"/>
      <c r="F28" s="148"/>
    </row>
    <row r="29" spans="1:6" ht="15" customHeight="1" x14ac:dyDescent="0.35">
      <c r="A29" s="308" t="str">
        <f>'Baseline Emission'!A311</f>
        <v>01-August-2021 to 31-August-2021</v>
      </c>
      <c r="B29" s="260">
        <f>'monitoring results'!H18</f>
        <v>32.956360000000004</v>
      </c>
      <c r="C29" s="474"/>
      <c r="D29" s="454"/>
      <c r="E29" s="478"/>
      <c r="F29" s="148"/>
    </row>
    <row r="30" spans="1:6" ht="15" customHeight="1" x14ac:dyDescent="0.35">
      <c r="A30" s="308" t="str">
        <f>'Baseline Emission'!A312</f>
        <v>01-September-2021 to 30-September-2021</v>
      </c>
      <c r="B30" s="260">
        <f>'monitoring results'!H19</f>
        <v>32.956360000000004</v>
      </c>
      <c r="C30" s="474"/>
      <c r="D30" s="454"/>
      <c r="E30" s="478"/>
      <c r="F30" s="148"/>
    </row>
    <row r="31" spans="1:6" ht="15" customHeight="1" x14ac:dyDescent="0.35">
      <c r="A31" s="308" t="str">
        <f>'Baseline Emission'!A313</f>
        <v>01-October-2021 to 31-October-2021</v>
      </c>
      <c r="B31" s="260">
        <f>'monitoring results'!H20</f>
        <v>31.38701</v>
      </c>
      <c r="C31" s="474"/>
      <c r="D31" s="454"/>
      <c r="E31" s="478"/>
      <c r="F31" s="148"/>
    </row>
    <row r="32" spans="1:6" ht="15" customHeight="1" x14ac:dyDescent="0.35">
      <c r="A32" s="308" t="str">
        <f>'Baseline Emission'!A314</f>
        <v>01-November-2021 to 30-November-2021</v>
      </c>
      <c r="B32" s="260">
        <f>'monitoring results'!H21</f>
        <v>35.781190000000002</v>
      </c>
      <c r="C32" s="474"/>
      <c r="D32" s="454"/>
      <c r="E32" s="478"/>
      <c r="F32" s="148"/>
    </row>
    <row r="33" spans="1:6" ht="15" customHeight="1" x14ac:dyDescent="0.35">
      <c r="A33" s="308" t="str">
        <f>'Baseline Emission'!A315</f>
        <v>01-December-2021 to 31-December-2021</v>
      </c>
      <c r="B33" s="260">
        <f>'monitoring results'!H22</f>
        <v>33.270230000000005</v>
      </c>
      <c r="C33" s="474"/>
      <c r="D33" s="454"/>
      <c r="E33" s="478"/>
      <c r="F33" s="148"/>
    </row>
    <row r="34" spans="1:6" ht="28" customHeight="1" x14ac:dyDescent="0.45">
      <c r="A34" s="306" t="s">
        <v>289</v>
      </c>
      <c r="B34" s="309">
        <f>0.5*0.7921+0.5*0.387</f>
        <v>0.58955000000000002</v>
      </c>
      <c r="C34" s="88" t="s">
        <v>290</v>
      </c>
      <c r="D34" s="472" t="s">
        <v>386</v>
      </c>
      <c r="E34" s="473"/>
    </row>
    <row r="35" spans="1:6" ht="28.5" customHeight="1" x14ac:dyDescent="0.45">
      <c r="A35" s="306" t="s">
        <v>291</v>
      </c>
      <c r="B35" s="310">
        <v>0.2</v>
      </c>
      <c r="C35" s="88" t="s">
        <v>81</v>
      </c>
      <c r="D35" s="472" t="s">
        <v>135</v>
      </c>
      <c r="E35" s="473"/>
    </row>
    <row r="36" spans="1:6" ht="15" customHeight="1" x14ac:dyDescent="0.45">
      <c r="A36" s="311" t="s">
        <v>292</v>
      </c>
      <c r="B36" s="312"/>
      <c r="C36" s="88"/>
      <c r="D36" s="474"/>
      <c r="E36" s="475"/>
    </row>
    <row r="37" spans="1:6" ht="15" customHeight="1" x14ac:dyDescent="0.35">
      <c r="A37" s="308" t="str">
        <f t="shared" ref="A37:A55" si="0">A15</f>
        <v>10-June-2020 to 30-June-2020</v>
      </c>
      <c r="B37" s="313">
        <f t="shared" ref="B37:B55" si="1">ROUNDUP(B15*$B$34*(1+$B$35),2)</f>
        <v>22.650000000000002</v>
      </c>
      <c r="C37" s="88" t="s">
        <v>184</v>
      </c>
      <c r="D37" s="522" t="s">
        <v>102</v>
      </c>
      <c r="E37" s="523"/>
    </row>
    <row r="38" spans="1:6" ht="15" customHeight="1" x14ac:dyDescent="0.35">
      <c r="A38" s="308" t="str">
        <f t="shared" si="0"/>
        <v>01-July-2020 to 31-July-2020</v>
      </c>
      <c r="B38" s="313">
        <f t="shared" si="1"/>
        <v>23.990000000000002</v>
      </c>
      <c r="C38" s="88" t="s">
        <v>184</v>
      </c>
      <c r="D38" s="522"/>
      <c r="E38" s="523"/>
    </row>
    <row r="39" spans="1:6" ht="15" customHeight="1" x14ac:dyDescent="0.35">
      <c r="A39" s="308" t="str">
        <f t="shared" si="0"/>
        <v>01-August-2020 to 31-August-2020</v>
      </c>
      <c r="B39" s="313">
        <f t="shared" si="1"/>
        <v>21.540000000000003</v>
      </c>
      <c r="C39" s="88" t="s">
        <v>184</v>
      </c>
      <c r="D39" s="522"/>
      <c r="E39" s="523"/>
    </row>
    <row r="40" spans="1:6" ht="15" customHeight="1" x14ac:dyDescent="0.35">
      <c r="A40" s="308" t="str">
        <f t="shared" si="0"/>
        <v>01-September-2020 to 30-September-2020</v>
      </c>
      <c r="B40" s="313">
        <f t="shared" si="1"/>
        <v>21.990000000000002</v>
      </c>
      <c r="C40" s="88" t="s">
        <v>184</v>
      </c>
      <c r="D40" s="522"/>
      <c r="E40" s="523"/>
    </row>
    <row r="41" spans="1:6" ht="15" customHeight="1" x14ac:dyDescent="0.35">
      <c r="A41" s="308" t="str">
        <f t="shared" si="0"/>
        <v>01-October-2020 to 31-October-2020</v>
      </c>
      <c r="B41" s="313">
        <f t="shared" si="1"/>
        <v>24.87</v>
      </c>
      <c r="C41" s="88" t="s">
        <v>184</v>
      </c>
      <c r="D41" s="522"/>
      <c r="E41" s="523"/>
    </row>
    <row r="42" spans="1:6" ht="15" customHeight="1" x14ac:dyDescent="0.35">
      <c r="A42" s="308" t="str">
        <f t="shared" si="0"/>
        <v>01-November-2020 to 30-November-2020</v>
      </c>
      <c r="B42" s="313">
        <f t="shared" si="1"/>
        <v>24.21</v>
      </c>
      <c r="C42" s="88" t="s">
        <v>184</v>
      </c>
      <c r="D42" s="522"/>
      <c r="E42" s="523"/>
    </row>
    <row r="43" spans="1:6" ht="15" customHeight="1" x14ac:dyDescent="0.35">
      <c r="A43" s="308" t="str">
        <f t="shared" si="0"/>
        <v>01-December-2020 to 31-December-2020</v>
      </c>
      <c r="B43" s="313">
        <f t="shared" si="1"/>
        <v>23.76</v>
      </c>
      <c r="C43" s="88" t="s">
        <v>184</v>
      </c>
      <c r="D43" s="522"/>
      <c r="E43" s="523"/>
    </row>
    <row r="44" spans="1:6" ht="15" customHeight="1" x14ac:dyDescent="0.35">
      <c r="A44" s="308" t="str">
        <f t="shared" si="0"/>
        <v>01-January-2021 to 31-January-2021</v>
      </c>
      <c r="B44" s="313">
        <f t="shared" si="1"/>
        <v>23.1</v>
      </c>
      <c r="C44" s="88" t="s">
        <v>184</v>
      </c>
      <c r="D44" s="522"/>
      <c r="E44" s="523"/>
    </row>
    <row r="45" spans="1:6" ht="15" customHeight="1" x14ac:dyDescent="0.35">
      <c r="A45" s="308" t="str">
        <f t="shared" si="0"/>
        <v>01-February-2021 to 28-February-2021</v>
      </c>
      <c r="B45" s="313">
        <f t="shared" si="1"/>
        <v>23.990000000000002</v>
      </c>
      <c r="C45" s="88" t="s">
        <v>184</v>
      </c>
      <c r="D45" s="522"/>
      <c r="E45" s="523"/>
    </row>
    <row r="46" spans="1:6" ht="15" customHeight="1" x14ac:dyDescent="0.35">
      <c r="A46" s="308" t="str">
        <f t="shared" si="0"/>
        <v>01-March-2021 to 31-March-2021</v>
      </c>
      <c r="B46" s="313">
        <f t="shared" si="1"/>
        <v>25.1</v>
      </c>
      <c r="C46" s="88" t="s">
        <v>184</v>
      </c>
      <c r="D46" s="522"/>
      <c r="E46" s="523"/>
    </row>
    <row r="47" spans="1:6" ht="15" customHeight="1" x14ac:dyDescent="0.35">
      <c r="A47" s="308" t="str">
        <f t="shared" si="0"/>
        <v>01-April-2021 to 30-April-2021</v>
      </c>
      <c r="B47" s="313">
        <f t="shared" si="1"/>
        <v>23.990000000000002</v>
      </c>
      <c r="C47" s="88" t="s">
        <v>184</v>
      </c>
      <c r="D47" s="522"/>
      <c r="E47" s="523"/>
    </row>
    <row r="48" spans="1:6" ht="15" customHeight="1" x14ac:dyDescent="0.35">
      <c r="A48" s="308" t="str">
        <f t="shared" si="0"/>
        <v>01-May-2021 to 31-May-2021</v>
      </c>
      <c r="B48" s="313">
        <f t="shared" si="1"/>
        <v>21.32</v>
      </c>
      <c r="C48" s="88" t="s">
        <v>184</v>
      </c>
      <c r="D48" s="522"/>
      <c r="E48" s="523"/>
    </row>
    <row r="49" spans="1:5" ht="15" customHeight="1" x14ac:dyDescent="0.35">
      <c r="A49" s="308" t="str">
        <f t="shared" si="0"/>
        <v>01-June-2021 to 30-June-2021</v>
      </c>
      <c r="B49" s="313">
        <f t="shared" si="1"/>
        <v>21.32</v>
      </c>
      <c r="C49" s="88" t="s">
        <v>184</v>
      </c>
      <c r="D49" s="522"/>
      <c r="E49" s="523"/>
    </row>
    <row r="50" spans="1:5" ht="15" customHeight="1" x14ac:dyDescent="0.35">
      <c r="A50" s="308" t="str">
        <f t="shared" si="0"/>
        <v>01-July-2021 to 31-July-2021</v>
      </c>
      <c r="B50" s="313">
        <f t="shared" si="1"/>
        <v>23.32</v>
      </c>
      <c r="C50" s="88" t="s">
        <v>184</v>
      </c>
      <c r="D50" s="522"/>
      <c r="E50" s="523"/>
    </row>
    <row r="51" spans="1:5" ht="15" customHeight="1" x14ac:dyDescent="0.35">
      <c r="A51" s="308" t="str">
        <f t="shared" si="0"/>
        <v>01-August-2021 to 31-August-2021</v>
      </c>
      <c r="B51" s="313">
        <f t="shared" si="1"/>
        <v>23.32</v>
      </c>
      <c r="C51" s="88" t="s">
        <v>184</v>
      </c>
      <c r="D51" s="522"/>
      <c r="E51" s="523"/>
    </row>
    <row r="52" spans="1:5" ht="15" customHeight="1" x14ac:dyDescent="0.35">
      <c r="A52" s="308" t="str">
        <f t="shared" si="0"/>
        <v>01-September-2021 to 30-September-2021</v>
      </c>
      <c r="B52" s="313">
        <f t="shared" si="1"/>
        <v>23.32</v>
      </c>
      <c r="C52" s="88" t="s">
        <v>184</v>
      </c>
      <c r="D52" s="522"/>
      <c r="E52" s="523"/>
    </row>
    <row r="53" spans="1:5" ht="15" customHeight="1" x14ac:dyDescent="0.35">
      <c r="A53" s="308" t="str">
        <f t="shared" si="0"/>
        <v>01-October-2021 to 31-October-2021</v>
      </c>
      <c r="B53" s="313">
        <f t="shared" si="1"/>
        <v>22.21</v>
      </c>
      <c r="C53" s="88" t="s">
        <v>184</v>
      </c>
      <c r="D53" s="522"/>
      <c r="E53" s="523"/>
    </row>
    <row r="54" spans="1:5" ht="15" customHeight="1" x14ac:dyDescent="0.35">
      <c r="A54" s="308" t="str">
        <f t="shared" si="0"/>
        <v>01-November-2021 to 30-November-2021</v>
      </c>
      <c r="B54" s="313">
        <f t="shared" si="1"/>
        <v>25.32</v>
      </c>
      <c r="C54" s="88" t="s">
        <v>184</v>
      </c>
      <c r="D54" s="522"/>
      <c r="E54" s="523"/>
    </row>
    <row r="55" spans="1:5" ht="15" customHeight="1" x14ac:dyDescent="0.35">
      <c r="A55" s="308" t="str">
        <f t="shared" si="0"/>
        <v>01-December-2021 to 31-December-2021</v>
      </c>
      <c r="B55" s="313">
        <f t="shared" si="1"/>
        <v>23.540000000000003</v>
      </c>
      <c r="C55" s="88" t="s">
        <v>184</v>
      </c>
      <c r="D55" s="522"/>
      <c r="E55" s="523"/>
    </row>
    <row r="56" spans="1:5" ht="15" customHeight="1" x14ac:dyDescent="0.45">
      <c r="A56" s="39" t="s">
        <v>322</v>
      </c>
      <c r="B56" s="312">
        <f>ROUNDUP(SUM(B37:B43),0)</f>
        <v>164</v>
      </c>
      <c r="C56" s="88" t="s">
        <v>184</v>
      </c>
      <c r="D56" s="522"/>
      <c r="E56" s="523"/>
    </row>
    <row r="57" spans="1:5" ht="15" customHeight="1" x14ac:dyDescent="0.45">
      <c r="A57" s="39" t="s">
        <v>323</v>
      </c>
      <c r="B57" s="312">
        <f>ROUNDUP(SUM(B44:B55),0)</f>
        <v>280</v>
      </c>
      <c r="C57" s="88" t="s">
        <v>184</v>
      </c>
      <c r="D57" s="524"/>
      <c r="E57" s="525"/>
    </row>
    <row r="58" spans="1:5" ht="31" customHeight="1" thickBot="1" x14ac:dyDescent="0.5">
      <c r="A58" s="314" t="s">
        <v>293</v>
      </c>
      <c r="B58" s="315">
        <f>B56+B57</f>
        <v>444</v>
      </c>
      <c r="C58" s="316" t="s">
        <v>184</v>
      </c>
      <c r="D58" s="536" t="s">
        <v>123</v>
      </c>
      <c r="E58" s="537"/>
    </row>
    <row r="59" spans="1:5" ht="23.5" customHeight="1" x14ac:dyDescent="0.35">
      <c r="A59" s="317"/>
      <c r="B59" s="318"/>
      <c r="C59" s="319"/>
      <c r="D59" s="320"/>
      <c r="E59" s="320"/>
    </row>
    <row r="60" spans="1:5" ht="23.5" customHeight="1" x14ac:dyDescent="0.35">
      <c r="A60" s="317"/>
      <c r="B60" s="318"/>
      <c r="C60" s="319"/>
      <c r="D60" s="320"/>
      <c r="E60" s="320"/>
    </row>
    <row r="61" spans="1:5" ht="15" customHeight="1" x14ac:dyDescent="0.35">
      <c r="A61" s="317"/>
      <c r="B61" s="321"/>
      <c r="C61" s="322"/>
      <c r="D61" s="282"/>
      <c r="E61" s="53"/>
    </row>
    <row r="62" spans="1:5" ht="15" customHeight="1" x14ac:dyDescent="0.35">
      <c r="A62" s="317"/>
      <c r="B62" s="321"/>
      <c r="C62" s="322"/>
      <c r="D62" s="282"/>
      <c r="E62" s="53"/>
    </row>
    <row r="63" spans="1:5" ht="16.5" thickBot="1" x14ac:dyDescent="0.4">
      <c r="A63" s="317"/>
      <c r="B63" s="321"/>
      <c r="C63" s="322"/>
      <c r="D63" s="322"/>
      <c r="E63" s="53"/>
    </row>
    <row r="64" spans="1:5" x14ac:dyDescent="0.35">
      <c r="A64" s="49" t="s">
        <v>64</v>
      </c>
      <c r="B64" s="50" t="s">
        <v>60</v>
      </c>
      <c r="C64" s="50" t="s">
        <v>61</v>
      </c>
      <c r="D64" s="470" t="s">
        <v>4</v>
      </c>
      <c r="E64" s="471"/>
    </row>
    <row r="65" spans="1:9" ht="15.5" x14ac:dyDescent="0.45">
      <c r="A65" s="31" t="s">
        <v>178</v>
      </c>
      <c r="B65" s="43">
        <f>'Baseline Emission'!B11</f>
        <v>28</v>
      </c>
      <c r="C65" s="52" t="s">
        <v>179</v>
      </c>
      <c r="D65" s="476" t="s">
        <v>124</v>
      </c>
      <c r="E65" s="477"/>
    </row>
    <row r="66" spans="1:9" ht="15.5" x14ac:dyDescent="0.45">
      <c r="A66" s="31" t="s">
        <v>180</v>
      </c>
      <c r="B66" s="32">
        <v>0.05</v>
      </c>
      <c r="C66" s="52" t="s">
        <v>181</v>
      </c>
      <c r="D66" s="476" t="s">
        <v>85</v>
      </c>
      <c r="E66" s="477"/>
      <c r="F66" s="53"/>
    </row>
    <row r="67" spans="1:9" ht="15.5" x14ac:dyDescent="0.35">
      <c r="A67" s="54" t="s">
        <v>182</v>
      </c>
      <c r="B67" s="55"/>
      <c r="C67" s="479" t="s">
        <v>91</v>
      </c>
      <c r="D67" s="482" t="s">
        <v>387</v>
      </c>
      <c r="E67" s="483"/>
    </row>
    <row r="68" spans="1:9" x14ac:dyDescent="0.35">
      <c r="A68" s="56" t="str">
        <f t="shared" ref="A68:A86" si="2">A15</f>
        <v>10-June-2020 to 30-June-2020</v>
      </c>
      <c r="B68" s="55">
        <f>'monitoring results'!M36</f>
        <v>282.28140359999998</v>
      </c>
      <c r="C68" s="480"/>
      <c r="D68" s="484"/>
      <c r="E68" s="485"/>
      <c r="G68" s="60"/>
      <c r="H68" s="61"/>
      <c r="I68" s="61"/>
    </row>
    <row r="69" spans="1:9" x14ac:dyDescent="0.35">
      <c r="A69" s="56" t="str">
        <f t="shared" si="2"/>
        <v>01-July-2020 to 31-July-2020</v>
      </c>
      <c r="B69" s="55">
        <f>'monitoring results'!M37</f>
        <v>415.97271406656</v>
      </c>
      <c r="C69" s="480"/>
      <c r="D69" s="484"/>
      <c r="E69" s="485"/>
    </row>
    <row r="70" spans="1:9" x14ac:dyDescent="0.35">
      <c r="A70" s="56" t="str">
        <f t="shared" si="2"/>
        <v>01-August-2020 to 31-August-2020</v>
      </c>
      <c r="B70" s="55">
        <f>'monitoring results'!M38</f>
        <v>423.88260046019911</v>
      </c>
      <c r="C70" s="480"/>
      <c r="D70" s="484"/>
      <c r="E70" s="485"/>
    </row>
    <row r="71" spans="1:9" x14ac:dyDescent="0.35">
      <c r="A71" s="56" t="str">
        <f t="shared" si="2"/>
        <v>01-September-2020 to 30-September-2020</v>
      </c>
      <c r="B71" s="55">
        <f>'monitoring results'!M39</f>
        <v>396.66774319200033</v>
      </c>
      <c r="C71" s="480"/>
      <c r="D71" s="484"/>
      <c r="E71" s="485"/>
      <c r="F71" s="60"/>
      <c r="G71" s="61"/>
    </row>
    <row r="72" spans="1:9" x14ac:dyDescent="0.35">
      <c r="A72" s="56" t="str">
        <f t="shared" si="2"/>
        <v>01-October-2020 to 31-October-2020</v>
      </c>
      <c r="B72" s="55">
        <f>'monitoring results'!M40</f>
        <v>417.80306179583954</v>
      </c>
      <c r="C72" s="480"/>
      <c r="D72" s="484"/>
      <c r="E72" s="485"/>
      <c r="F72" s="61"/>
      <c r="H72" s="297"/>
      <c r="I72" s="297"/>
    </row>
    <row r="73" spans="1:9" x14ac:dyDescent="0.35">
      <c r="A73" s="56" t="str">
        <f t="shared" si="2"/>
        <v>01-November-2020 to 30-November-2020</v>
      </c>
      <c r="B73" s="55">
        <f>'monitoring results'!M41</f>
        <v>408.64410534528031</v>
      </c>
      <c r="C73" s="480"/>
      <c r="D73" s="484"/>
      <c r="E73" s="485"/>
    </row>
    <row r="74" spans="1:9" x14ac:dyDescent="0.35">
      <c r="A74" s="56" t="str">
        <f t="shared" si="2"/>
        <v>01-December-2020 to 31-December-2020</v>
      </c>
      <c r="B74" s="55">
        <f>'monitoring results'!M42</f>
        <v>422.17046201735968</v>
      </c>
      <c r="C74" s="480"/>
      <c r="D74" s="484"/>
      <c r="E74" s="485"/>
    </row>
    <row r="75" spans="1:9" x14ac:dyDescent="0.35">
      <c r="A75" s="56" t="str">
        <f t="shared" si="2"/>
        <v>01-January-2021 to 31-January-2021</v>
      </c>
      <c r="B75" s="55">
        <f>'monitoring results'!M43</f>
        <v>422.63485150193969</v>
      </c>
      <c r="C75" s="480"/>
      <c r="D75" s="484"/>
      <c r="E75" s="485"/>
    </row>
    <row r="76" spans="1:9" x14ac:dyDescent="0.35">
      <c r="A76" s="56" t="str">
        <f t="shared" si="2"/>
        <v>01-February-2021 to 28-February-2021</v>
      </c>
      <c r="B76" s="55">
        <f>'monitoring results'!M44</f>
        <v>372.19958020979999</v>
      </c>
      <c r="C76" s="480"/>
      <c r="D76" s="484"/>
      <c r="E76" s="485"/>
    </row>
    <row r="77" spans="1:9" x14ac:dyDescent="0.35">
      <c r="A77" s="56" t="str">
        <f t="shared" si="2"/>
        <v>01-March-2021 to 31-March-2021</v>
      </c>
      <c r="B77" s="55">
        <f>'monitoring results'!M45</f>
        <v>421.71659626824004</v>
      </c>
      <c r="C77" s="480"/>
      <c r="D77" s="484"/>
      <c r="E77" s="485"/>
    </row>
    <row r="78" spans="1:9" x14ac:dyDescent="0.35">
      <c r="A78" s="56" t="str">
        <f t="shared" si="2"/>
        <v>01-April-2021 to 30-April-2021</v>
      </c>
      <c r="B78" s="55">
        <f>'monitoring results'!M46</f>
        <v>402.30480480120008</v>
      </c>
      <c r="C78" s="480"/>
      <c r="D78" s="484"/>
      <c r="E78" s="485"/>
    </row>
    <row r="79" spans="1:9" x14ac:dyDescent="0.35">
      <c r="A79" s="56" t="str">
        <f t="shared" si="2"/>
        <v>01-May-2021 to 31-May-2021</v>
      </c>
      <c r="B79" s="55">
        <f>'monitoring results'!M47</f>
        <v>415.11136177728042</v>
      </c>
      <c r="C79" s="480"/>
      <c r="D79" s="484"/>
      <c r="E79" s="485"/>
    </row>
    <row r="80" spans="1:9" x14ac:dyDescent="0.35">
      <c r="A80" s="56" t="str">
        <f t="shared" si="2"/>
        <v>01-June-2021 to 30-June-2021</v>
      </c>
      <c r="B80" s="55">
        <f>'monitoring results'!M48</f>
        <v>398.73417364871949</v>
      </c>
      <c r="C80" s="480"/>
      <c r="D80" s="484"/>
      <c r="E80" s="485"/>
      <c r="F80" s="61"/>
      <c r="G80" s="61"/>
    </row>
    <row r="81" spans="1:7" x14ac:dyDescent="0.35">
      <c r="A81" s="56" t="str">
        <f t="shared" si="2"/>
        <v>01-July-2021 to 31-July-2021</v>
      </c>
      <c r="B81" s="55">
        <f>'monitoring results'!M49</f>
        <v>425.17083818160012</v>
      </c>
      <c r="C81" s="480"/>
      <c r="D81" s="484"/>
      <c r="E81" s="485"/>
      <c r="F81" s="61"/>
      <c r="G81" s="61"/>
    </row>
    <row r="82" spans="1:7" x14ac:dyDescent="0.35">
      <c r="A82" s="56" t="str">
        <f t="shared" si="2"/>
        <v>01-August-2021 to 31-August-2021</v>
      </c>
      <c r="B82" s="55">
        <f>'monitoring results'!M50</f>
        <v>415.0466886686404</v>
      </c>
      <c r="C82" s="480"/>
      <c r="D82" s="484"/>
      <c r="E82" s="485"/>
    </row>
    <row r="83" spans="1:7" x14ac:dyDescent="0.35">
      <c r="A83" s="56" t="str">
        <f t="shared" si="2"/>
        <v>01-September-2021 to 30-September-2021</v>
      </c>
      <c r="B83" s="55">
        <f>'monitoring results'!M51</f>
        <v>402.44957609471965</v>
      </c>
      <c r="C83" s="480"/>
      <c r="D83" s="484"/>
      <c r="E83" s="485"/>
    </row>
    <row r="84" spans="1:7" x14ac:dyDescent="0.35">
      <c r="A84" s="56" t="str">
        <f t="shared" si="2"/>
        <v>01-October-2021 to 31-October-2021</v>
      </c>
      <c r="B84" s="55">
        <f>'monitoring results'!M52</f>
        <v>419.55916821588033</v>
      </c>
      <c r="C84" s="480"/>
      <c r="D84" s="484"/>
      <c r="E84" s="485"/>
    </row>
    <row r="85" spans="1:7" x14ac:dyDescent="0.35">
      <c r="A85" s="56" t="str">
        <f t="shared" si="2"/>
        <v>01-November-2021 to 30-November-2021</v>
      </c>
      <c r="B85" s="55">
        <f>'monitoring results'!M53</f>
        <v>412.51594545000034</v>
      </c>
      <c r="C85" s="480"/>
      <c r="D85" s="484"/>
      <c r="E85" s="485"/>
    </row>
    <row r="86" spans="1:7" x14ac:dyDescent="0.35">
      <c r="A86" s="56" t="str">
        <f t="shared" si="2"/>
        <v>01-December-2021 to 31-December-2021</v>
      </c>
      <c r="B86" s="55">
        <f>'monitoring results'!M54</f>
        <v>431.97915288528037</v>
      </c>
      <c r="C86" s="481"/>
      <c r="D86" s="486"/>
      <c r="E86" s="487"/>
    </row>
    <row r="87" spans="1:7" ht="15.5" x14ac:dyDescent="0.35">
      <c r="A87" s="62" t="s">
        <v>183</v>
      </c>
      <c r="B87" s="55"/>
      <c r="C87" s="57"/>
      <c r="D87" s="58"/>
      <c r="E87" s="59"/>
    </row>
    <row r="88" spans="1:7" ht="15.5" x14ac:dyDescent="0.35">
      <c r="A88" s="56" t="str">
        <f t="shared" ref="A88:A106" si="3">A68</f>
        <v>10-June-2020 to 30-June-2020</v>
      </c>
      <c r="B88" s="55">
        <f t="shared" ref="B88:B106" si="4">ROUNDUP($B$65*$B$66*B68,2)</f>
        <v>395.2</v>
      </c>
      <c r="C88" s="63" t="s">
        <v>184</v>
      </c>
      <c r="D88" s="484" t="s">
        <v>102</v>
      </c>
      <c r="E88" s="485"/>
    </row>
    <row r="89" spans="1:7" ht="15.5" x14ac:dyDescent="0.35">
      <c r="A89" s="56" t="str">
        <f t="shared" si="3"/>
        <v>01-July-2020 to 31-July-2020</v>
      </c>
      <c r="B89" s="55">
        <f t="shared" si="4"/>
        <v>582.37</v>
      </c>
      <c r="C89" s="63" t="s">
        <v>184</v>
      </c>
      <c r="D89" s="484"/>
      <c r="E89" s="485"/>
    </row>
    <row r="90" spans="1:7" ht="15.5" x14ac:dyDescent="0.35">
      <c r="A90" s="56" t="str">
        <f t="shared" si="3"/>
        <v>01-August-2020 to 31-August-2020</v>
      </c>
      <c r="B90" s="55">
        <f t="shared" si="4"/>
        <v>593.43999999999994</v>
      </c>
      <c r="C90" s="63" t="s">
        <v>184</v>
      </c>
      <c r="D90" s="484"/>
      <c r="E90" s="485"/>
    </row>
    <row r="91" spans="1:7" ht="15.5" x14ac:dyDescent="0.35">
      <c r="A91" s="56" t="str">
        <f t="shared" si="3"/>
        <v>01-September-2020 to 30-September-2020</v>
      </c>
      <c r="B91" s="55">
        <f t="shared" si="4"/>
        <v>555.34</v>
      </c>
      <c r="C91" s="63" t="s">
        <v>184</v>
      </c>
      <c r="D91" s="484"/>
      <c r="E91" s="485"/>
    </row>
    <row r="92" spans="1:7" ht="15.5" x14ac:dyDescent="0.35">
      <c r="A92" s="56" t="str">
        <f t="shared" si="3"/>
        <v>01-October-2020 to 31-October-2020</v>
      </c>
      <c r="B92" s="55">
        <f t="shared" si="4"/>
        <v>584.92999999999995</v>
      </c>
      <c r="C92" s="63" t="s">
        <v>184</v>
      </c>
      <c r="D92" s="484"/>
      <c r="E92" s="485"/>
    </row>
    <row r="93" spans="1:7" ht="15.5" x14ac:dyDescent="0.35">
      <c r="A93" s="56" t="str">
        <f t="shared" si="3"/>
        <v>01-November-2020 to 30-November-2020</v>
      </c>
      <c r="B93" s="55">
        <f t="shared" si="4"/>
        <v>572.11</v>
      </c>
      <c r="C93" s="63" t="s">
        <v>184</v>
      </c>
      <c r="D93" s="484"/>
      <c r="E93" s="485"/>
    </row>
    <row r="94" spans="1:7" ht="15.5" x14ac:dyDescent="0.35">
      <c r="A94" s="56" t="str">
        <f t="shared" si="3"/>
        <v>01-December-2020 to 31-December-2020</v>
      </c>
      <c r="B94" s="55">
        <f t="shared" si="4"/>
        <v>591.04</v>
      </c>
      <c r="C94" s="63" t="s">
        <v>184</v>
      </c>
      <c r="D94" s="484"/>
      <c r="E94" s="485"/>
    </row>
    <row r="95" spans="1:7" ht="15.5" x14ac:dyDescent="0.35">
      <c r="A95" s="56" t="str">
        <f t="shared" si="3"/>
        <v>01-January-2021 to 31-January-2021</v>
      </c>
      <c r="B95" s="55">
        <f t="shared" si="4"/>
        <v>591.68999999999994</v>
      </c>
      <c r="C95" s="63" t="s">
        <v>184</v>
      </c>
      <c r="D95" s="484"/>
      <c r="E95" s="485"/>
    </row>
    <row r="96" spans="1:7" ht="15.5" x14ac:dyDescent="0.35">
      <c r="A96" s="56" t="str">
        <f t="shared" si="3"/>
        <v>01-February-2021 to 28-February-2021</v>
      </c>
      <c r="B96" s="55">
        <f t="shared" si="4"/>
        <v>521.08000000000004</v>
      </c>
      <c r="C96" s="63" t="s">
        <v>184</v>
      </c>
      <c r="D96" s="484"/>
      <c r="E96" s="485"/>
    </row>
    <row r="97" spans="1:5" ht="15.5" x14ac:dyDescent="0.35">
      <c r="A97" s="56" t="str">
        <f t="shared" si="3"/>
        <v>01-March-2021 to 31-March-2021</v>
      </c>
      <c r="B97" s="55">
        <f t="shared" si="4"/>
        <v>590.41</v>
      </c>
      <c r="C97" s="63" t="s">
        <v>184</v>
      </c>
      <c r="D97" s="484"/>
      <c r="E97" s="485"/>
    </row>
    <row r="98" spans="1:5" ht="15.5" x14ac:dyDescent="0.35">
      <c r="A98" s="56" t="str">
        <f t="shared" si="3"/>
        <v>01-April-2021 to 30-April-2021</v>
      </c>
      <c r="B98" s="55">
        <f t="shared" si="4"/>
        <v>563.23</v>
      </c>
      <c r="C98" s="63" t="s">
        <v>184</v>
      </c>
      <c r="D98" s="484"/>
      <c r="E98" s="485"/>
    </row>
    <row r="99" spans="1:5" ht="15.5" x14ac:dyDescent="0.35">
      <c r="A99" s="56" t="str">
        <f t="shared" si="3"/>
        <v>01-May-2021 to 31-May-2021</v>
      </c>
      <c r="B99" s="55">
        <f t="shared" si="4"/>
        <v>581.16</v>
      </c>
      <c r="C99" s="63" t="s">
        <v>184</v>
      </c>
      <c r="D99" s="484"/>
      <c r="E99" s="485"/>
    </row>
    <row r="100" spans="1:5" ht="15.5" x14ac:dyDescent="0.35">
      <c r="A100" s="56" t="str">
        <f t="shared" si="3"/>
        <v>01-June-2021 to 30-June-2021</v>
      </c>
      <c r="B100" s="55">
        <f t="shared" si="4"/>
        <v>558.23</v>
      </c>
      <c r="C100" s="63" t="s">
        <v>184</v>
      </c>
      <c r="D100" s="484"/>
      <c r="E100" s="485"/>
    </row>
    <row r="101" spans="1:5" ht="15.5" x14ac:dyDescent="0.35">
      <c r="A101" s="56" t="str">
        <f t="shared" si="3"/>
        <v>01-July-2021 to 31-July-2021</v>
      </c>
      <c r="B101" s="55">
        <f t="shared" si="4"/>
        <v>595.24</v>
      </c>
      <c r="C101" s="63" t="s">
        <v>184</v>
      </c>
      <c r="D101" s="484"/>
      <c r="E101" s="485"/>
    </row>
    <row r="102" spans="1:5" ht="15.5" x14ac:dyDescent="0.35">
      <c r="A102" s="56" t="str">
        <f t="shared" si="3"/>
        <v>01-August-2021 to 31-August-2021</v>
      </c>
      <c r="B102" s="55">
        <f t="shared" si="4"/>
        <v>581.06999999999994</v>
      </c>
      <c r="C102" s="63" t="s">
        <v>184</v>
      </c>
      <c r="D102" s="484"/>
      <c r="E102" s="485"/>
    </row>
    <row r="103" spans="1:5" ht="15.5" x14ac:dyDescent="0.35">
      <c r="A103" s="56" t="str">
        <f t="shared" si="3"/>
        <v>01-September-2021 to 30-September-2021</v>
      </c>
      <c r="B103" s="55">
        <f t="shared" si="4"/>
        <v>563.42999999999995</v>
      </c>
      <c r="C103" s="63" t="s">
        <v>184</v>
      </c>
      <c r="D103" s="484"/>
      <c r="E103" s="485"/>
    </row>
    <row r="104" spans="1:5" ht="15.5" x14ac:dyDescent="0.35">
      <c r="A104" s="56" t="str">
        <f t="shared" si="3"/>
        <v>01-October-2021 to 31-October-2021</v>
      </c>
      <c r="B104" s="55">
        <f t="shared" si="4"/>
        <v>587.39</v>
      </c>
      <c r="C104" s="63" t="s">
        <v>184</v>
      </c>
      <c r="D104" s="484"/>
      <c r="E104" s="485"/>
    </row>
    <row r="105" spans="1:5" ht="15.5" x14ac:dyDescent="0.35">
      <c r="A105" s="56" t="str">
        <f t="shared" si="3"/>
        <v>01-November-2021 to 30-November-2021</v>
      </c>
      <c r="B105" s="55">
        <f t="shared" si="4"/>
        <v>577.53</v>
      </c>
      <c r="C105" s="63" t="s">
        <v>184</v>
      </c>
      <c r="D105" s="484"/>
      <c r="E105" s="485"/>
    </row>
    <row r="106" spans="1:5" ht="15.5" x14ac:dyDescent="0.35">
      <c r="A106" s="56" t="str">
        <f t="shared" si="3"/>
        <v>01-December-2021 to 31-December-2021</v>
      </c>
      <c r="B106" s="55">
        <f t="shared" si="4"/>
        <v>604.78</v>
      </c>
      <c r="C106" s="63" t="s">
        <v>184</v>
      </c>
      <c r="D106" s="484"/>
      <c r="E106" s="485"/>
    </row>
    <row r="107" spans="1:5" ht="15" customHeight="1" x14ac:dyDescent="0.45">
      <c r="A107" s="39" t="s">
        <v>324</v>
      </c>
      <c r="B107" s="64">
        <f>ROUNDUP(SUM(B88:B94),0)</f>
        <v>3875</v>
      </c>
      <c r="C107" s="63" t="s">
        <v>184</v>
      </c>
      <c r="D107" s="484"/>
      <c r="E107" s="485"/>
    </row>
    <row r="108" spans="1:5" ht="15" customHeight="1" x14ac:dyDescent="0.45">
      <c r="A108" s="39" t="s">
        <v>325</v>
      </c>
      <c r="B108" s="64">
        <f>ROUNDUP(SUM(B95:B106),0)</f>
        <v>6916</v>
      </c>
      <c r="C108" s="63" t="s">
        <v>184</v>
      </c>
      <c r="D108" s="484"/>
      <c r="E108" s="485"/>
    </row>
    <row r="109" spans="1:5" ht="15" customHeight="1" x14ac:dyDescent="0.45">
      <c r="A109" s="65" t="s">
        <v>185</v>
      </c>
      <c r="B109" s="64">
        <f>B107+B108</f>
        <v>10791</v>
      </c>
      <c r="C109" s="63" t="s">
        <v>184</v>
      </c>
      <c r="D109" s="486"/>
      <c r="E109" s="487"/>
    </row>
    <row r="110" spans="1:5" ht="32.5" customHeight="1" x14ac:dyDescent="0.35">
      <c r="A110" s="62" t="s">
        <v>186</v>
      </c>
      <c r="B110" s="64">
        <v>0</v>
      </c>
      <c r="C110" s="63" t="s">
        <v>184</v>
      </c>
      <c r="D110" s="534" t="s">
        <v>96</v>
      </c>
      <c r="E110" s="535"/>
    </row>
    <row r="111" spans="1:5" ht="14.25" customHeight="1" x14ac:dyDescent="0.45">
      <c r="A111" s="62" t="s">
        <v>187</v>
      </c>
      <c r="B111" s="66">
        <f>B112+B113</f>
        <v>11235</v>
      </c>
      <c r="C111" s="67" t="s">
        <v>184</v>
      </c>
      <c r="D111" s="528" t="s">
        <v>55</v>
      </c>
      <c r="E111" s="529"/>
    </row>
    <row r="112" spans="1:5" ht="15.5" x14ac:dyDescent="0.45">
      <c r="A112" s="39" t="s">
        <v>255</v>
      </c>
      <c r="B112" s="68">
        <f>ROUND(B56+B107,0)</f>
        <v>4039</v>
      </c>
      <c r="C112" s="67" t="s">
        <v>184</v>
      </c>
      <c r="D112" s="530"/>
      <c r="E112" s="531"/>
    </row>
    <row r="113" spans="1:7" ht="16" thickBot="1" x14ac:dyDescent="0.5">
      <c r="A113" s="69" t="s">
        <v>256</v>
      </c>
      <c r="B113" s="70">
        <f>ROUND(B108+B57,0)</f>
        <v>7196</v>
      </c>
      <c r="C113" s="71" t="s">
        <v>184</v>
      </c>
      <c r="D113" s="532"/>
      <c r="E113" s="533"/>
    </row>
    <row r="114" spans="1:7" x14ac:dyDescent="0.35">
      <c r="A114" s="323"/>
      <c r="B114" s="273"/>
      <c r="C114" s="263"/>
      <c r="D114" s="263"/>
      <c r="E114" s="263"/>
    </row>
    <row r="115" spans="1:7" x14ac:dyDescent="0.35">
      <c r="A115" s="324"/>
      <c r="B115" s="273"/>
      <c r="C115" s="263"/>
      <c r="D115" s="263"/>
      <c r="E115" s="263"/>
    </row>
    <row r="116" spans="1:7" x14ac:dyDescent="0.35">
      <c r="A116" s="325" t="s">
        <v>43</v>
      </c>
      <c r="B116" s="299"/>
    </row>
    <row r="117" spans="1:7" x14ac:dyDescent="0.35">
      <c r="A117" s="326"/>
    </row>
    <row r="118" spans="1:7" x14ac:dyDescent="0.35">
      <c r="A118" s="326"/>
      <c r="E118" s="239"/>
      <c r="G118" s="61"/>
    </row>
    <row r="119" spans="1:7" x14ac:dyDescent="0.35">
      <c r="A119" s="326"/>
    </row>
    <row r="120" spans="1:7" x14ac:dyDescent="0.35">
      <c r="A120" s="326"/>
    </row>
    <row r="121" spans="1:7" x14ac:dyDescent="0.35">
      <c r="A121" s="326"/>
    </row>
    <row r="122" spans="1:7" ht="14" thickBot="1" x14ac:dyDescent="0.4">
      <c r="A122" s="327"/>
      <c r="B122" s="328"/>
      <c r="C122" s="328"/>
    </row>
    <row r="123" spans="1:7" x14ac:dyDescent="0.35">
      <c r="A123" s="329" t="s">
        <v>3</v>
      </c>
      <c r="B123" s="330" t="s">
        <v>20</v>
      </c>
      <c r="C123" s="330"/>
      <c r="D123" s="130" t="s">
        <v>2</v>
      </c>
      <c r="E123" s="131" t="s">
        <v>4</v>
      </c>
    </row>
    <row r="124" spans="1:7" x14ac:dyDescent="0.35">
      <c r="A124" s="62"/>
      <c r="B124" s="331" t="s">
        <v>35</v>
      </c>
      <c r="C124" s="331" t="s">
        <v>36</v>
      </c>
      <c r="D124" s="114"/>
      <c r="E124" s="332"/>
    </row>
    <row r="125" spans="1:7" ht="15.5" x14ac:dyDescent="0.45">
      <c r="A125" s="54" t="s">
        <v>294</v>
      </c>
      <c r="B125" s="333">
        <f>'Baseline Emission'!B11</f>
        <v>28</v>
      </c>
      <c r="C125" s="333">
        <f>B125</f>
        <v>28</v>
      </c>
      <c r="D125" s="52" t="s">
        <v>179</v>
      </c>
      <c r="E125" s="111" t="s">
        <v>124</v>
      </c>
    </row>
    <row r="126" spans="1:7" ht="15.5" x14ac:dyDescent="0.35">
      <c r="A126" s="54" t="s">
        <v>295</v>
      </c>
      <c r="B126" s="334">
        <f>'Baseline Emission'!B12</f>
        <v>6.7000000000000002E-4</v>
      </c>
      <c r="C126" s="334">
        <f>'Baseline Emission'!C12</f>
        <v>6.7000000000000002E-4</v>
      </c>
      <c r="D126" s="52" t="s">
        <v>296</v>
      </c>
      <c r="E126" s="436" t="s">
        <v>388</v>
      </c>
    </row>
    <row r="127" spans="1:7" ht="27" x14ac:dyDescent="0.35">
      <c r="A127" s="54"/>
      <c r="B127" s="335">
        <v>1E-3</v>
      </c>
      <c r="C127" s="335">
        <v>1E-3</v>
      </c>
      <c r="D127" s="52" t="s">
        <v>81</v>
      </c>
      <c r="E127" s="307" t="s">
        <v>390</v>
      </c>
    </row>
    <row r="128" spans="1:7" ht="54" x14ac:dyDescent="0.35">
      <c r="A128" s="54" t="s">
        <v>297</v>
      </c>
      <c r="B128" s="336">
        <v>1</v>
      </c>
      <c r="C128" s="336">
        <v>1</v>
      </c>
      <c r="D128" s="52" t="s">
        <v>104</v>
      </c>
      <c r="E128" s="111" t="s">
        <v>389</v>
      </c>
    </row>
    <row r="129" spans="1:5" ht="15.5" x14ac:dyDescent="0.35">
      <c r="A129" s="54" t="s">
        <v>298</v>
      </c>
      <c r="B129" s="336">
        <f>(1-0%)*(1-80%)</f>
        <v>0.19999999999999996</v>
      </c>
      <c r="C129" s="336">
        <f>(1-0%)*(1-80%)</f>
        <v>0.19999999999999996</v>
      </c>
      <c r="D129" s="52" t="s">
        <v>81</v>
      </c>
      <c r="E129" s="307" t="s">
        <v>391</v>
      </c>
    </row>
    <row r="130" spans="1:5" ht="15.5" x14ac:dyDescent="0.35">
      <c r="A130" s="54" t="s">
        <v>299</v>
      </c>
      <c r="B130" s="333">
        <f>'Baseline Emission'!B14</f>
        <v>0.28999999999999998</v>
      </c>
      <c r="C130" s="333">
        <f>'Baseline Emission'!C14</f>
        <v>0.28999999999999998</v>
      </c>
      <c r="D130" s="52" t="s">
        <v>300</v>
      </c>
      <c r="E130" s="337" t="s">
        <v>86</v>
      </c>
    </row>
    <row r="131" spans="1:5" ht="15.75" customHeight="1" x14ac:dyDescent="0.35">
      <c r="A131" s="54" t="s">
        <v>301</v>
      </c>
      <c r="B131" s="338"/>
      <c r="C131" s="338"/>
      <c r="D131" s="459" t="str">
        <f>'Baseline Emission'!D15</f>
        <v>No of heads</v>
      </c>
      <c r="E131" s="541" t="s">
        <v>392</v>
      </c>
    </row>
    <row r="132" spans="1:5" x14ac:dyDescent="0.35">
      <c r="A132" s="56" t="str">
        <f t="shared" ref="A132:A150" si="5">A68</f>
        <v>10-June-2020 to 30-June-2020</v>
      </c>
      <c r="B132" s="338">
        <f>'monitoring results'!B6</f>
        <v>94708</v>
      </c>
      <c r="C132" s="338">
        <f>'monitoring results'!C6</f>
        <v>51811</v>
      </c>
      <c r="D132" s="456"/>
      <c r="E132" s="542"/>
    </row>
    <row r="133" spans="1:5" x14ac:dyDescent="0.35">
      <c r="A133" s="56" t="str">
        <f t="shared" si="5"/>
        <v>01-July-2020 to 31-July-2020</v>
      </c>
      <c r="B133" s="338">
        <f>'monitoring results'!B7</f>
        <v>94708</v>
      </c>
      <c r="C133" s="338">
        <f>'monitoring results'!C7</f>
        <v>51845</v>
      </c>
      <c r="D133" s="456"/>
      <c r="E133" s="542"/>
    </row>
    <row r="134" spans="1:5" x14ac:dyDescent="0.35">
      <c r="A134" s="56" t="str">
        <f t="shared" si="5"/>
        <v>01-August-2020 to 31-August-2020</v>
      </c>
      <c r="B134" s="338">
        <f>'monitoring results'!B8</f>
        <v>94708</v>
      </c>
      <c r="C134" s="338">
        <f>'monitoring results'!C8</f>
        <v>51842</v>
      </c>
      <c r="D134" s="456"/>
      <c r="E134" s="542"/>
    </row>
    <row r="135" spans="1:5" x14ac:dyDescent="0.35">
      <c r="A135" s="56" t="str">
        <f t="shared" si="5"/>
        <v>01-September-2020 to 30-September-2020</v>
      </c>
      <c r="B135" s="338">
        <f>'monitoring results'!B9</f>
        <v>94708</v>
      </c>
      <c r="C135" s="338">
        <f>'monitoring results'!C9</f>
        <v>51855</v>
      </c>
      <c r="D135" s="456"/>
      <c r="E135" s="542"/>
    </row>
    <row r="136" spans="1:5" x14ac:dyDescent="0.35">
      <c r="A136" s="56" t="str">
        <f t="shared" si="5"/>
        <v>01-October-2020 to 31-October-2020</v>
      </c>
      <c r="B136" s="338">
        <f>'monitoring results'!B10</f>
        <v>94708</v>
      </c>
      <c r="C136" s="338">
        <f>'monitoring results'!C10</f>
        <v>51808</v>
      </c>
      <c r="D136" s="456"/>
      <c r="E136" s="542"/>
    </row>
    <row r="137" spans="1:5" x14ac:dyDescent="0.35">
      <c r="A137" s="56" t="str">
        <f t="shared" si="5"/>
        <v>01-November-2020 to 30-November-2020</v>
      </c>
      <c r="B137" s="338">
        <f>'monitoring results'!B11</f>
        <v>94708</v>
      </c>
      <c r="C137" s="338">
        <f>'monitoring results'!C11</f>
        <v>51858</v>
      </c>
      <c r="D137" s="456"/>
      <c r="E137" s="542"/>
    </row>
    <row r="138" spans="1:5" x14ac:dyDescent="0.35">
      <c r="A138" s="56" t="str">
        <f t="shared" si="5"/>
        <v>01-December-2020 to 31-December-2020</v>
      </c>
      <c r="B138" s="338">
        <f>'monitoring results'!B12</f>
        <v>94708</v>
      </c>
      <c r="C138" s="338">
        <f>'monitoring results'!C12</f>
        <v>51872</v>
      </c>
      <c r="D138" s="456"/>
      <c r="E138" s="542"/>
    </row>
    <row r="139" spans="1:5" x14ac:dyDescent="0.35">
      <c r="A139" s="56" t="str">
        <f t="shared" si="5"/>
        <v>01-January-2021 to 31-January-2021</v>
      </c>
      <c r="B139" s="338">
        <f>'monitoring results'!B13</f>
        <v>94708</v>
      </c>
      <c r="C139" s="338">
        <f>'monitoring results'!C13</f>
        <v>51865</v>
      </c>
      <c r="D139" s="456"/>
      <c r="E139" s="542"/>
    </row>
    <row r="140" spans="1:5" x14ac:dyDescent="0.35">
      <c r="A140" s="56" t="str">
        <f t="shared" si="5"/>
        <v>01-February-2021 to 28-February-2021</v>
      </c>
      <c r="B140" s="338">
        <f>'monitoring results'!B14</f>
        <v>94708</v>
      </c>
      <c r="C140" s="338">
        <f>'monitoring results'!C14</f>
        <v>51889</v>
      </c>
      <c r="D140" s="456"/>
      <c r="E140" s="542"/>
    </row>
    <row r="141" spans="1:5" x14ac:dyDescent="0.35">
      <c r="A141" s="56" t="str">
        <f t="shared" si="5"/>
        <v>01-March-2021 to 31-March-2021</v>
      </c>
      <c r="B141" s="338">
        <f>'monitoring results'!B15</f>
        <v>94708</v>
      </c>
      <c r="C141" s="338">
        <f>'monitoring results'!C15</f>
        <v>51838</v>
      </c>
      <c r="D141" s="456"/>
      <c r="E141" s="542"/>
    </row>
    <row r="142" spans="1:5" x14ac:dyDescent="0.35">
      <c r="A142" s="56" t="str">
        <f t="shared" si="5"/>
        <v>01-April-2021 to 30-April-2021</v>
      </c>
      <c r="B142" s="338">
        <f>'monitoring results'!B16</f>
        <v>94708</v>
      </c>
      <c r="C142" s="338">
        <f>'monitoring results'!C16</f>
        <v>51829</v>
      </c>
      <c r="D142" s="456"/>
      <c r="E142" s="542"/>
    </row>
    <row r="143" spans="1:5" x14ac:dyDescent="0.35">
      <c r="A143" s="56" t="str">
        <f t="shared" si="5"/>
        <v>01-May-2021 to 31-May-2021</v>
      </c>
      <c r="B143" s="338">
        <f>'monitoring results'!B17</f>
        <v>94708</v>
      </c>
      <c r="C143" s="338">
        <f>'monitoring results'!C17</f>
        <v>51836</v>
      </c>
      <c r="D143" s="456"/>
      <c r="E143" s="542"/>
    </row>
    <row r="144" spans="1:5" x14ac:dyDescent="0.35">
      <c r="A144" s="56" t="str">
        <f t="shared" si="5"/>
        <v>01-June-2021 to 30-June-2021</v>
      </c>
      <c r="B144" s="338">
        <f>'monitoring results'!B18</f>
        <v>94708</v>
      </c>
      <c r="C144" s="338">
        <f>'monitoring results'!C18</f>
        <v>51849</v>
      </c>
      <c r="D144" s="456"/>
      <c r="E144" s="542"/>
    </row>
    <row r="145" spans="1:5" x14ac:dyDescent="0.35">
      <c r="A145" s="56" t="str">
        <f t="shared" si="5"/>
        <v>01-July-2021 to 31-July-2021</v>
      </c>
      <c r="B145" s="338">
        <f>'monitoring results'!B19</f>
        <v>94708</v>
      </c>
      <c r="C145" s="338">
        <f>'monitoring results'!C19</f>
        <v>51854</v>
      </c>
      <c r="D145" s="456"/>
      <c r="E145" s="542"/>
    </row>
    <row r="146" spans="1:5" x14ac:dyDescent="0.35">
      <c r="A146" s="56" t="str">
        <f t="shared" si="5"/>
        <v>01-August-2021 to 31-August-2021</v>
      </c>
      <c r="B146" s="338">
        <f>'monitoring results'!B20</f>
        <v>94708</v>
      </c>
      <c r="C146" s="338">
        <f>'monitoring results'!C20</f>
        <v>51815</v>
      </c>
      <c r="D146" s="456"/>
      <c r="E146" s="542"/>
    </row>
    <row r="147" spans="1:5" x14ac:dyDescent="0.35">
      <c r="A147" s="56" t="str">
        <f t="shared" si="5"/>
        <v>01-September-2021 to 30-September-2021</v>
      </c>
      <c r="B147" s="338">
        <f>'monitoring results'!B21</f>
        <v>94708</v>
      </c>
      <c r="C147" s="338">
        <f>'monitoring results'!C21</f>
        <v>51900</v>
      </c>
      <c r="D147" s="456"/>
      <c r="E147" s="542"/>
    </row>
    <row r="148" spans="1:5" x14ac:dyDescent="0.35">
      <c r="A148" s="56" t="str">
        <f t="shared" si="5"/>
        <v>01-October-2021 to 31-October-2021</v>
      </c>
      <c r="B148" s="338">
        <f>'monitoring results'!B22</f>
        <v>94708</v>
      </c>
      <c r="C148" s="338">
        <f>'monitoring results'!C22</f>
        <v>51859</v>
      </c>
      <c r="D148" s="456"/>
      <c r="E148" s="542"/>
    </row>
    <row r="149" spans="1:5" x14ac:dyDescent="0.35">
      <c r="A149" s="56" t="str">
        <f t="shared" si="5"/>
        <v>01-November-2021 to 30-November-2021</v>
      </c>
      <c r="B149" s="338">
        <f>'monitoring results'!B23</f>
        <v>94708</v>
      </c>
      <c r="C149" s="338">
        <f>'monitoring results'!C23</f>
        <v>51827</v>
      </c>
      <c r="D149" s="456"/>
      <c r="E149" s="542"/>
    </row>
    <row r="150" spans="1:5" x14ac:dyDescent="0.35">
      <c r="A150" s="56" t="str">
        <f t="shared" si="5"/>
        <v>01-December-2021 to 31-December-2021</v>
      </c>
      <c r="B150" s="338">
        <f>'monitoring results'!B24</f>
        <v>94708</v>
      </c>
      <c r="C150" s="338">
        <f>'monitoring results'!C24</f>
        <v>51854</v>
      </c>
      <c r="D150" s="457"/>
      <c r="E150" s="543"/>
    </row>
    <row r="151" spans="1:5" ht="15.5" x14ac:dyDescent="0.35">
      <c r="A151" s="54" t="s">
        <v>302</v>
      </c>
      <c r="B151" s="338"/>
      <c r="C151" s="333"/>
      <c r="D151" s="459" t="s">
        <v>84</v>
      </c>
      <c r="E151" s="538" t="s">
        <v>99</v>
      </c>
    </row>
    <row r="152" spans="1:5" x14ac:dyDescent="0.35">
      <c r="A152" s="56" t="str">
        <f t="shared" ref="A152:A170" si="6">A132</f>
        <v>10-June-2020 to 30-June-2020</v>
      </c>
      <c r="B152" s="333">
        <f>'Baseline Emission'!B58</f>
        <v>18.642857142857142</v>
      </c>
      <c r="C152" s="333">
        <f>'Baseline Emission'!C58</f>
        <v>23.174999999999997</v>
      </c>
      <c r="D152" s="456"/>
      <c r="E152" s="539"/>
    </row>
    <row r="153" spans="1:5" x14ac:dyDescent="0.35">
      <c r="A153" s="56" t="str">
        <f t="shared" si="6"/>
        <v>01-July-2020 to 31-July-2020</v>
      </c>
      <c r="B153" s="333">
        <f>'Baseline Emission'!B59</f>
        <v>19.164642857142859</v>
      </c>
      <c r="C153" s="333">
        <f>'Baseline Emission'!C59</f>
        <v>23.715</v>
      </c>
      <c r="D153" s="456"/>
      <c r="E153" s="539"/>
    </row>
    <row r="154" spans="1:5" x14ac:dyDescent="0.35">
      <c r="A154" s="56" t="str">
        <f t="shared" si="6"/>
        <v>01-August-2020 to 31-August-2020</v>
      </c>
      <c r="B154" s="333">
        <f>'Baseline Emission'!B60</f>
        <v>19.064999999999998</v>
      </c>
      <c r="C154" s="333">
        <f>'Baseline Emission'!C60</f>
        <v>24.27964285714285</v>
      </c>
      <c r="D154" s="456"/>
      <c r="E154" s="539"/>
    </row>
    <row r="155" spans="1:5" x14ac:dyDescent="0.35">
      <c r="A155" s="56" t="str">
        <f t="shared" si="6"/>
        <v>01-September-2020 to 30-September-2020</v>
      </c>
      <c r="B155" s="333">
        <f>'Baseline Emission'!B61</f>
        <v>18.964285714285715</v>
      </c>
      <c r="C155" s="333">
        <f>'Baseline Emission'!C61</f>
        <v>23.207142857142856</v>
      </c>
      <c r="D155" s="456"/>
      <c r="E155" s="539"/>
    </row>
    <row r="156" spans="1:5" x14ac:dyDescent="0.35">
      <c r="A156" s="56" t="str">
        <f t="shared" si="6"/>
        <v>01-October-2020 to 31-October-2020</v>
      </c>
      <c r="B156" s="333">
        <f>'Baseline Emission'!B62</f>
        <v>19.496785714285714</v>
      </c>
      <c r="C156" s="333">
        <f>'Baseline Emission'!C62</f>
        <v>23.814642857142857</v>
      </c>
      <c r="D156" s="456"/>
      <c r="E156" s="539"/>
    </row>
    <row r="157" spans="1:5" x14ac:dyDescent="0.35">
      <c r="A157" s="56" t="str">
        <f t="shared" si="6"/>
        <v>01-November-2020 to 30-November-2020</v>
      </c>
      <c r="B157" s="333">
        <f>'Baseline Emission'!B63</f>
        <v>18.86785714285714</v>
      </c>
      <c r="C157" s="333">
        <f>'Baseline Emission'!C63</f>
        <v>23.528571428571428</v>
      </c>
      <c r="D157" s="456"/>
      <c r="E157" s="539"/>
    </row>
    <row r="158" spans="1:5" x14ac:dyDescent="0.35">
      <c r="A158" s="56" t="str">
        <f t="shared" si="6"/>
        <v>01-December-2020 to 31-December-2020</v>
      </c>
      <c r="B158" s="333">
        <f>'Baseline Emission'!B64</f>
        <v>19.197857142857142</v>
      </c>
      <c r="C158" s="333">
        <f>'Baseline Emission'!C64</f>
        <v>24.644999999999996</v>
      </c>
      <c r="D158" s="456"/>
      <c r="E158" s="539"/>
    </row>
    <row r="159" spans="1:5" x14ac:dyDescent="0.35">
      <c r="A159" s="56" t="str">
        <f t="shared" si="6"/>
        <v>01-January-2021 to 31-January-2021</v>
      </c>
      <c r="B159" s="333">
        <f>'Baseline Emission'!B65</f>
        <v>19.629642857142859</v>
      </c>
      <c r="C159" s="333">
        <f>'Baseline Emission'!C65</f>
        <v>23.914285714285715</v>
      </c>
      <c r="D159" s="456"/>
      <c r="E159" s="539"/>
    </row>
    <row r="160" spans="1:5" x14ac:dyDescent="0.35">
      <c r="A160" s="56" t="str">
        <f t="shared" si="6"/>
        <v>01-February-2021 to 28-February-2021</v>
      </c>
      <c r="B160" s="333">
        <f>'Baseline Emission'!B66</f>
        <v>17.670000000000002</v>
      </c>
      <c r="C160" s="333">
        <f>'Baseline Emission'!C66</f>
        <v>21.779999999999994</v>
      </c>
      <c r="D160" s="456"/>
      <c r="E160" s="539"/>
    </row>
    <row r="161" spans="1:5" x14ac:dyDescent="0.35">
      <c r="A161" s="56" t="str">
        <f t="shared" si="6"/>
        <v>01-March-2021 to 31-March-2021</v>
      </c>
      <c r="B161" s="333">
        <f>'Baseline Emission'!B67</f>
        <v>19.164642857142859</v>
      </c>
      <c r="C161" s="333">
        <f>'Baseline Emission'!C67</f>
        <v>24.146785714285713</v>
      </c>
      <c r="D161" s="456"/>
      <c r="E161" s="539"/>
    </row>
    <row r="162" spans="1:5" x14ac:dyDescent="0.35">
      <c r="A162" s="56" t="str">
        <f t="shared" si="6"/>
        <v>01-April-2021 to 30-April-2021</v>
      </c>
      <c r="B162" s="333">
        <f>'Baseline Emission'!B68</f>
        <v>18.224999999999998</v>
      </c>
      <c r="C162" s="333">
        <f>'Baseline Emission'!C68</f>
        <v>23.657142857142858</v>
      </c>
      <c r="D162" s="456"/>
      <c r="E162" s="539"/>
    </row>
    <row r="163" spans="1:5" x14ac:dyDescent="0.35">
      <c r="A163" s="56" t="str">
        <f t="shared" si="6"/>
        <v>01-May-2021 to 31-May-2021</v>
      </c>
      <c r="B163" s="333">
        <f>'Baseline Emission'!B69</f>
        <v>19.231071428571425</v>
      </c>
      <c r="C163" s="333">
        <f>'Baseline Emission'!C69</f>
        <v>24.346071428571427</v>
      </c>
      <c r="D163" s="456"/>
      <c r="E163" s="539"/>
    </row>
    <row r="164" spans="1:5" x14ac:dyDescent="0.35">
      <c r="A164" s="56" t="str">
        <f t="shared" si="6"/>
        <v>01-June-2021 to 30-June-2021</v>
      </c>
      <c r="B164" s="333">
        <f>'Baseline Emission'!B70</f>
        <v>18.482142857142854</v>
      </c>
      <c r="C164" s="333">
        <f>'Baseline Emission'!C70</f>
        <v>23.014285714285709</v>
      </c>
      <c r="D164" s="456"/>
      <c r="E164" s="539"/>
    </row>
    <row r="165" spans="1:5" x14ac:dyDescent="0.35">
      <c r="A165" s="56" t="str">
        <f t="shared" si="6"/>
        <v>01-July-2021 to 31-July-2021</v>
      </c>
      <c r="B165" s="333">
        <f>'Baseline Emission'!B71</f>
        <v>19.197857142857142</v>
      </c>
      <c r="C165" s="333">
        <f>'Baseline Emission'!C71</f>
        <v>23.914285714285715</v>
      </c>
      <c r="D165" s="456"/>
      <c r="E165" s="539"/>
    </row>
    <row r="166" spans="1:5" x14ac:dyDescent="0.35">
      <c r="A166" s="56" t="str">
        <f t="shared" si="6"/>
        <v>01-August-2021 to 31-August-2021</v>
      </c>
      <c r="B166" s="333">
        <f>'Baseline Emission'!B72</f>
        <v>19.297500000000003</v>
      </c>
      <c r="C166" s="333">
        <f>'Baseline Emission'!C72</f>
        <v>23.947499999999994</v>
      </c>
      <c r="D166" s="456"/>
      <c r="E166" s="539"/>
    </row>
    <row r="167" spans="1:5" x14ac:dyDescent="0.35">
      <c r="A167" s="56" t="str">
        <f t="shared" si="6"/>
        <v>01-September-2021 to 30-September-2021</v>
      </c>
      <c r="B167" s="333">
        <f>'Baseline Emission'!B73</f>
        <v>18.996428571428574</v>
      </c>
      <c r="C167" s="333">
        <f>'Baseline Emission'!C73</f>
        <v>23.239285714285714</v>
      </c>
      <c r="D167" s="456"/>
      <c r="E167" s="539"/>
    </row>
    <row r="168" spans="1:5" x14ac:dyDescent="0.35">
      <c r="A168" s="56" t="str">
        <f t="shared" si="6"/>
        <v>01-October-2021 to 31-October-2021</v>
      </c>
      <c r="B168" s="333">
        <f>'Baseline Emission'!B74</f>
        <v>19.39714285714286</v>
      </c>
      <c r="C168" s="333">
        <f>'Baseline Emission'!C74</f>
        <v>24.346071428571427</v>
      </c>
      <c r="D168" s="456"/>
      <c r="E168" s="539"/>
    </row>
    <row r="169" spans="1:5" x14ac:dyDescent="0.35">
      <c r="A169" s="56" t="str">
        <f t="shared" si="6"/>
        <v>01-November-2021 to 30-November-2021</v>
      </c>
      <c r="B169" s="333">
        <f>'Baseline Emission'!B75</f>
        <v>18.578571428571426</v>
      </c>
      <c r="C169" s="333">
        <f>'Baseline Emission'!C75</f>
        <v>23.303571428571431</v>
      </c>
      <c r="D169" s="456"/>
      <c r="E169" s="539"/>
    </row>
    <row r="170" spans="1:5" x14ac:dyDescent="0.35">
      <c r="A170" s="56" t="str">
        <f t="shared" si="6"/>
        <v>01-December-2021 to 31-December-2021</v>
      </c>
      <c r="B170" s="333">
        <f>'Baseline Emission'!B76</f>
        <v>19.297500000000003</v>
      </c>
      <c r="C170" s="333">
        <f>'Baseline Emission'!C76</f>
        <v>23.914285714285715</v>
      </c>
      <c r="D170" s="457"/>
      <c r="E170" s="540"/>
    </row>
    <row r="171" spans="1:5" ht="15.5" x14ac:dyDescent="0.35">
      <c r="A171" s="54" t="s">
        <v>303</v>
      </c>
      <c r="B171" s="620">
        <v>1</v>
      </c>
      <c r="C171" s="336">
        <v>1</v>
      </c>
      <c r="D171" s="52" t="s">
        <v>104</v>
      </c>
      <c r="E171" s="37" t="s">
        <v>100</v>
      </c>
    </row>
    <row r="172" spans="1:5" ht="15.5" x14ac:dyDescent="0.35">
      <c r="A172" s="339" t="s">
        <v>304</v>
      </c>
      <c r="B172" s="336"/>
      <c r="C172" s="336"/>
      <c r="D172" s="340"/>
      <c r="E172" s="234"/>
    </row>
    <row r="173" spans="1:5" x14ac:dyDescent="0.35">
      <c r="A173" s="341" t="str">
        <f t="shared" ref="A173:A191" si="7">A152</f>
        <v>10-June-2020 to 30-June-2020</v>
      </c>
      <c r="B173" s="342">
        <f t="shared" ref="B173:C191" si="8">ROUNDUP($B$125*$B$126*$B$127*$B$128*$B$129*$B$130*$B$171*B132*B152,2)</f>
        <v>1.93</v>
      </c>
      <c r="C173" s="342">
        <f t="shared" si="8"/>
        <v>1.31</v>
      </c>
      <c r="D173" s="456"/>
      <c r="E173" s="526" t="s">
        <v>102</v>
      </c>
    </row>
    <row r="174" spans="1:5" x14ac:dyDescent="0.35">
      <c r="A174" s="341" t="str">
        <f t="shared" si="7"/>
        <v>01-July-2020 to 31-July-2020</v>
      </c>
      <c r="B174" s="342">
        <f t="shared" si="8"/>
        <v>1.98</v>
      </c>
      <c r="C174" s="342">
        <f t="shared" si="8"/>
        <v>1.34</v>
      </c>
      <c r="D174" s="456"/>
      <c r="E174" s="526"/>
    </row>
    <row r="175" spans="1:5" x14ac:dyDescent="0.35">
      <c r="A175" s="341" t="str">
        <f t="shared" si="7"/>
        <v>01-August-2020 to 31-August-2020</v>
      </c>
      <c r="B175" s="342">
        <f t="shared" si="8"/>
        <v>1.97</v>
      </c>
      <c r="C175" s="342">
        <f t="shared" si="8"/>
        <v>1.37</v>
      </c>
      <c r="D175" s="456"/>
      <c r="E175" s="526"/>
    </row>
    <row r="176" spans="1:5" ht="11.25" customHeight="1" x14ac:dyDescent="0.35">
      <c r="A176" s="341" t="str">
        <f t="shared" si="7"/>
        <v>01-September-2020 to 30-September-2020</v>
      </c>
      <c r="B176" s="342">
        <f t="shared" si="8"/>
        <v>1.96</v>
      </c>
      <c r="C176" s="342">
        <f t="shared" si="8"/>
        <v>1.31</v>
      </c>
      <c r="D176" s="456"/>
      <c r="E176" s="526"/>
    </row>
    <row r="177" spans="1:5" x14ac:dyDescent="0.35">
      <c r="A177" s="341" t="str">
        <f t="shared" si="7"/>
        <v>01-October-2020 to 31-October-2020</v>
      </c>
      <c r="B177" s="342">
        <f t="shared" si="8"/>
        <v>2.0099999999999998</v>
      </c>
      <c r="C177" s="342">
        <f t="shared" si="8"/>
        <v>1.35</v>
      </c>
      <c r="D177" s="456"/>
      <c r="E177" s="526"/>
    </row>
    <row r="178" spans="1:5" x14ac:dyDescent="0.35">
      <c r="A178" s="341" t="str">
        <f t="shared" si="7"/>
        <v>01-November-2020 to 30-November-2020</v>
      </c>
      <c r="B178" s="342">
        <f t="shared" si="8"/>
        <v>1.95</v>
      </c>
      <c r="C178" s="342">
        <f t="shared" si="8"/>
        <v>1.33</v>
      </c>
      <c r="D178" s="456"/>
      <c r="E178" s="526"/>
    </row>
    <row r="179" spans="1:5" x14ac:dyDescent="0.35">
      <c r="A179" s="341" t="str">
        <f t="shared" si="7"/>
        <v>01-December-2020 to 31-December-2020</v>
      </c>
      <c r="B179" s="342">
        <f t="shared" si="8"/>
        <v>1.98</v>
      </c>
      <c r="C179" s="342">
        <f t="shared" si="8"/>
        <v>1.4</v>
      </c>
      <c r="D179" s="456"/>
      <c r="E179" s="526"/>
    </row>
    <row r="180" spans="1:5" x14ac:dyDescent="0.35">
      <c r="A180" s="341" t="str">
        <f t="shared" si="7"/>
        <v>01-January-2021 to 31-January-2021</v>
      </c>
      <c r="B180" s="342">
        <f t="shared" si="8"/>
        <v>2.0299999999999998</v>
      </c>
      <c r="C180" s="342">
        <f t="shared" si="8"/>
        <v>1.35</v>
      </c>
      <c r="D180" s="456"/>
      <c r="E180" s="526"/>
    </row>
    <row r="181" spans="1:5" x14ac:dyDescent="0.35">
      <c r="A181" s="341" t="str">
        <f t="shared" si="7"/>
        <v>01-February-2021 to 28-February-2021</v>
      </c>
      <c r="B181" s="342">
        <f t="shared" si="8"/>
        <v>1.83</v>
      </c>
      <c r="C181" s="342">
        <f t="shared" si="8"/>
        <v>1.23</v>
      </c>
      <c r="D181" s="456"/>
      <c r="E181" s="526"/>
    </row>
    <row r="182" spans="1:5" x14ac:dyDescent="0.35">
      <c r="A182" s="341" t="str">
        <f t="shared" si="7"/>
        <v>01-March-2021 to 31-March-2021</v>
      </c>
      <c r="B182" s="342">
        <f t="shared" si="8"/>
        <v>1.98</v>
      </c>
      <c r="C182" s="342">
        <f t="shared" si="8"/>
        <v>1.37</v>
      </c>
      <c r="D182" s="456"/>
      <c r="E182" s="526"/>
    </row>
    <row r="183" spans="1:5" x14ac:dyDescent="0.35">
      <c r="A183" s="341" t="str">
        <f t="shared" si="7"/>
        <v>01-April-2021 to 30-April-2021</v>
      </c>
      <c r="B183" s="342">
        <f t="shared" si="8"/>
        <v>1.8800000000000001</v>
      </c>
      <c r="C183" s="342">
        <f t="shared" si="8"/>
        <v>1.34</v>
      </c>
      <c r="D183" s="456"/>
      <c r="E183" s="526"/>
    </row>
    <row r="184" spans="1:5" x14ac:dyDescent="0.35">
      <c r="A184" s="341" t="str">
        <f t="shared" si="7"/>
        <v>01-May-2021 to 31-May-2021</v>
      </c>
      <c r="B184" s="342">
        <f t="shared" si="8"/>
        <v>1.99</v>
      </c>
      <c r="C184" s="342">
        <f t="shared" si="8"/>
        <v>1.3800000000000001</v>
      </c>
      <c r="D184" s="456"/>
      <c r="E184" s="526"/>
    </row>
    <row r="185" spans="1:5" x14ac:dyDescent="0.35">
      <c r="A185" s="341" t="str">
        <f t="shared" si="7"/>
        <v>01-June-2021 to 30-June-2021</v>
      </c>
      <c r="B185" s="342">
        <f t="shared" si="8"/>
        <v>1.91</v>
      </c>
      <c r="C185" s="342">
        <f t="shared" si="8"/>
        <v>1.3</v>
      </c>
      <c r="D185" s="456"/>
      <c r="E185" s="526"/>
    </row>
    <row r="186" spans="1:5" x14ac:dyDescent="0.35">
      <c r="A186" s="341" t="str">
        <f t="shared" si="7"/>
        <v>01-July-2021 to 31-July-2021</v>
      </c>
      <c r="B186" s="342">
        <f t="shared" si="8"/>
        <v>1.98</v>
      </c>
      <c r="C186" s="342">
        <f t="shared" si="8"/>
        <v>1.35</v>
      </c>
      <c r="D186" s="456"/>
      <c r="E186" s="526"/>
    </row>
    <row r="187" spans="1:5" x14ac:dyDescent="0.35">
      <c r="A187" s="341" t="str">
        <f t="shared" si="7"/>
        <v>01-August-2021 to 31-August-2021</v>
      </c>
      <c r="B187" s="342">
        <f t="shared" si="8"/>
        <v>1.99</v>
      </c>
      <c r="C187" s="342">
        <f t="shared" si="8"/>
        <v>1.36</v>
      </c>
      <c r="D187" s="456"/>
      <c r="E187" s="526"/>
    </row>
    <row r="188" spans="1:5" x14ac:dyDescent="0.35">
      <c r="A188" s="341" t="str">
        <f t="shared" si="7"/>
        <v>01-September-2021 to 30-September-2021</v>
      </c>
      <c r="B188" s="342">
        <f t="shared" si="8"/>
        <v>1.96</v>
      </c>
      <c r="C188" s="342">
        <f t="shared" si="8"/>
        <v>1.32</v>
      </c>
      <c r="D188" s="456"/>
      <c r="E188" s="526"/>
    </row>
    <row r="189" spans="1:5" x14ac:dyDescent="0.35">
      <c r="A189" s="341" t="str">
        <f t="shared" si="7"/>
        <v>01-October-2021 to 31-October-2021</v>
      </c>
      <c r="B189" s="342">
        <f t="shared" si="8"/>
        <v>2</v>
      </c>
      <c r="C189" s="342">
        <f t="shared" si="8"/>
        <v>1.3800000000000001</v>
      </c>
      <c r="D189" s="456"/>
      <c r="E189" s="526"/>
    </row>
    <row r="190" spans="1:5" x14ac:dyDescent="0.35">
      <c r="A190" s="341" t="str">
        <f t="shared" si="7"/>
        <v>01-November-2021 to 30-November-2021</v>
      </c>
      <c r="B190" s="342">
        <f t="shared" si="8"/>
        <v>1.92</v>
      </c>
      <c r="C190" s="342">
        <f t="shared" si="8"/>
        <v>1.32</v>
      </c>
      <c r="D190" s="456"/>
      <c r="E190" s="526"/>
    </row>
    <row r="191" spans="1:5" x14ac:dyDescent="0.35">
      <c r="A191" s="341" t="str">
        <f t="shared" si="7"/>
        <v>01-December-2021 to 31-December-2021</v>
      </c>
      <c r="B191" s="342">
        <f t="shared" si="8"/>
        <v>1.99</v>
      </c>
      <c r="C191" s="342">
        <f t="shared" si="8"/>
        <v>1.35</v>
      </c>
      <c r="D191" s="457"/>
      <c r="E191" s="527"/>
    </row>
    <row r="192" spans="1:5" s="128" customFormat="1" ht="15.5" x14ac:dyDescent="0.45">
      <c r="A192" s="96" t="s">
        <v>327</v>
      </c>
      <c r="B192" s="488">
        <f>ROUNDUP(SUM(B173:B179)+SUM(C173:C179),0)</f>
        <v>24</v>
      </c>
      <c r="C192" s="488"/>
      <c r="D192" s="67" t="s">
        <v>184</v>
      </c>
      <c r="E192" s="343" t="s">
        <v>99</v>
      </c>
    </row>
    <row r="193" spans="1:9" s="128" customFormat="1" ht="15.5" x14ac:dyDescent="0.45">
      <c r="A193" s="96" t="s">
        <v>326</v>
      </c>
      <c r="B193" s="488">
        <f>ROUNDUP(SUM(B180:B191)+SUM(C180:C191),0)</f>
        <v>40</v>
      </c>
      <c r="C193" s="488"/>
      <c r="D193" s="67" t="s">
        <v>184</v>
      </c>
      <c r="E193" s="343" t="s">
        <v>99</v>
      </c>
    </row>
    <row r="194" spans="1:9" ht="16" thickBot="1" x14ac:dyDescent="0.5">
      <c r="A194" s="344" t="s">
        <v>305</v>
      </c>
      <c r="B194" s="497">
        <f>B192+B193</f>
        <v>64</v>
      </c>
      <c r="C194" s="497"/>
      <c r="D194" s="71" t="s">
        <v>184</v>
      </c>
      <c r="E194" s="345" t="s">
        <v>99</v>
      </c>
    </row>
    <row r="195" spans="1:9" x14ac:dyDescent="0.35">
      <c r="A195" s="326"/>
    </row>
    <row r="196" spans="1:9" x14ac:dyDescent="0.35">
      <c r="A196" s="346" t="s">
        <v>44</v>
      </c>
    </row>
    <row r="197" spans="1:9" x14ac:dyDescent="0.35">
      <c r="A197" s="326"/>
    </row>
    <row r="198" spans="1:9" x14ac:dyDescent="0.35">
      <c r="A198" s="326"/>
      <c r="D198" s="239"/>
    </row>
    <row r="199" spans="1:9" x14ac:dyDescent="0.35">
      <c r="A199" s="347"/>
      <c r="D199" s="239"/>
    </row>
    <row r="200" spans="1:9" x14ac:dyDescent="0.35">
      <c r="A200" s="347"/>
      <c r="D200" s="239"/>
    </row>
    <row r="201" spans="1:9" x14ac:dyDescent="0.35">
      <c r="A201" s="347"/>
      <c r="D201" s="239"/>
    </row>
    <row r="202" spans="1:9" ht="14" thickBot="1" x14ac:dyDescent="0.4">
      <c r="A202" s="347"/>
      <c r="D202" s="239"/>
    </row>
    <row r="203" spans="1:9" x14ac:dyDescent="0.35">
      <c r="A203" s="49" t="s">
        <v>3</v>
      </c>
      <c r="B203" s="50" t="s">
        <v>20</v>
      </c>
      <c r="C203" s="50"/>
      <c r="D203" s="50" t="s">
        <v>2</v>
      </c>
      <c r="E203" s="50" t="s">
        <v>4</v>
      </c>
    </row>
    <row r="204" spans="1:9" s="243" customFormat="1" x14ac:dyDescent="0.35">
      <c r="A204" s="250"/>
      <c r="B204" s="251" t="s">
        <v>35</v>
      </c>
      <c r="C204" s="251" t="s">
        <v>36</v>
      </c>
      <c r="D204" s="251"/>
      <c r="E204" s="251"/>
      <c r="F204" s="51"/>
      <c r="G204" s="51"/>
      <c r="H204" s="51"/>
      <c r="I204" s="51"/>
    </row>
    <row r="205" spans="1:9" ht="36.75" customHeight="1" x14ac:dyDescent="0.35">
      <c r="A205" s="54" t="s">
        <v>306</v>
      </c>
      <c r="B205" s="348">
        <v>0</v>
      </c>
      <c r="C205" s="348">
        <v>0</v>
      </c>
      <c r="D205" s="231" t="s">
        <v>261</v>
      </c>
      <c r="E205" s="259" t="s">
        <v>66</v>
      </c>
    </row>
    <row r="206" spans="1:9" x14ac:dyDescent="0.35">
      <c r="A206" s="54" t="s">
        <v>307</v>
      </c>
      <c r="B206" s="349"/>
      <c r="C206" s="349"/>
      <c r="D206" s="459" t="s">
        <v>71</v>
      </c>
      <c r="E206" s="459" t="s">
        <v>102</v>
      </c>
    </row>
    <row r="207" spans="1:9" x14ac:dyDescent="0.35">
      <c r="A207" s="56" t="str">
        <f t="shared" ref="A207:A225" si="9">A173</f>
        <v>10-June-2020 to 30-June-2020</v>
      </c>
      <c r="B207" s="349">
        <f>'Baseline Emission'!B180</f>
        <v>0.73080000000000012</v>
      </c>
      <c r="C207" s="349">
        <f>'Baseline Emission'!C180</f>
        <v>0.90845999999999993</v>
      </c>
      <c r="D207" s="456"/>
      <c r="E207" s="456"/>
    </row>
    <row r="208" spans="1:9" x14ac:dyDescent="0.35">
      <c r="A208" s="56" t="str">
        <f t="shared" si="9"/>
        <v>01-July-2020 to 31-July-2020</v>
      </c>
      <c r="B208" s="349">
        <f>'Baseline Emission'!B181</f>
        <v>0.75125400000000009</v>
      </c>
      <c r="C208" s="349">
        <f>'Baseline Emission'!C181</f>
        <v>0.92962800000000012</v>
      </c>
      <c r="D208" s="456"/>
      <c r="E208" s="456"/>
    </row>
    <row r="209" spans="1:5" x14ac:dyDescent="0.35">
      <c r="A209" s="56" t="str">
        <f t="shared" si="9"/>
        <v>01-August-2020 to 31-August-2020</v>
      </c>
      <c r="B209" s="349">
        <f>'Baseline Emission'!B182</f>
        <v>0.7473479999999999</v>
      </c>
      <c r="C209" s="349">
        <f>'Baseline Emission'!C182</f>
        <v>0.95176199999999989</v>
      </c>
      <c r="D209" s="456"/>
      <c r="E209" s="456"/>
    </row>
    <row r="210" spans="1:5" x14ac:dyDescent="0.35">
      <c r="A210" s="56" t="str">
        <f t="shared" si="9"/>
        <v>01-September-2020 to 30-September-2020</v>
      </c>
      <c r="B210" s="349">
        <f>'Baseline Emission'!B183</f>
        <v>0.74340000000000006</v>
      </c>
      <c r="C210" s="349">
        <f>'Baseline Emission'!C183</f>
        <v>0.90972000000000008</v>
      </c>
      <c r="D210" s="456"/>
      <c r="E210" s="456"/>
    </row>
    <row r="211" spans="1:5" x14ac:dyDescent="0.35">
      <c r="A211" s="56" t="str">
        <f t="shared" si="9"/>
        <v>01-October-2020 to 31-October-2020</v>
      </c>
      <c r="B211" s="349">
        <f>'Baseline Emission'!B184</f>
        <v>0.76427400000000001</v>
      </c>
      <c r="C211" s="349">
        <f>'Baseline Emission'!C184</f>
        <v>0.93353400000000009</v>
      </c>
      <c r="D211" s="456"/>
      <c r="E211" s="456"/>
    </row>
    <row r="212" spans="1:5" x14ac:dyDescent="0.35">
      <c r="A212" s="56" t="str">
        <f t="shared" si="9"/>
        <v>01-November-2020 to 30-November-2020</v>
      </c>
      <c r="B212" s="349">
        <f>'Baseline Emission'!B185</f>
        <v>0.73962000000000006</v>
      </c>
      <c r="C212" s="349">
        <f>'Baseline Emission'!C185</f>
        <v>0.92232000000000003</v>
      </c>
      <c r="D212" s="456"/>
      <c r="E212" s="456"/>
    </row>
    <row r="213" spans="1:5" x14ac:dyDescent="0.35">
      <c r="A213" s="56" t="str">
        <f t="shared" si="9"/>
        <v>01-December-2020 to 31-December-2020</v>
      </c>
      <c r="B213" s="349">
        <f>'Baseline Emission'!B186</f>
        <v>0.75255599999999989</v>
      </c>
      <c r="C213" s="349">
        <f>'Baseline Emission'!C186</f>
        <v>0.96608399999999994</v>
      </c>
      <c r="D213" s="456"/>
      <c r="E213" s="456"/>
    </row>
    <row r="214" spans="1:5" x14ac:dyDescent="0.35">
      <c r="A214" s="56" t="str">
        <f t="shared" si="9"/>
        <v>01-January-2021 to 31-January-2021</v>
      </c>
      <c r="B214" s="349">
        <f>'Baseline Emission'!B187</f>
        <v>0.769482</v>
      </c>
      <c r="C214" s="349">
        <f>'Baseline Emission'!C187</f>
        <v>0.93744000000000005</v>
      </c>
      <c r="D214" s="456"/>
      <c r="E214" s="456"/>
    </row>
    <row r="215" spans="1:5" x14ac:dyDescent="0.35">
      <c r="A215" s="56" t="str">
        <f t="shared" si="9"/>
        <v>01-February-2021 to 28-February-2021</v>
      </c>
      <c r="B215" s="349">
        <f>'Baseline Emission'!B188</f>
        <v>0.69266400000000006</v>
      </c>
      <c r="C215" s="349">
        <f>'Baseline Emission'!C188</f>
        <v>0.85377599999999998</v>
      </c>
      <c r="D215" s="456"/>
      <c r="E215" s="456"/>
    </row>
    <row r="216" spans="1:5" x14ac:dyDescent="0.35">
      <c r="A216" s="56" t="str">
        <f t="shared" si="9"/>
        <v>01-March-2021 to 31-March-2021</v>
      </c>
      <c r="B216" s="349">
        <f>'Baseline Emission'!B189</f>
        <v>0.75125400000000009</v>
      </c>
      <c r="C216" s="349">
        <f>'Baseline Emission'!C189</f>
        <v>0.94655400000000001</v>
      </c>
      <c r="D216" s="456"/>
      <c r="E216" s="456"/>
    </row>
    <row r="217" spans="1:5" x14ac:dyDescent="0.35">
      <c r="A217" s="56" t="str">
        <f t="shared" si="9"/>
        <v>01-April-2021 to 30-April-2021</v>
      </c>
      <c r="B217" s="349">
        <f>'Baseline Emission'!B190</f>
        <v>0.71441999999999994</v>
      </c>
      <c r="C217" s="349">
        <f>'Baseline Emission'!C190</f>
        <v>0.92735999999999996</v>
      </c>
      <c r="D217" s="456"/>
      <c r="E217" s="456"/>
    </row>
    <row r="218" spans="1:5" x14ac:dyDescent="0.35">
      <c r="A218" s="56" t="str">
        <f t="shared" si="9"/>
        <v>01-May-2021 to 31-May-2021</v>
      </c>
      <c r="B218" s="349">
        <f>'Baseline Emission'!B191</f>
        <v>0.75385799999999992</v>
      </c>
      <c r="C218" s="349">
        <f>'Baseline Emission'!C191</f>
        <v>0.95436600000000005</v>
      </c>
      <c r="D218" s="456"/>
      <c r="E218" s="456"/>
    </row>
    <row r="219" spans="1:5" x14ac:dyDescent="0.35">
      <c r="A219" s="56" t="str">
        <f t="shared" si="9"/>
        <v>01-June-2021 to 30-June-2021</v>
      </c>
      <c r="B219" s="349">
        <f>'Baseline Emission'!B192</f>
        <v>0.72449999999999992</v>
      </c>
      <c r="C219" s="349">
        <f>'Baseline Emission'!C192</f>
        <v>0.90215999999999996</v>
      </c>
      <c r="D219" s="456"/>
      <c r="E219" s="456"/>
    </row>
    <row r="220" spans="1:5" x14ac:dyDescent="0.35">
      <c r="A220" s="56" t="str">
        <f t="shared" si="9"/>
        <v>01-July-2021 to 31-July-2021</v>
      </c>
      <c r="B220" s="349">
        <f>'Baseline Emission'!B193</f>
        <v>0.75255599999999989</v>
      </c>
      <c r="C220" s="349">
        <f>'Baseline Emission'!C193</f>
        <v>0.93744000000000005</v>
      </c>
      <c r="D220" s="456"/>
      <c r="E220" s="456"/>
    </row>
    <row r="221" spans="1:5" x14ac:dyDescent="0.35">
      <c r="A221" s="56" t="str">
        <f t="shared" si="9"/>
        <v>01-August-2021 to 31-August-2021</v>
      </c>
      <c r="B221" s="349">
        <f>'Baseline Emission'!B194</f>
        <v>0.75646200000000008</v>
      </c>
      <c r="C221" s="349">
        <f>'Baseline Emission'!C194</f>
        <v>0.93874199999999985</v>
      </c>
      <c r="D221" s="456"/>
      <c r="E221" s="456"/>
    </row>
    <row r="222" spans="1:5" x14ac:dyDescent="0.35">
      <c r="A222" s="56" t="str">
        <f t="shared" si="9"/>
        <v>01-September-2021 to 30-September-2021</v>
      </c>
      <c r="B222" s="349">
        <f>'Baseline Emission'!B195</f>
        <v>0.74465999999999999</v>
      </c>
      <c r="C222" s="349">
        <f>'Baseline Emission'!C195</f>
        <v>0.9109799999999999</v>
      </c>
      <c r="D222" s="456"/>
      <c r="E222" s="456"/>
    </row>
    <row r="223" spans="1:5" x14ac:dyDescent="0.35">
      <c r="A223" s="56" t="str">
        <f t="shared" si="9"/>
        <v>01-October-2021 to 31-October-2021</v>
      </c>
      <c r="B223" s="349">
        <f>'Baseline Emission'!B196</f>
        <v>0.76036800000000004</v>
      </c>
      <c r="C223" s="349">
        <f>'Baseline Emission'!C196</f>
        <v>0.95436600000000005</v>
      </c>
      <c r="D223" s="456"/>
      <c r="E223" s="456"/>
    </row>
    <row r="224" spans="1:5" x14ac:dyDescent="0.35">
      <c r="A224" s="56" t="str">
        <f t="shared" si="9"/>
        <v>01-November-2021 to 30-November-2021</v>
      </c>
      <c r="B224" s="349">
        <f>'Baseline Emission'!B197</f>
        <v>0.72827999999999993</v>
      </c>
      <c r="C224" s="349">
        <f>'Baseline Emission'!C197</f>
        <v>0.91350000000000009</v>
      </c>
      <c r="D224" s="456"/>
      <c r="E224" s="456"/>
    </row>
    <row r="225" spans="1:9" x14ac:dyDescent="0.35">
      <c r="A225" s="56" t="str">
        <f t="shared" si="9"/>
        <v>01-December-2021 to 31-December-2021</v>
      </c>
      <c r="B225" s="349">
        <f>'Baseline Emission'!B198</f>
        <v>0.75646200000000008</v>
      </c>
      <c r="C225" s="349">
        <f>'Baseline Emission'!C198</f>
        <v>0.93744000000000005</v>
      </c>
      <c r="D225" s="457"/>
      <c r="E225" s="457"/>
    </row>
    <row r="226" spans="1:9" ht="12.75" customHeight="1" x14ac:dyDescent="0.35">
      <c r="A226" s="54" t="s">
        <v>308</v>
      </c>
      <c r="B226" s="350"/>
      <c r="C226" s="350"/>
      <c r="D226" s="459" t="s">
        <v>72</v>
      </c>
      <c r="E226" s="492" t="str">
        <f>E131</f>
        <v>Calculated as equation 5 and 6 in JPM, of which Np,LT and Nda,LT is  sourced from "Exported from the stock record of Market swine"
NLT for breeding swine is sourced from "Breeding Pig stock record"</v>
      </c>
      <c r="F226" s="243"/>
      <c r="G226" s="243"/>
      <c r="H226" s="243"/>
      <c r="I226" s="243"/>
    </row>
    <row r="227" spans="1:9" x14ac:dyDescent="0.35">
      <c r="A227" s="56" t="str">
        <f t="shared" ref="A227:A245" si="10">A207</f>
        <v>10-June-2020 to 30-June-2020</v>
      </c>
      <c r="B227" s="350">
        <f t="shared" ref="B227:C245" si="11">B132</f>
        <v>94708</v>
      </c>
      <c r="C227" s="350">
        <f t="shared" si="11"/>
        <v>51811</v>
      </c>
      <c r="D227" s="456"/>
      <c r="E227" s="493"/>
      <c r="F227" s="243"/>
      <c r="G227" s="243"/>
      <c r="H227" s="243"/>
      <c r="I227" s="243"/>
    </row>
    <row r="228" spans="1:9" x14ac:dyDescent="0.35">
      <c r="A228" s="56" t="str">
        <f t="shared" si="10"/>
        <v>01-July-2020 to 31-July-2020</v>
      </c>
      <c r="B228" s="350">
        <f t="shared" si="11"/>
        <v>94708</v>
      </c>
      <c r="C228" s="350">
        <f t="shared" si="11"/>
        <v>51845</v>
      </c>
      <c r="D228" s="456"/>
      <c r="E228" s="493"/>
      <c r="F228" s="243"/>
      <c r="G228" s="243"/>
      <c r="H228" s="243"/>
      <c r="I228" s="243"/>
    </row>
    <row r="229" spans="1:9" x14ac:dyDescent="0.35">
      <c r="A229" s="56" t="str">
        <f t="shared" si="10"/>
        <v>01-August-2020 to 31-August-2020</v>
      </c>
      <c r="B229" s="350">
        <f t="shared" si="11"/>
        <v>94708</v>
      </c>
      <c r="C229" s="350">
        <f t="shared" si="11"/>
        <v>51842</v>
      </c>
      <c r="D229" s="456"/>
      <c r="E229" s="493"/>
      <c r="F229" s="243"/>
      <c r="G229" s="243"/>
      <c r="H229" s="243"/>
      <c r="I229" s="243"/>
    </row>
    <row r="230" spans="1:9" x14ac:dyDescent="0.35">
      <c r="A230" s="56" t="str">
        <f t="shared" si="10"/>
        <v>01-September-2020 to 30-September-2020</v>
      </c>
      <c r="B230" s="350">
        <f t="shared" si="11"/>
        <v>94708</v>
      </c>
      <c r="C230" s="350">
        <f t="shared" si="11"/>
        <v>51855</v>
      </c>
      <c r="D230" s="456"/>
      <c r="E230" s="493"/>
      <c r="F230" s="243"/>
      <c r="G230" s="243"/>
      <c r="H230" s="243"/>
      <c r="I230" s="243"/>
    </row>
    <row r="231" spans="1:9" x14ac:dyDescent="0.35">
      <c r="A231" s="56" t="str">
        <f t="shared" si="10"/>
        <v>01-October-2020 to 31-October-2020</v>
      </c>
      <c r="B231" s="350">
        <f t="shared" si="11"/>
        <v>94708</v>
      </c>
      <c r="C231" s="350">
        <f t="shared" si="11"/>
        <v>51808</v>
      </c>
      <c r="D231" s="456"/>
      <c r="E231" s="493"/>
      <c r="F231" s="243"/>
      <c r="G231" s="243"/>
      <c r="H231" s="243"/>
      <c r="I231" s="243"/>
    </row>
    <row r="232" spans="1:9" x14ac:dyDescent="0.35">
      <c r="A232" s="56" t="str">
        <f t="shared" si="10"/>
        <v>01-November-2020 to 30-November-2020</v>
      </c>
      <c r="B232" s="350">
        <f t="shared" si="11"/>
        <v>94708</v>
      </c>
      <c r="C232" s="350">
        <f t="shared" si="11"/>
        <v>51858</v>
      </c>
      <c r="D232" s="456"/>
      <c r="E232" s="493"/>
      <c r="F232" s="243"/>
      <c r="G232" s="243"/>
      <c r="H232" s="243"/>
      <c r="I232" s="243"/>
    </row>
    <row r="233" spans="1:9" x14ac:dyDescent="0.35">
      <c r="A233" s="56" t="str">
        <f t="shared" si="10"/>
        <v>01-December-2020 to 31-December-2020</v>
      </c>
      <c r="B233" s="350">
        <f t="shared" si="11"/>
        <v>94708</v>
      </c>
      <c r="C233" s="350">
        <f t="shared" si="11"/>
        <v>51872</v>
      </c>
      <c r="D233" s="456"/>
      <c r="E233" s="493"/>
      <c r="F233" s="243"/>
      <c r="G233" s="243"/>
      <c r="H233" s="243"/>
      <c r="I233" s="243"/>
    </row>
    <row r="234" spans="1:9" x14ac:dyDescent="0.35">
      <c r="A234" s="56" t="str">
        <f t="shared" si="10"/>
        <v>01-January-2021 to 31-January-2021</v>
      </c>
      <c r="B234" s="350">
        <f t="shared" si="11"/>
        <v>94708</v>
      </c>
      <c r="C234" s="350">
        <f t="shared" si="11"/>
        <v>51865</v>
      </c>
      <c r="D234" s="456"/>
      <c r="E234" s="493"/>
      <c r="F234" s="243"/>
      <c r="G234" s="243"/>
      <c r="H234" s="243"/>
      <c r="I234" s="243"/>
    </row>
    <row r="235" spans="1:9" x14ac:dyDescent="0.35">
      <c r="A235" s="56" t="str">
        <f t="shared" si="10"/>
        <v>01-February-2021 to 28-February-2021</v>
      </c>
      <c r="B235" s="350">
        <f t="shared" si="11"/>
        <v>94708</v>
      </c>
      <c r="C235" s="350">
        <f t="shared" si="11"/>
        <v>51889</v>
      </c>
      <c r="D235" s="456"/>
      <c r="E235" s="493"/>
      <c r="F235" s="243"/>
      <c r="G235" s="243"/>
      <c r="H235" s="243"/>
      <c r="I235" s="243"/>
    </row>
    <row r="236" spans="1:9" x14ac:dyDescent="0.35">
      <c r="A236" s="56" t="str">
        <f t="shared" si="10"/>
        <v>01-March-2021 to 31-March-2021</v>
      </c>
      <c r="B236" s="350">
        <f t="shared" si="11"/>
        <v>94708</v>
      </c>
      <c r="C236" s="350">
        <f t="shared" si="11"/>
        <v>51838</v>
      </c>
      <c r="D236" s="456"/>
      <c r="E236" s="493"/>
      <c r="F236" s="243"/>
      <c r="G236" s="243"/>
      <c r="H236" s="243"/>
      <c r="I236" s="243"/>
    </row>
    <row r="237" spans="1:9" x14ac:dyDescent="0.35">
      <c r="A237" s="56" t="str">
        <f t="shared" si="10"/>
        <v>01-April-2021 to 30-April-2021</v>
      </c>
      <c r="B237" s="350">
        <f t="shared" si="11"/>
        <v>94708</v>
      </c>
      <c r="C237" s="350">
        <f t="shared" si="11"/>
        <v>51829</v>
      </c>
      <c r="D237" s="456"/>
      <c r="E237" s="493"/>
      <c r="F237" s="243"/>
      <c r="G237" s="243"/>
      <c r="H237" s="243"/>
      <c r="I237" s="243"/>
    </row>
    <row r="238" spans="1:9" x14ac:dyDescent="0.35">
      <c r="A238" s="56" t="str">
        <f t="shared" si="10"/>
        <v>01-May-2021 to 31-May-2021</v>
      </c>
      <c r="B238" s="350">
        <f t="shared" si="11"/>
        <v>94708</v>
      </c>
      <c r="C238" s="350">
        <f t="shared" si="11"/>
        <v>51836</v>
      </c>
      <c r="D238" s="456"/>
      <c r="E238" s="493"/>
      <c r="F238" s="243"/>
      <c r="G238" s="243"/>
      <c r="H238" s="243"/>
      <c r="I238" s="243"/>
    </row>
    <row r="239" spans="1:9" x14ac:dyDescent="0.35">
      <c r="A239" s="56" t="str">
        <f t="shared" si="10"/>
        <v>01-June-2021 to 30-June-2021</v>
      </c>
      <c r="B239" s="350">
        <f t="shared" si="11"/>
        <v>94708</v>
      </c>
      <c r="C239" s="350">
        <f t="shared" si="11"/>
        <v>51849</v>
      </c>
      <c r="D239" s="456"/>
      <c r="E239" s="493"/>
      <c r="F239" s="243"/>
      <c r="G239" s="243"/>
      <c r="H239" s="243"/>
      <c r="I239" s="243"/>
    </row>
    <row r="240" spans="1:9" x14ac:dyDescent="0.35">
      <c r="A240" s="56" t="str">
        <f t="shared" si="10"/>
        <v>01-July-2021 to 31-July-2021</v>
      </c>
      <c r="B240" s="350">
        <f t="shared" si="11"/>
        <v>94708</v>
      </c>
      <c r="C240" s="350">
        <f t="shared" si="11"/>
        <v>51854</v>
      </c>
      <c r="D240" s="456"/>
      <c r="E240" s="493"/>
      <c r="F240" s="243"/>
      <c r="G240" s="243"/>
      <c r="H240" s="243"/>
      <c r="I240" s="243"/>
    </row>
    <row r="241" spans="1:9" x14ac:dyDescent="0.35">
      <c r="A241" s="56" t="str">
        <f t="shared" si="10"/>
        <v>01-August-2021 to 31-August-2021</v>
      </c>
      <c r="B241" s="350">
        <f t="shared" si="11"/>
        <v>94708</v>
      </c>
      <c r="C241" s="350">
        <f t="shared" si="11"/>
        <v>51815</v>
      </c>
      <c r="D241" s="456"/>
      <c r="E241" s="493"/>
      <c r="F241" s="243"/>
      <c r="G241" s="243"/>
      <c r="H241" s="243"/>
      <c r="I241" s="243"/>
    </row>
    <row r="242" spans="1:9" x14ac:dyDescent="0.35">
      <c r="A242" s="56" t="str">
        <f t="shared" si="10"/>
        <v>01-September-2021 to 30-September-2021</v>
      </c>
      <c r="B242" s="350">
        <f t="shared" si="11"/>
        <v>94708</v>
      </c>
      <c r="C242" s="350">
        <f t="shared" si="11"/>
        <v>51900</v>
      </c>
      <c r="D242" s="456"/>
      <c r="E242" s="493"/>
      <c r="F242" s="243"/>
      <c r="G242" s="243"/>
      <c r="H242" s="243"/>
      <c r="I242" s="243"/>
    </row>
    <row r="243" spans="1:9" x14ac:dyDescent="0.35">
      <c r="A243" s="56" t="str">
        <f t="shared" si="10"/>
        <v>01-October-2021 to 31-October-2021</v>
      </c>
      <c r="B243" s="350">
        <f t="shared" si="11"/>
        <v>94708</v>
      </c>
      <c r="C243" s="350">
        <f t="shared" si="11"/>
        <v>51859</v>
      </c>
      <c r="D243" s="456"/>
      <c r="E243" s="493"/>
      <c r="F243" s="243"/>
      <c r="G243" s="243"/>
      <c r="H243" s="243"/>
      <c r="I243" s="243"/>
    </row>
    <row r="244" spans="1:9" x14ac:dyDescent="0.35">
      <c r="A244" s="56" t="str">
        <f t="shared" si="10"/>
        <v>01-November-2021 to 30-November-2021</v>
      </c>
      <c r="B244" s="350">
        <f t="shared" si="11"/>
        <v>94708</v>
      </c>
      <c r="C244" s="350">
        <f t="shared" si="11"/>
        <v>51827</v>
      </c>
      <c r="D244" s="456"/>
      <c r="E244" s="493"/>
      <c r="F244" s="243"/>
      <c r="G244" s="243"/>
      <c r="H244" s="243"/>
      <c r="I244" s="243"/>
    </row>
    <row r="245" spans="1:9" x14ac:dyDescent="0.35">
      <c r="A245" s="56" t="str">
        <f t="shared" si="10"/>
        <v>01-December-2021 to 31-December-2021</v>
      </c>
      <c r="B245" s="350">
        <f t="shared" si="11"/>
        <v>94708</v>
      </c>
      <c r="C245" s="350">
        <f t="shared" si="11"/>
        <v>51854</v>
      </c>
      <c r="D245" s="457"/>
      <c r="E245" s="494"/>
      <c r="F245" s="243"/>
      <c r="G245" s="243"/>
      <c r="H245" s="243"/>
      <c r="I245" s="243"/>
    </row>
    <row r="246" spans="1:9" x14ac:dyDescent="0.35">
      <c r="A246" s="54" t="s">
        <v>45</v>
      </c>
      <c r="B246" s="620">
        <v>1</v>
      </c>
      <c r="C246" s="352">
        <v>1</v>
      </c>
      <c r="D246" s="52" t="s">
        <v>104</v>
      </c>
      <c r="E246" s="37" t="s">
        <v>100</v>
      </c>
    </row>
    <row r="247" spans="1:9" x14ac:dyDescent="0.35">
      <c r="A247" s="56" t="str">
        <f t="shared" ref="A247:A265" si="12">A227</f>
        <v>10-June-2020 to 30-June-2020</v>
      </c>
      <c r="B247" s="353">
        <f>$B$205*B207*B227*$B$246</f>
        <v>0</v>
      </c>
      <c r="C247" s="353">
        <f>$B$205*C207*C227*$B$246</f>
        <v>0</v>
      </c>
      <c r="D247" s="490"/>
      <c r="E247" s="462" t="s">
        <v>102</v>
      </c>
    </row>
    <row r="248" spans="1:9" x14ac:dyDescent="0.35">
      <c r="A248" s="56" t="str">
        <f t="shared" si="12"/>
        <v>01-July-2020 to 31-July-2020</v>
      </c>
      <c r="B248" s="353">
        <f t="shared" ref="B248:C265" si="13">$B$205*B208*B228*$B$246</f>
        <v>0</v>
      </c>
      <c r="C248" s="353">
        <f t="shared" si="13"/>
        <v>0</v>
      </c>
      <c r="D248" s="490"/>
      <c r="E248" s="462"/>
    </row>
    <row r="249" spans="1:9" x14ac:dyDescent="0.35">
      <c r="A249" s="56" t="str">
        <f t="shared" si="12"/>
        <v>01-August-2020 to 31-August-2020</v>
      </c>
      <c r="B249" s="353">
        <f t="shared" si="13"/>
        <v>0</v>
      </c>
      <c r="C249" s="353">
        <f t="shared" si="13"/>
        <v>0</v>
      </c>
      <c r="D249" s="490"/>
      <c r="E249" s="462"/>
    </row>
    <row r="250" spans="1:9" x14ac:dyDescent="0.35">
      <c r="A250" s="56" t="str">
        <f t="shared" si="12"/>
        <v>01-September-2020 to 30-September-2020</v>
      </c>
      <c r="B250" s="353">
        <f t="shared" si="13"/>
        <v>0</v>
      </c>
      <c r="C250" s="353">
        <f t="shared" si="13"/>
        <v>0</v>
      </c>
      <c r="D250" s="490"/>
      <c r="E250" s="462"/>
    </row>
    <row r="251" spans="1:9" x14ac:dyDescent="0.35">
      <c r="A251" s="56" t="str">
        <f t="shared" si="12"/>
        <v>01-October-2020 to 31-October-2020</v>
      </c>
      <c r="B251" s="353">
        <f t="shared" si="13"/>
        <v>0</v>
      </c>
      <c r="C251" s="353">
        <f t="shared" si="13"/>
        <v>0</v>
      </c>
      <c r="D251" s="490"/>
      <c r="E251" s="462"/>
    </row>
    <row r="252" spans="1:9" x14ac:dyDescent="0.35">
      <c r="A252" s="56" t="str">
        <f t="shared" si="12"/>
        <v>01-November-2020 to 30-November-2020</v>
      </c>
      <c r="B252" s="353">
        <f t="shared" si="13"/>
        <v>0</v>
      </c>
      <c r="C252" s="353">
        <f t="shared" si="13"/>
        <v>0</v>
      </c>
      <c r="D252" s="490"/>
      <c r="E252" s="462"/>
    </row>
    <row r="253" spans="1:9" x14ac:dyDescent="0.35">
      <c r="A253" s="56" t="str">
        <f t="shared" si="12"/>
        <v>01-December-2020 to 31-December-2020</v>
      </c>
      <c r="B253" s="353">
        <f t="shared" si="13"/>
        <v>0</v>
      </c>
      <c r="C253" s="353">
        <f t="shared" si="13"/>
        <v>0</v>
      </c>
      <c r="D253" s="490"/>
      <c r="E253" s="462"/>
    </row>
    <row r="254" spans="1:9" x14ac:dyDescent="0.35">
      <c r="A254" s="56" t="str">
        <f t="shared" si="12"/>
        <v>01-January-2021 to 31-January-2021</v>
      </c>
      <c r="B254" s="353">
        <f t="shared" si="13"/>
        <v>0</v>
      </c>
      <c r="C254" s="353">
        <f t="shared" si="13"/>
        <v>0</v>
      </c>
      <c r="D254" s="490"/>
      <c r="E254" s="462"/>
    </row>
    <row r="255" spans="1:9" x14ac:dyDescent="0.35">
      <c r="A255" s="56" t="str">
        <f t="shared" si="12"/>
        <v>01-February-2021 to 28-February-2021</v>
      </c>
      <c r="B255" s="353">
        <f t="shared" si="13"/>
        <v>0</v>
      </c>
      <c r="C255" s="353">
        <f t="shared" si="13"/>
        <v>0</v>
      </c>
      <c r="D255" s="490"/>
      <c r="E255" s="462"/>
    </row>
    <row r="256" spans="1:9" x14ac:dyDescent="0.35">
      <c r="A256" s="56" t="str">
        <f t="shared" si="12"/>
        <v>01-March-2021 to 31-March-2021</v>
      </c>
      <c r="B256" s="353">
        <f t="shared" si="13"/>
        <v>0</v>
      </c>
      <c r="C256" s="353">
        <f t="shared" si="13"/>
        <v>0</v>
      </c>
      <c r="D256" s="490"/>
      <c r="E256" s="462"/>
    </row>
    <row r="257" spans="1:5" x14ac:dyDescent="0.35">
      <c r="A257" s="56" t="str">
        <f t="shared" si="12"/>
        <v>01-April-2021 to 30-April-2021</v>
      </c>
      <c r="B257" s="353">
        <f t="shared" si="13"/>
        <v>0</v>
      </c>
      <c r="C257" s="353">
        <f t="shared" si="13"/>
        <v>0</v>
      </c>
      <c r="D257" s="490"/>
      <c r="E257" s="462"/>
    </row>
    <row r="258" spans="1:5" x14ac:dyDescent="0.35">
      <c r="A258" s="56" t="str">
        <f t="shared" si="12"/>
        <v>01-May-2021 to 31-May-2021</v>
      </c>
      <c r="B258" s="353">
        <f t="shared" si="13"/>
        <v>0</v>
      </c>
      <c r="C258" s="353">
        <f t="shared" si="13"/>
        <v>0</v>
      </c>
      <c r="D258" s="490"/>
      <c r="E258" s="462"/>
    </row>
    <row r="259" spans="1:5" x14ac:dyDescent="0.35">
      <c r="A259" s="56" t="str">
        <f t="shared" si="12"/>
        <v>01-June-2021 to 30-June-2021</v>
      </c>
      <c r="B259" s="353">
        <f t="shared" si="13"/>
        <v>0</v>
      </c>
      <c r="C259" s="353">
        <f t="shared" si="13"/>
        <v>0</v>
      </c>
      <c r="D259" s="490"/>
      <c r="E259" s="462"/>
    </row>
    <row r="260" spans="1:5" x14ac:dyDescent="0.35">
      <c r="A260" s="56" t="str">
        <f t="shared" si="12"/>
        <v>01-July-2021 to 31-July-2021</v>
      </c>
      <c r="B260" s="353">
        <f t="shared" si="13"/>
        <v>0</v>
      </c>
      <c r="C260" s="353">
        <f t="shared" si="13"/>
        <v>0</v>
      </c>
      <c r="D260" s="490"/>
      <c r="E260" s="462"/>
    </row>
    <row r="261" spans="1:5" x14ac:dyDescent="0.35">
      <c r="A261" s="56" t="str">
        <f t="shared" si="12"/>
        <v>01-August-2021 to 31-August-2021</v>
      </c>
      <c r="B261" s="353">
        <f t="shared" si="13"/>
        <v>0</v>
      </c>
      <c r="C261" s="353">
        <f t="shared" si="13"/>
        <v>0</v>
      </c>
      <c r="D261" s="490"/>
      <c r="E261" s="462"/>
    </row>
    <row r="262" spans="1:5" x14ac:dyDescent="0.35">
      <c r="A262" s="56" t="str">
        <f t="shared" si="12"/>
        <v>01-September-2021 to 30-September-2021</v>
      </c>
      <c r="B262" s="353">
        <f t="shared" si="13"/>
        <v>0</v>
      </c>
      <c r="C262" s="353">
        <f t="shared" si="13"/>
        <v>0</v>
      </c>
      <c r="D262" s="490"/>
      <c r="E262" s="462"/>
    </row>
    <row r="263" spans="1:5" x14ac:dyDescent="0.35">
      <c r="A263" s="56" t="str">
        <f t="shared" si="12"/>
        <v>01-October-2021 to 31-October-2021</v>
      </c>
      <c r="B263" s="353">
        <f t="shared" si="13"/>
        <v>0</v>
      </c>
      <c r="C263" s="353">
        <f t="shared" si="13"/>
        <v>0</v>
      </c>
      <c r="D263" s="490"/>
      <c r="E263" s="462"/>
    </row>
    <row r="264" spans="1:5" x14ac:dyDescent="0.35">
      <c r="A264" s="56" t="str">
        <f t="shared" si="12"/>
        <v>01-November-2021 to 30-November-2021</v>
      </c>
      <c r="B264" s="353">
        <f t="shared" si="13"/>
        <v>0</v>
      </c>
      <c r="C264" s="353">
        <f t="shared" si="13"/>
        <v>0</v>
      </c>
      <c r="D264" s="490"/>
      <c r="E264" s="462"/>
    </row>
    <row r="265" spans="1:5" x14ac:dyDescent="0.35">
      <c r="A265" s="56" t="str">
        <f t="shared" si="12"/>
        <v>01-December-2021 to 31-December-2021</v>
      </c>
      <c r="B265" s="353">
        <f t="shared" si="13"/>
        <v>0</v>
      </c>
      <c r="C265" s="353">
        <f t="shared" si="13"/>
        <v>0</v>
      </c>
      <c r="D265" s="490"/>
      <c r="E265" s="462"/>
    </row>
    <row r="266" spans="1:5" ht="15.5" x14ac:dyDescent="0.45">
      <c r="A266" s="96" t="s">
        <v>282</v>
      </c>
      <c r="B266" s="496">
        <f>SUM(B247:C253)</f>
        <v>0</v>
      </c>
      <c r="C266" s="496"/>
      <c r="D266" s="490"/>
      <c r="E266" s="462"/>
    </row>
    <row r="267" spans="1:5" ht="15.5" x14ac:dyDescent="0.45">
      <c r="A267" s="96" t="s">
        <v>328</v>
      </c>
      <c r="B267" s="496">
        <f>SUM(B254:C265)</f>
        <v>0</v>
      </c>
      <c r="C267" s="496"/>
      <c r="D267" s="490"/>
      <c r="E267" s="462"/>
    </row>
    <row r="268" spans="1:5" ht="15.5" x14ac:dyDescent="0.35">
      <c r="A268" s="62" t="s">
        <v>269</v>
      </c>
      <c r="B268" s="498">
        <f>B266+B267</f>
        <v>0</v>
      </c>
      <c r="C268" s="499"/>
      <c r="D268" s="491"/>
      <c r="E268" s="495"/>
    </row>
    <row r="269" spans="1:5" ht="27.75" customHeight="1" x14ac:dyDescent="0.35">
      <c r="A269" s="54" t="s">
        <v>309</v>
      </c>
      <c r="B269" s="354">
        <v>6.0000000000000001E-3</v>
      </c>
      <c r="C269" s="354">
        <v>6.0000000000000001E-3</v>
      </c>
      <c r="D269" s="355" t="s">
        <v>82</v>
      </c>
      <c r="E269" s="355" t="s">
        <v>65</v>
      </c>
    </row>
    <row r="270" spans="1:5" ht="12.75" customHeight="1" x14ac:dyDescent="0.35">
      <c r="A270" s="54" t="s">
        <v>308</v>
      </c>
      <c r="B270" s="356"/>
      <c r="C270" s="356"/>
      <c r="D270" s="489" t="s">
        <v>72</v>
      </c>
      <c r="E270" s="492" t="str">
        <f>E226</f>
        <v>Calculated as equation 5 and 6 in JPM, of which Np,LT and Nda,LT is  sourced from "Exported from the stock record of Market swine"
NLT for breeding swine is sourced from "Breeding Pig stock record"</v>
      </c>
    </row>
    <row r="271" spans="1:5" x14ac:dyDescent="0.35">
      <c r="A271" s="56" t="str">
        <f t="shared" ref="A271:A289" si="14">A247</f>
        <v>10-June-2020 to 30-June-2020</v>
      </c>
      <c r="B271" s="357">
        <f t="shared" ref="B271:C289" si="15">B227</f>
        <v>94708</v>
      </c>
      <c r="C271" s="357">
        <f t="shared" si="15"/>
        <v>51811</v>
      </c>
      <c r="D271" s="490"/>
      <c r="E271" s="493"/>
    </row>
    <row r="272" spans="1:5" x14ac:dyDescent="0.35">
      <c r="A272" s="56" t="str">
        <f t="shared" si="14"/>
        <v>01-July-2020 to 31-July-2020</v>
      </c>
      <c r="B272" s="357">
        <f t="shared" si="15"/>
        <v>94708</v>
      </c>
      <c r="C272" s="357">
        <f t="shared" si="15"/>
        <v>51845</v>
      </c>
      <c r="D272" s="490"/>
      <c r="E272" s="493"/>
    </row>
    <row r="273" spans="1:5" x14ac:dyDescent="0.35">
      <c r="A273" s="56" t="str">
        <f t="shared" si="14"/>
        <v>01-August-2020 to 31-August-2020</v>
      </c>
      <c r="B273" s="357">
        <f t="shared" si="15"/>
        <v>94708</v>
      </c>
      <c r="C273" s="357">
        <f t="shared" si="15"/>
        <v>51842</v>
      </c>
      <c r="D273" s="490"/>
      <c r="E273" s="493"/>
    </row>
    <row r="274" spans="1:5" x14ac:dyDescent="0.35">
      <c r="A274" s="56" t="str">
        <f t="shared" si="14"/>
        <v>01-September-2020 to 30-September-2020</v>
      </c>
      <c r="B274" s="357">
        <f t="shared" si="15"/>
        <v>94708</v>
      </c>
      <c r="C274" s="357">
        <f t="shared" si="15"/>
        <v>51855</v>
      </c>
      <c r="D274" s="490"/>
      <c r="E274" s="493"/>
    </row>
    <row r="275" spans="1:5" x14ac:dyDescent="0.35">
      <c r="A275" s="56" t="str">
        <f t="shared" si="14"/>
        <v>01-October-2020 to 31-October-2020</v>
      </c>
      <c r="B275" s="357">
        <f t="shared" si="15"/>
        <v>94708</v>
      </c>
      <c r="C275" s="357">
        <f t="shared" si="15"/>
        <v>51808</v>
      </c>
      <c r="D275" s="490"/>
      <c r="E275" s="493"/>
    </row>
    <row r="276" spans="1:5" x14ac:dyDescent="0.35">
      <c r="A276" s="56" t="str">
        <f t="shared" si="14"/>
        <v>01-November-2020 to 30-November-2020</v>
      </c>
      <c r="B276" s="357">
        <f t="shared" si="15"/>
        <v>94708</v>
      </c>
      <c r="C276" s="357">
        <f t="shared" si="15"/>
        <v>51858</v>
      </c>
      <c r="D276" s="490"/>
      <c r="E276" s="493"/>
    </row>
    <row r="277" spans="1:5" x14ac:dyDescent="0.35">
      <c r="A277" s="56" t="str">
        <f t="shared" si="14"/>
        <v>01-December-2020 to 31-December-2020</v>
      </c>
      <c r="B277" s="357">
        <f t="shared" si="15"/>
        <v>94708</v>
      </c>
      <c r="C277" s="357">
        <f t="shared" si="15"/>
        <v>51872</v>
      </c>
      <c r="D277" s="490"/>
      <c r="E277" s="493"/>
    </row>
    <row r="278" spans="1:5" x14ac:dyDescent="0.35">
      <c r="A278" s="56" t="str">
        <f t="shared" si="14"/>
        <v>01-January-2021 to 31-January-2021</v>
      </c>
      <c r="B278" s="357">
        <f t="shared" si="15"/>
        <v>94708</v>
      </c>
      <c r="C278" s="357">
        <f t="shared" si="15"/>
        <v>51865</v>
      </c>
      <c r="D278" s="490"/>
      <c r="E278" s="493"/>
    </row>
    <row r="279" spans="1:5" x14ac:dyDescent="0.35">
      <c r="A279" s="56" t="str">
        <f t="shared" si="14"/>
        <v>01-February-2021 to 28-February-2021</v>
      </c>
      <c r="B279" s="357">
        <f t="shared" si="15"/>
        <v>94708</v>
      </c>
      <c r="C279" s="357">
        <f t="shared" si="15"/>
        <v>51889</v>
      </c>
      <c r="D279" s="490"/>
      <c r="E279" s="493"/>
    </row>
    <row r="280" spans="1:5" x14ac:dyDescent="0.35">
      <c r="A280" s="56" t="str">
        <f t="shared" si="14"/>
        <v>01-March-2021 to 31-March-2021</v>
      </c>
      <c r="B280" s="357">
        <f t="shared" si="15"/>
        <v>94708</v>
      </c>
      <c r="C280" s="357">
        <f t="shared" si="15"/>
        <v>51838</v>
      </c>
      <c r="D280" s="490"/>
      <c r="E280" s="493"/>
    </row>
    <row r="281" spans="1:5" x14ac:dyDescent="0.35">
      <c r="A281" s="56" t="str">
        <f t="shared" si="14"/>
        <v>01-April-2021 to 30-April-2021</v>
      </c>
      <c r="B281" s="357">
        <f t="shared" si="15"/>
        <v>94708</v>
      </c>
      <c r="C281" s="357">
        <f t="shared" si="15"/>
        <v>51829</v>
      </c>
      <c r="D281" s="490"/>
      <c r="E281" s="493"/>
    </row>
    <row r="282" spans="1:5" x14ac:dyDescent="0.35">
      <c r="A282" s="56" t="str">
        <f t="shared" si="14"/>
        <v>01-May-2021 to 31-May-2021</v>
      </c>
      <c r="B282" s="357">
        <f t="shared" si="15"/>
        <v>94708</v>
      </c>
      <c r="C282" s="357">
        <f t="shared" si="15"/>
        <v>51836</v>
      </c>
      <c r="D282" s="490"/>
      <c r="E282" s="493"/>
    </row>
    <row r="283" spans="1:5" x14ac:dyDescent="0.35">
      <c r="A283" s="56" t="str">
        <f t="shared" si="14"/>
        <v>01-June-2021 to 30-June-2021</v>
      </c>
      <c r="B283" s="357">
        <f t="shared" si="15"/>
        <v>94708</v>
      </c>
      <c r="C283" s="357">
        <f t="shared" si="15"/>
        <v>51849</v>
      </c>
      <c r="D283" s="490"/>
      <c r="E283" s="493"/>
    </row>
    <row r="284" spans="1:5" x14ac:dyDescent="0.35">
      <c r="A284" s="56" t="str">
        <f t="shared" si="14"/>
        <v>01-July-2021 to 31-July-2021</v>
      </c>
      <c r="B284" s="357">
        <f t="shared" si="15"/>
        <v>94708</v>
      </c>
      <c r="C284" s="357">
        <f t="shared" si="15"/>
        <v>51854</v>
      </c>
      <c r="D284" s="490"/>
      <c r="E284" s="493"/>
    </row>
    <row r="285" spans="1:5" x14ac:dyDescent="0.35">
      <c r="A285" s="56" t="str">
        <f t="shared" si="14"/>
        <v>01-August-2021 to 31-August-2021</v>
      </c>
      <c r="B285" s="357">
        <f t="shared" si="15"/>
        <v>94708</v>
      </c>
      <c r="C285" s="357">
        <f t="shared" si="15"/>
        <v>51815</v>
      </c>
      <c r="D285" s="490"/>
      <c r="E285" s="493"/>
    </row>
    <row r="286" spans="1:5" x14ac:dyDescent="0.35">
      <c r="A286" s="56" t="str">
        <f t="shared" si="14"/>
        <v>01-September-2021 to 30-September-2021</v>
      </c>
      <c r="B286" s="357">
        <f t="shared" si="15"/>
        <v>94708</v>
      </c>
      <c r="C286" s="357">
        <f t="shared" si="15"/>
        <v>51900</v>
      </c>
      <c r="D286" s="490"/>
      <c r="E286" s="493"/>
    </row>
    <row r="287" spans="1:5" x14ac:dyDescent="0.35">
      <c r="A287" s="56" t="str">
        <f t="shared" si="14"/>
        <v>01-October-2021 to 31-October-2021</v>
      </c>
      <c r="B287" s="357">
        <f t="shared" si="15"/>
        <v>94708</v>
      </c>
      <c r="C287" s="357">
        <f t="shared" si="15"/>
        <v>51859</v>
      </c>
      <c r="D287" s="490"/>
      <c r="E287" s="493"/>
    </row>
    <row r="288" spans="1:5" x14ac:dyDescent="0.35">
      <c r="A288" s="56" t="str">
        <f t="shared" si="14"/>
        <v>01-November-2021 to 30-November-2021</v>
      </c>
      <c r="B288" s="357">
        <f t="shared" si="15"/>
        <v>94708</v>
      </c>
      <c r="C288" s="357">
        <f t="shared" si="15"/>
        <v>51827</v>
      </c>
      <c r="D288" s="490"/>
      <c r="E288" s="493"/>
    </row>
    <row r="289" spans="1:5" x14ac:dyDescent="0.35">
      <c r="A289" s="56" t="str">
        <f t="shared" si="14"/>
        <v>01-December-2021 to 31-December-2021</v>
      </c>
      <c r="B289" s="357">
        <f t="shared" si="15"/>
        <v>94708</v>
      </c>
      <c r="C289" s="357">
        <f t="shared" si="15"/>
        <v>51854</v>
      </c>
      <c r="D289" s="491"/>
      <c r="E289" s="494"/>
    </row>
    <row r="290" spans="1:5" x14ac:dyDescent="0.35">
      <c r="A290" s="54" t="s">
        <v>45</v>
      </c>
      <c r="B290" s="336">
        <v>1</v>
      </c>
      <c r="C290" s="336">
        <v>1</v>
      </c>
      <c r="D290" s="67" t="s">
        <v>104</v>
      </c>
      <c r="E290" s="37" t="s">
        <v>100</v>
      </c>
    </row>
    <row r="291" spans="1:5" x14ac:dyDescent="0.35">
      <c r="A291" s="62" t="s">
        <v>310</v>
      </c>
      <c r="B291" s="336"/>
      <c r="C291" s="336"/>
      <c r="D291" s="489" t="s">
        <v>87</v>
      </c>
      <c r="E291" s="446" t="s">
        <v>102</v>
      </c>
    </row>
    <row r="292" spans="1:5" x14ac:dyDescent="0.35">
      <c r="A292" s="341" t="str">
        <f t="shared" ref="A292:A310" si="16">A271</f>
        <v>10-June-2020 to 30-June-2020</v>
      </c>
      <c r="B292" s="358">
        <f t="shared" ref="B292:C310" si="17">ROUNDUP($B$269*$B$290*B207*B271,0)</f>
        <v>416</v>
      </c>
      <c r="C292" s="358">
        <f t="shared" si="17"/>
        <v>283</v>
      </c>
      <c r="D292" s="490"/>
      <c r="E292" s="447"/>
    </row>
    <row r="293" spans="1:5" x14ac:dyDescent="0.35">
      <c r="A293" s="341" t="str">
        <f t="shared" si="16"/>
        <v>01-July-2020 to 31-July-2020</v>
      </c>
      <c r="B293" s="358">
        <f t="shared" si="17"/>
        <v>427</v>
      </c>
      <c r="C293" s="358">
        <f t="shared" si="17"/>
        <v>290</v>
      </c>
      <c r="D293" s="490"/>
      <c r="E293" s="447"/>
    </row>
    <row r="294" spans="1:5" x14ac:dyDescent="0.35">
      <c r="A294" s="341" t="str">
        <f t="shared" si="16"/>
        <v>01-August-2020 to 31-August-2020</v>
      </c>
      <c r="B294" s="358">
        <f t="shared" si="17"/>
        <v>425</v>
      </c>
      <c r="C294" s="358">
        <f t="shared" si="17"/>
        <v>297</v>
      </c>
      <c r="D294" s="490"/>
      <c r="E294" s="447"/>
    </row>
    <row r="295" spans="1:5" x14ac:dyDescent="0.35">
      <c r="A295" s="341" t="str">
        <f t="shared" si="16"/>
        <v>01-September-2020 to 30-September-2020</v>
      </c>
      <c r="B295" s="358">
        <f t="shared" si="17"/>
        <v>423</v>
      </c>
      <c r="C295" s="358">
        <f t="shared" si="17"/>
        <v>284</v>
      </c>
      <c r="D295" s="490"/>
      <c r="E295" s="447"/>
    </row>
    <row r="296" spans="1:5" x14ac:dyDescent="0.35">
      <c r="A296" s="341" t="str">
        <f t="shared" si="16"/>
        <v>01-October-2020 to 31-October-2020</v>
      </c>
      <c r="B296" s="358">
        <f t="shared" si="17"/>
        <v>435</v>
      </c>
      <c r="C296" s="358">
        <f t="shared" si="17"/>
        <v>291</v>
      </c>
      <c r="D296" s="490"/>
      <c r="E296" s="447"/>
    </row>
    <row r="297" spans="1:5" x14ac:dyDescent="0.35">
      <c r="A297" s="341" t="str">
        <f t="shared" si="16"/>
        <v>01-November-2020 to 30-November-2020</v>
      </c>
      <c r="B297" s="358">
        <f t="shared" si="17"/>
        <v>421</v>
      </c>
      <c r="C297" s="358">
        <f t="shared" si="17"/>
        <v>287</v>
      </c>
      <c r="D297" s="490"/>
      <c r="E297" s="447"/>
    </row>
    <row r="298" spans="1:5" x14ac:dyDescent="0.35">
      <c r="A298" s="341" t="str">
        <f t="shared" si="16"/>
        <v>01-December-2020 to 31-December-2020</v>
      </c>
      <c r="B298" s="358">
        <f t="shared" si="17"/>
        <v>428</v>
      </c>
      <c r="C298" s="358">
        <f t="shared" si="17"/>
        <v>301</v>
      </c>
      <c r="D298" s="490"/>
      <c r="E298" s="447"/>
    </row>
    <row r="299" spans="1:5" x14ac:dyDescent="0.35">
      <c r="A299" s="341" t="str">
        <f t="shared" si="16"/>
        <v>01-January-2021 to 31-January-2021</v>
      </c>
      <c r="B299" s="358">
        <f t="shared" si="17"/>
        <v>438</v>
      </c>
      <c r="C299" s="358">
        <f t="shared" si="17"/>
        <v>292</v>
      </c>
      <c r="D299" s="490"/>
      <c r="E299" s="447"/>
    </row>
    <row r="300" spans="1:5" x14ac:dyDescent="0.35">
      <c r="A300" s="341" t="str">
        <f t="shared" si="16"/>
        <v>01-February-2021 to 28-February-2021</v>
      </c>
      <c r="B300" s="358">
        <f t="shared" si="17"/>
        <v>394</v>
      </c>
      <c r="C300" s="358">
        <f t="shared" si="17"/>
        <v>266</v>
      </c>
      <c r="D300" s="490"/>
      <c r="E300" s="447"/>
    </row>
    <row r="301" spans="1:5" x14ac:dyDescent="0.35">
      <c r="A301" s="341" t="str">
        <f t="shared" si="16"/>
        <v>01-March-2021 to 31-March-2021</v>
      </c>
      <c r="B301" s="358">
        <f t="shared" si="17"/>
        <v>427</v>
      </c>
      <c r="C301" s="358">
        <f t="shared" si="17"/>
        <v>295</v>
      </c>
      <c r="D301" s="490"/>
      <c r="E301" s="447"/>
    </row>
    <row r="302" spans="1:5" x14ac:dyDescent="0.35">
      <c r="A302" s="341" t="str">
        <f t="shared" si="16"/>
        <v>01-April-2021 to 30-April-2021</v>
      </c>
      <c r="B302" s="358">
        <f t="shared" si="17"/>
        <v>406</v>
      </c>
      <c r="C302" s="358">
        <f t="shared" si="17"/>
        <v>289</v>
      </c>
      <c r="D302" s="490"/>
      <c r="E302" s="447"/>
    </row>
    <row r="303" spans="1:5" x14ac:dyDescent="0.35">
      <c r="A303" s="341" t="str">
        <f t="shared" si="16"/>
        <v>01-May-2021 to 31-May-2021</v>
      </c>
      <c r="B303" s="358">
        <f t="shared" si="17"/>
        <v>429</v>
      </c>
      <c r="C303" s="358">
        <f t="shared" si="17"/>
        <v>297</v>
      </c>
      <c r="D303" s="490"/>
      <c r="E303" s="447"/>
    </row>
    <row r="304" spans="1:5" x14ac:dyDescent="0.35">
      <c r="A304" s="341" t="str">
        <f t="shared" si="16"/>
        <v>01-June-2021 to 30-June-2021</v>
      </c>
      <c r="B304" s="358">
        <f t="shared" si="17"/>
        <v>412</v>
      </c>
      <c r="C304" s="358">
        <f t="shared" si="17"/>
        <v>281</v>
      </c>
      <c r="D304" s="490"/>
      <c r="E304" s="447"/>
    </row>
    <row r="305" spans="1:9" x14ac:dyDescent="0.35">
      <c r="A305" s="341" t="str">
        <f t="shared" si="16"/>
        <v>01-July-2021 to 31-July-2021</v>
      </c>
      <c r="B305" s="358">
        <f t="shared" si="17"/>
        <v>428</v>
      </c>
      <c r="C305" s="358">
        <f t="shared" si="17"/>
        <v>292</v>
      </c>
      <c r="D305" s="490"/>
      <c r="E305" s="447"/>
    </row>
    <row r="306" spans="1:9" x14ac:dyDescent="0.35">
      <c r="A306" s="341" t="str">
        <f t="shared" si="16"/>
        <v>01-August-2021 to 31-August-2021</v>
      </c>
      <c r="B306" s="358">
        <f t="shared" si="17"/>
        <v>430</v>
      </c>
      <c r="C306" s="358">
        <f t="shared" si="17"/>
        <v>292</v>
      </c>
      <c r="D306" s="490"/>
      <c r="E306" s="447"/>
    </row>
    <row r="307" spans="1:9" x14ac:dyDescent="0.35">
      <c r="A307" s="341" t="str">
        <f t="shared" si="16"/>
        <v>01-September-2021 to 30-September-2021</v>
      </c>
      <c r="B307" s="358">
        <f t="shared" si="17"/>
        <v>424</v>
      </c>
      <c r="C307" s="358">
        <f t="shared" si="17"/>
        <v>284</v>
      </c>
      <c r="D307" s="490"/>
      <c r="E307" s="447"/>
    </row>
    <row r="308" spans="1:9" x14ac:dyDescent="0.35">
      <c r="A308" s="341" t="str">
        <f t="shared" si="16"/>
        <v>01-October-2021 to 31-October-2021</v>
      </c>
      <c r="B308" s="358">
        <f t="shared" si="17"/>
        <v>433</v>
      </c>
      <c r="C308" s="358">
        <f t="shared" si="17"/>
        <v>297</v>
      </c>
      <c r="D308" s="490"/>
      <c r="E308" s="447"/>
    </row>
    <row r="309" spans="1:9" x14ac:dyDescent="0.35">
      <c r="A309" s="341" t="str">
        <f t="shared" si="16"/>
        <v>01-November-2021 to 30-November-2021</v>
      </c>
      <c r="B309" s="358">
        <f t="shared" si="17"/>
        <v>414</v>
      </c>
      <c r="C309" s="358">
        <f t="shared" si="17"/>
        <v>285</v>
      </c>
      <c r="D309" s="490"/>
      <c r="E309" s="447"/>
    </row>
    <row r="310" spans="1:9" x14ac:dyDescent="0.35">
      <c r="A310" s="341" t="str">
        <f t="shared" si="16"/>
        <v>01-December-2021 to 31-December-2021</v>
      </c>
      <c r="B310" s="358">
        <f t="shared" si="17"/>
        <v>430</v>
      </c>
      <c r="C310" s="358">
        <f t="shared" si="17"/>
        <v>292</v>
      </c>
      <c r="D310" s="491"/>
      <c r="E310" s="448"/>
    </row>
    <row r="311" spans="1:9" ht="15.5" x14ac:dyDescent="0.45">
      <c r="A311" s="96" t="s">
        <v>282</v>
      </c>
      <c r="B311" s="513">
        <f>SUM(B292:B298)+SUM(C292:C298)</f>
        <v>5008</v>
      </c>
      <c r="C311" s="513"/>
      <c r="D311" s="508" t="s">
        <v>87</v>
      </c>
      <c r="E311" s="502" t="s">
        <v>103</v>
      </c>
    </row>
    <row r="312" spans="1:9" ht="15.5" x14ac:dyDescent="0.45">
      <c r="A312" s="96" t="s">
        <v>328</v>
      </c>
      <c r="B312" s="513">
        <f>SUM(B299:B310)+SUM(C299:C310)</f>
        <v>8527</v>
      </c>
      <c r="C312" s="513"/>
      <c r="D312" s="509"/>
      <c r="E312" s="503"/>
    </row>
    <row r="313" spans="1:9" ht="16" thickBot="1" x14ac:dyDescent="0.4">
      <c r="A313" s="344" t="s">
        <v>311</v>
      </c>
      <c r="B313" s="512">
        <f>B311+B312</f>
        <v>13535</v>
      </c>
      <c r="C313" s="512"/>
      <c r="D313" s="510"/>
      <c r="E313" s="504"/>
    </row>
    <row r="315" spans="1:9" x14ac:dyDescent="0.35">
      <c r="A315" s="298" t="s">
        <v>23</v>
      </c>
      <c r="B315" s="359"/>
      <c r="C315" s="360"/>
      <c r="D315" s="239"/>
      <c r="E315" s="360"/>
    </row>
    <row r="316" spans="1:9" x14ac:dyDescent="0.35">
      <c r="A316" s="298"/>
      <c r="B316" s="359"/>
      <c r="C316" s="360"/>
      <c r="D316" s="239"/>
      <c r="E316" s="360"/>
    </row>
    <row r="317" spans="1:9" ht="14" thickBot="1" x14ac:dyDescent="0.4">
      <c r="A317" s="361" t="s">
        <v>312</v>
      </c>
      <c r="B317" s="360"/>
      <c r="C317" s="360"/>
      <c r="D317" s="360"/>
      <c r="E317" s="360"/>
    </row>
    <row r="318" spans="1:9" x14ac:dyDescent="0.35">
      <c r="A318" s="362" t="s">
        <v>3</v>
      </c>
      <c r="B318" s="50" t="s">
        <v>20</v>
      </c>
      <c r="C318" s="50"/>
      <c r="D318" s="50" t="s">
        <v>2</v>
      </c>
      <c r="E318" s="50" t="s">
        <v>4</v>
      </c>
    </row>
    <row r="319" spans="1:9" x14ac:dyDescent="0.35">
      <c r="A319" s="250"/>
      <c r="B319" s="251" t="str">
        <f>B204</f>
        <v>Market Swine</v>
      </c>
      <c r="C319" s="251" t="str">
        <f>C204</f>
        <v>Breeding Swine</v>
      </c>
      <c r="D319" s="251"/>
      <c r="E319" s="251"/>
    </row>
    <row r="320" spans="1:9" s="243" customFormat="1" x14ac:dyDescent="0.35">
      <c r="A320" s="54" t="s">
        <v>313</v>
      </c>
      <c r="B320" s="363">
        <v>0.01</v>
      </c>
      <c r="C320" s="363">
        <f>B320</f>
        <v>0.01</v>
      </c>
      <c r="D320" s="52" t="s">
        <v>82</v>
      </c>
      <c r="E320" s="259" t="s">
        <v>57</v>
      </c>
      <c r="F320" s="51"/>
      <c r="G320" s="51"/>
      <c r="H320" s="51"/>
      <c r="I320" s="51"/>
    </row>
    <row r="321" spans="1:5" ht="40.5" x14ac:dyDescent="0.35">
      <c r="A321" s="54" t="s">
        <v>314</v>
      </c>
      <c r="B321" s="364">
        <v>0.4</v>
      </c>
      <c r="C321" s="364">
        <v>0.4</v>
      </c>
      <c r="D321" s="52" t="s">
        <v>81</v>
      </c>
      <c r="E321" s="232" t="s">
        <v>58</v>
      </c>
    </row>
    <row r="322" spans="1:5" ht="15.5" x14ac:dyDescent="0.35">
      <c r="A322" s="54" t="s">
        <v>315</v>
      </c>
      <c r="B322" s="365"/>
      <c r="C322" s="365"/>
      <c r="D322" s="459" t="s">
        <v>71</v>
      </c>
      <c r="E322" s="505" t="s">
        <v>102</v>
      </c>
    </row>
    <row r="323" spans="1:5" x14ac:dyDescent="0.35">
      <c r="A323" s="56" t="str">
        <f t="shared" ref="A323:A341" si="18">A292</f>
        <v>10-June-2020 to 30-June-2020</v>
      </c>
      <c r="B323" s="365">
        <f t="shared" ref="B323:C341" si="19">B207</f>
        <v>0.73080000000000012</v>
      </c>
      <c r="C323" s="365">
        <f t="shared" si="19"/>
        <v>0.90845999999999993</v>
      </c>
      <c r="D323" s="456"/>
      <c r="E323" s="506"/>
    </row>
    <row r="324" spans="1:5" x14ac:dyDescent="0.35">
      <c r="A324" s="56" t="str">
        <f t="shared" si="18"/>
        <v>01-July-2020 to 31-July-2020</v>
      </c>
      <c r="B324" s="365">
        <f t="shared" si="19"/>
        <v>0.75125400000000009</v>
      </c>
      <c r="C324" s="365">
        <f t="shared" si="19"/>
        <v>0.92962800000000012</v>
      </c>
      <c r="D324" s="456"/>
      <c r="E324" s="506"/>
    </row>
    <row r="325" spans="1:5" x14ac:dyDescent="0.35">
      <c r="A325" s="56" t="str">
        <f t="shared" si="18"/>
        <v>01-August-2020 to 31-August-2020</v>
      </c>
      <c r="B325" s="365">
        <f t="shared" si="19"/>
        <v>0.7473479999999999</v>
      </c>
      <c r="C325" s="365">
        <f t="shared" si="19"/>
        <v>0.95176199999999989</v>
      </c>
      <c r="D325" s="456"/>
      <c r="E325" s="506"/>
    </row>
    <row r="326" spans="1:5" x14ac:dyDescent="0.35">
      <c r="A326" s="56" t="str">
        <f t="shared" si="18"/>
        <v>01-September-2020 to 30-September-2020</v>
      </c>
      <c r="B326" s="365">
        <f t="shared" si="19"/>
        <v>0.74340000000000006</v>
      </c>
      <c r="C326" s="365">
        <f t="shared" si="19"/>
        <v>0.90972000000000008</v>
      </c>
      <c r="D326" s="456"/>
      <c r="E326" s="506"/>
    </row>
    <row r="327" spans="1:5" x14ac:dyDescent="0.35">
      <c r="A327" s="56" t="str">
        <f t="shared" si="18"/>
        <v>01-October-2020 to 31-October-2020</v>
      </c>
      <c r="B327" s="365">
        <f t="shared" si="19"/>
        <v>0.76427400000000001</v>
      </c>
      <c r="C327" s="365">
        <f t="shared" si="19"/>
        <v>0.93353400000000009</v>
      </c>
      <c r="D327" s="456"/>
      <c r="E327" s="506"/>
    </row>
    <row r="328" spans="1:5" x14ac:dyDescent="0.35">
      <c r="A328" s="56" t="str">
        <f t="shared" si="18"/>
        <v>01-November-2020 to 30-November-2020</v>
      </c>
      <c r="B328" s="365">
        <f t="shared" si="19"/>
        <v>0.73962000000000006</v>
      </c>
      <c r="C328" s="365">
        <f t="shared" si="19"/>
        <v>0.92232000000000003</v>
      </c>
      <c r="D328" s="456"/>
      <c r="E328" s="506"/>
    </row>
    <row r="329" spans="1:5" x14ac:dyDescent="0.35">
      <c r="A329" s="56" t="str">
        <f t="shared" si="18"/>
        <v>01-December-2020 to 31-December-2020</v>
      </c>
      <c r="B329" s="365">
        <f t="shared" si="19"/>
        <v>0.75255599999999989</v>
      </c>
      <c r="C329" s="365">
        <f t="shared" si="19"/>
        <v>0.96608399999999994</v>
      </c>
      <c r="D329" s="456"/>
      <c r="E329" s="506"/>
    </row>
    <row r="330" spans="1:5" x14ac:dyDescent="0.35">
      <c r="A330" s="56" t="str">
        <f t="shared" si="18"/>
        <v>01-January-2021 to 31-January-2021</v>
      </c>
      <c r="B330" s="365">
        <f t="shared" si="19"/>
        <v>0.769482</v>
      </c>
      <c r="C330" s="365">
        <f t="shared" si="19"/>
        <v>0.93744000000000005</v>
      </c>
      <c r="D330" s="456"/>
      <c r="E330" s="506"/>
    </row>
    <row r="331" spans="1:5" x14ac:dyDescent="0.35">
      <c r="A331" s="56" t="str">
        <f t="shared" si="18"/>
        <v>01-February-2021 to 28-February-2021</v>
      </c>
      <c r="B331" s="365">
        <f t="shared" si="19"/>
        <v>0.69266400000000006</v>
      </c>
      <c r="C331" s="365">
        <f t="shared" si="19"/>
        <v>0.85377599999999998</v>
      </c>
      <c r="D331" s="456"/>
      <c r="E331" s="506"/>
    </row>
    <row r="332" spans="1:5" x14ac:dyDescent="0.35">
      <c r="A332" s="56" t="str">
        <f t="shared" si="18"/>
        <v>01-March-2021 to 31-March-2021</v>
      </c>
      <c r="B332" s="365">
        <f t="shared" si="19"/>
        <v>0.75125400000000009</v>
      </c>
      <c r="C332" s="365">
        <f t="shared" si="19"/>
        <v>0.94655400000000001</v>
      </c>
      <c r="D332" s="456"/>
      <c r="E332" s="506"/>
    </row>
    <row r="333" spans="1:5" x14ac:dyDescent="0.35">
      <c r="A333" s="56" t="str">
        <f t="shared" si="18"/>
        <v>01-April-2021 to 30-April-2021</v>
      </c>
      <c r="B333" s="365">
        <f t="shared" si="19"/>
        <v>0.71441999999999994</v>
      </c>
      <c r="C333" s="365">
        <f t="shared" si="19"/>
        <v>0.92735999999999996</v>
      </c>
      <c r="D333" s="456"/>
      <c r="E333" s="506"/>
    </row>
    <row r="334" spans="1:5" x14ac:dyDescent="0.35">
      <c r="A334" s="56" t="str">
        <f t="shared" si="18"/>
        <v>01-May-2021 to 31-May-2021</v>
      </c>
      <c r="B334" s="365">
        <f t="shared" si="19"/>
        <v>0.75385799999999992</v>
      </c>
      <c r="C334" s="365">
        <f t="shared" si="19"/>
        <v>0.95436600000000005</v>
      </c>
      <c r="D334" s="456"/>
      <c r="E334" s="506"/>
    </row>
    <row r="335" spans="1:5" x14ac:dyDescent="0.35">
      <c r="A335" s="56" t="str">
        <f t="shared" si="18"/>
        <v>01-June-2021 to 30-June-2021</v>
      </c>
      <c r="B335" s="365">
        <f t="shared" si="19"/>
        <v>0.72449999999999992</v>
      </c>
      <c r="C335" s="365">
        <f t="shared" si="19"/>
        <v>0.90215999999999996</v>
      </c>
      <c r="D335" s="456"/>
      <c r="E335" s="506"/>
    </row>
    <row r="336" spans="1:5" x14ac:dyDescent="0.35">
      <c r="A336" s="56" t="str">
        <f t="shared" si="18"/>
        <v>01-July-2021 to 31-July-2021</v>
      </c>
      <c r="B336" s="365">
        <f t="shared" si="19"/>
        <v>0.75255599999999989</v>
      </c>
      <c r="C336" s="365">
        <f t="shared" si="19"/>
        <v>0.93744000000000005</v>
      </c>
      <c r="D336" s="456"/>
      <c r="E336" s="506"/>
    </row>
    <row r="337" spans="1:9" x14ac:dyDescent="0.35">
      <c r="A337" s="56" t="str">
        <f t="shared" si="18"/>
        <v>01-August-2021 to 31-August-2021</v>
      </c>
      <c r="B337" s="365">
        <f t="shared" si="19"/>
        <v>0.75646200000000008</v>
      </c>
      <c r="C337" s="365">
        <f t="shared" si="19"/>
        <v>0.93874199999999985</v>
      </c>
      <c r="D337" s="456"/>
      <c r="E337" s="506"/>
    </row>
    <row r="338" spans="1:9" x14ac:dyDescent="0.35">
      <c r="A338" s="56" t="str">
        <f t="shared" si="18"/>
        <v>01-September-2021 to 30-September-2021</v>
      </c>
      <c r="B338" s="365">
        <f t="shared" si="19"/>
        <v>0.74465999999999999</v>
      </c>
      <c r="C338" s="365">
        <f t="shared" si="19"/>
        <v>0.9109799999999999</v>
      </c>
      <c r="D338" s="456"/>
      <c r="E338" s="506"/>
    </row>
    <row r="339" spans="1:9" x14ac:dyDescent="0.35">
      <c r="A339" s="56" t="str">
        <f t="shared" si="18"/>
        <v>01-October-2021 to 31-October-2021</v>
      </c>
      <c r="B339" s="365">
        <f t="shared" si="19"/>
        <v>0.76036800000000004</v>
      </c>
      <c r="C339" s="365">
        <f t="shared" si="19"/>
        <v>0.95436600000000005</v>
      </c>
      <c r="D339" s="456"/>
      <c r="E339" s="506"/>
    </row>
    <row r="340" spans="1:9" x14ac:dyDescent="0.35">
      <c r="A340" s="56" t="str">
        <f t="shared" si="18"/>
        <v>01-November-2021 to 30-November-2021</v>
      </c>
      <c r="B340" s="365">
        <f t="shared" si="19"/>
        <v>0.72827999999999993</v>
      </c>
      <c r="C340" s="365">
        <f t="shared" si="19"/>
        <v>0.91350000000000009</v>
      </c>
      <c r="D340" s="456"/>
      <c r="E340" s="506"/>
    </row>
    <row r="341" spans="1:9" x14ac:dyDescent="0.35">
      <c r="A341" s="56" t="str">
        <f t="shared" si="18"/>
        <v>01-December-2021 to 31-December-2021</v>
      </c>
      <c r="B341" s="365">
        <f t="shared" si="19"/>
        <v>0.75646200000000008</v>
      </c>
      <c r="C341" s="365">
        <f t="shared" si="19"/>
        <v>0.93744000000000005</v>
      </c>
      <c r="D341" s="456"/>
      <c r="E341" s="506"/>
    </row>
    <row r="342" spans="1:9" x14ac:dyDescent="0.35">
      <c r="A342" s="54" t="s">
        <v>308</v>
      </c>
      <c r="B342" s="38"/>
      <c r="C342" s="38"/>
      <c r="D342" s="546" t="s">
        <v>72</v>
      </c>
      <c r="E342" s="505" t="str">
        <f>E270</f>
        <v>Calculated as equation 5 and 6 in JPM, of which Np,LT and Nda,LT is  sourced from "Exported from the stock record of Market swine"
NLT for breeding swine is sourced from "Breeding Pig stock record"</v>
      </c>
      <c r="F342" s="243"/>
      <c r="G342" s="243"/>
      <c r="H342" s="243"/>
      <c r="I342" s="243"/>
    </row>
    <row r="343" spans="1:9" x14ac:dyDescent="0.35">
      <c r="A343" s="56" t="str">
        <f t="shared" ref="A343:A361" si="20">A323</f>
        <v>10-June-2020 to 30-June-2020</v>
      </c>
      <c r="B343" s="38">
        <f t="shared" ref="B343:C361" si="21">B271</f>
        <v>94708</v>
      </c>
      <c r="C343" s="38">
        <f t="shared" si="21"/>
        <v>51811</v>
      </c>
      <c r="D343" s="547"/>
      <c r="E343" s="506"/>
      <c r="F343" s="243"/>
      <c r="G343" s="243"/>
      <c r="H343" s="243"/>
      <c r="I343" s="243"/>
    </row>
    <row r="344" spans="1:9" x14ac:dyDescent="0.35">
      <c r="A344" s="56" t="str">
        <f t="shared" si="20"/>
        <v>01-July-2020 to 31-July-2020</v>
      </c>
      <c r="B344" s="38">
        <f t="shared" si="21"/>
        <v>94708</v>
      </c>
      <c r="C344" s="38">
        <f t="shared" si="21"/>
        <v>51845</v>
      </c>
      <c r="D344" s="547"/>
      <c r="E344" s="506"/>
      <c r="F344" s="243"/>
      <c r="G344" s="243"/>
      <c r="H344" s="243"/>
      <c r="I344" s="243"/>
    </row>
    <row r="345" spans="1:9" x14ac:dyDescent="0.35">
      <c r="A345" s="56" t="str">
        <f t="shared" si="20"/>
        <v>01-August-2020 to 31-August-2020</v>
      </c>
      <c r="B345" s="38">
        <f t="shared" si="21"/>
        <v>94708</v>
      </c>
      <c r="C345" s="38">
        <f t="shared" si="21"/>
        <v>51842</v>
      </c>
      <c r="D345" s="547"/>
      <c r="E345" s="506"/>
      <c r="F345" s="243"/>
      <c r="G345" s="243"/>
      <c r="H345" s="243"/>
      <c r="I345" s="243"/>
    </row>
    <row r="346" spans="1:9" x14ac:dyDescent="0.35">
      <c r="A346" s="56" t="str">
        <f t="shared" si="20"/>
        <v>01-September-2020 to 30-September-2020</v>
      </c>
      <c r="B346" s="38">
        <f t="shared" si="21"/>
        <v>94708</v>
      </c>
      <c r="C346" s="38">
        <f t="shared" si="21"/>
        <v>51855</v>
      </c>
      <c r="D346" s="547"/>
      <c r="E346" s="506"/>
      <c r="F346" s="243"/>
      <c r="G346" s="243"/>
      <c r="H346" s="243"/>
      <c r="I346" s="243"/>
    </row>
    <row r="347" spans="1:9" x14ac:dyDescent="0.35">
      <c r="A347" s="56" t="str">
        <f t="shared" si="20"/>
        <v>01-October-2020 to 31-October-2020</v>
      </c>
      <c r="B347" s="38">
        <f t="shared" si="21"/>
        <v>94708</v>
      </c>
      <c r="C347" s="38">
        <f t="shared" si="21"/>
        <v>51808</v>
      </c>
      <c r="D347" s="547"/>
      <c r="E347" s="506"/>
      <c r="F347" s="243"/>
      <c r="G347" s="243"/>
      <c r="H347" s="243"/>
      <c r="I347" s="243"/>
    </row>
    <row r="348" spans="1:9" x14ac:dyDescent="0.35">
      <c r="A348" s="56" t="str">
        <f t="shared" si="20"/>
        <v>01-November-2020 to 30-November-2020</v>
      </c>
      <c r="B348" s="38">
        <f t="shared" si="21"/>
        <v>94708</v>
      </c>
      <c r="C348" s="38">
        <f t="shared" si="21"/>
        <v>51858</v>
      </c>
      <c r="D348" s="547"/>
      <c r="E348" s="506"/>
      <c r="F348" s="243"/>
      <c r="G348" s="243"/>
      <c r="H348" s="243"/>
      <c r="I348" s="243"/>
    </row>
    <row r="349" spans="1:9" x14ac:dyDescent="0.35">
      <c r="A349" s="56" t="str">
        <f t="shared" si="20"/>
        <v>01-December-2020 to 31-December-2020</v>
      </c>
      <c r="B349" s="38">
        <f t="shared" si="21"/>
        <v>94708</v>
      </c>
      <c r="C349" s="38">
        <f t="shared" si="21"/>
        <v>51872</v>
      </c>
      <c r="D349" s="547"/>
      <c r="E349" s="506"/>
      <c r="F349" s="243"/>
      <c r="G349" s="243"/>
      <c r="H349" s="243"/>
      <c r="I349" s="243"/>
    </row>
    <row r="350" spans="1:9" x14ac:dyDescent="0.35">
      <c r="A350" s="56" t="str">
        <f t="shared" si="20"/>
        <v>01-January-2021 to 31-January-2021</v>
      </c>
      <c r="B350" s="38">
        <f t="shared" si="21"/>
        <v>94708</v>
      </c>
      <c r="C350" s="38">
        <f t="shared" si="21"/>
        <v>51865</v>
      </c>
      <c r="D350" s="547"/>
      <c r="E350" s="506"/>
      <c r="F350" s="243"/>
      <c r="G350" s="243"/>
      <c r="H350" s="243"/>
      <c r="I350" s="243"/>
    </row>
    <row r="351" spans="1:9" x14ac:dyDescent="0.35">
      <c r="A351" s="56" t="str">
        <f t="shared" si="20"/>
        <v>01-February-2021 to 28-February-2021</v>
      </c>
      <c r="B351" s="38">
        <f t="shared" si="21"/>
        <v>94708</v>
      </c>
      <c r="C351" s="38">
        <f t="shared" si="21"/>
        <v>51889</v>
      </c>
      <c r="D351" s="547"/>
      <c r="E351" s="506"/>
      <c r="F351" s="243"/>
      <c r="G351" s="243"/>
      <c r="H351" s="243"/>
      <c r="I351" s="243"/>
    </row>
    <row r="352" spans="1:9" x14ac:dyDescent="0.35">
      <c r="A352" s="56" t="str">
        <f t="shared" si="20"/>
        <v>01-March-2021 to 31-March-2021</v>
      </c>
      <c r="B352" s="38">
        <f t="shared" si="21"/>
        <v>94708</v>
      </c>
      <c r="C352" s="38">
        <f t="shared" si="21"/>
        <v>51838</v>
      </c>
      <c r="D352" s="547"/>
      <c r="E352" s="506"/>
      <c r="F352" s="243"/>
      <c r="G352" s="243"/>
      <c r="H352" s="243"/>
      <c r="I352" s="243"/>
    </row>
    <row r="353" spans="1:9" x14ac:dyDescent="0.35">
      <c r="A353" s="56" t="str">
        <f t="shared" si="20"/>
        <v>01-April-2021 to 30-April-2021</v>
      </c>
      <c r="B353" s="38">
        <f t="shared" si="21"/>
        <v>94708</v>
      </c>
      <c r="C353" s="38">
        <f t="shared" si="21"/>
        <v>51829</v>
      </c>
      <c r="D353" s="547"/>
      <c r="E353" s="506"/>
      <c r="F353" s="243"/>
      <c r="G353" s="243"/>
      <c r="H353" s="243"/>
      <c r="I353" s="243"/>
    </row>
    <row r="354" spans="1:9" x14ac:dyDescent="0.35">
      <c r="A354" s="56" t="str">
        <f t="shared" si="20"/>
        <v>01-May-2021 to 31-May-2021</v>
      </c>
      <c r="B354" s="38">
        <f t="shared" si="21"/>
        <v>94708</v>
      </c>
      <c r="C354" s="38">
        <f t="shared" si="21"/>
        <v>51836</v>
      </c>
      <c r="D354" s="547"/>
      <c r="E354" s="506"/>
      <c r="F354" s="243"/>
      <c r="G354" s="243"/>
      <c r="H354" s="243"/>
      <c r="I354" s="243"/>
    </row>
    <row r="355" spans="1:9" x14ac:dyDescent="0.35">
      <c r="A355" s="56" t="str">
        <f t="shared" si="20"/>
        <v>01-June-2021 to 30-June-2021</v>
      </c>
      <c r="B355" s="38">
        <f t="shared" si="21"/>
        <v>94708</v>
      </c>
      <c r="C355" s="38">
        <f t="shared" si="21"/>
        <v>51849</v>
      </c>
      <c r="D355" s="547"/>
      <c r="E355" s="506"/>
      <c r="F355" s="243"/>
      <c r="G355" s="243"/>
      <c r="H355" s="243"/>
      <c r="I355" s="243"/>
    </row>
    <row r="356" spans="1:9" x14ac:dyDescent="0.35">
      <c r="A356" s="56" t="str">
        <f t="shared" si="20"/>
        <v>01-July-2021 to 31-July-2021</v>
      </c>
      <c r="B356" s="38">
        <f t="shared" si="21"/>
        <v>94708</v>
      </c>
      <c r="C356" s="38">
        <f t="shared" si="21"/>
        <v>51854</v>
      </c>
      <c r="D356" s="547"/>
      <c r="E356" s="506"/>
      <c r="F356" s="243"/>
      <c r="G356" s="243"/>
      <c r="H356" s="243"/>
      <c r="I356" s="243"/>
    </row>
    <row r="357" spans="1:9" x14ac:dyDescent="0.35">
      <c r="A357" s="56" t="str">
        <f t="shared" si="20"/>
        <v>01-August-2021 to 31-August-2021</v>
      </c>
      <c r="B357" s="38">
        <f t="shared" si="21"/>
        <v>94708</v>
      </c>
      <c r="C357" s="38">
        <f t="shared" si="21"/>
        <v>51815</v>
      </c>
      <c r="D357" s="547"/>
      <c r="E357" s="506"/>
      <c r="F357" s="243"/>
      <c r="G357" s="243"/>
      <c r="H357" s="243"/>
      <c r="I357" s="243"/>
    </row>
    <row r="358" spans="1:9" x14ac:dyDescent="0.35">
      <c r="A358" s="56" t="str">
        <f t="shared" si="20"/>
        <v>01-September-2021 to 30-September-2021</v>
      </c>
      <c r="B358" s="38">
        <f t="shared" si="21"/>
        <v>94708</v>
      </c>
      <c r="C358" s="38">
        <f t="shared" si="21"/>
        <v>51900</v>
      </c>
      <c r="D358" s="547"/>
      <c r="E358" s="506"/>
      <c r="F358" s="243"/>
      <c r="G358" s="243"/>
      <c r="H358" s="243"/>
      <c r="I358" s="243"/>
    </row>
    <row r="359" spans="1:9" x14ac:dyDescent="0.35">
      <c r="A359" s="56" t="str">
        <f t="shared" si="20"/>
        <v>01-October-2021 to 31-October-2021</v>
      </c>
      <c r="B359" s="38">
        <f t="shared" si="21"/>
        <v>94708</v>
      </c>
      <c r="C359" s="38">
        <f t="shared" si="21"/>
        <v>51859</v>
      </c>
      <c r="D359" s="547"/>
      <c r="E359" s="506"/>
      <c r="F359" s="243"/>
      <c r="G359" s="243"/>
      <c r="H359" s="243"/>
      <c r="I359" s="243"/>
    </row>
    <row r="360" spans="1:9" x14ac:dyDescent="0.35">
      <c r="A360" s="56" t="str">
        <f t="shared" si="20"/>
        <v>01-November-2021 to 30-November-2021</v>
      </c>
      <c r="B360" s="38">
        <f t="shared" si="21"/>
        <v>94708</v>
      </c>
      <c r="C360" s="38">
        <f t="shared" si="21"/>
        <v>51827</v>
      </c>
      <c r="D360" s="547"/>
      <c r="E360" s="506"/>
      <c r="F360" s="243"/>
      <c r="G360" s="243"/>
      <c r="H360" s="243"/>
      <c r="I360" s="243"/>
    </row>
    <row r="361" spans="1:9" x14ac:dyDescent="0.35">
      <c r="A361" s="56" t="str">
        <f t="shared" si="20"/>
        <v>01-December-2021 to 31-December-2021</v>
      </c>
      <c r="B361" s="38">
        <f t="shared" si="21"/>
        <v>94708</v>
      </c>
      <c r="C361" s="38">
        <f t="shared" si="21"/>
        <v>51854</v>
      </c>
      <c r="D361" s="547"/>
      <c r="E361" s="506"/>
      <c r="F361" s="243"/>
      <c r="G361" s="243"/>
      <c r="H361" s="243"/>
      <c r="I361" s="243"/>
    </row>
    <row r="362" spans="1:9" x14ac:dyDescent="0.35">
      <c r="A362" s="54" t="s">
        <v>45</v>
      </c>
      <c r="B362" s="336">
        <v>1</v>
      </c>
      <c r="C362" s="366">
        <v>1</v>
      </c>
      <c r="D362" s="52" t="s">
        <v>104</v>
      </c>
      <c r="E362" s="37" t="s">
        <v>100</v>
      </c>
    </row>
    <row r="363" spans="1:9" ht="15.5" x14ac:dyDescent="0.45">
      <c r="A363" s="54" t="s">
        <v>274</v>
      </c>
      <c r="B363" s="367">
        <f>'Baseline Emission'!B294</f>
        <v>265</v>
      </c>
      <c r="C363" s="367">
        <f>'Baseline Emission'!C294</f>
        <v>265</v>
      </c>
      <c r="D363" s="52" t="s">
        <v>275</v>
      </c>
      <c r="E363" s="232" t="s">
        <v>124</v>
      </c>
    </row>
    <row r="364" spans="1:9" ht="15.5" x14ac:dyDescent="0.35">
      <c r="A364" s="54" t="s">
        <v>316</v>
      </c>
      <c r="B364" s="43"/>
      <c r="C364" s="43"/>
      <c r="D364" s="459" t="s">
        <v>87</v>
      </c>
      <c r="E364" s="505" t="s">
        <v>102</v>
      </c>
    </row>
    <row r="365" spans="1:9" x14ac:dyDescent="0.35">
      <c r="A365" s="56" t="str">
        <f t="shared" ref="A365:A383" si="22">A343</f>
        <v>10-June-2020 to 30-June-2020</v>
      </c>
      <c r="B365" s="43">
        <f t="shared" ref="B365:C383" si="23">ROUNDUP($B$320*$B$321*$B$362*B343*B323,0)</f>
        <v>277</v>
      </c>
      <c r="C365" s="43">
        <f t="shared" si="23"/>
        <v>189</v>
      </c>
      <c r="D365" s="456"/>
      <c r="E365" s="506"/>
    </row>
    <row r="366" spans="1:9" x14ac:dyDescent="0.35">
      <c r="A366" s="56" t="str">
        <f t="shared" si="22"/>
        <v>01-July-2020 to 31-July-2020</v>
      </c>
      <c r="B366" s="43">
        <f t="shared" si="23"/>
        <v>285</v>
      </c>
      <c r="C366" s="43">
        <f t="shared" si="23"/>
        <v>193</v>
      </c>
      <c r="D366" s="456"/>
      <c r="E366" s="506"/>
    </row>
    <row r="367" spans="1:9" x14ac:dyDescent="0.35">
      <c r="A367" s="56" t="str">
        <f t="shared" si="22"/>
        <v>01-August-2020 to 31-August-2020</v>
      </c>
      <c r="B367" s="43">
        <f t="shared" si="23"/>
        <v>284</v>
      </c>
      <c r="C367" s="43">
        <f t="shared" si="23"/>
        <v>198</v>
      </c>
      <c r="D367" s="456"/>
      <c r="E367" s="506"/>
    </row>
    <row r="368" spans="1:9" x14ac:dyDescent="0.35">
      <c r="A368" s="56" t="str">
        <f t="shared" si="22"/>
        <v>01-September-2020 to 30-September-2020</v>
      </c>
      <c r="B368" s="43">
        <f t="shared" si="23"/>
        <v>282</v>
      </c>
      <c r="C368" s="43">
        <f t="shared" si="23"/>
        <v>189</v>
      </c>
      <c r="D368" s="456"/>
      <c r="E368" s="506"/>
    </row>
    <row r="369" spans="1:5" x14ac:dyDescent="0.35">
      <c r="A369" s="56" t="str">
        <f t="shared" si="22"/>
        <v>01-October-2020 to 31-October-2020</v>
      </c>
      <c r="B369" s="43">
        <f t="shared" si="23"/>
        <v>290</v>
      </c>
      <c r="C369" s="43">
        <f t="shared" si="23"/>
        <v>194</v>
      </c>
      <c r="D369" s="456"/>
      <c r="E369" s="506"/>
    </row>
    <row r="370" spans="1:5" x14ac:dyDescent="0.35">
      <c r="A370" s="56" t="str">
        <f t="shared" si="22"/>
        <v>01-November-2020 to 30-November-2020</v>
      </c>
      <c r="B370" s="43">
        <f t="shared" si="23"/>
        <v>281</v>
      </c>
      <c r="C370" s="43">
        <f t="shared" si="23"/>
        <v>192</v>
      </c>
      <c r="D370" s="456"/>
      <c r="E370" s="506"/>
    </row>
    <row r="371" spans="1:5" x14ac:dyDescent="0.35">
      <c r="A371" s="56" t="str">
        <f t="shared" si="22"/>
        <v>01-December-2020 to 31-December-2020</v>
      </c>
      <c r="B371" s="43">
        <f t="shared" si="23"/>
        <v>286</v>
      </c>
      <c r="C371" s="43">
        <f t="shared" si="23"/>
        <v>201</v>
      </c>
      <c r="D371" s="456"/>
      <c r="E371" s="506"/>
    </row>
    <row r="372" spans="1:5" x14ac:dyDescent="0.35">
      <c r="A372" s="56" t="str">
        <f t="shared" si="22"/>
        <v>01-January-2021 to 31-January-2021</v>
      </c>
      <c r="B372" s="43">
        <f t="shared" si="23"/>
        <v>292</v>
      </c>
      <c r="C372" s="43">
        <f t="shared" si="23"/>
        <v>195</v>
      </c>
      <c r="D372" s="456"/>
      <c r="E372" s="506"/>
    </row>
    <row r="373" spans="1:5" x14ac:dyDescent="0.35">
      <c r="A373" s="56" t="str">
        <f t="shared" si="22"/>
        <v>01-February-2021 to 28-February-2021</v>
      </c>
      <c r="B373" s="43">
        <f t="shared" si="23"/>
        <v>263</v>
      </c>
      <c r="C373" s="43">
        <f t="shared" si="23"/>
        <v>178</v>
      </c>
      <c r="D373" s="456"/>
      <c r="E373" s="506"/>
    </row>
    <row r="374" spans="1:5" x14ac:dyDescent="0.35">
      <c r="A374" s="56" t="str">
        <f t="shared" si="22"/>
        <v>01-March-2021 to 31-March-2021</v>
      </c>
      <c r="B374" s="43">
        <f t="shared" si="23"/>
        <v>285</v>
      </c>
      <c r="C374" s="43">
        <f t="shared" si="23"/>
        <v>197</v>
      </c>
      <c r="D374" s="456"/>
      <c r="E374" s="506"/>
    </row>
    <row r="375" spans="1:5" x14ac:dyDescent="0.35">
      <c r="A375" s="56" t="str">
        <f t="shared" si="22"/>
        <v>01-April-2021 to 30-April-2021</v>
      </c>
      <c r="B375" s="43">
        <f t="shared" si="23"/>
        <v>271</v>
      </c>
      <c r="C375" s="43">
        <f t="shared" si="23"/>
        <v>193</v>
      </c>
      <c r="D375" s="456"/>
      <c r="E375" s="506"/>
    </row>
    <row r="376" spans="1:5" x14ac:dyDescent="0.35">
      <c r="A376" s="56" t="str">
        <f t="shared" si="22"/>
        <v>01-May-2021 to 31-May-2021</v>
      </c>
      <c r="B376" s="43">
        <f t="shared" si="23"/>
        <v>286</v>
      </c>
      <c r="C376" s="43">
        <f t="shared" si="23"/>
        <v>198</v>
      </c>
      <c r="D376" s="456"/>
      <c r="E376" s="506"/>
    </row>
    <row r="377" spans="1:5" x14ac:dyDescent="0.35">
      <c r="A377" s="56" t="str">
        <f t="shared" si="22"/>
        <v>01-June-2021 to 30-June-2021</v>
      </c>
      <c r="B377" s="43">
        <f t="shared" si="23"/>
        <v>275</v>
      </c>
      <c r="C377" s="43">
        <f t="shared" si="23"/>
        <v>188</v>
      </c>
      <c r="D377" s="456"/>
      <c r="E377" s="506"/>
    </row>
    <row r="378" spans="1:5" x14ac:dyDescent="0.35">
      <c r="A378" s="56" t="str">
        <f t="shared" si="22"/>
        <v>01-July-2021 to 31-July-2021</v>
      </c>
      <c r="B378" s="43">
        <f t="shared" si="23"/>
        <v>286</v>
      </c>
      <c r="C378" s="43">
        <f t="shared" si="23"/>
        <v>195</v>
      </c>
      <c r="D378" s="456"/>
      <c r="E378" s="506"/>
    </row>
    <row r="379" spans="1:5" x14ac:dyDescent="0.35">
      <c r="A379" s="56" t="str">
        <f t="shared" si="22"/>
        <v>01-August-2021 to 31-August-2021</v>
      </c>
      <c r="B379" s="43">
        <f t="shared" si="23"/>
        <v>287</v>
      </c>
      <c r="C379" s="43">
        <f t="shared" si="23"/>
        <v>195</v>
      </c>
      <c r="D379" s="456"/>
      <c r="E379" s="506"/>
    </row>
    <row r="380" spans="1:5" x14ac:dyDescent="0.35">
      <c r="A380" s="56" t="str">
        <f t="shared" si="22"/>
        <v>01-September-2021 to 30-September-2021</v>
      </c>
      <c r="B380" s="43">
        <f t="shared" si="23"/>
        <v>283</v>
      </c>
      <c r="C380" s="43">
        <f t="shared" si="23"/>
        <v>190</v>
      </c>
      <c r="D380" s="456"/>
      <c r="E380" s="506"/>
    </row>
    <row r="381" spans="1:5" x14ac:dyDescent="0.35">
      <c r="A381" s="56" t="str">
        <f t="shared" si="22"/>
        <v>01-October-2021 to 31-October-2021</v>
      </c>
      <c r="B381" s="43">
        <f t="shared" si="23"/>
        <v>289</v>
      </c>
      <c r="C381" s="43">
        <f t="shared" si="23"/>
        <v>198</v>
      </c>
      <c r="D381" s="456"/>
      <c r="E381" s="506"/>
    </row>
    <row r="382" spans="1:5" x14ac:dyDescent="0.35">
      <c r="A382" s="56" t="str">
        <f t="shared" si="22"/>
        <v>01-November-2021 to 30-November-2021</v>
      </c>
      <c r="B382" s="43">
        <f t="shared" si="23"/>
        <v>276</v>
      </c>
      <c r="C382" s="43">
        <f t="shared" si="23"/>
        <v>190</v>
      </c>
      <c r="D382" s="457"/>
      <c r="E382" s="544"/>
    </row>
    <row r="383" spans="1:5" x14ac:dyDescent="0.35">
      <c r="A383" s="56" t="str">
        <f t="shared" si="22"/>
        <v>01-December-2021 to 31-December-2021</v>
      </c>
      <c r="B383" s="43">
        <f t="shared" si="23"/>
        <v>287</v>
      </c>
      <c r="C383" s="43">
        <f t="shared" si="23"/>
        <v>195</v>
      </c>
      <c r="D383" s="256"/>
      <c r="E383" s="351"/>
    </row>
    <row r="384" spans="1:5" ht="15.5" x14ac:dyDescent="0.45">
      <c r="A384" s="96" t="s">
        <v>329</v>
      </c>
      <c r="B384" s="500">
        <f>SUM(B365:B371)+SUM(C365:C371)</f>
        <v>3341</v>
      </c>
      <c r="C384" s="501"/>
      <c r="D384" s="489" t="s">
        <v>87</v>
      </c>
      <c r="E384" s="505" t="s">
        <v>102</v>
      </c>
    </row>
    <row r="385" spans="1:5" ht="15.5" x14ac:dyDescent="0.45">
      <c r="A385" s="96" t="s">
        <v>330</v>
      </c>
      <c r="B385" s="500">
        <f>SUM(B372:B383)+SUM(C372:C383)</f>
        <v>5692</v>
      </c>
      <c r="C385" s="501"/>
      <c r="D385" s="490"/>
      <c r="E385" s="506"/>
    </row>
    <row r="386" spans="1:5" s="293" customFormat="1" ht="16" thickBot="1" x14ac:dyDescent="0.4">
      <c r="A386" s="344" t="s">
        <v>317</v>
      </c>
      <c r="B386" s="507">
        <f>B384+B385</f>
        <v>9033</v>
      </c>
      <c r="C386" s="507"/>
      <c r="D386" s="545"/>
      <c r="E386" s="511"/>
    </row>
    <row r="387" spans="1:5" ht="14" thickBot="1" x14ac:dyDescent="0.4">
      <c r="A387" s="360"/>
      <c r="B387" s="360"/>
      <c r="C387" s="360"/>
      <c r="D387" s="360"/>
      <c r="E387" s="360"/>
    </row>
    <row r="388" spans="1:5" x14ac:dyDescent="0.35">
      <c r="A388" s="362" t="s">
        <v>3</v>
      </c>
      <c r="B388" s="50" t="s">
        <v>20</v>
      </c>
      <c r="C388" s="50"/>
      <c r="D388" s="50" t="s">
        <v>2</v>
      </c>
      <c r="E388" s="50" t="s">
        <v>4</v>
      </c>
    </row>
    <row r="389" spans="1:5" x14ac:dyDescent="0.35">
      <c r="A389" s="250"/>
      <c r="B389" s="251" t="s">
        <v>35</v>
      </c>
      <c r="C389" s="251" t="s">
        <v>36</v>
      </c>
      <c r="D389" s="251"/>
      <c r="E389" s="251"/>
    </row>
    <row r="390" spans="1:5" x14ac:dyDescent="0.35">
      <c r="A390" s="54" t="s">
        <v>313</v>
      </c>
      <c r="B390" s="363">
        <v>0.01</v>
      </c>
      <c r="C390" s="363">
        <f>B390</f>
        <v>0.01</v>
      </c>
      <c r="D390" s="52" t="s">
        <v>82</v>
      </c>
      <c r="E390" s="259" t="s">
        <v>57</v>
      </c>
    </row>
    <row r="391" spans="1:5" ht="40.5" x14ac:dyDescent="0.35">
      <c r="A391" s="54" t="s">
        <v>314</v>
      </c>
      <c r="B391" s="364">
        <v>0.45</v>
      </c>
      <c r="C391" s="364">
        <v>0.45</v>
      </c>
      <c r="D391" s="52" t="s">
        <v>81</v>
      </c>
      <c r="E391" s="232" t="s">
        <v>58</v>
      </c>
    </row>
    <row r="392" spans="1:5" ht="15.5" x14ac:dyDescent="0.35">
      <c r="A392" s="54" t="s">
        <v>315</v>
      </c>
      <c r="B392" s="365"/>
      <c r="C392" s="365"/>
      <c r="D392" s="444" t="s">
        <v>71</v>
      </c>
      <c r="E392" s="549" t="s">
        <v>102</v>
      </c>
    </row>
    <row r="393" spans="1:5" x14ac:dyDescent="0.35">
      <c r="A393" s="56" t="str">
        <f t="shared" ref="A393:A411" si="24">A365</f>
        <v>10-June-2020 to 30-June-2020</v>
      </c>
      <c r="B393" s="365">
        <f t="shared" ref="B393:C411" si="25">B323</f>
        <v>0.73080000000000012</v>
      </c>
      <c r="C393" s="365">
        <f t="shared" si="25"/>
        <v>0.90845999999999993</v>
      </c>
      <c r="D393" s="444"/>
      <c r="E393" s="549"/>
    </row>
    <row r="394" spans="1:5" x14ac:dyDescent="0.35">
      <c r="A394" s="56" t="str">
        <f t="shared" si="24"/>
        <v>01-July-2020 to 31-July-2020</v>
      </c>
      <c r="B394" s="365">
        <f t="shared" si="25"/>
        <v>0.75125400000000009</v>
      </c>
      <c r="C394" s="365">
        <f t="shared" si="25"/>
        <v>0.92962800000000012</v>
      </c>
      <c r="D394" s="444"/>
      <c r="E394" s="549"/>
    </row>
    <row r="395" spans="1:5" x14ac:dyDescent="0.35">
      <c r="A395" s="56" t="str">
        <f t="shared" si="24"/>
        <v>01-August-2020 to 31-August-2020</v>
      </c>
      <c r="B395" s="365">
        <f t="shared" si="25"/>
        <v>0.7473479999999999</v>
      </c>
      <c r="C395" s="365">
        <f t="shared" si="25"/>
        <v>0.95176199999999989</v>
      </c>
      <c r="D395" s="444"/>
      <c r="E395" s="549"/>
    </row>
    <row r="396" spans="1:5" x14ac:dyDescent="0.35">
      <c r="A396" s="56" t="str">
        <f t="shared" si="24"/>
        <v>01-September-2020 to 30-September-2020</v>
      </c>
      <c r="B396" s="365">
        <f t="shared" si="25"/>
        <v>0.74340000000000006</v>
      </c>
      <c r="C396" s="365">
        <f t="shared" si="25"/>
        <v>0.90972000000000008</v>
      </c>
      <c r="D396" s="444"/>
      <c r="E396" s="549"/>
    </row>
    <row r="397" spans="1:5" x14ac:dyDescent="0.35">
      <c r="A397" s="56" t="str">
        <f t="shared" si="24"/>
        <v>01-October-2020 to 31-October-2020</v>
      </c>
      <c r="B397" s="365">
        <f t="shared" si="25"/>
        <v>0.76427400000000001</v>
      </c>
      <c r="C397" s="365">
        <f t="shared" si="25"/>
        <v>0.93353400000000009</v>
      </c>
      <c r="D397" s="444"/>
      <c r="E397" s="549"/>
    </row>
    <row r="398" spans="1:5" x14ac:dyDescent="0.35">
      <c r="A398" s="56" t="str">
        <f t="shared" si="24"/>
        <v>01-November-2020 to 30-November-2020</v>
      </c>
      <c r="B398" s="365">
        <f t="shared" si="25"/>
        <v>0.73962000000000006</v>
      </c>
      <c r="C398" s="365">
        <f t="shared" si="25"/>
        <v>0.92232000000000003</v>
      </c>
      <c r="D398" s="444"/>
      <c r="E398" s="549"/>
    </row>
    <row r="399" spans="1:5" x14ac:dyDescent="0.35">
      <c r="A399" s="56" t="str">
        <f t="shared" si="24"/>
        <v>01-December-2020 to 31-December-2020</v>
      </c>
      <c r="B399" s="365">
        <f t="shared" si="25"/>
        <v>0.75255599999999989</v>
      </c>
      <c r="C399" s="365">
        <f t="shared" si="25"/>
        <v>0.96608399999999994</v>
      </c>
      <c r="D399" s="444"/>
      <c r="E399" s="549"/>
    </row>
    <row r="400" spans="1:5" x14ac:dyDescent="0.35">
      <c r="A400" s="56" t="str">
        <f t="shared" si="24"/>
        <v>01-January-2021 to 31-January-2021</v>
      </c>
      <c r="B400" s="365">
        <f t="shared" si="25"/>
        <v>0.769482</v>
      </c>
      <c r="C400" s="365">
        <f t="shared" si="25"/>
        <v>0.93744000000000005</v>
      </c>
      <c r="D400" s="444"/>
      <c r="E400" s="549"/>
    </row>
    <row r="401" spans="1:5" x14ac:dyDescent="0.35">
      <c r="A401" s="56" t="str">
        <f t="shared" si="24"/>
        <v>01-February-2021 to 28-February-2021</v>
      </c>
      <c r="B401" s="365">
        <f t="shared" si="25"/>
        <v>0.69266400000000006</v>
      </c>
      <c r="C401" s="365">
        <f t="shared" si="25"/>
        <v>0.85377599999999998</v>
      </c>
      <c r="D401" s="444"/>
      <c r="E401" s="549"/>
    </row>
    <row r="402" spans="1:5" x14ac:dyDescent="0.35">
      <c r="A402" s="56" t="str">
        <f t="shared" si="24"/>
        <v>01-March-2021 to 31-March-2021</v>
      </c>
      <c r="B402" s="365">
        <f t="shared" si="25"/>
        <v>0.75125400000000009</v>
      </c>
      <c r="C402" s="365">
        <f t="shared" si="25"/>
        <v>0.94655400000000001</v>
      </c>
      <c r="D402" s="444"/>
      <c r="E402" s="549"/>
    </row>
    <row r="403" spans="1:5" x14ac:dyDescent="0.35">
      <c r="A403" s="56" t="str">
        <f t="shared" si="24"/>
        <v>01-April-2021 to 30-April-2021</v>
      </c>
      <c r="B403" s="365">
        <f t="shared" si="25"/>
        <v>0.71441999999999994</v>
      </c>
      <c r="C403" s="365">
        <f t="shared" si="25"/>
        <v>0.92735999999999996</v>
      </c>
      <c r="D403" s="444"/>
      <c r="E403" s="549"/>
    </row>
    <row r="404" spans="1:5" x14ac:dyDescent="0.35">
      <c r="A404" s="56" t="str">
        <f t="shared" si="24"/>
        <v>01-May-2021 to 31-May-2021</v>
      </c>
      <c r="B404" s="365">
        <f t="shared" si="25"/>
        <v>0.75385799999999992</v>
      </c>
      <c r="C404" s="365">
        <f t="shared" si="25"/>
        <v>0.95436600000000005</v>
      </c>
      <c r="D404" s="444"/>
      <c r="E404" s="549"/>
    </row>
    <row r="405" spans="1:5" x14ac:dyDescent="0.35">
      <c r="A405" s="56" t="str">
        <f t="shared" si="24"/>
        <v>01-June-2021 to 30-June-2021</v>
      </c>
      <c r="B405" s="365">
        <f t="shared" si="25"/>
        <v>0.72449999999999992</v>
      </c>
      <c r="C405" s="365">
        <f t="shared" si="25"/>
        <v>0.90215999999999996</v>
      </c>
      <c r="D405" s="444"/>
      <c r="E405" s="549"/>
    </row>
    <row r="406" spans="1:5" x14ac:dyDescent="0.35">
      <c r="A406" s="56" t="str">
        <f t="shared" si="24"/>
        <v>01-July-2021 to 31-July-2021</v>
      </c>
      <c r="B406" s="365">
        <f t="shared" si="25"/>
        <v>0.75255599999999989</v>
      </c>
      <c r="C406" s="365">
        <f t="shared" si="25"/>
        <v>0.93744000000000005</v>
      </c>
      <c r="D406" s="444"/>
      <c r="E406" s="549"/>
    </row>
    <row r="407" spans="1:5" x14ac:dyDescent="0.35">
      <c r="A407" s="56" t="str">
        <f t="shared" si="24"/>
        <v>01-August-2021 to 31-August-2021</v>
      </c>
      <c r="B407" s="365">
        <f t="shared" si="25"/>
        <v>0.75646200000000008</v>
      </c>
      <c r="C407" s="365">
        <f t="shared" si="25"/>
        <v>0.93874199999999985</v>
      </c>
      <c r="D407" s="444"/>
      <c r="E407" s="549"/>
    </row>
    <row r="408" spans="1:5" x14ac:dyDescent="0.35">
      <c r="A408" s="56" t="str">
        <f t="shared" si="24"/>
        <v>01-September-2021 to 30-September-2021</v>
      </c>
      <c r="B408" s="365">
        <f t="shared" si="25"/>
        <v>0.74465999999999999</v>
      </c>
      <c r="C408" s="365">
        <f t="shared" si="25"/>
        <v>0.9109799999999999</v>
      </c>
      <c r="D408" s="444"/>
      <c r="E408" s="549"/>
    </row>
    <row r="409" spans="1:5" x14ac:dyDescent="0.35">
      <c r="A409" s="56" t="str">
        <f t="shared" si="24"/>
        <v>01-October-2021 to 31-October-2021</v>
      </c>
      <c r="B409" s="365">
        <f t="shared" si="25"/>
        <v>0.76036800000000004</v>
      </c>
      <c r="C409" s="365">
        <f t="shared" si="25"/>
        <v>0.95436600000000005</v>
      </c>
      <c r="D409" s="444"/>
      <c r="E409" s="549"/>
    </row>
    <row r="410" spans="1:5" x14ac:dyDescent="0.35">
      <c r="A410" s="56" t="str">
        <f t="shared" si="24"/>
        <v>01-November-2021 to 30-November-2021</v>
      </c>
      <c r="B410" s="365">
        <f t="shared" si="25"/>
        <v>0.72827999999999993</v>
      </c>
      <c r="C410" s="365">
        <f t="shared" si="25"/>
        <v>0.91350000000000009</v>
      </c>
      <c r="D410" s="444"/>
      <c r="E410" s="549"/>
    </row>
    <row r="411" spans="1:5" x14ac:dyDescent="0.35">
      <c r="A411" s="56" t="str">
        <f t="shared" si="24"/>
        <v>01-December-2021 to 31-December-2021</v>
      </c>
      <c r="B411" s="365">
        <f t="shared" si="25"/>
        <v>0.75646200000000008</v>
      </c>
      <c r="C411" s="365">
        <f t="shared" si="25"/>
        <v>0.93744000000000005</v>
      </c>
      <c r="D411" s="444"/>
      <c r="E411" s="549"/>
    </row>
    <row r="412" spans="1:5" ht="12.75" customHeight="1" x14ac:dyDescent="0.35">
      <c r="A412" s="54" t="s">
        <v>308</v>
      </c>
      <c r="B412" s="38"/>
      <c r="C412" s="38"/>
      <c r="D412" s="546" t="s">
        <v>72</v>
      </c>
      <c r="E412" s="505" t="str">
        <f>E342</f>
        <v>Calculated as equation 5 and 6 in JPM, of which Np,LT and Nda,LT is  sourced from "Exported from the stock record of Market swine"
NLT for breeding swine is sourced from "Breeding Pig stock record"</v>
      </c>
    </row>
    <row r="413" spans="1:5" x14ac:dyDescent="0.35">
      <c r="A413" s="56" t="str">
        <f t="shared" ref="A413:A431" si="26">A393</f>
        <v>10-June-2020 to 30-June-2020</v>
      </c>
      <c r="B413" s="38">
        <f t="shared" ref="B413:C431" si="27">B343</f>
        <v>94708</v>
      </c>
      <c r="C413" s="38">
        <f t="shared" si="27"/>
        <v>51811</v>
      </c>
      <c r="D413" s="547"/>
      <c r="E413" s="506"/>
    </row>
    <row r="414" spans="1:5" x14ac:dyDescent="0.35">
      <c r="A414" s="56" t="str">
        <f t="shared" si="26"/>
        <v>01-July-2020 to 31-July-2020</v>
      </c>
      <c r="B414" s="38">
        <f t="shared" si="27"/>
        <v>94708</v>
      </c>
      <c r="C414" s="38">
        <f t="shared" si="27"/>
        <v>51845</v>
      </c>
      <c r="D414" s="547"/>
      <c r="E414" s="506"/>
    </row>
    <row r="415" spans="1:5" x14ac:dyDescent="0.35">
      <c r="A415" s="56" t="str">
        <f t="shared" si="26"/>
        <v>01-August-2020 to 31-August-2020</v>
      </c>
      <c r="B415" s="38">
        <f t="shared" si="27"/>
        <v>94708</v>
      </c>
      <c r="C415" s="38">
        <f t="shared" si="27"/>
        <v>51842</v>
      </c>
      <c r="D415" s="547"/>
      <c r="E415" s="506"/>
    </row>
    <row r="416" spans="1:5" x14ac:dyDescent="0.35">
      <c r="A416" s="56" t="str">
        <f t="shared" si="26"/>
        <v>01-September-2020 to 30-September-2020</v>
      </c>
      <c r="B416" s="38">
        <f t="shared" si="27"/>
        <v>94708</v>
      </c>
      <c r="C416" s="38">
        <f t="shared" si="27"/>
        <v>51855</v>
      </c>
      <c r="D416" s="547"/>
      <c r="E416" s="506"/>
    </row>
    <row r="417" spans="1:5" x14ac:dyDescent="0.35">
      <c r="A417" s="56" t="str">
        <f t="shared" si="26"/>
        <v>01-October-2020 to 31-October-2020</v>
      </c>
      <c r="B417" s="38">
        <f t="shared" si="27"/>
        <v>94708</v>
      </c>
      <c r="C417" s="38">
        <f t="shared" si="27"/>
        <v>51808</v>
      </c>
      <c r="D417" s="547"/>
      <c r="E417" s="506"/>
    </row>
    <row r="418" spans="1:5" x14ac:dyDescent="0.35">
      <c r="A418" s="56" t="str">
        <f t="shared" si="26"/>
        <v>01-November-2020 to 30-November-2020</v>
      </c>
      <c r="B418" s="38">
        <f t="shared" si="27"/>
        <v>94708</v>
      </c>
      <c r="C418" s="38">
        <f t="shared" si="27"/>
        <v>51858</v>
      </c>
      <c r="D418" s="547"/>
      <c r="E418" s="506"/>
    </row>
    <row r="419" spans="1:5" x14ac:dyDescent="0.35">
      <c r="A419" s="56" t="str">
        <f t="shared" si="26"/>
        <v>01-December-2020 to 31-December-2020</v>
      </c>
      <c r="B419" s="38">
        <f t="shared" si="27"/>
        <v>94708</v>
      </c>
      <c r="C419" s="38">
        <f t="shared" si="27"/>
        <v>51872</v>
      </c>
      <c r="D419" s="547"/>
      <c r="E419" s="506"/>
    </row>
    <row r="420" spans="1:5" x14ac:dyDescent="0.35">
      <c r="A420" s="56" t="str">
        <f t="shared" si="26"/>
        <v>01-January-2021 to 31-January-2021</v>
      </c>
      <c r="B420" s="38">
        <f t="shared" si="27"/>
        <v>94708</v>
      </c>
      <c r="C420" s="38">
        <f t="shared" si="27"/>
        <v>51865</v>
      </c>
      <c r="D420" s="547"/>
      <c r="E420" s="506"/>
    </row>
    <row r="421" spans="1:5" x14ac:dyDescent="0.35">
      <c r="A421" s="56" t="str">
        <f t="shared" si="26"/>
        <v>01-February-2021 to 28-February-2021</v>
      </c>
      <c r="B421" s="38">
        <f t="shared" si="27"/>
        <v>94708</v>
      </c>
      <c r="C421" s="38">
        <f t="shared" si="27"/>
        <v>51889</v>
      </c>
      <c r="D421" s="547"/>
      <c r="E421" s="506"/>
    </row>
    <row r="422" spans="1:5" x14ac:dyDescent="0.35">
      <c r="A422" s="56" t="str">
        <f t="shared" si="26"/>
        <v>01-March-2021 to 31-March-2021</v>
      </c>
      <c r="B422" s="38">
        <f t="shared" si="27"/>
        <v>94708</v>
      </c>
      <c r="C422" s="38">
        <f t="shared" si="27"/>
        <v>51838</v>
      </c>
      <c r="D422" s="547"/>
      <c r="E422" s="506"/>
    </row>
    <row r="423" spans="1:5" x14ac:dyDescent="0.35">
      <c r="A423" s="56" t="str">
        <f t="shared" si="26"/>
        <v>01-April-2021 to 30-April-2021</v>
      </c>
      <c r="B423" s="38">
        <f t="shared" si="27"/>
        <v>94708</v>
      </c>
      <c r="C423" s="38">
        <f t="shared" si="27"/>
        <v>51829</v>
      </c>
      <c r="D423" s="547"/>
      <c r="E423" s="506"/>
    </row>
    <row r="424" spans="1:5" x14ac:dyDescent="0.35">
      <c r="A424" s="56" t="str">
        <f t="shared" si="26"/>
        <v>01-May-2021 to 31-May-2021</v>
      </c>
      <c r="B424" s="38">
        <f t="shared" si="27"/>
        <v>94708</v>
      </c>
      <c r="C424" s="38">
        <f t="shared" si="27"/>
        <v>51836</v>
      </c>
      <c r="D424" s="547"/>
      <c r="E424" s="506"/>
    </row>
    <row r="425" spans="1:5" x14ac:dyDescent="0.35">
      <c r="A425" s="56" t="str">
        <f t="shared" si="26"/>
        <v>01-June-2021 to 30-June-2021</v>
      </c>
      <c r="B425" s="38">
        <f t="shared" si="27"/>
        <v>94708</v>
      </c>
      <c r="C425" s="38">
        <f t="shared" si="27"/>
        <v>51849</v>
      </c>
      <c r="D425" s="547"/>
      <c r="E425" s="506"/>
    </row>
    <row r="426" spans="1:5" x14ac:dyDescent="0.35">
      <c r="A426" s="56" t="str">
        <f t="shared" si="26"/>
        <v>01-July-2021 to 31-July-2021</v>
      </c>
      <c r="B426" s="38">
        <f t="shared" si="27"/>
        <v>94708</v>
      </c>
      <c r="C426" s="38">
        <f t="shared" si="27"/>
        <v>51854</v>
      </c>
      <c r="D426" s="547"/>
      <c r="E426" s="506"/>
    </row>
    <row r="427" spans="1:5" x14ac:dyDescent="0.35">
      <c r="A427" s="56" t="str">
        <f t="shared" si="26"/>
        <v>01-August-2021 to 31-August-2021</v>
      </c>
      <c r="B427" s="38">
        <f t="shared" si="27"/>
        <v>94708</v>
      </c>
      <c r="C427" s="38">
        <f t="shared" si="27"/>
        <v>51815</v>
      </c>
      <c r="D427" s="547"/>
      <c r="E427" s="506"/>
    </row>
    <row r="428" spans="1:5" x14ac:dyDescent="0.35">
      <c r="A428" s="56" t="str">
        <f t="shared" si="26"/>
        <v>01-September-2021 to 30-September-2021</v>
      </c>
      <c r="B428" s="38">
        <f t="shared" si="27"/>
        <v>94708</v>
      </c>
      <c r="C428" s="38">
        <f t="shared" si="27"/>
        <v>51900</v>
      </c>
      <c r="D428" s="547"/>
      <c r="E428" s="506"/>
    </row>
    <row r="429" spans="1:5" x14ac:dyDescent="0.35">
      <c r="A429" s="56" t="str">
        <f t="shared" si="26"/>
        <v>01-October-2021 to 31-October-2021</v>
      </c>
      <c r="B429" s="38">
        <f t="shared" si="27"/>
        <v>94708</v>
      </c>
      <c r="C429" s="38">
        <f t="shared" si="27"/>
        <v>51859</v>
      </c>
      <c r="D429" s="547"/>
      <c r="E429" s="506"/>
    </row>
    <row r="430" spans="1:5" x14ac:dyDescent="0.35">
      <c r="A430" s="56" t="str">
        <f t="shared" si="26"/>
        <v>01-November-2021 to 30-November-2021</v>
      </c>
      <c r="B430" s="38">
        <f t="shared" si="27"/>
        <v>94708</v>
      </c>
      <c r="C430" s="38">
        <f t="shared" si="27"/>
        <v>51827</v>
      </c>
      <c r="D430" s="547"/>
      <c r="E430" s="506"/>
    </row>
    <row r="431" spans="1:5" x14ac:dyDescent="0.35">
      <c r="A431" s="56" t="str">
        <f t="shared" si="26"/>
        <v>01-December-2021 to 31-December-2021</v>
      </c>
      <c r="B431" s="38">
        <f t="shared" si="27"/>
        <v>94708</v>
      </c>
      <c r="C431" s="38">
        <f t="shared" si="27"/>
        <v>51854</v>
      </c>
      <c r="D431" s="548"/>
      <c r="E431" s="544"/>
    </row>
    <row r="432" spans="1:5" x14ac:dyDescent="0.35">
      <c r="A432" s="54" t="s">
        <v>45</v>
      </c>
      <c r="B432" s="336">
        <v>1</v>
      </c>
      <c r="C432" s="35">
        <v>1</v>
      </c>
      <c r="D432" s="52" t="s">
        <v>1</v>
      </c>
      <c r="E432" s="37" t="s">
        <v>100</v>
      </c>
    </row>
    <row r="433" spans="1:5" ht="15.5" x14ac:dyDescent="0.45">
      <c r="A433" s="54" t="s">
        <v>274</v>
      </c>
      <c r="B433" s="367">
        <f>'Baseline Emission'!B294</f>
        <v>265</v>
      </c>
      <c r="C433" s="367">
        <f>'Baseline Emission'!C294</f>
        <v>265</v>
      </c>
      <c r="D433" s="52" t="s">
        <v>275</v>
      </c>
      <c r="E433" s="232" t="s">
        <v>124</v>
      </c>
    </row>
    <row r="434" spans="1:5" ht="15.5" x14ac:dyDescent="0.45">
      <c r="A434" s="112" t="s">
        <v>318</v>
      </c>
      <c r="B434" s="367"/>
      <c r="C434" s="367"/>
      <c r="D434" s="52"/>
      <c r="E434" s="232"/>
    </row>
    <row r="435" spans="1:5" x14ac:dyDescent="0.35">
      <c r="A435" s="56" t="str">
        <f t="shared" ref="A435:A452" si="28">A413</f>
        <v>10-June-2020 to 30-June-2020</v>
      </c>
      <c r="B435" s="367">
        <f t="shared" ref="B435:C453" si="29">ROUNDUP($B$390*$B$391*$B$432*B393*B413,0)</f>
        <v>312</v>
      </c>
      <c r="C435" s="367">
        <f t="shared" si="29"/>
        <v>212</v>
      </c>
      <c r="D435" s="456"/>
      <c r="E435" s="493" t="s">
        <v>102</v>
      </c>
    </row>
    <row r="436" spans="1:5" x14ac:dyDescent="0.35">
      <c r="A436" s="56" t="str">
        <f t="shared" si="28"/>
        <v>01-July-2020 to 31-July-2020</v>
      </c>
      <c r="B436" s="367">
        <f t="shared" si="29"/>
        <v>321</v>
      </c>
      <c r="C436" s="367">
        <f t="shared" si="29"/>
        <v>217</v>
      </c>
      <c r="D436" s="456"/>
      <c r="E436" s="493"/>
    </row>
    <row r="437" spans="1:5" x14ac:dyDescent="0.35">
      <c r="A437" s="56" t="str">
        <f t="shared" si="28"/>
        <v>01-August-2020 to 31-August-2020</v>
      </c>
      <c r="B437" s="367">
        <f t="shared" si="29"/>
        <v>319</v>
      </c>
      <c r="C437" s="367">
        <f t="shared" si="29"/>
        <v>223</v>
      </c>
      <c r="D437" s="456"/>
      <c r="E437" s="493"/>
    </row>
    <row r="438" spans="1:5" x14ac:dyDescent="0.35">
      <c r="A438" s="56" t="str">
        <f t="shared" si="28"/>
        <v>01-September-2020 to 30-September-2020</v>
      </c>
      <c r="B438" s="367">
        <f t="shared" si="29"/>
        <v>317</v>
      </c>
      <c r="C438" s="367">
        <f t="shared" si="29"/>
        <v>213</v>
      </c>
      <c r="D438" s="456"/>
      <c r="E438" s="493"/>
    </row>
    <row r="439" spans="1:5" x14ac:dyDescent="0.35">
      <c r="A439" s="56" t="str">
        <f t="shared" si="28"/>
        <v>01-October-2020 to 31-October-2020</v>
      </c>
      <c r="B439" s="367">
        <f t="shared" si="29"/>
        <v>326</v>
      </c>
      <c r="C439" s="367">
        <f t="shared" si="29"/>
        <v>218</v>
      </c>
      <c r="D439" s="456"/>
      <c r="E439" s="493"/>
    </row>
    <row r="440" spans="1:5" x14ac:dyDescent="0.35">
      <c r="A440" s="56" t="str">
        <f t="shared" si="28"/>
        <v>01-November-2020 to 30-November-2020</v>
      </c>
      <c r="B440" s="367">
        <f t="shared" si="29"/>
        <v>316</v>
      </c>
      <c r="C440" s="367">
        <f t="shared" si="29"/>
        <v>216</v>
      </c>
      <c r="D440" s="456"/>
      <c r="E440" s="493"/>
    </row>
    <row r="441" spans="1:5" x14ac:dyDescent="0.35">
      <c r="A441" s="56" t="str">
        <f t="shared" si="28"/>
        <v>01-December-2020 to 31-December-2020</v>
      </c>
      <c r="B441" s="367">
        <f t="shared" si="29"/>
        <v>321</v>
      </c>
      <c r="C441" s="367">
        <f t="shared" si="29"/>
        <v>226</v>
      </c>
      <c r="D441" s="456"/>
      <c r="E441" s="493"/>
    </row>
    <row r="442" spans="1:5" x14ac:dyDescent="0.35">
      <c r="A442" s="56" t="str">
        <f t="shared" si="28"/>
        <v>01-January-2021 to 31-January-2021</v>
      </c>
      <c r="B442" s="367">
        <f t="shared" si="29"/>
        <v>328</v>
      </c>
      <c r="C442" s="367">
        <f t="shared" si="29"/>
        <v>219</v>
      </c>
      <c r="D442" s="456"/>
      <c r="E442" s="493"/>
    </row>
    <row r="443" spans="1:5" x14ac:dyDescent="0.35">
      <c r="A443" s="56" t="str">
        <f t="shared" si="28"/>
        <v>01-February-2021 to 28-February-2021</v>
      </c>
      <c r="B443" s="367">
        <f t="shared" si="29"/>
        <v>296</v>
      </c>
      <c r="C443" s="367">
        <f t="shared" si="29"/>
        <v>200</v>
      </c>
      <c r="D443" s="456"/>
      <c r="E443" s="493"/>
    </row>
    <row r="444" spans="1:5" x14ac:dyDescent="0.35">
      <c r="A444" s="56" t="str">
        <f t="shared" si="28"/>
        <v>01-March-2021 to 31-March-2021</v>
      </c>
      <c r="B444" s="367">
        <f t="shared" si="29"/>
        <v>321</v>
      </c>
      <c r="C444" s="367">
        <f t="shared" si="29"/>
        <v>221</v>
      </c>
      <c r="D444" s="456"/>
      <c r="E444" s="493"/>
    </row>
    <row r="445" spans="1:5" ht="12.75" customHeight="1" x14ac:dyDescent="0.35">
      <c r="A445" s="56" t="str">
        <f t="shared" si="28"/>
        <v>01-April-2021 to 30-April-2021</v>
      </c>
      <c r="B445" s="367">
        <f t="shared" si="29"/>
        <v>305</v>
      </c>
      <c r="C445" s="367">
        <f t="shared" si="29"/>
        <v>217</v>
      </c>
      <c r="D445" s="456"/>
      <c r="E445" s="493"/>
    </row>
    <row r="446" spans="1:5" x14ac:dyDescent="0.35">
      <c r="A446" s="56" t="str">
        <f>A424</f>
        <v>01-May-2021 to 31-May-2021</v>
      </c>
      <c r="B446" s="367">
        <f t="shared" si="29"/>
        <v>322</v>
      </c>
      <c r="C446" s="367">
        <f t="shared" si="29"/>
        <v>223</v>
      </c>
      <c r="D446" s="456"/>
      <c r="E446" s="493"/>
    </row>
    <row r="447" spans="1:5" x14ac:dyDescent="0.35">
      <c r="A447" s="56" t="str">
        <f t="shared" si="28"/>
        <v>01-June-2021 to 30-June-2021</v>
      </c>
      <c r="B447" s="367">
        <f t="shared" si="29"/>
        <v>309</v>
      </c>
      <c r="C447" s="367">
        <f t="shared" si="29"/>
        <v>211</v>
      </c>
      <c r="D447" s="456"/>
      <c r="E447" s="493"/>
    </row>
    <row r="448" spans="1:5" x14ac:dyDescent="0.35">
      <c r="A448" s="56" t="str">
        <f t="shared" si="28"/>
        <v>01-July-2021 to 31-July-2021</v>
      </c>
      <c r="B448" s="367">
        <f t="shared" si="29"/>
        <v>321</v>
      </c>
      <c r="C448" s="367">
        <f t="shared" si="29"/>
        <v>219</v>
      </c>
      <c r="D448" s="456"/>
      <c r="E448" s="493"/>
    </row>
    <row r="449" spans="1:5" x14ac:dyDescent="0.35">
      <c r="A449" s="56" t="str">
        <f t="shared" si="28"/>
        <v>01-August-2021 to 31-August-2021</v>
      </c>
      <c r="B449" s="367">
        <f t="shared" si="29"/>
        <v>323</v>
      </c>
      <c r="C449" s="367">
        <f t="shared" si="29"/>
        <v>219</v>
      </c>
      <c r="D449" s="456"/>
      <c r="E449" s="493"/>
    </row>
    <row r="450" spans="1:5" x14ac:dyDescent="0.35">
      <c r="A450" s="56" t="str">
        <f t="shared" si="28"/>
        <v>01-September-2021 to 30-September-2021</v>
      </c>
      <c r="B450" s="367">
        <f t="shared" si="29"/>
        <v>318</v>
      </c>
      <c r="C450" s="367">
        <f t="shared" si="29"/>
        <v>213</v>
      </c>
      <c r="D450" s="456"/>
      <c r="E450" s="493"/>
    </row>
    <row r="451" spans="1:5" x14ac:dyDescent="0.35">
      <c r="A451" s="56" t="str">
        <f t="shared" si="28"/>
        <v>01-October-2021 to 31-October-2021</v>
      </c>
      <c r="B451" s="367">
        <f t="shared" si="29"/>
        <v>325</v>
      </c>
      <c r="C451" s="367">
        <f t="shared" si="29"/>
        <v>223</v>
      </c>
      <c r="D451" s="456"/>
      <c r="E451" s="493"/>
    </row>
    <row r="452" spans="1:5" x14ac:dyDescent="0.35">
      <c r="A452" s="56" t="str">
        <f t="shared" si="28"/>
        <v>01-November-2021 to 30-November-2021</v>
      </c>
      <c r="B452" s="367">
        <f t="shared" si="29"/>
        <v>311</v>
      </c>
      <c r="C452" s="367">
        <f t="shared" si="29"/>
        <v>214</v>
      </c>
      <c r="D452" s="456"/>
      <c r="E452" s="493"/>
    </row>
    <row r="453" spans="1:5" x14ac:dyDescent="0.35">
      <c r="A453" s="56" t="str">
        <f>A431</f>
        <v>01-December-2021 to 31-December-2021</v>
      </c>
      <c r="B453" s="367">
        <f t="shared" si="29"/>
        <v>323</v>
      </c>
      <c r="C453" s="367">
        <f t="shared" si="29"/>
        <v>219</v>
      </c>
      <c r="D453" s="457"/>
      <c r="E453" s="494"/>
    </row>
    <row r="454" spans="1:5" ht="15.5" x14ac:dyDescent="0.45">
      <c r="A454" s="96" t="s">
        <v>329</v>
      </c>
      <c r="B454" s="521">
        <f>SUM(B435:B441)+SUM(C435:C441)</f>
        <v>3757</v>
      </c>
      <c r="C454" s="521"/>
      <c r="D454" s="516" t="s">
        <v>268</v>
      </c>
      <c r="E454" s="505" t="s">
        <v>102</v>
      </c>
    </row>
    <row r="455" spans="1:5" ht="15.5" x14ac:dyDescent="0.45">
      <c r="A455" s="96" t="s">
        <v>330</v>
      </c>
      <c r="B455" s="521">
        <f>SUM(B442:B453)+SUM(C442:C453)</f>
        <v>6400</v>
      </c>
      <c r="C455" s="521"/>
      <c r="D455" s="516"/>
      <c r="E455" s="506"/>
    </row>
    <row r="456" spans="1:5" ht="16" thickBot="1" x14ac:dyDescent="0.5">
      <c r="A456" s="118" t="s">
        <v>319</v>
      </c>
      <c r="B456" s="518">
        <f>B454+B455</f>
        <v>10157</v>
      </c>
      <c r="C456" s="518"/>
      <c r="D456" s="517"/>
      <c r="E456" s="511"/>
    </row>
    <row r="457" spans="1:5" x14ac:dyDescent="0.35">
      <c r="A457" s="327"/>
      <c r="B457" s="368"/>
      <c r="C457" s="368"/>
      <c r="D457" s="369"/>
      <c r="E457" s="369"/>
    </row>
    <row r="458" spans="1:5" ht="16" thickBot="1" x14ac:dyDescent="0.5">
      <c r="A458" s="300" t="s">
        <v>320</v>
      </c>
      <c r="C458" s="275">
        <f>B459+B460</f>
        <v>13629</v>
      </c>
      <c r="D458" s="126" t="s">
        <v>184</v>
      </c>
      <c r="E458" s="370"/>
    </row>
    <row r="459" spans="1:5" x14ac:dyDescent="0.35">
      <c r="A459" s="371" t="s">
        <v>255</v>
      </c>
      <c r="B459" s="519">
        <f>ROUNDUP(B363*44/28*1/1000*(B266+B311+B384+B454),0)</f>
        <v>5042</v>
      </c>
      <c r="C459" s="520"/>
      <c r="D459" s="126" t="s">
        <v>406</v>
      </c>
      <c r="E459" s="370"/>
    </row>
    <row r="460" spans="1:5" ht="14" thickBot="1" x14ac:dyDescent="0.4">
      <c r="A460" s="372" t="str">
        <f>A113</f>
        <v>01-January-2021 to 31-December-2021</v>
      </c>
      <c r="B460" s="514">
        <f>ROUNDUP(B363*44/28*1/1000*(B267+B312+B385+B455),0)</f>
        <v>8587</v>
      </c>
      <c r="C460" s="515"/>
      <c r="D460" s="126" t="s">
        <v>406</v>
      </c>
      <c r="E460" s="370"/>
    </row>
    <row r="461" spans="1:5" ht="27" customHeight="1" x14ac:dyDescent="0.35">
      <c r="A461" s="370"/>
      <c r="B461" s="370"/>
      <c r="C461" s="370"/>
      <c r="D461" s="370"/>
      <c r="E461" s="370"/>
    </row>
    <row r="462" spans="1:5" x14ac:dyDescent="0.35">
      <c r="A462" s="282"/>
      <c r="B462" s="373"/>
      <c r="C462" s="373"/>
      <c r="E462" s="53"/>
    </row>
    <row r="463" spans="1:5" x14ac:dyDescent="0.35">
      <c r="A463" s="374"/>
      <c r="B463" s="53"/>
      <c r="C463" s="373"/>
      <c r="D463" s="265"/>
      <c r="E463" s="53"/>
    </row>
    <row r="464" spans="1:5" x14ac:dyDescent="0.35">
      <c r="D464" s="61"/>
    </row>
    <row r="466" spans="1:5" ht="18.5" thickBot="1" x14ac:dyDescent="0.55000000000000004">
      <c r="A466" s="375" t="s">
        <v>321</v>
      </c>
      <c r="B466" s="275">
        <f>B467+B468</f>
        <v>24928</v>
      </c>
      <c r="C466" s="126" t="s">
        <v>406</v>
      </c>
      <c r="D466" s="53"/>
      <c r="E466" s="53"/>
    </row>
    <row r="467" spans="1:5" x14ac:dyDescent="0.35">
      <c r="A467" s="371" t="str">
        <f>A459</f>
        <v>10-June-2020 to 31-December-2020</v>
      </c>
      <c r="B467" s="376">
        <f>ROUNDUP(B112+B192+B459,0)</f>
        <v>9105</v>
      </c>
      <c r="C467" s="126" t="s">
        <v>406</v>
      </c>
    </row>
    <row r="468" spans="1:5" ht="14" thickBot="1" x14ac:dyDescent="0.4">
      <c r="A468" s="372" t="str">
        <f>A460</f>
        <v>01-January-2021 to 31-December-2021</v>
      </c>
      <c r="B468" s="377">
        <f>ROUNDUP(B113+B193+B460,0)</f>
        <v>15823</v>
      </c>
      <c r="C468" s="440" t="s">
        <v>406</v>
      </c>
      <c r="D468" s="246"/>
    </row>
    <row r="469" spans="1:5" x14ac:dyDescent="0.35">
      <c r="A469" s="378"/>
      <c r="B469" s="378"/>
      <c r="C469" s="378"/>
      <c r="D469" s="378"/>
    </row>
  </sheetData>
  <customSheetViews>
    <customSheetView guid="{2C071143-29D6-4036-A926-BF7E54293313}" hiddenRows="1" showRuler="0" topLeftCell="A61">
      <selection activeCell="B20" sqref="B20:C20"/>
      <pageMargins left="0.75" right="0.75" top="1" bottom="1" header="0.5" footer="0.5"/>
      <pageSetup paperSize="9" orientation="portrait" r:id="rId1"/>
      <headerFooter alignWithMargins="0"/>
    </customSheetView>
  </customSheetViews>
  <mergeCells count="67">
    <mergeCell ref="D435:D453"/>
    <mergeCell ref="E435:E453"/>
    <mergeCell ref="D364:D382"/>
    <mergeCell ref="E364:E382"/>
    <mergeCell ref="D384:D386"/>
    <mergeCell ref="D412:D431"/>
    <mergeCell ref="E412:E431"/>
    <mergeCell ref="D392:D411"/>
    <mergeCell ref="E392:E411"/>
    <mergeCell ref="D88:E109"/>
    <mergeCell ref="D173:D191"/>
    <mergeCell ref="E173:E191"/>
    <mergeCell ref="D206:D225"/>
    <mergeCell ref="E206:E225"/>
    <mergeCell ref="D111:E113"/>
    <mergeCell ref="D110:E110"/>
    <mergeCell ref="E151:E170"/>
    <mergeCell ref="D151:D170"/>
    <mergeCell ref="D131:D150"/>
    <mergeCell ref="E131:E150"/>
    <mergeCell ref="B460:C460"/>
    <mergeCell ref="D454:D456"/>
    <mergeCell ref="B456:C456"/>
    <mergeCell ref="E454:E456"/>
    <mergeCell ref="B459:C459"/>
    <mergeCell ref="B454:C454"/>
    <mergeCell ref="B455:C455"/>
    <mergeCell ref="B385:C385"/>
    <mergeCell ref="E311:E313"/>
    <mergeCell ref="D322:D341"/>
    <mergeCell ref="E322:E341"/>
    <mergeCell ref="B386:C386"/>
    <mergeCell ref="D311:D313"/>
    <mergeCell ref="E342:E361"/>
    <mergeCell ref="B384:C384"/>
    <mergeCell ref="E384:E386"/>
    <mergeCell ref="B313:C313"/>
    <mergeCell ref="B311:C311"/>
    <mergeCell ref="B312:C312"/>
    <mergeCell ref="D342:D361"/>
    <mergeCell ref="B192:C192"/>
    <mergeCell ref="D270:D289"/>
    <mergeCell ref="E270:E289"/>
    <mergeCell ref="D291:D310"/>
    <mergeCell ref="E291:E310"/>
    <mergeCell ref="D226:D245"/>
    <mergeCell ref="E226:E245"/>
    <mergeCell ref="D247:D268"/>
    <mergeCell ref="E247:E268"/>
    <mergeCell ref="B266:C266"/>
    <mergeCell ref="B267:C267"/>
    <mergeCell ref="B193:C193"/>
    <mergeCell ref="B194:C194"/>
    <mergeCell ref="B268:C268"/>
    <mergeCell ref="C14:C33"/>
    <mergeCell ref="D14:E33"/>
    <mergeCell ref="C67:C86"/>
    <mergeCell ref="D67:E86"/>
    <mergeCell ref="D66:E66"/>
    <mergeCell ref="D37:E57"/>
    <mergeCell ref="D58:E58"/>
    <mergeCell ref="D64:E64"/>
    <mergeCell ref="D13:E13"/>
    <mergeCell ref="D34:E34"/>
    <mergeCell ref="D35:E35"/>
    <mergeCell ref="D36:E36"/>
    <mergeCell ref="D65:E65"/>
  </mergeCells>
  <phoneticPr fontId="0" type="noConversion"/>
  <pageMargins left="0.75" right="0.75" top="1" bottom="1" header="0.5" footer="0.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476"/>
  <sheetViews>
    <sheetView topLeftCell="A412" zoomScaleNormal="100" workbookViewId="0">
      <selection activeCell="D452" sqref="D452"/>
    </sheetView>
  </sheetViews>
  <sheetFormatPr defaultRowHeight="13.5" x14ac:dyDescent="0.35"/>
  <cols>
    <col min="1" max="1" width="47.81640625" style="128" bestFit="1" customWidth="1"/>
    <col min="2" max="2" width="19.1796875" style="380" customWidth="1"/>
    <col min="3" max="3" width="17.54296875" style="380" customWidth="1"/>
    <col min="4" max="4" width="26.81640625" style="128" bestFit="1" customWidth="1"/>
    <col min="5" max="5" width="46.6328125" style="128" customWidth="1"/>
    <col min="6" max="6" width="38.81640625" style="128" bestFit="1" customWidth="1"/>
    <col min="7" max="16384" width="8.7265625" style="128"/>
  </cols>
  <sheetData>
    <row r="1" spans="1:4" ht="16" x14ac:dyDescent="0.4">
      <c r="A1" s="379" t="s">
        <v>25</v>
      </c>
    </row>
    <row r="2" spans="1:4" x14ac:dyDescent="0.35">
      <c r="A2" s="347"/>
      <c r="B2" s="381"/>
    </row>
    <row r="3" spans="1:4" x14ac:dyDescent="0.35">
      <c r="A3" s="347"/>
    </row>
    <row r="4" spans="1:4" x14ac:dyDescent="0.35">
      <c r="A4" s="128" t="s">
        <v>47</v>
      </c>
    </row>
    <row r="5" spans="1:4" x14ac:dyDescent="0.35">
      <c r="A5" s="347"/>
      <c r="D5" s="382"/>
    </row>
    <row r="6" spans="1:4" x14ac:dyDescent="0.35">
      <c r="A6" s="347"/>
      <c r="D6" s="382"/>
    </row>
    <row r="7" spans="1:4" x14ac:dyDescent="0.35">
      <c r="A7" s="347"/>
      <c r="D7" s="382"/>
    </row>
    <row r="8" spans="1:4" x14ac:dyDescent="0.35">
      <c r="A8" s="347"/>
      <c r="D8" s="382"/>
    </row>
    <row r="9" spans="1:4" x14ac:dyDescent="0.35">
      <c r="A9" s="347"/>
      <c r="D9" s="382"/>
    </row>
    <row r="10" spans="1:4" x14ac:dyDescent="0.35">
      <c r="A10" s="347"/>
      <c r="D10" s="382"/>
    </row>
    <row r="11" spans="1:4" x14ac:dyDescent="0.35">
      <c r="A11" s="347"/>
      <c r="D11" s="382"/>
    </row>
    <row r="12" spans="1:4" x14ac:dyDescent="0.35">
      <c r="A12" s="347"/>
      <c r="D12" s="382"/>
    </row>
    <row r="13" spans="1:4" x14ac:dyDescent="0.35">
      <c r="A13" s="347"/>
      <c r="D13" s="382"/>
    </row>
    <row r="14" spans="1:4" x14ac:dyDescent="0.35">
      <c r="A14" s="347"/>
      <c r="D14" s="382"/>
    </row>
    <row r="15" spans="1:4" x14ac:dyDescent="0.35">
      <c r="A15" s="347"/>
      <c r="D15" s="382"/>
    </row>
    <row r="16" spans="1:4" x14ac:dyDescent="0.35">
      <c r="A16" s="347"/>
      <c r="D16" s="382"/>
    </row>
    <row r="17" spans="1:5" x14ac:dyDescent="0.35">
      <c r="A17" s="347"/>
      <c r="D17" s="382"/>
    </row>
    <row r="18" spans="1:5" x14ac:dyDescent="0.35">
      <c r="A18" s="347"/>
    </row>
    <row r="19" spans="1:5" x14ac:dyDescent="0.35">
      <c r="A19" s="347"/>
    </row>
    <row r="21" spans="1:5" ht="14" thickBot="1" x14ac:dyDescent="0.4">
      <c r="A21" s="347"/>
    </row>
    <row r="22" spans="1:5" x14ac:dyDescent="0.35">
      <c r="A22" s="72" t="s">
        <v>3</v>
      </c>
      <c r="B22" s="73" t="s">
        <v>20</v>
      </c>
      <c r="C22" s="73"/>
      <c r="D22" s="73" t="s">
        <v>2</v>
      </c>
      <c r="E22" s="74" t="s">
        <v>4</v>
      </c>
    </row>
    <row r="23" spans="1:5" x14ac:dyDescent="0.35">
      <c r="A23" s="75"/>
      <c r="B23" s="76" t="str">
        <f>B469</f>
        <v>Market Swine</v>
      </c>
      <c r="C23" s="76" t="str">
        <f>C469</f>
        <v>Breeding Swine</v>
      </c>
      <c r="D23" s="76"/>
      <c r="E23" s="383"/>
    </row>
    <row r="24" spans="1:5" s="384" customFormat="1" x14ac:dyDescent="0.35">
      <c r="A24" s="82" t="s">
        <v>331</v>
      </c>
      <c r="B24" s="87"/>
      <c r="C24" s="87"/>
      <c r="D24" s="489" t="s">
        <v>72</v>
      </c>
      <c r="E24" s="554" t="s">
        <v>392</v>
      </c>
    </row>
    <row r="25" spans="1:5" s="384" customFormat="1" x14ac:dyDescent="0.35">
      <c r="A25" s="86" t="str">
        <f>'Baseline Emission'!A297</f>
        <v>10-June-2020 to 30-June-2020</v>
      </c>
      <c r="B25" s="87">
        <f>'Baseline Emission'!B274</f>
        <v>94708</v>
      </c>
      <c r="C25" s="87">
        <f>'Baseline Emission'!C274</f>
        <v>51811</v>
      </c>
      <c r="D25" s="490"/>
      <c r="E25" s="555"/>
    </row>
    <row r="26" spans="1:5" s="384" customFormat="1" x14ac:dyDescent="0.35">
      <c r="A26" s="86" t="str">
        <f>'Baseline Emission'!A298</f>
        <v>01-July-2020 to 31-July-2020</v>
      </c>
      <c r="B26" s="87">
        <f>'Baseline Emission'!B275</f>
        <v>94708</v>
      </c>
      <c r="C26" s="87">
        <f>'Baseline Emission'!C275</f>
        <v>51845</v>
      </c>
      <c r="D26" s="490"/>
      <c r="E26" s="555"/>
    </row>
    <row r="27" spans="1:5" s="384" customFormat="1" x14ac:dyDescent="0.35">
      <c r="A27" s="86" t="str">
        <f>'Baseline Emission'!A299</f>
        <v>01-August-2020 to 31-August-2020</v>
      </c>
      <c r="B27" s="87">
        <f>'Baseline Emission'!B276</f>
        <v>94708</v>
      </c>
      <c r="C27" s="87">
        <f>'Baseline Emission'!C276</f>
        <v>51842</v>
      </c>
      <c r="D27" s="490"/>
      <c r="E27" s="555"/>
    </row>
    <row r="28" spans="1:5" s="384" customFormat="1" x14ac:dyDescent="0.35">
      <c r="A28" s="86" t="str">
        <f>'Baseline Emission'!A300</f>
        <v>01-September-2020 to 30-September-2020</v>
      </c>
      <c r="B28" s="87">
        <f>'Baseline Emission'!B277</f>
        <v>94708</v>
      </c>
      <c r="C28" s="87">
        <f>'Baseline Emission'!C277</f>
        <v>51855</v>
      </c>
      <c r="D28" s="490"/>
      <c r="E28" s="555"/>
    </row>
    <row r="29" spans="1:5" s="384" customFormat="1" x14ac:dyDescent="0.35">
      <c r="A29" s="86" t="str">
        <f>'Baseline Emission'!A301</f>
        <v>01-October-2020 to 31-October-2020</v>
      </c>
      <c r="B29" s="87">
        <f>'Baseline Emission'!B278</f>
        <v>94708</v>
      </c>
      <c r="C29" s="87">
        <f>'Baseline Emission'!C278</f>
        <v>51808</v>
      </c>
      <c r="D29" s="490"/>
      <c r="E29" s="555"/>
    </row>
    <row r="30" spans="1:5" s="384" customFormat="1" x14ac:dyDescent="0.35">
      <c r="A30" s="86" t="str">
        <f>'Baseline Emission'!A302</f>
        <v>01-November-2020 to 30-November-2020</v>
      </c>
      <c r="B30" s="87">
        <f>'Baseline Emission'!B279</f>
        <v>94708</v>
      </c>
      <c r="C30" s="87">
        <f>'Baseline Emission'!C279</f>
        <v>51858</v>
      </c>
      <c r="D30" s="490"/>
      <c r="E30" s="555"/>
    </row>
    <row r="31" spans="1:5" s="384" customFormat="1" x14ac:dyDescent="0.35">
      <c r="A31" s="86" t="str">
        <f>'Baseline Emission'!A303</f>
        <v>01-December-2020 to 31-December-2020</v>
      </c>
      <c r="B31" s="87">
        <f>'Baseline Emission'!B280</f>
        <v>94708</v>
      </c>
      <c r="C31" s="87">
        <f>'Baseline Emission'!C280</f>
        <v>51872</v>
      </c>
      <c r="D31" s="490"/>
      <c r="E31" s="555"/>
    </row>
    <row r="32" spans="1:5" s="384" customFormat="1" x14ac:dyDescent="0.35">
      <c r="A32" s="86" t="str">
        <f>'Baseline Emission'!A304</f>
        <v>01-January-2021 to 31-January-2021</v>
      </c>
      <c r="B32" s="87">
        <f>'Baseline Emission'!B281</f>
        <v>94708</v>
      </c>
      <c r="C32" s="87">
        <f>'Baseline Emission'!C281</f>
        <v>51865</v>
      </c>
      <c r="D32" s="490"/>
      <c r="E32" s="555"/>
    </row>
    <row r="33" spans="1:5" s="384" customFormat="1" x14ac:dyDescent="0.35">
      <c r="A33" s="86" t="str">
        <f>'Baseline Emission'!A305</f>
        <v>01-February-2021 to 28-February-2021</v>
      </c>
      <c r="B33" s="87">
        <f>'Baseline Emission'!B282</f>
        <v>94708</v>
      </c>
      <c r="C33" s="87">
        <f>'Baseline Emission'!C282</f>
        <v>51889</v>
      </c>
      <c r="D33" s="490"/>
      <c r="E33" s="555"/>
    </row>
    <row r="34" spans="1:5" s="384" customFormat="1" x14ac:dyDescent="0.35">
      <c r="A34" s="86" t="str">
        <f>'Baseline Emission'!A306</f>
        <v>01-March-2021 to 31-March-2021</v>
      </c>
      <c r="B34" s="87">
        <f>'Baseline Emission'!B283</f>
        <v>94708</v>
      </c>
      <c r="C34" s="87">
        <f>'Baseline Emission'!C283</f>
        <v>51838</v>
      </c>
      <c r="D34" s="490"/>
      <c r="E34" s="555"/>
    </row>
    <row r="35" spans="1:5" s="384" customFormat="1" x14ac:dyDescent="0.35">
      <c r="A35" s="86" t="str">
        <f>'Baseline Emission'!A307</f>
        <v>01-April-2021 to 30-April-2021</v>
      </c>
      <c r="B35" s="87">
        <f>'Baseline Emission'!B284</f>
        <v>94708</v>
      </c>
      <c r="C35" s="87">
        <f>'Baseline Emission'!C284</f>
        <v>51829</v>
      </c>
      <c r="D35" s="490"/>
      <c r="E35" s="555"/>
    </row>
    <row r="36" spans="1:5" s="384" customFormat="1" x14ac:dyDescent="0.35">
      <c r="A36" s="86" t="str">
        <f>'Baseline Emission'!A308</f>
        <v>01-May-2021 to 31-May-2021</v>
      </c>
      <c r="B36" s="87">
        <f>'Baseline Emission'!B285</f>
        <v>94708</v>
      </c>
      <c r="C36" s="87">
        <f>'Baseline Emission'!C285</f>
        <v>51836</v>
      </c>
      <c r="D36" s="490"/>
      <c r="E36" s="555"/>
    </row>
    <row r="37" spans="1:5" s="384" customFormat="1" x14ac:dyDescent="0.35">
      <c r="A37" s="86" t="str">
        <f>'Baseline Emission'!A309</f>
        <v>01-June-2021 to 30-June-2021</v>
      </c>
      <c r="B37" s="87">
        <f>'Baseline Emission'!B286</f>
        <v>94708</v>
      </c>
      <c r="C37" s="87">
        <f>'Baseline Emission'!C286</f>
        <v>51849</v>
      </c>
      <c r="D37" s="490"/>
      <c r="E37" s="555"/>
    </row>
    <row r="38" spans="1:5" s="384" customFormat="1" x14ac:dyDescent="0.35">
      <c r="A38" s="86" t="str">
        <f>'Baseline Emission'!A310</f>
        <v>01-July-2021 to 31-July-2021</v>
      </c>
      <c r="B38" s="87">
        <f>'Baseline Emission'!B287</f>
        <v>94708</v>
      </c>
      <c r="C38" s="87">
        <f>'Baseline Emission'!C287</f>
        <v>51854</v>
      </c>
      <c r="D38" s="490"/>
      <c r="E38" s="555"/>
    </row>
    <row r="39" spans="1:5" s="384" customFormat="1" x14ac:dyDescent="0.35">
      <c r="A39" s="86" t="str">
        <f>'Baseline Emission'!A311</f>
        <v>01-August-2021 to 31-August-2021</v>
      </c>
      <c r="B39" s="87">
        <f>'Baseline Emission'!B288</f>
        <v>94708</v>
      </c>
      <c r="C39" s="87">
        <f>'Baseline Emission'!C288</f>
        <v>51815</v>
      </c>
      <c r="D39" s="490"/>
      <c r="E39" s="555"/>
    </row>
    <row r="40" spans="1:5" s="384" customFormat="1" x14ac:dyDescent="0.35">
      <c r="A40" s="86" t="str">
        <f>'Baseline Emission'!A312</f>
        <v>01-September-2021 to 30-September-2021</v>
      </c>
      <c r="B40" s="87">
        <f>'Baseline Emission'!B289</f>
        <v>94708</v>
      </c>
      <c r="C40" s="87">
        <f>'Baseline Emission'!C289</f>
        <v>51900</v>
      </c>
      <c r="D40" s="490"/>
      <c r="E40" s="555"/>
    </row>
    <row r="41" spans="1:5" s="384" customFormat="1" x14ac:dyDescent="0.35">
      <c r="A41" s="86" t="str">
        <f>'Baseline Emission'!A313</f>
        <v>01-October-2021 to 31-October-2021</v>
      </c>
      <c r="B41" s="87">
        <f>'Baseline Emission'!B290</f>
        <v>94708</v>
      </c>
      <c r="C41" s="87">
        <f>'Baseline Emission'!C290</f>
        <v>51859</v>
      </c>
      <c r="D41" s="490"/>
      <c r="E41" s="555"/>
    </row>
    <row r="42" spans="1:5" s="384" customFormat="1" x14ac:dyDescent="0.35">
      <c r="A42" s="86" t="str">
        <f>'Baseline Emission'!A314</f>
        <v>01-November-2021 to 30-November-2021</v>
      </c>
      <c r="B42" s="87">
        <f>'Baseline Emission'!B291</f>
        <v>94708</v>
      </c>
      <c r="C42" s="87">
        <f>'Baseline Emission'!C291</f>
        <v>51827</v>
      </c>
      <c r="D42" s="490"/>
      <c r="E42" s="555"/>
    </row>
    <row r="43" spans="1:5" s="384" customFormat="1" x14ac:dyDescent="0.35">
      <c r="A43" s="86" t="str">
        <f>'Baseline Emission'!A315</f>
        <v>01-December-2021 to 31-December-2021</v>
      </c>
      <c r="B43" s="87">
        <f>'Baseline Emission'!B292</f>
        <v>94708</v>
      </c>
      <c r="C43" s="87">
        <f>'Baseline Emission'!C292</f>
        <v>51854</v>
      </c>
      <c r="D43" s="491"/>
      <c r="E43" s="565"/>
    </row>
    <row r="44" spans="1:5" x14ac:dyDescent="0.35">
      <c r="A44" s="82" t="s">
        <v>332</v>
      </c>
      <c r="B44" s="385"/>
      <c r="C44" s="385"/>
      <c r="D44" s="489" t="s">
        <v>51</v>
      </c>
      <c r="E44" s="554" t="s">
        <v>31</v>
      </c>
    </row>
    <row r="45" spans="1:5" x14ac:dyDescent="0.35">
      <c r="A45" s="86" t="str">
        <f t="shared" ref="A45:A63" si="0">A25</f>
        <v>10-June-2020 to 30-June-2020</v>
      </c>
      <c r="B45" s="385">
        <f>'Baseline Emission'!B254</f>
        <v>0.73080000000000012</v>
      </c>
      <c r="C45" s="385">
        <f>'Baseline Emission'!C254</f>
        <v>0.90845999999999993</v>
      </c>
      <c r="D45" s="490"/>
      <c r="E45" s="555"/>
    </row>
    <row r="46" spans="1:5" x14ac:dyDescent="0.35">
      <c r="A46" s="86" t="str">
        <f t="shared" si="0"/>
        <v>01-July-2020 to 31-July-2020</v>
      </c>
      <c r="B46" s="385">
        <f>'Baseline Emission'!B255</f>
        <v>0.75125400000000009</v>
      </c>
      <c r="C46" s="385">
        <f>'Baseline Emission'!C255</f>
        <v>0.92962800000000012</v>
      </c>
      <c r="D46" s="490"/>
      <c r="E46" s="555"/>
    </row>
    <row r="47" spans="1:5" x14ac:dyDescent="0.35">
      <c r="A47" s="86" t="str">
        <f t="shared" si="0"/>
        <v>01-August-2020 to 31-August-2020</v>
      </c>
      <c r="B47" s="385">
        <f>'Baseline Emission'!B256</f>
        <v>0.7473479999999999</v>
      </c>
      <c r="C47" s="385">
        <f>'Baseline Emission'!C256</f>
        <v>0.95176199999999989</v>
      </c>
      <c r="D47" s="490"/>
      <c r="E47" s="555"/>
    </row>
    <row r="48" spans="1:5" x14ac:dyDescent="0.35">
      <c r="A48" s="86" t="str">
        <f t="shared" si="0"/>
        <v>01-September-2020 to 30-September-2020</v>
      </c>
      <c r="B48" s="385">
        <f>'Baseline Emission'!B257</f>
        <v>0.74340000000000006</v>
      </c>
      <c r="C48" s="385">
        <f>'Baseline Emission'!C257</f>
        <v>0.90972000000000008</v>
      </c>
      <c r="D48" s="490"/>
      <c r="E48" s="555"/>
    </row>
    <row r="49" spans="1:6" x14ac:dyDescent="0.35">
      <c r="A49" s="86" t="str">
        <f t="shared" si="0"/>
        <v>01-October-2020 to 31-October-2020</v>
      </c>
      <c r="B49" s="385">
        <f>'Baseline Emission'!B258</f>
        <v>0.76427400000000001</v>
      </c>
      <c r="C49" s="385">
        <f>'Baseline Emission'!C258</f>
        <v>0.93353400000000009</v>
      </c>
      <c r="D49" s="490"/>
      <c r="E49" s="555"/>
    </row>
    <row r="50" spans="1:6" x14ac:dyDescent="0.35">
      <c r="A50" s="86" t="str">
        <f t="shared" si="0"/>
        <v>01-November-2020 to 30-November-2020</v>
      </c>
      <c r="B50" s="385">
        <f>'Baseline Emission'!B259</f>
        <v>0.73962000000000006</v>
      </c>
      <c r="C50" s="385">
        <f>'Baseline Emission'!C259</f>
        <v>0.92232000000000003</v>
      </c>
      <c r="D50" s="490"/>
      <c r="E50" s="555"/>
    </row>
    <row r="51" spans="1:6" x14ac:dyDescent="0.35">
      <c r="A51" s="86" t="str">
        <f t="shared" si="0"/>
        <v>01-December-2020 to 31-December-2020</v>
      </c>
      <c r="B51" s="385">
        <f>'Baseline Emission'!B260</f>
        <v>0.75255599999999989</v>
      </c>
      <c r="C51" s="385">
        <f>'Baseline Emission'!C260</f>
        <v>0.96608399999999994</v>
      </c>
      <c r="D51" s="490"/>
      <c r="E51" s="555"/>
    </row>
    <row r="52" spans="1:6" x14ac:dyDescent="0.35">
      <c r="A52" s="86" t="str">
        <f t="shared" si="0"/>
        <v>01-January-2021 to 31-January-2021</v>
      </c>
      <c r="B52" s="385">
        <f>'Baseline Emission'!B261</f>
        <v>0.769482</v>
      </c>
      <c r="C52" s="385">
        <f>'Baseline Emission'!C261</f>
        <v>0.93744000000000005</v>
      </c>
      <c r="D52" s="490"/>
      <c r="E52" s="555"/>
    </row>
    <row r="53" spans="1:6" x14ac:dyDescent="0.35">
      <c r="A53" s="86" t="str">
        <f t="shared" si="0"/>
        <v>01-February-2021 to 28-February-2021</v>
      </c>
      <c r="B53" s="385">
        <f>'Baseline Emission'!B262</f>
        <v>0.69266400000000006</v>
      </c>
      <c r="C53" s="385">
        <f>'Baseline Emission'!C262</f>
        <v>0.85377599999999998</v>
      </c>
      <c r="D53" s="490"/>
      <c r="E53" s="555"/>
    </row>
    <row r="54" spans="1:6" x14ac:dyDescent="0.35">
      <c r="A54" s="86" t="str">
        <f t="shared" si="0"/>
        <v>01-March-2021 to 31-March-2021</v>
      </c>
      <c r="B54" s="385">
        <f>'Baseline Emission'!B263</f>
        <v>0.75125400000000009</v>
      </c>
      <c r="C54" s="385">
        <f>'Baseline Emission'!C263</f>
        <v>0.94655400000000001</v>
      </c>
      <c r="D54" s="490"/>
      <c r="E54" s="555"/>
    </row>
    <row r="55" spans="1:6" x14ac:dyDescent="0.35">
      <c r="A55" s="86" t="str">
        <f t="shared" si="0"/>
        <v>01-April-2021 to 30-April-2021</v>
      </c>
      <c r="B55" s="385">
        <f>'Baseline Emission'!B264</f>
        <v>0.71441999999999994</v>
      </c>
      <c r="C55" s="385">
        <f>'Baseline Emission'!C264</f>
        <v>0.92735999999999996</v>
      </c>
      <c r="D55" s="490"/>
      <c r="E55" s="555"/>
    </row>
    <row r="56" spans="1:6" x14ac:dyDescent="0.35">
      <c r="A56" s="86" t="str">
        <f t="shared" si="0"/>
        <v>01-May-2021 to 31-May-2021</v>
      </c>
      <c r="B56" s="385">
        <f>'Baseline Emission'!B265</f>
        <v>0.75385799999999992</v>
      </c>
      <c r="C56" s="385">
        <f>'Baseline Emission'!C265</f>
        <v>0.95436600000000005</v>
      </c>
      <c r="D56" s="490"/>
      <c r="E56" s="555"/>
    </row>
    <row r="57" spans="1:6" x14ac:dyDescent="0.35">
      <c r="A57" s="86" t="str">
        <f t="shared" si="0"/>
        <v>01-June-2021 to 30-June-2021</v>
      </c>
      <c r="B57" s="385">
        <f>'Baseline Emission'!B266</f>
        <v>0.72449999999999992</v>
      </c>
      <c r="C57" s="385">
        <f>'Baseline Emission'!C266</f>
        <v>0.90215999999999996</v>
      </c>
      <c r="D57" s="490"/>
      <c r="E57" s="555"/>
    </row>
    <row r="58" spans="1:6" x14ac:dyDescent="0.35">
      <c r="A58" s="86" t="str">
        <f t="shared" si="0"/>
        <v>01-July-2021 to 31-July-2021</v>
      </c>
      <c r="B58" s="385">
        <f>'Baseline Emission'!B267</f>
        <v>0.75255599999999989</v>
      </c>
      <c r="C58" s="385">
        <f>'Baseline Emission'!C267</f>
        <v>0.93744000000000005</v>
      </c>
      <c r="D58" s="490"/>
      <c r="E58" s="555"/>
    </row>
    <row r="59" spans="1:6" x14ac:dyDescent="0.35">
      <c r="A59" s="86" t="str">
        <f t="shared" si="0"/>
        <v>01-August-2021 to 31-August-2021</v>
      </c>
      <c r="B59" s="385">
        <f>'Baseline Emission'!B268</f>
        <v>0.75646200000000008</v>
      </c>
      <c r="C59" s="385">
        <f>'Baseline Emission'!C268</f>
        <v>0.93874199999999985</v>
      </c>
      <c r="D59" s="490"/>
      <c r="E59" s="555"/>
    </row>
    <row r="60" spans="1:6" x14ac:dyDescent="0.35">
      <c r="A60" s="86" t="str">
        <f t="shared" si="0"/>
        <v>01-September-2021 to 30-September-2021</v>
      </c>
      <c r="B60" s="385">
        <f>'Baseline Emission'!B269</f>
        <v>0.74465999999999999</v>
      </c>
      <c r="C60" s="385">
        <f>'Baseline Emission'!C269</f>
        <v>0.9109799999999999</v>
      </c>
      <c r="D60" s="490"/>
      <c r="E60" s="555"/>
    </row>
    <row r="61" spans="1:6" x14ac:dyDescent="0.35">
      <c r="A61" s="86" t="str">
        <f t="shared" si="0"/>
        <v>01-October-2021 to 31-October-2021</v>
      </c>
      <c r="B61" s="385">
        <f>'Baseline Emission'!B270</f>
        <v>0.76036800000000004</v>
      </c>
      <c r="C61" s="385">
        <f>'Baseline Emission'!C270</f>
        <v>0.95436600000000005</v>
      </c>
      <c r="D61" s="490"/>
      <c r="E61" s="555"/>
    </row>
    <row r="62" spans="1:6" x14ac:dyDescent="0.35">
      <c r="A62" s="86" t="str">
        <f t="shared" si="0"/>
        <v>01-November-2021 to 30-November-2021</v>
      </c>
      <c r="B62" s="385">
        <f>'Baseline Emission'!B271</f>
        <v>0.72827999999999993</v>
      </c>
      <c r="C62" s="385">
        <f>'Baseline Emission'!C271</f>
        <v>0.91350000000000009</v>
      </c>
      <c r="D62" s="490"/>
      <c r="E62" s="555"/>
    </row>
    <row r="63" spans="1:6" x14ac:dyDescent="0.35">
      <c r="A63" s="86" t="str">
        <f t="shared" si="0"/>
        <v>01-December-2021 to 31-December-2021</v>
      </c>
      <c r="B63" s="385">
        <f>'Baseline Emission'!B272</f>
        <v>0.75646200000000008</v>
      </c>
      <c r="C63" s="385">
        <f>'Baseline Emission'!C272</f>
        <v>0.93744000000000005</v>
      </c>
      <c r="D63" s="491"/>
      <c r="E63" s="565"/>
    </row>
    <row r="64" spans="1:6" s="384" customFormat="1" ht="27" x14ac:dyDescent="0.35">
      <c r="A64" s="82" t="s">
        <v>333</v>
      </c>
      <c r="B64" s="89">
        <v>0.8</v>
      </c>
      <c r="C64" s="89">
        <v>0.8</v>
      </c>
      <c r="D64" s="355" t="s">
        <v>0</v>
      </c>
      <c r="E64" s="307" t="s">
        <v>393</v>
      </c>
      <c r="F64" s="386"/>
    </row>
    <row r="65" spans="1:6" ht="15.5" x14ac:dyDescent="0.45">
      <c r="A65" s="82" t="s">
        <v>14</v>
      </c>
      <c r="B65" s="81">
        <v>0.01</v>
      </c>
      <c r="C65" s="81">
        <v>0.01</v>
      </c>
      <c r="D65" s="67" t="s">
        <v>261</v>
      </c>
      <c r="E65" s="79" t="s">
        <v>49</v>
      </c>
    </row>
    <row r="66" spans="1:6" ht="15.5" x14ac:dyDescent="0.45">
      <c r="A66" s="82" t="s">
        <v>15</v>
      </c>
      <c r="B66" s="81">
        <v>7.4999999999999997E-3</v>
      </c>
      <c r="C66" s="81">
        <v>7.4999999999999997E-3</v>
      </c>
      <c r="D66" s="67" t="s">
        <v>261</v>
      </c>
      <c r="E66" s="79" t="s">
        <v>34</v>
      </c>
    </row>
    <row r="67" spans="1:6" ht="15.5" x14ac:dyDescent="0.45">
      <c r="A67" s="82" t="s">
        <v>13</v>
      </c>
      <c r="B67" s="81">
        <v>0.01</v>
      </c>
      <c r="C67" s="81">
        <v>0.01</v>
      </c>
      <c r="D67" s="67" t="s">
        <v>334</v>
      </c>
      <c r="E67" s="79" t="s">
        <v>34</v>
      </c>
      <c r="F67" s="386"/>
    </row>
    <row r="68" spans="1:6" x14ac:dyDescent="0.35">
      <c r="A68" s="82" t="s">
        <v>16</v>
      </c>
      <c r="B68" s="81">
        <v>0.3</v>
      </c>
      <c r="C68" s="81">
        <v>0.3</v>
      </c>
      <c r="D68" s="67" t="s">
        <v>81</v>
      </c>
      <c r="E68" s="79" t="s">
        <v>34</v>
      </c>
    </row>
    <row r="69" spans="1:6" x14ac:dyDescent="0.35">
      <c r="A69" s="82" t="s">
        <v>12</v>
      </c>
      <c r="B69" s="81">
        <v>0.2</v>
      </c>
      <c r="C69" s="81">
        <v>0.2</v>
      </c>
      <c r="D69" s="67" t="s">
        <v>81</v>
      </c>
      <c r="E69" s="79" t="s">
        <v>67</v>
      </c>
    </row>
    <row r="70" spans="1:6" ht="15.5" x14ac:dyDescent="0.45">
      <c r="A70" s="54" t="s">
        <v>274</v>
      </c>
      <c r="B70" s="142">
        <f>'Baseline Emission'!B294</f>
        <v>265</v>
      </c>
      <c r="C70" s="142">
        <f>'Baseline Emission'!C294</f>
        <v>265</v>
      </c>
      <c r="D70" s="67" t="s">
        <v>335</v>
      </c>
      <c r="E70" s="307" t="s">
        <v>124</v>
      </c>
    </row>
    <row r="71" spans="1:6" ht="15.5" x14ac:dyDescent="0.35">
      <c r="A71" s="387" t="s">
        <v>336</v>
      </c>
      <c r="B71" s="388"/>
      <c r="C71" s="388"/>
      <c r="D71" s="489" t="s">
        <v>337</v>
      </c>
      <c r="E71" s="554" t="s">
        <v>32</v>
      </c>
    </row>
    <row r="72" spans="1:6" x14ac:dyDescent="0.35">
      <c r="A72" s="86" t="str">
        <f t="shared" ref="A72:A90" si="1">A45</f>
        <v>10-June-2020 to 30-June-2020</v>
      </c>
      <c r="B72" s="388">
        <f t="shared" ref="B72:C90" si="2">ROUNDDOWN($B$65*(1-$B$64)*B45*B25,0)</f>
        <v>138</v>
      </c>
      <c r="C72" s="388">
        <f t="shared" si="2"/>
        <v>94</v>
      </c>
      <c r="D72" s="490"/>
      <c r="E72" s="555"/>
    </row>
    <row r="73" spans="1:6" x14ac:dyDescent="0.35">
      <c r="A73" s="86" t="str">
        <f t="shared" si="1"/>
        <v>01-July-2020 to 31-July-2020</v>
      </c>
      <c r="B73" s="388">
        <f t="shared" si="2"/>
        <v>142</v>
      </c>
      <c r="C73" s="388">
        <f t="shared" si="2"/>
        <v>96</v>
      </c>
      <c r="D73" s="490"/>
      <c r="E73" s="555"/>
    </row>
    <row r="74" spans="1:6" x14ac:dyDescent="0.35">
      <c r="A74" s="86" t="str">
        <f t="shared" si="1"/>
        <v>01-August-2020 to 31-August-2020</v>
      </c>
      <c r="B74" s="388">
        <f t="shared" si="2"/>
        <v>141</v>
      </c>
      <c r="C74" s="388">
        <f t="shared" si="2"/>
        <v>98</v>
      </c>
      <c r="D74" s="490"/>
      <c r="E74" s="555"/>
    </row>
    <row r="75" spans="1:6" x14ac:dyDescent="0.35">
      <c r="A75" s="86" t="str">
        <f t="shared" si="1"/>
        <v>01-September-2020 to 30-September-2020</v>
      </c>
      <c r="B75" s="388">
        <f t="shared" si="2"/>
        <v>140</v>
      </c>
      <c r="C75" s="388">
        <f t="shared" si="2"/>
        <v>94</v>
      </c>
      <c r="D75" s="490"/>
      <c r="E75" s="555"/>
    </row>
    <row r="76" spans="1:6" x14ac:dyDescent="0.35">
      <c r="A76" s="86" t="str">
        <f t="shared" si="1"/>
        <v>01-October-2020 to 31-October-2020</v>
      </c>
      <c r="B76" s="388">
        <f t="shared" si="2"/>
        <v>144</v>
      </c>
      <c r="C76" s="388">
        <f t="shared" si="2"/>
        <v>96</v>
      </c>
      <c r="D76" s="490"/>
      <c r="E76" s="555"/>
    </row>
    <row r="77" spans="1:6" x14ac:dyDescent="0.35">
      <c r="A77" s="86" t="str">
        <f t="shared" si="1"/>
        <v>01-November-2020 to 30-November-2020</v>
      </c>
      <c r="B77" s="388">
        <f t="shared" si="2"/>
        <v>140</v>
      </c>
      <c r="C77" s="388">
        <f t="shared" si="2"/>
        <v>95</v>
      </c>
      <c r="D77" s="490"/>
      <c r="E77" s="555"/>
    </row>
    <row r="78" spans="1:6" x14ac:dyDescent="0.35">
      <c r="A78" s="86" t="str">
        <f t="shared" si="1"/>
        <v>01-December-2020 to 31-December-2020</v>
      </c>
      <c r="B78" s="388">
        <f t="shared" si="2"/>
        <v>142</v>
      </c>
      <c r="C78" s="388">
        <f t="shared" si="2"/>
        <v>100</v>
      </c>
      <c r="D78" s="490"/>
      <c r="E78" s="555"/>
    </row>
    <row r="79" spans="1:6" x14ac:dyDescent="0.35">
      <c r="A79" s="86" t="str">
        <f t="shared" si="1"/>
        <v>01-January-2021 to 31-January-2021</v>
      </c>
      <c r="B79" s="388">
        <f t="shared" si="2"/>
        <v>145</v>
      </c>
      <c r="C79" s="388">
        <f t="shared" si="2"/>
        <v>97</v>
      </c>
      <c r="D79" s="490"/>
      <c r="E79" s="555"/>
    </row>
    <row r="80" spans="1:6" x14ac:dyDescent="0.35">
      <c r="A80" s="86" t="str">
        <f t="shared" si="1"/>
        <v>01-February-2021 to 28-February-2021</v>
      </c>
      <c r="B80" s="388">
        <f t="shared" si="2"/>
        <v>131</v>
      </c>
      <c r="C80" s="388">
        <f t="shared" si="2"/>
        <v>88</v>
      </c>
      <c r="D80" s="490"/>
      <c r="E80" s="555"/>
    </row>
    <row r="81" spans="1:5" x14ac:dyDescent="0.35">
      <c r="A81" s="86" t="str">
        <f t="shared" si="1"/>
        <v>01-March-2021 to 31-March-2021</v>
      </c>
      <c r="B81" s="388">
        <f t="shared" si="2"/>
        <v>142</v>
      </c>
      <c r="C81" s="388">
        <f t="shared" si="2"/>
        <v>98</v>
      </c>
      <c r="D81" s="490"/>
      <c r="E81" s="555"/>
    </row>
    <row r="82" spans="1:5" x14ac:dyDescent="0.35">
      <c r="A82" s="86" t="str">
        <f t="shared" si="1"/>
        <v>01-April-2021 to 30-April-2021</v>
      </c>
      <c r="B82" s="388">
        <f t="shared" si="2"/>
        <v>135</v>
      </c>
      <c r="C82" s="388">
        <f t="shared" si="2"/>
        <v>96</v>
      </c>
      <c r="D82" s="490"/>
      <c r="E82" s="555"/>
    </row>
    <row r="83" spans="1:5" x14ac:dyDescent="0.35">
      <c r="A83" s="86" t="str">
        <f t="shared" si="1"/>
        <v>01-May-2021 to 31-May-2021</v>
      </c>
      <c r="B83" s="388">
        <f t="shared" si="2"/>
        <v>142</v>
      </c>
      <c r="C83" s="388">
        <f t="shared" si="2"/>
        <v>98</v>
      </c>
      <c r="D83" s="490"/>
      <c r="E83" s="555"/>
    </row>
    <row r="84" spans="1:5" x14ac:dyDescent="0.35">
      <c r="A84" s="86" t="str">
        <f t="shared" si="1"/>
        <v>01-June-2021 to 30-June-2021</v>
      </c>
      <c r="B84" s="388">
        <f t="shared" si="2"/>
        <v>137</v>
      </c>
      <c r="C84" s="388">
        <f t="shared" si="2"/>
        <v>93</v>
      </c>
      <c r="D84" s="490"/>
      <c r="E84" s="555"/>
    </row>
    <row r="85" spans="1:5" x14ac:dyDescent="0.35">
      <c r="A85" s="86" t="str">
        <f t="shared" si="1"/>
        <v>01-July-2021 to 31-July-2021</v>
      </c>
      <c r="B85" s="388">
        <f t="shared" si="2"/>
        <v>142</v>
      </c>
      <c r="C85" s="388">
        <f t="shared" si="2"/>
        <v>97</v>
      </c>
      <c r="D85" s="490"/>
      <c r="E85" s="555"/>
    </row>
    <row r="86" spans="1:5" x14ac:dyDescent="0.35">
      <c r="A86" s="86" t="str">
        <f t="shared" si="1"/>
        <v>01-August-2021 to 31-August-2021</v>
      </c>
      <c r="B86" s="388">
        <f t="shared" si="2"/>
        <v>143</v>
      </c>
      <c r="C86" s="388">
        <f t="shared" si="2"/>
        <v>97</v>
      </c>
      <c r="D86" s="490"/>
      <c r="E86" s="555"/>
    </row>
    <row r="87" spans="1:5" x14ac:dyDescent="0.35">
      <c r="A87" s="86" t="str">
        <f t="shared" si="1"/>
        <v>01-September-2021 to 30-September-2021</v>
      </c>
      <c r="B87" s="388">
        <f t="shared" si="2"/>
        <v>141</v>
      </c>
      <c r="C87" s="388">
        <f t="shared" si="2"/>
        <v>94</v>
      </c>
      <c r="D87" s="490"/>
      <c r="E87" s="555"/>
    </row>
    <row r="88" spans="1:5" x14ac:dyDescent="0.35">
      <c r="A88" s="86" t="str">
        <f t="shared" si="1"/>
        <v>01-October-2021 to 31-October-2021</v>
      </c>
      <c r="B88" s="388">
        <f t="shared" si="2"/>
        <v>144</v>
      </c>
      <c r="C88" s="388">
        <f t="shared" si="2"/>
        <v>98</v>
      </c>
      <c r="D88" s="490"/>
      <c r="E88" s="555"/>
    </row>
    <row r="89" spans="1:5" x14ac:dyDescent="0.35">
      <c r="A89" s="86" t="str">
        <f t="shared" si="1"/>
        <v>01-November-2021 to 30-November-2021</v>
      </c>
      <c r="B89" s="388">
        <f t="shared" si="2"/>
        <v>137</v>
      </c>
      <c r="C89" s="388">
        <f t="shared" si="2"/>
        <v>94</v>
      </c>
      <c r="D89" s="490"/>
      <c r="E89" s="555"/>
    </row>
    <row r="90" spans="1:5" x14ac:dyDescent="0.35">
      <c r="A90" s="86" t="str">
        <f t="shared" si="1"/>
        <v>01-December-2021 to 31-December-2021</v>
      </c>
      <c r="B90" s="388">
        <f t="shared" si="2"/>
        <v>143</v>
      </c>
      <c r="C90" s="388">
        <f t="shared" si="2"/>
        <v>97</v>
      </c>
      <c r="D90" s="490"/>
      <c r="E90" s="555"/>
    </row>
    <row r="91" spans="1:5" ht="15.5" x14ac:dyDescent="0.45">
      <c r="A91" s="96" t="s">
        <v>372</v>
      </c>
      <c r="B91" s="550">
        <f>SUM(B72:B78)+SUM(C72:C78)</f>
        <v>1660</v>
      </c>
      <c r="C91" s="551"/>
      <c r="D91" s="490"/>
      <c r="E91" s="555"/>
    </row>
    <row r="92" spans="1:5" ht="15.5" x14ac:dyDescent="0.45">
      <c r="A92" s="96" t="s">
        <v>373</v>
      </c>
      <c r="B92" s="550">
        <f>SUM(B79:B90)+SUM(C79:C90)</f>
        <v>2829</v>
      </c>
      <c r="C92" s="551"/>
      <c r="D92" s="490"/>
      <c r="E92" s="555"/>
    </row>
    <row r="93" spans="1:5" ht="15.5" x14ac:dyDescent="0.35">
      <c r="A93" s="387" t="s">
        <v>338</v>
      </c>
      <c r="B93" s="552">
        <f>B91+B92</f>
        <v>4489</v>
      </c>
      <c r="C93" s="553"/>
      <c r="D93" s="491"/>
      <c r="E93" s="565"/>
    </row>
    <row r="94" spans="1:5" ht="15.5" x14ac:dyDescent="0.35">
      <c r="A94" s="387" t="s">
        <v>339</v>
      </c>
      <c r="B94" s="391"/>
      <c r="C94" s="391"/>
      <c r="D94" s="489" t="s">
        <v>340</v>
      </c>
      <c r="E94" s="554" t="s">
        <v>32</v>
      </c>
    </row>
    <row r="95" spans="1:5" x14ac:dyDescent="0.35">
      <c r="A95" s="86" t="str">
        <f t="shared" ref="A95:A113" si="3">A72</f>
        <v>10-June-2020 to 30-June-2020</v>
      </c>
      <c r="B95" s="391">
        <f t="shared" ref="B95:C113" si="4">ROUNDDOWN($B$66*$B$68*(1-$B$64)*B45*B25,0)</f>
        <v>31</v>
      </c>
      <c r="C95" s="391">
        <f t="shared" si="4"/>
        <v>21</v>
      </c>
      <c r="D95" s="490"/>
      <c r="E95" s="555"/>
    </row>
    <row r="96" spans="1:5" x14ac:dyDescent="0.35">
      <c r="A96" s="86" t="str">
        <f t="shared" si="3"/>
        <v>01-July-2020 to 31-July-2020</v>
      </c>
      <c r="B96" s="391">
        <f t="shared" si="4"/>
        <v>32</v>
      </c>
      <c r="C96" s="391">
        <f t="shared" si="4"/>
        <v>21</v>
      </c>
      <c r="D96" s="490"/>
      <c r="E96" s="555"/>
    </row>
    <row r="97" spans="1:5" x14ac:dyDescent="0.35">
      <c r="A97" s="86" t="str">
        <f t="shared" si="3"/>
        <v>01-August-2020 to 31-August-2020</v>
      </c>
      <c r="B97" s="391">
        <f t="shared" si="4"/>
        <v>31</v>
      </c>
      <c r="C97" s="391">
        <f t="shared" si="4"/>
        <v>22</v>
      </c>
      <c r="D97" s="490"/>
      <c r="E97" s="555"/>
    </row>
    <row r="98" spans="1:5" x14ac:dyDescent="0.35">
      <c r="A98" s="86" t="str">
        <f t="shared" si="3"/>
        <v>01-September-2020 to 30-September-2020</v>
      </c>
      <c r="B98" s="391">
        <f t="shared" si="4"/>
        <v>31</v>
      </c>
      <c r="C98" s="391">
        <f t="shared" si="4"/>
        <v>21</v>
      </c>
      <c r="D98" s="490"/>
      <c r="E98" s="555"/>
    </row>
    <row r="99" spans="1:5" x14ac:dyDescent="0.35">
      <c r="A99" s="86" t="str">
        <f t="shared" si="3"/>
        <v>01-October-2020 to 31-October-2020</v>
      </c>
      <c r="B99" s="391">
        <f t="shared" si="4"/>
        <v>32</v>
      </c>
      <c r="C99" s="391">
        <f t="shared" si="4"/>
        <v>21</v>
      </c>
      <c r="D99" s="490"/>
      <c r="E99" s="555"/>
    </row>
    <row r="100" spans="1:5" x14ac:dyDescent="0.35">
      <c r="A100" s="86" t="str">
        <f t="shared" si="3"/>
        <v>01-November-2020 to 30-November-2020</v>
      </c>
      <c r="B100" s="391">
        <f t="shared" si="4"/>
        <v>31</v>
      </c>
      <c r="C100" s="391">
        <f t="shared" si="4"/>
        <v>21</v>
      </c>
      <c r="D100" s="490"/>
      <c r="E100" s="555"/>
    </row>
    <row r="101" spans="1:5" x14ac:dyDescent="0.35">
      <c r="A101" s="86" t="str">
        <f t="shared" si="3"/>
        <v>01-December-2020 to 31-December-2020</v>
      </c>
      <c r="B101" s="391">
        <f t="shared" si="4"/>
        <v>32</v>
      </c>
      <c r="C101" s="391">
        <f t="shared" si="4"/>
        <v>22</v>
      </c>
      <c r="D101" s="490"/>
      <c r="E101" s="555"/>
    </row>
    <row r="102" spans="1:5" x14ac:dyDescent="0.35">
      <c r="A102" s="86" t="str">
        <f t="shared" si="3"/>
        <v>01-January-2021 to 31-January-2021</v>
      </c>
      <c r="B102" s="391">
        <f t="shared" si="4"/>
        <v>32</v>
      </c>
      <c r="C102" s="391">
        <f t="shared" si="4"/>
        <v>21</v>
      </c>
      <c r="D102" s="490"/>
      <c r="E102" s="555"/>
    </row>
    <row r="103" spans="1:5" x14ac:dyDescent="0.35">
      <c r="A103" s="86" t="str">
        <f t="shared" si="3"/>
        <v>01-February-2021 to 28-February-2021</v>
      </c>
      <c r="B103" s="391">
        <f t="shared" si="4"/>
        <v>29</v>
      </c>
      <c r="C103" s="391">
        <f t="shared" si="4"/>
        <v>19</v>
      </c>
      <c r="D103" s="490"/>
      <c r="E103" s="555"/>
    </row>
    <row r="104" spans="1:5" x14ac:dyDescent="0.35">
      <c r="A104" s="86" t="str">
        <f t="shared" si="3"/>
        <v>01-March-2021 to 31-March-2021</v>
      </c>
      <c r="B104" s="391">
        <f t="shared" si="4"/>
        <v>32</v>
      </c>
      <c r="C104" s="391">
        <f t="shared" si="4"/>
        <v>22</v>
      </c>
      <c r="D104" s="490"/>
      <c r="E104" s="555"/>
    </row>
    <row r="105" spans="1:5" x14ac:dyDescent="0.35">
      <c r="A105" s="86" t="str">
        <f t="shared" si="3"/>
        <v>01-April-2021 to 30-April-2021</v>
      </c>
      <c r="B105" s="391">
        <f t="shared" si="4"/>
        <v>30</v>
      </c>
      <c r="C105" s="391">
        <f t="shared" si="4"/>
        <v>21</v>
      </c>
      <c r="D105" s="490"/>
      <c r="E105" s="555"/>
    </row>
    <row r="106" spans="1:5" x14ac:dyDescent="0.35">
      <c r="A106" s="86" t="str">
        <f t="shared" si="3"/>
        <v>01-May-2021 to 31-May-2021</v>
      </c>
      <c r="B106" s="391">
        <f t="shared" si="4"/>
        <v>32</v>
      </c>
      <c r="C106" s="391">
        <f t="shared" si="4"/>
        <v>22</v>
      </c>
      <c r="D106" s="490"/>
      <c r="E106" s="555"/>
    </row>
    <row r="107" spans="1:5" x14ac:dyDescent="0.35">
      <c r="A107" s="86" t="str">
        <f t="shared" si="3"/>
        <v>01-June-2021 to 30-June-2021</v>
      </c>
      <c r="B107" s="391">
        <f t="shared" si="4"/>
        <v>30</v>
      </c>
      <c r="C107" s="391">
        <f t="shared" si="4"/>
        <v>21</v>
      </c>
      <c r="D107" s="490"/>
      <c r="E107" s="555"/>
    </row>
    <row r="108" spans="1:5" x14ac:dyDescent="0.35">
      <c r="A108" s="86" t="str">
        <f t="shared" si="3"/>
        <v>01-July-2021 to 31-July-2021</v>
      </c>
      <c r="B108" s="391">
        <f t="shared" si="4"/>
        <v>32</v>
      </c>
      <c r="C108" s="391">
        <f t="shared" si="4"/>
        <v>21</v>
      </c>
      <c r="D108" s="490"/>
      <c r="E108" s="555"/>
    </row>
    <row r="109" spans="1:5" x14ac:dyDescent="0.35">
      <c r="A109" s="86" t="str">
        <f t="shared" si="3"/>
        <v>01-August-2021 to 31-August-2021</v>
      </c>
      <c r="B109" s="391">
        <f t="shared" si="4"/>
        <v>32</v>
      </c>
      <c r="C109" s="391">
        <f t="shared" si="4"/>
        <v>21</v>
      </c>
      <c r="D109" s="490"/>
      <c r="E109" s="555"/>
    </row>
    <row r="110" spans="1:5" x14ac:dyDescent="0.35">
      <c r="A110" s="86" t="str">
        <f t="shared" si="3"/>
        <v>01-September-2021 to 30-September-2021</v>
      </c>
      <c r="B110" s="391">
        <f t="shared" si="4"/>
        <v>31</v>
      </c>
      <c r="C110" s="391">
        <f t="shared" si="4"/>
        <v>21</v>
      </c>
      <c r="D110" s="490"/>
      <c r="E110" s="555"/>
    </row>
    <row r="111" spans="1:5" x14ac:dyDescent="0.35">
      <c r="A111" s="86" t="str">
        <f t="shared" si="3"/>
        <v>01-October-2021 to 31-October-2021</v>
      </c>
      <c r="B111" s="391">
        <f t="shared" si="4"/>
        <v>32</v>
      </c>
      <c r="C111" s="391">
        <f t="shared" si="4"/>
        <v>22</v>
      </c>
      <c r="D111" s="490"/>
      <c r="E111" s="555"/>
    </row>
    <row r="112" spans="1:5" x14ac:dyDescent="0.35">
      <c r="A112" s="86" t="str">
        <f t="shared" si="3"/>
        <v>01-November-2021 to 30-November-2021</v>
      </c>
      <c r="B112" s="391">
        <f t="shared" si="4"/>
        <v>31</v>
      </c>
      <c r="C112" s="391">
        <f t="shared" si="4"/>
        <v>21</v>
      </c>
      <c r="D112" s="490"/>
      <c r="E112" s="555"/>
    </row>
    <row r="113" spans="1:5" x14ac:dyDescent="0.35">
      <c r="A113" s="86" t="str">
        <f t="shared" si="3"/>
        <v>01-December-2021 to 31-December-2021</v>
      </c>
      <c r="B113" s="391">
        <f t="shared" si="4"/>
        <v>32</v>
      </c>
      <c r="C113" s="391">
        <f t="shared" si="4"/>
        <v>21</v>
      </c>
      <c r="D113" s="490"/>
      <c r="E113" s="555"/>
    </row>
    <row r="114" spans="1:5" ht="15.5" x14ac:dyDescent="0.45">
      <c r="A114" s="96" t="s">
        <v>366</v>
      </c>
      <c r="B114" s="550">
        <f>SUM(B95:B101)+SUM(C95:C101)</f>
        <v>369</v>
      </c>
      <c r="C114" s="551"/>
      <c r="D114" s="490"/>
      <c r="E114" s="555"/>
    </row>
    <row r="115" spans="1:5" ht="15.5" x14ac:dyDescent="0.45">
      <c r="A115" s="96" t="s">
        <v>367</v>
      </c>
      <c r="B115" s="550">
        <f>SUM(B102:B113)+SUM(C102:C113)</f>
        <v>628</v>
      </c>
      <c r="C115" s="551"/>
      <c r="D115" s="490"/>
      <c r="E115" s="555"/>
    </row>
    <row r="116" spans="1:5" ht="15.5" x14ac:dyDescent="0.45">
      <c r="A116" s="392" t="s">
        <v>341</v>
      </c>
      <c r="B116" s="552">
        <f>B114+B115</f>
        <v>997</v>
      </c>
      <c r="C116" s="553"/>
      <c r="D116" s="491"/>
      <c r="E116" s="565"/>
    </row>
    <row r="117" spans="1:5" ht="15.5" x14ac:dyDescent="0.35">
      <c r="A117" s="387" t="s">
        <v>342</v>
      </c>
      <c r="B117" s="388"/>
      <c r="C117" s="388"/>
      <c r="D117" s="489" t="s">
        <v>340</v>
      </c>
      <c r="E117" s="554" t="s">
        <v>32</v>
      </c>
    </row>
    <row r="118" spans="1:5" x14ac:dyDescent="0.35">
      <c r="A118" s="86" t="str">
        <f t="shared" ref="A118:A136" si="5">A95</f>
        <v>10-June-2020 to 30-June-2020</v>
      </c>
      <c r="B118" s="388">
        <f t="shared" ref="B118:C136" si="6">ROUNDDOWN($B$67*(1-$B$64)*$B$69*B45*B25,0)</f>
        <v>27</v>
      </c>
      <c r="C118" s="388">
        <f t="shared" si="6"/>
        <v>18</v>
      </c>
      <c r="D118" s="490"/>
      <c r="E118" s="555"/>
    </row>
    <row r="119" spans="1:5" x14ac:dyDescent="0.35">
      <c r="A119" s="86" t="str">
        <f t="shared" si="5"/>
        <v>01-July-2020 to 31-July-2020</v>
      </c>
      <c r="B119" s="388">
        <f t="shared" si="6"/>
        <v>28</v>
      </c>
      <c r="C119" s="388">
        <f t="shared" si="6"/>
        <v>19</v>
      </c>
      <c r="D119" s="490"/>
      <c r="E119" s="555"/>
    </row>
    <row r="120" spans="1:5" x14ac:dyDescent="0.35">
      <c r="A120" s="86" t="str">
        <f t="shared" si="5"/>
        <v>01-August-2020 to 31-August-2020</v>
      </c>
      <c r="B120" s="388">
        <f t="shared" si="6"/>
        <v>28</v>
      </c>
      <c r="C120" s="388">
        <f t="shared" si="6"/>
        <v>19</v>
      </c>
      <c r="D120" s="490"/>
      <c r="E120" s="555"/>
    </row>
    <row r="121" spans="1:5" x14ac:dyDescent="0.35">
      <c r="A121" s="86" t="str">
        <f t="shared" si="5"/>
        <v>01-September-2020 to 30-September-2020</v>
      </c>
      <c r="B121" s="388">
        <f t="shared" si="6"/>
        <v>28</v>
      </c>
      <c r="C121" s="388">
        <f t="shared" si="6"/>
        <v>18</v>
      </c>
      <c r="D121" s="490"/>
      <c r="E121" s="555"/>
    </row>
    <row r="122" spans="1:5" x14ac:dyDescent="0.35">
      <c r="A122" s="86" t="str">
        <f t="shared" si="5"/>
        <v>01-October-2020 to 31-October-2020</v>
      </c>
      <c r="B122" s="388">
        <f t="shared" si="6"/>
        <v>28</v>
      </c>
      <c r="C122" s="388">
        <f t="shared" si="6"/>
        <v>19</v>
      </c>
      <c r="D122" s="490"/>
      <c r="E122" s="555"/>
    </row>
    <row r="123" spans="1:5" x14ac:dyDescent="0.35">
      <c r="A123" s="86" t="str">
        <f t="shared" si="5"/>
        <v>01-November-2020 to 30-November-2020</v>
      </c>
      <c r="B123" s="388">
        <f t="shared" si="6"/>
        <v>28</v>
      </c>
      <c r="C123" s="388">
        <f t="shared" si="6"/>
        <v>19</v>
      </c>
      <c r="D123" s="490"/>
      <c r="E123" s="555"/>
    </row>
    <row r="124" spans="1:5" x14ac:dyDescent="0.35">
      <c r="A124" s="86" t="str">
        <f t="shared" si="5"/>
        <v>01-December-2020 to 31-December-2020</v>
      </c>
      <c r="B124" s="388">
        <f t="shared" si="6"/>
        <v>28</v>
      </c>
      <c r="C124" s="388">
        <f t="shared" si="6"/>
        <v>20</v>
      </c>
      <c r="D124" s="490"/>
      <c r="E124" s="555"/>
    </row>
    <row r="125" spans="1:5" x14ac:dyDescent="0.35">
      <c r="A125" s="86" t="str">
        <f t="shared" si="5"/>
        <v>01-January-2021 to 31-January-2021</v>
      </c>
      <c r="B125" s="388">
        <f t="shared" si="6"/>
        <v>29</v>
      </c>
      <c r="C125" s="388">
        <f t="shared" si="6"/>
        <v>19</v>
      </c>
      <c r="D125" s="490"/>
      <c r="E125" s="555"/>
    </row>
    <row r="126" spans="1:5" x14ac:dyDescent="0.35">
      <c r="A126" s="86" t="str">
        <f t="shared" si="5"/>
        <v>01-February-2021 to 28-February-2021</v>
      </c>
      <c r="B126" s="388">
        <f t="shared" si="6"/>
        <v>26</v>
      </c>
      <c r="C126" s="388">
        <f t="shared" si="6"/>
        <v>17</v>
      </c>
      <c r="D126" s="490"/>
      <c r="E126" s="555"/>
    </row>
    <row r="127" spans="1:5" x14ac:dyDescent="0.35">
      <c r="A127" s="86" t="str">
        <f t="shared" si="5"/>
        <v>01-March-2021 to 31-March-2021</v>
      </c>
      <c r="B127" s="388">
        <f t="shared" si="6"/>
        <v>28</v>
      </c>
      <c r="C127" s="388">
        <f t="shared" si="6"/>
        <v>19</v>
      </c>
      <c r="D127" s="490"/>
      <c r="E127" s="555"/>
    </row>
    <row r="128" spans="1:5" x14ac:dyDescent="0.35">
      <c r="A128" s="86" t="str">
        <f t="shared" si="5"/>
        <v>01-April-2021 to 30-April-2021</v>
      </c>
      <c r="B128" s="388">
        <f t="shared" si="6"/>
        <v>27</v>
      </c>
      <c r="C128" s="388">
        <f t="shared" si="6"/>
        <v>19</v>
      </c>
      <c r="D128" s="490"/>
      <c r="E128" s="555"/>
    </row>
    <row r="129" spans="1:5" x14ac:dyDescent="0.35">
      <c r="A129" s="86" t="str">
        <f t="shared" si="5"/>
        <v>01-May-2021 to 31-May-2021</v>
      </c>
      <c r="B129" s="388">
        <f t="shared" si="6"/>
        <v>28</v>
      </c>
      <c r="C129" s="388">
        <f t="shared" si="6"/>
        <v>19</v>
      </c>
      <c r="D129" s="490"/>
      <c r="E129" s="555"/>
    </row>
    <row r="130" spans="1:5" x14ac:dyDescent="0.35">
      <c r="A130" s="86" t="str">
        <f t="shared" si="5"/>
        <v>01-June-2021 to 30-June-2021</v>
      </c>
      <c r="B130" s="388">
        <f t="shared" si="6"/>
        <v>27</v>
      </c>
      <c r="C130" s="388">
        <f t="shared" si="6"/>
        <v>18</v>
      </c>
      <c r="D130" s="490"/>
      <c r="E130" s="555"/>
    </row>
    <row r="131" spans="1:5" x14ac:dyDescent="0.35">
      <c r="A131" s="86" t="str">
        <f t="shared" si="5"/>
        <v>01-July-2021 to 31-July-2021</v>
      </c>
      <c r="B131" s="388">
        <f t="shared" si="6"/>
        <v>28</v>
      </c>
      <c r="C131" s="388">
        <f t="shared" si="6"/>
        <v>19</v>
      </c>
      <c r="D131" s="490"/>
      <c r="E131" s="555"/>
    </row>
    <row r="132" spans="1:5" x14ac:dyDescent="0.35">
      <c r="A132" s="86" t="str">
        <f t="shared" si="5"/>
        <v>01-August-2021 to 31-August-2021</v>
      </c>
      <c r="B132" s="388">
        <f t="shared" si="6"/>
        <v>28</v>
      </c>
      <c r="C132" s="388">
        <f t="shared" si="6"/>
        <v>19</v>
      </c>
      <c r="D132" s="490"/>
      <c r="E132" s="555"/>
    </row>
    <row r="133" spans="1:5" x14ac:dyDescent="0.35">
      <c r="A133" s="86" t="str">
        <f t="shared" si="5"/>
        <v>01-September-2021 to 30-September-2021</v>
      </c>
      <c r="B133" s="388">
        <f t="shared" si="6"/>
        <v>28</v>
      </c>
      <c r="C133" s="388">
        <f t="shared" si="6"/>
        <v>18</v>
      </c>
      <c r="D133" s="490"/>
      <c r="E133" s="555"/>
    </row>
    <row r="134" spans="1:5" x14ac:dyDescent="0.35">
      <c r="A134" s="86" t="str">
        <f t="shared" si="5"/>
        <v>01-October-2021 to 31-October-2021</v>
      </c>
      <c r="B134" s="388">
        <f t="shared" si="6"/>
        <v>28</v>
      </c>
      <c r="C134" s="388">
        <f t="shared" si="6"/>
        <v>19</v>
      </c>
      <c r="D134" s="490"/>
      <c r="E134" s="555"/>
    </row>
    <row r="135" spans="1:5" x14ac:dyDescent="0.35">
      <c r="A135" s="86" t="str">
        <f t="shared" si="5"/>
        <v>01-November-2021 to 30-November-2021</v>
      </c>
      <c r="B135" s="388">
        <f t="shared" si="6"/>
        <v>27</v>
      </c>
      <c r="C135" s="388">
        <f t="shared" si="6"/>
        <v>18</v>
      </c>
      <c r="D135" s="490"/>
      <c r="E135" s="555"/>
    </row>
    <row r="136" spans="1:5" x14ac:dyDescent="0.35">
      <c r="A136" s="86" t="str">
        <f t="shared" si="5"/>
        <v>01-December-2021 to 31-December-2021</v>
      </c>
      <c r="B136" s="388">
        <f t="shared" si="6"/>
        <v>28</v>
      </c>
      <c r="C136" s="388">
        <f t="shared" si="6"/>
        <v>19</v>
      </c>
      <c r="D136" s="490"/>
      <c r="E136" s="555"/>
    </row>
    <row r="137" spans="1:5" ht="15.5" x14ac:dyDescent="0.45">
      <c r="A137" s="96" t="s">
        <v>370</v>
      </c>
      <c r="B137" s="550">
        <f>SUM(B118:B124)+SUM(C118:C124)</f>
        <v>327</v>
      </c>
      <c r="C137" s="551"/>
      <c r="D137" s="490"/>
      <c r="E137" s="555"/>
    </row>
    <row r="138" spans="1:5" ht="15.5" x14ac:dyDescent="0.45">
      <c r="A138" s="96" t="s">
        <v>368</v>
      </c>
      <c r="B138" s="550">
        <f>SUM(B125:B136)+SUM(C125:C136)</f>
        <v>555</v>
      </c>
      <c r="C138" s="551"/>
      <c r="D138" s="490"/>
      <c r="E138" s="555"/>
    </row>
    <row r="139" spans="1:5" ht="15.5" x14ac:dyDescent="0.35">
      <c r="A139" s="82" t="s">
        <v>343</v>
      </c>
      <c r="B139" s="552">
        <f>B137+B138</f>
        <v>882</v>
      </c>
      <c r="C139" s="553"/>
      <c r="D139" s="491"/>
      <c r="E139" s="565"/>
    </row>
    <row r="140" spans="1:5" ht="15.75" customHeight="1" x14ac:dyDescent="0.45">
      <c r="A140" s="96" t="s">
        <v>371</v>
      </c>
      <c r="B140" s="550">
        <f>ROUNDDOWN(B70*44/28*1/1000*(B91+B114+B137),0)</f>
        <v>981</v>
      </c>
      <c r="C140" s="551"/>
      <c r="D140" s="489" t="s">
        <v>184</v>
      </c>
      <c r="E140" s="554" t="s">
        <v>32</v>
      </c>
    </row>
    <row r="141" spans="1:5" ht="15.5" x14ac:dyDescent="0.45">
      <c r="A141" s="96" t="s">
        <v>369</v>
      </c>
      <c r="B141" s="550">
        <f>ROUNDDOWN(B70*44/28*1/1000*(B92+B115+B138),0)</f>
        <v>1670</v>
      </c>
      <c r="C141" s="551"/>
      <c r="D141" s="490"/>
      <c r="E141" s="555"/>
    </row>
    <row r="142" spans="1:5" ht="15.5" x14ac:dyDescent="0.35">
      <c r="A142" s="387" t="s">
        <v>344</v>
      </c>
      <c r="B142" s="552">
        <f>B140+B141</f>
        <v>2651</v>
      </c>
      <c r="C142" s="553"/>
      <c r="D142" s="491"/>
      <c r="E142" s="565"/>
    </row>
    <row r="143" spans="1:5" x14ac:dyDescent="0.35">
      <c r="A143" s="393"/>
      <c r="B143" s="394"/>
      <c r="C143" s="394"/>
      <c r="D143" s="274"/>
      <c r="E143" s="274"/>
    </row>
    <row r="144" spans="1:5" x14ac:dyDescent="0.35">
      <c r="A144" s="393"/>
      <c r="B144" s="394"/>
      <c r="C144" s="394"/>
      <c r="D144" s="274"/>
      <c r="E144" s="274"/>
    </row>
    <row r="145" spans="1:6" x14ac:dyDescent="0.35">
      <c r="A145" s="393"/>
      <c r="B145" s="394"/>
      <c r="C145" s="394"/>
      <c r="D145" s="395"/>
      <c r="E145" s="274"/>
    </row>
    <row r="146" spans="1:6" x14ac:dyDescent="0.35">
      <c r="A146" s="393"/>
      <c r="B146" s="394"/>
      <c r="C146" s="394"/>
      <c r="D146" s="395"/>
      <c r="E146" s="274"/>
    </row>
    <row r="147" spans="1:6" x14ac:dyDescent="0.35">
      <c r="A147" s="393"/>
      <c r="B147" s="394"/>
      <c r="C147" s="394"/>
      <c r="D147" s="395"/>
      <c r="E147" s="274"/>
    </row>
    <row r="148" spans="1:6" x14ac:dyDescent="0.35">
      <c r="A148" s="393"/>
      <c r="B148" s="394"/>
      <c r="C148" s="394"/>
      <c r="D148" s="395"/>
      <c r="E148" s="274"/>
    </row>
    <row r="149" spans="1:6" x14ac:dyDescent="0.35">
      <c r="A149" s="393"/>
      <c r="B149" s="394"/>
      <c r="C149" s="394"/>
      <c r="D149" s="395"/>
      <c r="E149" s="274"/>
    </row>
    <row r="150" spans="1:6" x14ac:dyDescent="0.35">
      <c r="A150" s="393"/>
      <c r="B150" s="394"/>
      <c r="C150" s="394"/>
      <c r="D150" s="395"/>
      <c r="E150" s="274"/>
    </row>
    <row r="151" spans="1:6" x14ac:dyDescent="0.35">
      <c r="A151" s="393"/>
      <c r="B151" s="394"/>
      <c r="C151" s="394"/>
      <c r="D151" s="395"/>
      <c r="E151" s="274"/>
    </row>
    <row r="152" spans="1:6" x14ac:dyDescent="0.35">
      <c r="A152" s="393"/>
      <c r="B152" s="394"/>
      <c r="C152" s="394"/>
      <c r="D152" s="395"/>
      <c r="E152" s="274"/>
    </row>
    <row r="153" spans="1:6" x14ac:dyDescent="0.35">
      <c r="A153" s="393"/>
      <c r="B153" s="394"/>
      <c r="C153" s="394"/>
      <c r="D153" s="395"/>
      <c r="E153" s="274"/>
    </row>
    <row r="154" spans="1:6" x14ac:dyDescent="0.35">
      <c r="A154" s="393"/>
      <c r="B154" s="394"/>
      <c r="C154" s="394"/>
      <c r="D154" s="395"/>
      <c r="E154" s="274"/>
    </row>
    <row r="155" spans="1:6" x14ac:dyDescent="0.35">
      <c r="A155" s="393"/>
      <c r="B155" s="394"/>
      <c r="C155" s="394"/>
      <c r="D155" s="395"/>
      <c r="E155" s="274"/>
    </row>
    <row r="156" spans="1:6" x14ac:dyDescent="0.35">
      <c r="A156" s="393"/>
      <c r="B156" s="394"/>
      <c r="C156" s="394"/>
      <c r="D156" s="395"/>
      <c r="E156" s="274"/>
    </row>
    <row r="157" spans="1:6" x14ac:dyDescent="0.35">
      <c r="A157" s="393"/>
      <c r="B157" s="394"/>
      <c r="C157" s="394"/>
      <c r="D157" s="395"/>
      <c r="E157" s="274"/>
    </row>
    <row r="158" spans="1:6" ht="14" thickBot="1" x14ac:dyDescent="0.4">
      <c r="A158" s="393"/>
      <c r="B158" s="394"/>
      <c r="C158" s="394"/>
      <c r="D158" s="274"/>
      <c r="E158" s="274"/>
    </row>
    <row r="159" spans="1:6" x14ac:dyDescent="0.35">
      <c r="A159" s="72" t="s">
        <v>3</v>
      </c>
      <c r="B159" s="73" t="s">
        <v>20</v>
      </c>
      <c r="C159" s="73"/>
      <c r="D159" s="73" t="s">
        <v>2</v>
      </c>
      <c r="E159" s="74" t="s">
        <v>4</v>
      </c>
      <c r="F159" s="274"/>
    </row>
    <row r="160" spans="1:6" ht="15.5" x14ac:dyDescent="0.45">
      <c r="A160" s="75" t="s">
        <v>345</v>
      </c>
      <c r="B160" s="76" t="str">
        <f>'Project Emission'!B319</f>
        <v>Market Swine</v>
      </c>
      <c r="C160" s="76" t="str">
        <f>'Project Emission'!C319</f>
        <v>Breeding Swine</v>
      </c>
      <c r="D160" s="76"/>
      <c r="E160" s="77"/>
      <c r="F160" s="396"/>
    </row>
    <row r="161" spans="1:6" ht="13" customHeight="1" x14ac:dyDescent="0.35">
      <c r="A161" s="261" t="str">
        <f t="shared" ref="A161:A179" si="7">A118</f>
        <v>10-June-2020 to 30-June-2020</v>
      </c>
      <c r="B161" s="397">
        <f t="shared" ref="B161:C179" si="8">B25</f>
        <v>94708</v>
      </c>
      <c r="C161" s="397">
        <f t="shared" si="8"/>
        <v>51811</v>
      </c>
      <c r="D161" s="490" t="s">
        <v>72</v>
      </c>
      <c r="E161" s="555" t="str">
        <f>E24</f>
        <v>Calculated as equation 5 and 6 in JPM, of which Np,LT and Nda,LT is  sourced from "Exported from the stock record of Market swine"
NLT for breeding swine is sourced from "Breeding Pig stock record"</v>
      </c>
      <c r="F161" s="396"/>
    </row>
    <row r="162" spans="1:6" ht="13" customHeight="1" x14ac:dyDescent="0.35">
      <c r="A162" s="261" t="str">
        <f t="shared" si="7"/>
        <v>01-July-2020 to 31-July-2020</v>
      </c>
      <c r="B162" s="397">
        <f t="shared" si="8"/>
        <v>94708</v>
      </c>
      <c r="C162" s="397">
        <f t="shared" si="8"/>
        <v>51845</v>
      </c>
      <c r="D162" s="490"/>
      <c r="E162" s="555"/>
      <c r="F162" s="396"/>
    </row>
    <row r="163" spans="1:6" ht="13" customHeight="1" x14ac:dyDescent="0.35">
      <c r="A163" s="261" t="str">
        <f t="shared" si="7"/>
        <v>01-August-2020 to 31-August-2020</v>
      </c>
      <c r="B163" s="397">
        <f t="shared" si="8"/>
        <v>94708</v>
      </c>
      <c r="C163" s="397">
        <f t="shared" si="8"/>
        <v>51842</v>
      </c>
      <c r="D163" s="490"/>
      <c r="E163" s="555"/>
      <c r="F163" s="396"/>
    </row>
    <row r="164" spans="1:6" ht="13" customHeight="1" x14ac:dyDescent="0.35">
      <c r="A164" s="261" t="str">
        <f t="shared" si="7"/>
        <v>01-September-2020 to 30-September-2020</v>
      </c>
      <c r="B164" s="397">
        <f t="shared" si="8"/>
        <v>94708</v>
      </c>
      <c r="C164" s="397">
        <f t="shared" si="8"/>
        <v>51855</v>
      </c>
      <c r="D164" s="490"/>
      <c r="E164" s="555"/>
      <c r="F164" s="396"/>
    </row>
    <row r="165" spans="1:6" ht="13" customHeight="1" x14ac:dyDescent="0.35">
      <c r="A165" s="261" t="str">
        <f t="shared" si="7"/>
        <v>01-October-2020 to 31-October-2020</v>
      </c>
      <c r="B165" s="397">
        <f t="shared" si="8"/>
        <v>94708</v>
      </c>
      <c r="C165" s="397">
        <f t="shared" si="8"/>
        <v>51808</v>
      </c>
      <c r="D165" s="490"/>
      <c r="E165" s="555"/>
      <c r="F165" s="396"/>
    </row>
    <row r="166" spans="1:6" ht="13" customHeight="1" x14ac:dyDescent="0.35">
      <c r="A166" s="261" t="str">
        <f t="shared" si="7"/>
        <v>01-November-2020 to 30-November-2020</v>
      </c>
      <c r="B166" s="397">
        <f t="shared" si="8"/>
        <v>94708</v>
      </c>
      <c r="C166" s="397">
        <f t="shared" si="8"/>
        <v>51858</v>
      </c>
      <c r="D166" s="490"/>
      <c r="E166" s="555"/>
      <c r="F166" s="396"/>
    </row>
    <row r="167" spans="1:6" ht="13" customHeight="1" x14ac:dyDescent="0.35">
      <c r="A167" s="261" t="str">
        <f t="shared" si="7"/>
        <v>01-December-2020 to 31-December-2020</v>
      </c>
      <c r="B167" s="397">
        <f t="shared" si="8"/>
        <v>94708</v>
      </c>
      <c r="C167" s="397">
        <f t="shared" si="8"/>
        <v>51872</v>
      </c>
      <c r="D167" s="490"/>
      <c r="E167" s="555"/>
      <c r="F167" s="396"/>
    </row>
    <row r="168" spans="1:6" ht="13" customHeight="1" x14ac:dyDescent="0.35">
      <c r="A168" s="261" t="str">
        <f t="shared" si="7"/>
        <v>01-January-2021 to 31-January-2021</v>
      </c>
      <c r="B168" s="397">
        <f t="shared" si="8"/>
        <v>94708</v>
      </c>
      <c r="C168" s="397">
        <f t="shared" si="8"/>
        <v>51865</v>
      </c>
      <c r="D168" s="490"/>
      <c r="E168" s="555"/>
      <c r="F168" s="396"/>
    </row>
    <row r="169" spans="1:6" ht="12.75" customHeight="1" x14ac:dyDescent="0.35">
      <c r="A169" s="261" t="str">
        <f t="shared" si="7"/>
        <v>01-February-2021 to 28-February-2021</v>
      </c>
      <c r="B169" s="397">
        <f t="shared" si="8"/>
        <v>94708</v>
      </c>
      <c r="C169" s="397">
        <f t="shared" si="8"/>
        <v>51889</v>
      </c>
      <c r="D169" s="490"/>
      <c r="E169" s="555"/>
      <c r="F169" s="396"/>
    </row>
    <row r="170" spans="1:6" x14ac:dyDescent="0.35">
      <c r="A170" s="261" t="str">
        <f t="shared" si="7"/>
        <v>01-March-2021 to 31-March-2021</v>
      </c>
      <c r="B170" s="397">
        <f t="shared" si="8"/>
        <v>94708</v>
      </c>
      <c r="C170" s="397">
        <f t="shared" si="8"/>
        <v>51838</v>
      </c>
      <c r="D170" s="490"/>
      <c r="E170" s="555"/>
      <c r="F170" s="396"/>
    </row>
    <row r="171" spans="1:6" x14ac:dyDescent="0.35">
      <c r="A171" s="261" t="str">
        <f t="shared" si="7"/>
        <v>01-April-2021 to 30-April-2021</v>
      </c>
      <c r="B171" s="397">
        <f t="shared" si="8"/>
        <v>94708</v>
      </c>
      <c r="C171" s="397">
        <f t="shared" si="8"/>
        <v>51829</v>
      </c>
      <c r="D171" s="490"/>
      <c r="E171" s="555"/>
      <c r="F171" s="396"/>
    </row>
    <row r="172" spans="1:6" x14ac:dyDescent="0.35">
      <c r="A172" s="261" t="str">
        <f t="shared" si="7"/>
        <v>01-May-2021 to 31-May-2021</v>
      </c>
      <c r="B172" s="397">
        <f t="shared" si="8"/>
        <v>94708</v>
      </c>
      <c r="C172" s="397">
        <f t="shared" si="8"/>
        <v>51836</v>
      </c>
      <c r="D172" s="490"/>
      <c r="E172" s="555"/>
      <c r="F172" s="396"/>
    </row>
    <row r="173" spans="1:6" x14ac:dyDescent="0.35">
      <c r="A173" s="261" t="str">
        <f t="shared" si="7"/>
        <v>01-June-2021 to 30-June-2021</v>
      </c>
      <c r="B173" s="397">
        <f t="shared" si="8"/>
        <v>94708</v>
      </c>
      <c r="C173" s="397">
        <f t="shared" si="8"/>
        <v>51849</v>
      </c>
      <c r="D173" s="490"/>
      <c r="E173" s="555"/>
      <c r="F173" s="396"/>
    </row>
    <row r="174" spans="1:6" x14ac:dyDescent="0.35">
      <c r="A174" s="261" t="str">
        <f t="shared" si="7"/>
        <v>01-July-2021 to 31-July-2021</v>
      </c>
      <c r="B174" s="397">
        <f t="shared" si="8"/>
        <v>94708</v>
      </c>
      <c r="C174" s="397">
        <f t="shared" si="8"/>
        <v>51854</v>
      </c>
      <c r="D174" s="490"/>
      <c r="E174" s="555"/>
      <c r="F174" s="396"/>
    </row>
    <row r="175" spans="1:6" x14ac:dyDescent="0.35">
      <c r="A175" s="261" t="str">
        <f t="shared" si="7"/>
        <v>01-August-2021 to 31-August-2021</v>
      </c>
      <c r="B175" s="397">
        <f t="shared" si="8"/>
        <v>94708</v>
      </c>
      <c r="C175" s="397">
        <f t="shared" si="8"/>
        <v>51815</v>
      </c>
      <c r="D175" s="490"/>
      <c r="E175" s="555"/>
      <c r="F175" s="396"/>
    </row>
    <row r="176" spans="1:6" x14ac:dyDescent="0.35">
      <c r="A176" s="261" t="str">
        <f t="shared" si="7"/>
        <v>01-September-2021 to 30-September-2021</v>
      </c>
      <c r="B176" s="397">
        <f t="shared" si="8"/>
        <v>94708</v>
      </c>
      <c r="C176" s="397">
        <f t="shared" si="8"/>
        <v>51900</v>
      </c>
      <c r="D176" s="490"/>
      <c r="E176" s="555"/>
      <c r="F176" s="396"/>
    </row>
    <row r="177" spans="1:6" x14ac:dyDescent="0.35">
      <c r="A177" s="261" t="str">
        <f t="shared" si="7"/>
        <v>01-October-2021 to 31-October-2021</v>
      </c>
      <c r="B177" s="397">
        <f t="shared" si="8"/>
        <v>94708</v>
      </c>
      <c r="C177" s="397">
        <f t="shared" si="8"/>
        <v>51859</v>
      </c>
      <c r="D177" s="490"/>
      <c r="E177" s="555"/>
      <c r="F177" s="396"/>
    </row>
    <row r="178" spans="1:6" x14ac:dyDescent="0.35">
      <c r="A178" s="261" t="str">
        <f t="shared" si="7"/>
        <v>01-November-2021 to 30-November-2021</v>
      </c>
      <c r="B178" s="397">
        <f t="shared" si="8"/>
        <v>94708</v>
      </c>
      <c r="C178" s="397">
        <f t="shared" si="8"/>
        <v>51827</v>
      </c>
      <c r="D178" s="490"/>
      <c r="E178" s="555"/>
      <c r="F178" s="396"/>
    </row>
    <row r="179" spans="1:6" x14ac:dyDescent="0.35">
      <c r="A179" s="261" t="str">
        <f t="shared" si="7"/>
        <v>01-December-2021 to 31-December-2021</v>
      </c>
      <c r="B179" s="397">
        <f t="shared" si="8"/>
        <v>94708</v>
      </c>
      <c r="C179" s="397">
        <f t="shared" si="8"/>
        <v>51854</v>
      </c>
      <c r="D179" s="491"/>
      <c r="E179" s="565"/>
      <c r="F179" s="396"/>
    </row>
    <row r="180" spans="1:6" ht="15.5" x14ac:dyDescent="0.35">
      <c r="A180" s="82" t="s">
        <v>273</v>
      </c>
      <c r="B180" s="385"/>
      <c r="C180" s="385"/>
      <c r="D180" s="516" t="s">
        <v>71</v>
      </c>
      <c r="E180" s="478" t="s">
        <v>31</v>
      </c>
      <c r="F180" s="396"/>
    </row>
    <row r="181" spans="1:6" x14ac:dyDescent="0.35">
      <c r="A181" s="86" t="str">
        <f t="shared" ref="A181:A199" si="9">A161</f>
        <v>10-June-2020 to 30-June-2020</v>
      </c>
      <c r="B181" s="385">
        <f t="shared" ref="B181:C199" si="10">B45</f>
        <v>0.73080000000000012</v>
      </c>
      <c r="C181" s="385">
        <f t="shared" si="10"/>
        <v>0.90845999999999993</v>
      </c>
      <c r="D181" s="516"/>
      <c r="E181" s="478"/>
      <c r="F181" s="396"/>
    </row>
    <row r="182" spans="1:6" x14ac:dyDescent="0.35">
      <c r="A182" s="86" t="str">
        <f t="shared" si="9"/>
        <v>01-July-2020 to 31-July-2020</v>
      </c>
      <c r="B182" s="385">
        <f t="shared" si="10"/>
        <v>0.75125400000000009</v>
      </c>
      <c r="C182" s="385">
        <f t="shared" si="10"/>
        <v>0.92962800000000012</v>
      </c>
      <c r="D182" s="516"/>
      <c r="E182" s="478"/>
      <c r="F182" s="396"/>
    </row>
    <row r="183" spans="1:6" x14ac:dyDescent="0.35">
      <c r="A183" s="86" t="str">
        <f t="shared" si="9"/>
        <v>01-August-2020 to 31-August-2020</v>
      </c>
      <c r="B183" s="385">
        <f t="shared" si="10"/>
        <v>0.7473479999999999</v>
      </c>
      <c r="C183" s="385">
        <f t="shared" si="10"/>
        <v>0.95176199999999989</v>
      </c>
      <c r="D183" s="516"/>
      <c r="E183" s="478"/>
      <c r="F183" s="396"/>
    </row>
    <row r="184" spans="1:6" x14ac:dyDescent="0.35">
      <c r="A184" s="86" t="str">
        <f t="shared" si="9"/>
        <v>01-September-2020 to 30-September-2020</v>
      </c>
      <c r="B184" s="385">
        <f t="shared" si="10"/>
        <v>0.74340000000000006</v>
      </c>
      <c r="C184" s="385">
        <f t="shared" si="10"/>
        <v>0.90972000000000008</v>
      </c>
      <c r="D184" s="516"/>
      <c r="E184" s="478"/>
      <c r="F184" s="396"/>
    </row>
    <row r="185" spans="1:6" x14ac:dyDescent="0.35">
      <c r="A185" s="86" t="str">
        <f t="shared" si="9"/>
        <v>01-October-2020 to 31-October-2020</v>
      </c>
      <c r="B185" s="385">
        <f t="shared" si="10"/>
        <v>0.76427400000000001</v>
      </c>
      <c r="C185" s="385">
        <f t="shared" si="10"/>
        <v>0.93353400000000009</v>
      </c>
      <c r="D185" s="516"/>
      <c r="E185" s="478"/>
      <c r="F185" s="396"/>
    </row>
    <row r="186" spans="1:6" x14ac:dyDescent="0.35">
      <c r="A186" s="86" t="str">
        <f t="shared" si="9"/>
        <v>01-November-2020 to 30-November-2020</v>
      </c>
      <c r="B186" s="385">
        <f t="shared" si="10"/>
        <v>0.73962000000000006</v>
      </c>
      <c r="C186" s="385">
        <f t="shared" si="10"/>
        <v>0.92232000000000003</v>
      </c>
      <c r="D186" s="516"/>
      <c r="E186" s="478"/>
      <c r="F186" s="396"/>
    </row>
    <row r="187" spans="1:6" x14ac:dyDescent="0.35">
      <c r="A187" s="86" t="str">
        <f t="shared" si="9"/>
        <v>01-December-2020 to 31-December-2020</v>
      </c>
      <c r="B187" s="385">
        <f t="shared" si="10"/>
        <v>0.75255599999999989</v>
      </c>
      <c r="C187" s="385">
        <f t="shared" si="10"/>
        <v>0.96608399999999994</v>
      </c>
      <c r="D187" s="516"/>
      <c r="E187" s="478"/>
      <c r="F187" s="396"/>
    </row>
    <row r="188" spans="1:6" x14ac:dyDescent="0.35">
      <c r="A188" s="86" t="str">
        <f t="shared" si="9"/>
        <v>01-January-2021 to 31-January-2021</v>
      </c>
      <c r="B188" s="385">
        <f t="shared" si="10"/>
        <v>0.769482</v>
      </c>
      <c r="C188" s="385">
        <f t="shared" si="10"/>
        <v>0.93744000000000005</v>
      </c>
      <c r="D188" s="516"/>
      <c r="E188" s="478"/>
      <c r="F188" s="396"/>
    </row>
    <row r="189" spans="1:6" x14ac:dyDescent="0.35">
      <c r="A189" s="86" t="str">
        <f t="shared" si="9"/>
        <v>01-February-2021 to 28-February-2021</v>
      </c>
      <c r="B189" s="385">
        <f t="shared" si="10"/>
        <v>0.69266400000000006</v>
      </c>
      <c r="C189" s="385">
        <f t="shared" si="10"/>
        <v>0.85377599999999998</v>
      </c>
      <c r="D189" s="516"/>
      <c r="E189" s="478"/>
      <c r="F189" s="396"/>
    </row>
    <row r="190" spans="1:6" x14ac:dyDescent="0.35">
      <c r="A190" s="86" t="str">
        <f t="shared" si="9"/>
        <v>01-March-2021 to 31-March-2021</v>
      </c>
      <c r="B190" s="385">
        <f t="shared" si="10"/>
        <v>0.75125400000000009</v>
      </c>
      <c r="C190" s="385">
        <f t="shared" si="10"/>
        <v>0.94655400000000001</v>
      </c>
      <c r="D190" s="516"/>
      <c r="E190" s="478"/>
      <c r="F190" s="396"/>
    </row>
    <row r="191" spans="1:6" x14ac:dyDescent="0.35">
      <c r="A191" s="86" t="str">
        <f t="shared" si="9"/>
        <v>01-April-2021 to 30-April-2021</v>
      </c>
      <c r="B191" s="385">
        <f t="shared" si="10"/>
        <v>0.71441999999999994</v>
      </c>
      <c r="C191" s="385">
        <f t="shared" si="10"/>
        <v>0.92735999999999996</v>
      </c>
      <c r="D191" s="516"/>
      <c r="E191" s="478"/>
      <c r="F191" s="396"/>
    </row>
    <row r="192" spans="1:6" x14ac:dyDescent="0.35">
      <c r="A192" s="86" t="str">
        <f t="shared" si="9"/>
        <v>01-May-2021 to 31-May-2021</v>
      </c>
      <c r="B192" s="385">
        <f t="shared" si="10"/>
        <v>0.75385799999999992</v>
      </c>
      <c r="C192" s="385">
        <f t="shared" si="10"/>
        <v>0.95436600000000005</v>
      </c>
      <c r="D192" s="516"/>
      <c r="E192" s="478"/>
      <c r="F192" s="396"/>
    </row>
    <row r="193" spans="1:6" x14ac:dyDescent="0.35">
      <c r="A193" s="86" t="str">
        <f t="shared" si="9"/>
        <v>01-June-2021 to 30-June-2021</v>
      </c>
      <c r="B193" s="385">
        <f t="shared" si="10"/>
        <v>0.72449999999999992</v>
      </c>
      <c r="C193" s="385">
        <f t="shared" si="10"/>
        <v>0.90215999999999996</v>
      </c>
      <c r="D193" s="516"/>
      <c r="E193" s="478"/>
      <c r="F193" s="396"/>
    </row>
    <row r="194" spans="1:6" x14ac:dyDescent="0.35">
      <c r="A194" s="86" t="str">
        <f t="shared" si="9"/>
        <v>01-July-2021 to 31-July-2021</v>
      </c>
      <c r="B194" s="385">
        <f t="shared" si="10"/>
        <v>0.75255599999999989</v>
      </c>
      <c r="C194" s="385">
        <f t="shared" si="10"/>
        <v>0.93744000000000005</v>
      </c>
      <c r="D194" s="516"/>
      <c r="E194" s="478"/>
      <c r="F194" s="396"/>
    </row>
    <row r="195" spans="1:6" x14ac:dyDescent="0.35">
      <c r="A195" s="86" t="str">
        <f t="shared" si="9"/>
        <v>01-August-2021 to 31-August-2021</v>
      </c>
      <c r="B195" s="385">
        <f t="shared" si="10"/>
        <v>0.75646200000000008</v>
      </c>
      <c r="C195" s="385">
        <f t="shared" si="10"/>
        <v>0.93874199999999985</v>
      </c>
      <c r="D195" s="516"/>
      <c r="E195" s="478"/>
      <c r="F195" s="396"/>
    </row>
    <row r="196" spans="1:6" x14ac:dyDescent="0.35">
      <c r="A196" s="86" t="str">
        <f t="shared" si="9"/>
        <v>01-September-2021 to 30-September-2021</v>
      </c>
      <c r="B196" s="385">
        <f t="shared" si="10"/>
        <v>0.74465999999999999</v>
      </c>
      <c r="C196" s="385">
        <f t="shared" si="10"/>
        <v>0.9109799999999999</v>
      </c>
      <c r="D196" s="516"/>
      <c r="E196" s="478"/>
      <c r="F196" s="396"/>
    </row>
    <row r="197" spans="1:6" x14ac:dyDescent="0.35">
      <c r="A197" s="86" t="str">
        <f t="shared" si="9"/>
        <v>01-October-2021 to 31-October-2021</v>
      </c>
      <c r="B197" s="385">
        <f t="shared" si="10"/>
        <v>0.76036800000000004</v>
      </c>
      <c r="C197" s="385">
        <f t="shared" si="10"/>
        <v>0.95436600000000005</v>
      </c>
      <c r="D197" s="516"/>
      <c r="E197" s="478"/>
      <c r="F197" s="396"/>
    </row>
    <row r="198" spans="1:6" x14ac:dyDescent="0.35">
      <c r="A198" s="86" t="str">
        <f t="shared" si="9"/>
        <v>01-November-2021 to 30-November-2021</v>
      </c>
      <c r="B198" s="385">
        <f t="shared" si="10"/>
        <v>0.72827999999999993</v>
      </c>
      <c r="C198" s="385">
        <f t="shared" si="10"/>
        <v>0.91350000000000009</v>
      </c>
      <c r="D198" s="516"/>
      <c r="E198" s="478"/>
      <c r="F198" s="396"/>
    </row>
    <row r="199" spans="1:6" x14ac:dyDescent="0.35">
      <c r="A199" s="86" t="str">
        <f t="shared" si="9"/>
        <v>01-December-2021 to 31-December-2021</v>
      </c>
      <c r="B199" s="385">
        <f t="shared" si="10"/>
        <v>0.75646200000000008</v>
      </c>
      <c r="C199" s="385">
        <f t="shared" si="10"/>
        <v>0.93744000000000005</v>
      </c>
      <c r="D199" s="516"/>
      <c r="E199" s="478"/>
      <c r="F199" s="396"/>
    </row>
    <row r="200" spans="1:6" ht="37.5" customHeight="1" x14ac:dyDescent="0.35">
      <c r="A200" s="82" t="s">
        <v>346</v>
      </c>
      <c r="B200" s="89">
        <v>0.25</v>
      </c>
      <c r="C200" s="89">
        <f>B200</f>
        <v>0.25</v>
      </c>
      <c r="D200" s="355" t="s">
        <v>0</v>
      </c>
      <c r="E200" s="554" t="s">
        <v>394</v>
      </c>
      <c r="F200" s="396"/>
    </row>
    <row r="201" spans="1:6" ht="19.5" customHeight="1" x14ac:dyDescent="0.35">
      <c r="A201" s="82" t="s">
        <v>346</v>
      </c>
      <c r="B201" s="89">
        <v>0.05</v>
      </c>
      <c r="C201" s="89">
        <f>B201</f>
        <v>0.05</v>
      </c>
      <c r="D201" s="355"/>
      <c r="E201" s="565"/>
      <c r="F201" s="396"/>
    </row>
    <row r="202" spans="1:6" x14ac:dyDescent="0.35">
      <c r="A202" s="82" t="s">
        <v>14</v>
      </c>
      <c r="B202" s="81">
        <v>0.01</v>
      </c>
      <c r="C202" s="81">
        <v>0.01</v>
      </c>
      <c r="D202" s="67" t="s">
        <v>24</v>
      </c>
      <c r="E202" s="79" t="s">
        <v>49</v>
      </c>
      <c r="F202" s="396"/>
    </row>
    <row r="203" spans="1:6" x14ac:dyDescent="0.35">
      <c r="A203" s="82" t="s">
        <v>15</v>
      </c>
      <c r="B203" s="81">
        <v>7.4999999999999997E-3</v>
      </c>
      <c r="C203" s="81">
        <v>7.4999999999999997E-3</v>
      </c>
      <c r="D203" s="67" t="s">
        <v>24</v>
      </c>
      <c r="E203" s="79" t="s">
        <v>34</v>
      </c>
      <c r="F203" s="396"/>
    </row>
    <row r="204" spans="1:6" x14ac:dyDescent="0.35">
      <c r="A204" s="82" t="s">
        <v>13</v>
      </c>
      <c r="B204" s="81">
        <v>0.01</v>
      </c>
      <c r="C204" s="81">
        <v>0.01</v>
      </c>
      <c r="D204" s="67" t="s">
        <v>125</v>
      </c>
      <c r="E204" s="79" t="s">
        <v>34</v>
      </c>
      <c r="F204" s="396"/>
    </row>
    <row r="205" spans="1:6" x14ac:dyDescent="0.35">
      <c r="A205" s="82" t="s">
        <v>16</v>
      </c>
      <c r="B205" s="81">
        <v>0.3</v>
      </c>
      <c r="C205" s="81">
        <v>0.3</v>
      </c>
      <c r="D205" s="67" t="s">
        <v>81</v>
      </c>
      <c r="E205" s="79" t="s">
        <v>34</v>
      </c>
      <c r="F205" s="396"/>
    </row>
    <row r="206" spans="1:6" ht="40.5" x14ac:dyDescent="0.35">
      <c r="A206" s="82" t="s">
        <v>12</v>
      </c>
      <c r="B206" s="81">
        <v>0.2</v>
      </c>
      <c r="C206" s="81">
        <v>0.2</v>
      </c>
      <c r="D206" s="355" t="s">
        <v>81</v>
      </c>
      <c r="E206" s="79" t="s">
        <v>59</v>
      </c>
      <c r="F206" s="396"/>
    </row>
    <row r="207" spans="1:6" ht="15.5" x14ac:dyDescent="0.35">
      <c r="A207" s="387" t="s">
        <v>347</v>
      </c>
      <c r="B207" s="81"/>
      <c r="C207" s="81"/>
      <c r="D207" s="489" t="s">
        <v>399</v>
      </c>
      <c r="E207" s="554" t="s">
        <v>32</v>
      </c>
      <c r="F207" s="396"/>
    </row>
    <row r="208" spans="1:6" x14ac:dyDescent="0.35">
      <c r="A208" s="86" t="str">
        <f t="shared" ref="A208:A226" si="11">A181</f>
        <v>10-June-2020 to 30-June-2020</v>
      </c>
      <c r="B208" s="81">
        <f t="shared" ref="B208:C226" si="12">ROUNDUP($B$202*(1-$B$201)*(1-$B$200)*B181*B161,0)</f>
        <v>494</v>
      </c>
      <c r="C208" s="81">
        <f t="shared" si="12"/>
        <v>336</v>
      </c>
      <c r="D208" s="490"/>
      <c r="E208" s="555"/>
      <c r="F208" s="396"/>
    </row>
    <row r="209" spans="1:6" x14ac:dyDescent="0.35">
      <c r="A209" s="86" t="str">
        <f t="shared" si="11"/>
        <v>01-July-2020 to 31-July-2020</v>
      </c>
      <c r="B209" s="81">
        <f t="shared" si="12"/>
        <v>507</v>
      </c>
      <c r="C209" s="81">
        <f t="shared" si="12"/>
        <v>344</v>
      </c>
      <c r="D209" s="490"/>
      <c r="E209" s="555"/>
      <c r="F209" s="396"/>
    </row>
    <row r="210" spans="1:6" x14ac:dyDescent="0.35">
      <c r="A210" s="86" t="str">
        <f t="shared" si="11"/>
        <v>01-August-2020 to 31-August-2020</v>
      </c>
      <c r="B210" s="81">
        <f t="shared" si="12"/>
        <v>505</v>
      </c>
      <c r="C210" s="81">
        <f t="shared" si="12"/>
        <v>352</v>
      </c>
      <c r="D210" s="490"/>
      <c r="E210" s="555"/>
      <c r="F210" s="396"/>
    </row>
    <row r="211" spans="1:6" x14ac:dyDescent="0.35">
      <c r="A211" s="86" t="str">
        <f t="shared" si="11"/>
        <v>01-September-2020 to 30-September-2020</v>
      </c>
      <c r="B211" s="81">
        <f t="shared" si="12"/>
        <v>502</v>
      </c>
      <c r="C211" s="81">
        <f t="shared" si="12"/>
        <v>337</v>
      </c>
      <c r="D211" s="490"/>
      <c r="E211" s="555"/>
      <c r="F211" s="396"/>
    </row>
    <row r="212" spans="1:6" x14ac:dyDescent="0.35">
      <c r="A212" s="86" t="str">
        <f t="shared" si="11"/>
        <v>01-October-2020 to 31-October-2020</v>
      </c>
      <c r="B212" s="81">
        <f t="shared" si="12"/>
        <v>516</v>
      </c>
      <c r="C212" s="81">
        <f t="shared" si="12"/>
        <v>345</v>
      </c>
      <c r="D212" s="490"/>
      <c r="E212" s="555"/>
      <c r="F212" s="396"/>
    </row>
    <row r="213" spans="1:6" x14ac:dyDescent="0.35">
      <c r="A213" s="86" t="str">
        <f t="shared" si="11"/>
        <v>01-November-2020 to 30-November-2020</v>
      </c>
      <c r="B213" s="81">
        <f t="shared" si="12"/>
        <v>500</v>
      </c>
      <c r="C213" s="81">
        <f t="shared" si="12"/>
        <v>341</v>
      </c>
      <c r="D213" s="490"/>
      <c r="E213" s="555"/>
      <c r="F213" s="396"/>
    </row>
    <row r="214" spans="1:6" x14ac:dyDescent="0.35">
      <c r="A214" s="86" t="str">
        <f t="shared" si="11"/>
        <v>01-December-2020 to 31-December-2020</v>
      </c>
      <c r="B214" s="81">
        <f t="shared" si="12"/>
        <v>508</v>
      </c>
      <c r="C214" s="81">
        <f t="shared" si="12"/>
        <v>358</v>
      </c>
      <c r="D214" s="490"/>
      <c r="E214" s="555"/>
      <c r="F214" s="396"/>
    </row>
    <row r="215" spans="1:6" x14ac:dyDescent="0.35">
      <c r="A215" s="86" t="str">
        <f t="shared" si="11"/>
        <v>01-January-2021 to 31-January-2021</v>
      </c>
      <c r="B215" s="81">
        <f t="shared" si="12"/>
        <v>520</v>
      </c>
      <c r="C215" s="81">
        <f t="shared" si="12"/>
        <v>347</v>
      </c>
      <c r="D215" s="490"/>
      <c r="E215" s="555"/>
      <c r="F215" s="396"/>
    </row>
    <row r="216" spans="1:6" x14ac:dyDescent="0.35">
      <c r="A216" s="86" t="str">
        <f t="shared" si="11"/>
        <v>01-February-2021 to 28-February-2021</v>
      </c>
      <c r="B216" s="81">
        <f t="shared" si="12"/>
        <v>468</v>
      </c>
      <c r="C216" s="81">
        <f t="shared" si="12"/>
        <v>316</v>
      </c>
      <c r="D216" s="490"/>
      <c r="E216" s="555"/>
      <c r="F216" s="396"/>
    </row>
    <row r="217" spans="1:6" x14ac:dyDescent="0.35">
      <c r="A217" s="86" t="str">
        <f t="shared" si="11"/>
        <v>01-March-2021 to 31-March-2021</v>
      </c>
      <c r="B217" s="81">
        <f t="shared" si="12"/>
        <v>507</v>
      </c>
      <c r="C217" s="81">
        <f t="shared" si="12"/>
        <v>350</v>
      </c>
      <c r="D217" s="490"/>
      <c r="E217" s="555"/>
      <c r="F217" s="396"/>
    </row>
    <row r="218" spans="1:6" x14ac:dyDescent="0.35">
      <c r="A218" s="86" t="str">
        <f t="shared" si="11"/>
        <v>01-April-2021 to 30-April-2021</v>
      </c>
      <c r="B218" s="81">
        <f t="shared" si="12"/>
        <v>483</v>
      </c>
      <c r="C218" s="81">
        <f t="shared" si="12"/>
        <v>343</v>
      </c>
      <c r="D218" s="490"/>
      <c r="E218" s="555"/>
      <c r="F218" s="396"/>
    </row>
    <row r="219" spans="1:6" x14ac:dyDescent="0.35">
      <c r="A219" s="86" t="str">
        <f t="shared" si="11"/>
        <v>01-May-2021 to 31-May-2021</v>
      </c>
      <c r="B219" s="81">
        <f t="shared" si="12"/>
        <v>509</v>
      </c>
      <c r="C219" s="81">
        <f t="shared" si="12"/>
        <v>353</v>
      </c>
      <c r="D219" s="490"/>
      <c r="E219" s="555"/>
      <c r="F219" s="396"/>
    </row>
    <row r="220" spans="1:6" x14ac:dyDescent="0.35">
      <c r="A220" s="86" t="str">
        <f t="shared" si="11"/>
        <v>01-June-2021 to 30-June-2021</v>
      </c>
      <c r="B220" s="81">
        <f t="shared" si="12"/>
        <v>489</v>
      </c>
      <c r="C220" s="81">
        <f t="shared" si="12"/>
        <v>334</v>
      </c>
      <c r="D220" s="490"/>
      <c r="E220" s="555"/>
      <c r="F220" s="396"/>
    </row>
    <row r="221" spans="1:6" x14ac:dyDescent="0.35">
      <c r="A221" s="86" t="str">
        <f t="shared" si="11"/>
        <v>01-July-2021 to 31-July-2021</v>
      </c>
      <c r="B221" s="81">
        <f t="shared" si="12"/>
        <v>508</v>
      </c>
      <c r="C221" s="81">
        <f t="shared" si="12"/>
        <v>347</v>
      </c>
      <c r="D221" s="490"/>
      <c r="E221" s="555"/>
      <c r="F221" s="396"/>
    </row>
    <row r="222" spans="1:6" x14ac:dyDescent="0.35">
      <c r="A222" s="86" t="str">
        <f t="shared" si="11"/>
        <v>01-August-2021 to 31-August-2021</v>
      </c>
      <c r="B222" s="81">
        <f t="shared" si="12"/>
        <v>511</v>
      </c>
      <c r="C222" s="81">
        <f t="shared" si="12"/>
        <v>347</v>
      </c>
      <c r="D222" s="490"/>
      <c r="E222" s="555"/>
      <c r="F222" s="396"/>
    </row>
    <row r="223" spans="1:6" x14ac:dyDescent="0.35">
      <c r="A223" s="86" t="str">
        <f t="shared" si="11"/>
        <v>01-September-2021 to 30-September-2021</v>
      </c>
      <c r="B223" s="81">
        <f t="shared" si="12"/>
        <v>503</v>
      </c>
      <c r="C223" s="81">
        <f t="shared" si="12"/>
        <v>337</v>
      </c>
      <c r="D223" s="490"/>
      <c r="E223" s="555"/>
      <c r="F223" s="396"/>
    </row>
    <row r="224" spans="1:6" x14ac:dyDescent="0.35">
      <c r="A224" s="86" t="str">
        <f t="shared" si="11"/>
        <v>01-October-2021 to 31-October-2021</v>
      </c>
      <c r="B224" s="81">
        <f t="shared" si="12"/>
        <v>514</v>
      </c>
      <c r="C224" s="81">
        <f t="shared" si="12"/>
        <v>353</v>
      </c>
      <c r="D224" s="490"/>
      <c r="E224" s="555"/>
      <c r="F224" s="396"/>
    </row>
    <row r="225" spans="1:6" x14ac:dyDescent="0.35">
      <c r="A225" s="86" t="str">
        <f t="shared" si="11"/>
        <v>01-November-2021 to 30-November-2021</v>
      </c>
      <c r="B225" s="81">
        <f t="shared" si="12"/>
        <v>492</v>
      </c>
      <c r="C225" s="81">
        <f t="shared" si="12"/>
        <v>338</v>
      </c>
      <c r="D225" s="490"/>
      <c r="E225" s="555"/>
      <c r="F225" s="396"/>
    </row>
    <row r="226" spans="1:6" x14ac:dyDescent="0.35">
      <c r="A226" s="86" t="str">
        <f t="shared" si="11"/>
        <v>01-December-2021 to 31-December-2021</v>
      </c>
      <c r="B226" s="81">
        <f t="shared" si="12"/>
        <v>511</v>
      </c>
      <c r="C226" s="81">
        <f t="shared" si="12"/>
        <v>347</v>
      </c>
      <c r="D226" s="490"/>
      <c r="E226" s="555"/>
      <c r="F226" s="396"/>
    </row>
    <row r="227" spans="1:6" ht="15.5" x14ac:dyDescent="0.45">
      <c r="A227" s="96" t="s">
        <v>376</v>
      </c>
      <c r="B227" s="550">
        <f>SUM(B208:B214)+SUM(C208:C214)</f>
        <v>5945</v>
      </c>
      <c r="C227" s="551"/>
      <c r="D227" s="490"/>
      <c r="E227" s="555"/>
      <c r="F227" s="396"/>
    </row>
    <row r="228" spans="1:6" ht="15.5" x14ac:dyDescent="0.45">
      <c r="A228" s="96" t="s">
        <v>374</v>
      </c>
      <c r="B228" s="550">
        <f>SUM(B215:B226)+SUM(C215:C226)</f>
        <v>10127</v>
      </c>
      <c r="C228" s="551"/>
      <c r="D228" s="490"/>
      <c r="E228" s="555"/>
      <c r="F228" s="396"/>
    </row>
    <row r="229" spans="1:6" ht="15.5" x14ac:dyDescent="0.35">
      <c r="A229" s="387" t="s">
        <v>348</v>
      </c>
      <c r="B229" s="552">
        <f>B227+B228</f>
        <v>16072</v>
      </c>
      <c r="C229" s="553"/>
      <c r="D229" s="490"/>
      <c r="E229" s="555"/>
      <c r="F229" s="396"/>
    </row>
    <row r="230" spans="1:6" ht="15.5" x14ac:dyDescent="0.45">
      <c r="A230" s="398" t="s">
        <v>349</v>
      </c>
      <c r="B230" s="389"/>
      <c r="C230" s="399"/>
      <c r="D230" s="490"/>
      <c r="E230" s="555"/>
      <c r="F230" s="396"/>
    </row>
    <row r="231" spans="1:6" x14ac:dyDescent="0.35">
      <c r="A231" s="86" t="str">
        <f t="shared" ref="A231:A249" si="13">A208</f>
        <v>10-June-2020 to 30-June-2020</v>
      </c>
      <c r="B231" s="233">
        <f t="shared" ref="B231:C249" si="14">ROUNDUP($B$203*$B$205*(1-$B$201)*(1-$B$200)*B181*B161,0)</f>
        <v>111</v>
      </c>
      <c r="C231" s="233">
        <f t="shared" si="14"/>
        <v>76</v>
      </c>
      <c r="D231" s="490"/>
      <c r="E231" s="555"/>
      <c r="F231" s="396"/>
    </row>
    <row r="232" spans="1:6" x14ac:dyDescent="0.35">
      <c r="A232" s="86" t="str">
        <f t="shared" si="13"/>
        <v>01-July-2020 to 31-July-2020</v>
      </c>
      <c r="B232" s="233">
        <f t="shared" si="14"/>
        <v>115</v>
      </c>
      <c r="C232" s="233">
        <f t="shared" si="14"/>
        <v>78</v>
      </c>
      <c r="D232" s="490"/>
      <c r="E232" s="555"/>
      <c r="F232" s="396"/>
    </row>
    <row r="233" spans="1:6" x14ac:dyDescent="0.35">
      <c r="A233" s="86" t="str">
        <f t="shared" si="13"/>
        <v>01-August-2020 to 31-August-2020</v>
      </c>
      <c r="B233" s="233">
        <f t="shared" si="14"/>
        <v>114</v>
      </c>
      <c r="C233" s="233">
        <f t="shared" si="14"/>
        <v>80</v>
      </c>
      <c r="D233" s="490"/>
      <c r="E233" s="555"/>
      <c r="F233" s="396"/>
    </row>
    <row r="234" spans="1:6" x14ac:dyDescent="0.35">
      <c r="A234" s="86" t="str">
        <f t="shared" si="13"/>
        <v>01-September-2020 to 30-September-2020</v>
      </c>
      <c r="B234" s="233">
        <f t="shared" si="14"/>
        <v>113</v>
      </c>
      <c r="C234" s="233">
        <f t="shared" si="14"/>
        <v>76</v>
      </c>
      <c r="D234" s="490"/>
      <c r="E234" s="555"/>
      <c r="F234" s="396"/>
    </row>
    <row r="235" spans="1:6" x14ac:dyDescent="0.35">
      <c r="A235" s="86" t="str">
        <f t="shared" si="13"/>
        <v>01-October-2020 to 31-October-2020</v>
      </c>
      <c r="B235" s="233">
        <f t="shared" si="14"/>
        <v>117</v>
      </c>
      <c r="C235" s="233">
        <f t="shared" si="14"/>
        <v>78</v>
      </c>
      <c r="D235" s="490"/>
      <c r="E235" s="555"/>
      <c r="F235" s="396"/>
    </row>
    <row r="236" spans="1:6" x14ac:dyDescent="0.35">
      <c r="A236" s="86" t="str">
        <f t="shared" si="13"/>
        <v>01-November-2020 to 30-November-2020</v>
      </c>
      <c r="B236" s="233">
        <f t="shared" si="14"/>
        <v>113</v>
      </c>
      <c r="C236" s="233">
        <f t="shared" si="14"/>
        <v>77</v>
      </c>
      <c r="D236" s="490"/>
      <c r="E236" s="555"/>
      <c r="F236" s="396"/>
    </row>
    <row r="237" spans="1:6" x14ac:dyDescent="0.35">
      <c r="A237" s="86" t="str">
        <f t="shared" si="13"/>
        <v>01-December-2020 to 31-December-2020</v>
      </c>
      <c r="B237" s="233">
        <f t="shared" si="14"/>
        <v>115</v>
      </c>
      <c r="C237" s="233">
        <f t="shared" si="14"/>
        <v>81</v>
      </c>
      <c r="D237" s="490"/>
      <c r="E237" s="555"/>
      <c r="F237" s="396"/>
    </row>
    <row r="238" spans="1:6" x14ac:dyDescent="0.35">
      <c r="A238" s="86" t="str">
        <f t="shared" si="13"/>
        <v>01-January-2021 to 31-January-2021</v>
      </c>
      <c r="B238" s="233">
        <f t="shared" si="14"/>
        <v>117</v>
      </c>
      <c r="C238" s="233">
        <f t="shared" si="14"/>
        <v>78</v>
      </c>
      <c r="D238" s="490"/>
      <c r="E238" s="555"/>
      <c r="F238" s="396"/>
    </row>
    <row r="239" spans="1:6" x14ac:dyDescent="0.35">
      <c r="A239" s="86" t="str">
        <f t="shared" si="13"/>
        <v>01-February-2021 to 28-February-2021</v>
      </c>
      <c r="B239" s="233">
        <f t="shared" si="14"/>
        <v>106</v>
      </c>
      <c r="C239" s="233">
        <f t="shared" si="14"/>
        <v>72</v>
      </c>
      <c r="D239" s="490"/>
      <c r="E239" s="555"/>
      <c r="F239" s="396"/>
    </row>
    <row r="240" spans="1:6" x14ac:dyDescent="0.35">
      <c r="A240" s="86" t="str">
        <f t="shared" si="13"/>
        <v>01-March-2021 to 31-March-2021</v>
      </c>
      <c r="B240" s="233">
        <f t="shared" si="14"/>
        <v>115</v>
      </c>
      <c r="C240" s="233">
        <f t="shared" si="14"/>
        <v>79</v>
      </c>
      <c r="D240" s="490"/>
      <c r="E240" s="555"/>
      <c r="F240" s="396"/>
    </row>
    <row r="241" spans="1:6" x14ac:dyDescent="0.35">
      <c r="A241" s="86" t="str">
        <f t="shared" si="13"/>
        <v>01-April-2021 to 30-April-2021</v>
      </c>
      <c r="B241" s="233">
        <f t="shared" si="14"/>
        <v>109</v>
      </c>
      <c r="C241" s="233">
        <f t="shared" si="14"/>
        <v>78</v>
      </c>
      <c r="D241" s="490"/>
      <c r="E241" s="555"/>
      <c r="F241" s="396"/>
    </row>
    <row r="242" spans="1:6" x14ac:dyDescent="0.35">
      <c r="A242" s="86" t="str">
        <f t="shared" si="13"/>
        <v>01-May-2021 to 31-May-2021</v>
      </c>
      <c r="B242" s="233">
        <f t="shared" si="14"/>
        <v>115</v>
      </c>
      <c r="C242" s="233">
        <f t="shared" si="14"/>
        <v>80</v>
      </c>
      <c r="D242" s="490"/>
      <c r="E242" s="555"/>
      <c r="F242" s="396"/>
    </row>
    <row r="243" spans="1:6" x14ac:dyDescent="0.35">
      <c r="A243" s="86" t="str">
        <f t="shared" si="13"/>
        <v>01-June-2021 to 30-June-2021</v>
      </c>
      <c r="B243" s="233">
        <f t="shared" si="14"/>
        <v>110</v>
      </c>
      <c r="C243" s="233">
        <f t="shared" si="14"/>
        <v>75</v>
      </c>
      <c r="D243" s="490"/>
      <c r="E243" s="555"/>
      <c r="F243" s="396"/>
    </row>
    <row r="244" spans="1:6" x14ac:dyDescent="0.35">
      <c r="A244" s="86" t="str">
        <f t="shared" si="13"/>
        <v>01-July-2021 to 31-July-2021</v>
      </c>
      <c r="B244" s="233">
        <f t="shared" si="14"/>
        <v>115</v>
      </c>
      <c r="C244" s="233">
        <f t="shared" si="14"/>
        <v>78</v>
      </c>
      <c r="D244" s="490"/>
      <c r="E244" s="555"/>
      <c r="F244" s="396"/>
    </row>
    <row r="245" spans="1:6" x14ac:dyDescent="0.35">
      <c r="A245" s="86" t="str">
        <f t="shared" si="13"/>
        <v>01-August-2021 to 31-August-2021</v>
      </c>
      <c r="B245" s="233">
        <f t="shared" si="14"/>
        <v>115</v>
      </c>
      <c r="C245" s="233">
        <f t="shared" si="14"/>
        <v>78</v>
      </c>
      <c r="D245" s="490"/>
      <c r="E245" s="555"/>
      <c r="F245" s="396"/>
    </row>
    <row r="246" spans="1:6" x14ac:dyDescent="0.35">
      <c r="A246" s="86" t="str">
        <f t="shared" si="13"/>
        <v>01-September-2021 to 30-September-2021</v>
      </c>
      <c r="B246" s="233">
        <f t="shared" si="14"/>
        <v>114</v>
      </c>
      <c r="C246" s="233">
        <f t="shared" si="14"/>
        <v>76</v>
      </c>
      <c r="D246" s="490"/>
      <c r="E246" s="555"/>
      <c r="F246" s="396"/>
    </row>
    <row r="247" spans="1:6" x14ac:dyDescent="0.35">
      <c r="A247" s="86" t="str">
        <f t="shared" si="13"/>
        <v>01-October-2021 to 31-October-2021</v>
      </c>
      <c r="B247" s="233">
        <f t="shared" si="14"/>
        <v>116</v>
      </c>
      <c r="C247" s="233">
        <f t="shared" si="14"/>
        <v>80</v>
      </c>
      <c r="D247" s="490"/>
      <c r="E247" s="555"/>
      <c r="F247" s="396"/>
    </row>
    <row r="248" spans="1:6" x14ac:dyDescent="0.35">
      <c r="A248" s="86" t="str">
        <f t="shared" si="13"/>
        <v>01-November-2021 to 30-November-2021</v>
      </c>
      <c r="B248" s="233">
        <f t="shared" si="14"/>
        <v>111</v>
      </c>
      <c r="C248" s="233">
        <f t="shared" si="14"/>
        <v>76</v>
      </c>
      <c r="D248" s="490"/>
      <c r="E248" s="555"/>
      <c r="F248" s="396"/>
    </row>
    <row r="249" spans="1:6" x14ac:dyDescent="0.35">
      <c r="A249" s="86" t="str">
        <f t="shared" si="13"/>
        <v>01-December-2021 to 31-December-2021</v>
      </c>
      <c r="B249" s="233">
        <f t="shared" si="14"/>
        <v>115</v>
      </c>
      <c r="C249" s="233">
        <f t="shared" si="14"/>
        <v>78</v>
      </c>
      <c r="D249" s="490"/>
      <c r="E249" s="555"/>
      <c r="F249" s="396"/>
    </row>
    <row r="250" spans="1:6" ht="15.5" x14ac:dyDescent="0.45">
      <c r="A250" s="96" t="s">
        <v>366</v>
      </c>
      <c r="B250" s="550">
        <f>SUM(B231:B237)+SUM(C231:C237)</f>
        <v>1344</v>
      </c>
      <c r="C250" s="551"/>
      <c r="D250" s="490"/>
      <c r="E250" s="555"/>
      <c r="F250" s="396"/>
    </row>
    <row r="251" spans="1:6" ht="15.5" x14ac:dyDescent="0.45">
      <c r="A251" s="96" t="s">
        <v>367</v>
      </c>
      <c r="B251" s="550">
        <f>SUM(B238:B249)+SUM(C238:C249)</f>
        <v>2286</v>
      </c>
      <c r="C251" s="551"/>
      <c r="D251" s="490"/>
      <c r="E251" s="555"/>
      <c r="F251" s="396"/>
    </row>
    <row r="252" spans="1:6" ht="15.5" x14ac:dyDescent="0.45">
      <c r="A252" s="398" t="s">
        <v>350</v>
      </c>
      <c r="B252" s="552">
        <f>B250+B251</f>
        <v>3630</v>
      </c>
      <c r="C252" s="553"/>
      <c r="D252" s="490"/>
      <c r="E252" s="555"/>
      <c r="F252" s="396"/>
    </row>
    <row r="253" spans="1:6" ht="15.5" x14ac:dyDescent="0.35">
      <c r="A253" s="387" t="s">
        <v>351</v>
      </c>
      <c r="B253" s="389"/>
      <c r="C253" s="390"/>
      <c r="D253" s="490"/>
      <c r="E253" s="555"/>
      <c r="F253" s="396"/>
    </row>
    <row r="254" spans="1:6" x14ac:dyDescent="0.35">
      <c r="A254" s="400" t="str">
        <f t="shared" ref="A254:A272" si="15">A231</f>
        <v>10-June-2020 to 30-June-2020</v>
      </c>
      <c r="B254" s="233">
        <f t="shared" ref="B254:C272" si="16">ROUNDUP($B$204*(1-$B$201)*(1-$B$200)*$B$206*B181*B161,0)</f>
        <v>99</v>
      </c>
      <c r="C254" s="233">
        <f t="shared" si="16"/>
        <v>68</v>
      </c>
      <c r="D254" s="490"/>
      <c r="E254" s="555"/>
      <c r="F254" s="396"/>
    </row>
    <row r="255" spans="1:6" x14ac:dyDescent="0.35">
      <c r="A255" s="400" t="str">
        <f t="shared" si="15"/>
        <v>01-July-2020 to 31-July-2020</v>
      </c>
      <c r="B255" s="233">
        <f t="shared" si="16"/>
        <v>102</v>
      </c>
      <c r="C255" s="233">
        <f t="shared" si="16"/>
        <v>69</v>
      </c>
      <c r="D255" s="490"/>
      <c r="E255" s="555"/>
      <c r="F255" s="396"/>
    </row>
    <row r="256" spans="1:6" x14ac:dyDescent="0.35">
      <c r="A256" s="400" t="str">
        <f t="shared" si="15"/>
        <v>01-August-2020 to 31-August-2020</v>
      </c>
      <c r="B256" s="233">
        <f t="shared" si="16"/>
        <v>101</v>
      </c>
      <c r="C256" s="233">
        <f t="shared" si="16"/>
        <v>71</v>
      </c>
      <c r="D256" s="490"/>
      <c r="E256" s="555"/>
      <c r="F256" s="396"/>
    </row>
    <row r="257" spans="1:6" x14ac:dyDescent="0.35">
      <c r="A257" s="400" t="str">
        <f t="shared" si="15"/>
        <v>01-September-2020 to 30-September-2020</v>
      </c>
      <c r="B257" s="233">
        <f t="shared" si="16"/>
        <v>101</v>
      </c>
      <c r="C257" s="233">
        <f t="shared" si="16"/>
        <v>68</v>
      </c>
      <c r="D257" s="490"/>
      <c r="E257" s="555"/>
      <c r="F257" s="396"/>
    </row>
    <row r="258" spans="1:6" x14ac:dyDescent="0.35">
      <c r="A258" s="400" t="str">
        <f t="shared" si="15"/>
        <v>01-October-2020 to 31-October-2020</v>
      </c>
      <c r="B258" s="233">
        <f t="shared" si="16"/>
        <v>104</v>
      </c>
      <c r="C258" s="233">
        <f t="shared" si="16"/>
        <v>69</v>
      </c>
      <c r="D258" s="490"/>
      <c r="E258" s="555"/>
      <c r="F258" s="396"/>
    </row>
    <row r="259" spans="1:6" x14ac:dyDescent="0.35">
      <c r="A259" s="400" t="str">
        <f t="shared" si="15"/>
        <v>01-November-2020 to 30-November-2020</v>
      </c>
      <c r="B259" s="233">
        <f t="shared" si="16"/>
        <v>100</v>
      </c>
      <c r="C259" s="233">
        <f t="shared" si="16"/>
        <v>69</v>
      </c>
      <c r="D259" s="490"/>
      <c r="E259" s="555"/>
      <c r="F259" s="396"/>
    </row>
    <row r="260" spans="1:6" x14ac:dyDescent="0.35">
      <c r="A260" s="400" t="str">
        <f t="shared" si="15"/>
        <v>01-December-2020 to 31-December-2020</v>
      </c>
      <c r="B260" s="233">
        <f t="shared" si="16"/>
        <v>102</v>
      </c>
      <c r="C260" s="233">
        <f t="shared" si="16"/>
        <v>72</v>
      </c>
      <c r="D260" s="490"/>
      <c r="E260" s="555"/>
      <c r="F260" s="396"/>
    </row>
    <row r="261" spans="1:6" x14ac:dyDescent="0.35">
      <c r="A261" s="400" t="str">
        <f t="shared" si="15"/>
        <v>01-January-2021 to 31-January-2021</v>
      </c>
      <c r="B261" s="233">
        <f t="shared" si="16"/>
        <v>104</v>
      </c>
      <c r="C261" s="233">
        <f t="shared" si="16"/>
        <v>70</v>
      </c>
      <c r="D261" s="490"/>
      <c r="E261" s="555"/>
      <c r="F261" s="396"/>
    </row>
    <row r="262" spans="1:6" x14ac:dyDescent="0.35">
      <c r="A262" s="400" t="str">
        <f t="shared" si="15"/>
        <v>01-February-2021 to 28-February-2021</v>
      </c>
      <c r="B262" s="233">
        <f t="shared" si="16"/>
        <v>94</v>
      </c>
      <c r="C262" s="233">
        <f t="shared" si="16"/>
        <v>64</v>
      </c>
      <c r="D262" s="490"/>
      <c r="E262" s="555"/>
      <c r="F262" s="396"/>
    </row>
    <row r="263" spans="1:6" x14ac:dyDescent="0.35">
      <c r="A263" s="400" t="str">
        <f t="shared" si="15"/>
        <v>01-March-2021 to 31-March-2021</v>
      </c>
      <c r="B263" s="233">
        <f t="shared" si="16"/>
        <v>102</v>
      </c>
      <c r="C263" s="233">
        <f t="shared" si="16"/>
        <v>70</v>
      </c>
      <c r="D263" s="490"/>
      <c r="E263" s="555"/>
      <c r="F263" s="396"/>
    </row>
    <row r="264" spans="1:6" x14ac:dyDescent="0.35">
      <c r="A264" s="400" t="str">
        <f t="shared" si="15"/>
        <v>01-April-2021 to 30-April-2021</v>
      </c>
      <c r="B264" s="233">
        <f t="shared" si="16"/>
        <v>97</v>
      </c>
      <c r="C264" s="233">
        <f t="shared" si="16"/>
        <v>69</v>
      </c>
      <c r="D264" s="490"/>
      <c r="E264" s="555"/>
      <c r="F264" s="396"/>
    </row>
    <row r="265" spans="1:6" x14ac:dyDescent="0.35">
      <c r="A265" s="400" t="str">
        <f t="shared" si="15"/>
        <v>01-May-2021 to 31-May-2021</v>
      </c>
      <c r="B265" s="233">
        <f t="shared" si="16"/>
        <v>102</v>
      </c>
      <c r="C265" s="233">
        <f t="shared" si="16"/>
        <v>71</v>
      </c>
      <c r="D265" s="490"/>
      <c r="E265" s="555"/>
      <c r="F265" s="396"/>
    </row>
    <row r="266" spans="1:6" x14ac:dyDescent="0.35">
      <c r="A266" s="400" t="str">
        <f t="shared" si="15"/>
        <v>01-June-2021 to 30-June-2021</v>
      </c>
      <c r="B266" s="233">
        <f t="shared" si="16"/>
        <v>98</v>
      </c>
      <c r="C266" s="233">
        <f t="shared" si="16"/>
        <v>67</v>
      </c>
      <c r="D266" s="490"/>
      <c r="E266" s="555"/>
      <c r="F266" s="396"/>
    </row>
    <row r="267" spans="1:6" x14ac:dyDescent="0.35">
      <c r="A267" s="400" t="str">
        <f t="shared" si="15"/>
        <v>01-July-2021 to 31-July-2021</v>
      </c>
      <c r="B267" s="233">
        <f t="shared" si="16"/>
        <v>102</v>
      </c>
      <c r="C267" s="233">
        <f t="shared" si="16"/>
        <v>70</v>
      </c>
      <c r="D267" s="490"/>
      <c r="E267" s="555"/>
      <c r="F267" s="396"/>
    </row>
    <row r="268" spans="1:6" x14ac:dyDescent="0.35">
      <c r="A268" s="400" t="str">
        <f t="shared" si="15"/>
        <v>01-August-2021 to 31-August-2021</v>
      </c>
      <c r="B268" s="233">
        <f t="shared" si="16"/>
        <v>103</v>
      </c>
      <c r="C268" s="233">
        <f t="shared" si="16"/>
        <v>70</v>
      </c>
      <c r="D268" s="490"/>
      <c r="E268" s="555"/>
      <c r="F268" s="396"/>
    </row>
    <row r="269" spans="1:6" x14ac:dyDescent="0.35">
      <c r="A269" s="400" t="str">
        <f t="shared" si="15"/>
        <v>01-September-2021 to 30-September-2021</v>
      </c>
      <c r="B269" s="233">
        <f t="shared" si="16"/>
        <v>101</v>
      </c>
      <c r="C269" s="233">
        <f t="shared" si="16"/>
        <v>68</v>
      </c>
      <c r="D269" s="490"/>
      <c r="E269" s="555"/>
      <c r="F269" s="396"/>
    </row>
    <row r="270" spans="1:6" x14ac:dyDescent="0.35">
      <c r="A270" s="400" t="str">
        <f t="shared" si="15"/>
        <v>01-October-2021 to 31-October-2021</v>
      </c>
      <c r="B270" s="233">
        <f t="shared" si="16"/>
        <v>103</v>
      </c>
      <c r="C270" s="233">
        <f t="shared" si="16"/>
        <v>71</v>
      </c>
      <c r="D270" s="490"/>
      <c r="E270" s="555"/>
      <c r="F270" s="396"/>
    </row>
    <row r="271" spans="1:6" x14ac:dyDescent="0.35">
      <c r="A271" s="400" t="str">
        <f t="shared" si="15"/>
        <v>01-November-2021 to 30-November-2021</v>
      </c>
      <c r="B271" s="233">
        <f t="shared" si="16"/>
        <v>99</v>
      </c>
      <c r="C271" s="233">
        <f t="shared" si="16"/>
        <v>68</v>
      </c>
      <c r="D271" s="490"/>
      <c r="E271" s="555"/>
      <c r="F271" s="396"/>
    </row>
    <row r="272" spans="1:6" x14ac:dyDescent="0.35">
      <c r="A272" s="400" t="str">
        <f t="shared" si="15"/>
        <v>01-December-2021 to 31-December-2021</v>
      </c>
      <c r="B272" s="233">
        <f t="shared" si="16"/>
        <v>103</v>
      </c>
      <c r="C272" s="233">
        <f t="shared" si="16"/>
        <v>70</v>
      </c>
      <c r="D272" s="490"/>
      <c r="E272" s="555"/>
      <c r="F272" s="396"/>
    </row>
    <row r="273" spans="1:6" ht="15.5" x14ac:dyDescent="0.45">
      <c r="A273" s="96" t="s">
        <v>370</v>
      </c>
      <c r="B273" s="550">
        <f>SUM(B254:B260)+SUM(C254:C260)</f>
        <v>1195</v>
      </c>
      <c r="C273" s="551"/>
      <c r="D273" s="490"/>
      <c r="E273" s="555"/>
      <c r="F273" s="396"/>
    </row>
    <row r="274" spans="1:6" ht="15.5" x14ac:dyDescent="0.45">
      <c r="A274" s="96" t="s">
        <v>368</v>
      </c>
      <c r="B274" s="550">
        <f>SUM(B261:B272)+SUM(C261:C272)</f>
        <v>2036</v>
      </c>
      <c r="C274" s="551"/>
      <c r="D274" s="490"/>
      <c r="E274" s="555"/>
      <c r="F274" s="396"/>
    </row>
    <row r="275" spans="1:6" ht="15.5" x14ac:dyDescent="0.35">
      <c r="A275" s="387" t="s">
        <v>352</v>
      </c>
      <c r="B275" s="552">
        <f>B273+B274</f>
        <v>3231</v>
      </c>
      <c r="C275" s="553"/>
      <c r="D275" s="491"/>
      <c r="E275" s="555"/>
      <c r="F275" s="396"/>
    </row>
    <row r="276" spans="1:6" ht="15.5" x14ac:dyDescent="0.45">
      <c r="A276" s="96" t="s">
        <v>377</v>
      </c>
      <c r="B276" s="559">
        <f>ROUNDUP(B70*44/28*1/1000*(B227+B250+B273),0)</f>
        <v>3533</v>
      </c>
      <c r="C276" s="559"/>
      <c r="D276" s="445" t="s">
        <v>184</v>
      </c>
      <c r="E276" s="555"/>
      <c r="F276" s="396"/>
    </row>
    <row r="277" spans="1:6" ht="15.5" x14ac:dyDescent="0.45">
      <c r="A277" s="96" t="s">
        <v>375</v>
      </c>
      <c r="B277" s="559">
        <f>ROUNDUP(B70*44/28*1/1000*(B228+B251+B274),0)</f>
        <v>6017</v>
      </c>
      <c r="C277" s="559"/>
      <c r="D277" s="445"/>
      <c r="E277" s="555"/>
      <c r="F277" s="396"/>
    </row>
    <row r="278" spans="1:6" ht="16" thickBot="1" x14ac:dyDescent="0.4">
      <c r="A278" s="401" t="s">
        <v>353</v>
      </c>
      <c r="B278" s="560">
        <f>B276+B277</f>
        <v>9550</v>
      </c>
      <c r="C278" s="560"/>
      <c r="D278" s="567"/>
      <c r="E278" s="556"/>
      <c r="F278" s="396"/>
    </row>
    <row r="279" spans="1:6" x14ac:dyDescent="0.35">
      <c r="A279" s="393"/>
      <c r="B279" s="394"/>
      <c r="C279" s="394"/>
      <c r="D279" s="274"/>
      <c r="E279" s="274"/>
    </row>
    <row r="280" spans="1:6" x14ac:dyDescent="0.35">
      <c r="A280" s="393"/>
      <c r="B280" s="394"/>
      <c r="C280" s="394"/>
      <c r="D280" s="274"/>
      <c r="E280" s="274"/>
    </row>
    <row r="282" spans="1:6" x14ac:dyDescent="0.35">
      <c r="A282" s="128" t="s">
        <v>48</v>
      </c>
    </row>
    <row r="284" spans="1:6" x14ac:dyDescent="0.35">
      <c r="E284" s="382"/>
    </row>
    <row r="285" spans="1:6" x14ac:dyDescent="0.35">
      <c r="E285" s="382"/>
    </row>
    <row r="286" spans="1:6" x14ac:dyDescent="0.35">
      <c r="E286" s="382"/>
    </row>
    <row r="287" spans="1:6" x14ac:dyDescent="0.35">
      <c r="E287" s="382"/>
    </row>
    <row r="288" spans="1:6" x14ac:dyDescent="0.35">
      <c r="E288" s="382"/>
    </row>
    <row r="289" spans="1:5" x14ac:dyDescent="0.35">
      <c r="E289" s="382"/>
    </row>
    <row r="290" spans="1:5" x14ac:dyDescent="0.35">
      <c r="A290" s="347"/>
    </row>
    <row r="291" spans="1:5" ht="14" thickBot="1" x14ac:dyDescent="0.4">
      <c r="A291" s="347"/>
    </row>
    <row r="292" spans="1:5" x14ac:dyDescent="0.35">
      <c r="A292" s="72" t="s">
        <v>3</v>
      </c>
      <c r="B292" s="73" t="s">
        <v>20</v>
      </c>
      <c r="C292" s="73"/>
      <c r="D292" s="73" t="s">
        <v>2</v>
      </c>
      <c r="E292" s="74" t="s">
        <v>4</v>
      </c>
    </row>
    <row r="293" spans="1:5" x14ac:dyDescent="0.35">
      <c r="A293" s="75"/>
      <c r="B293" s="76" t="str">
        <f>B160</f>
        <v>Market Swine</v>
      </c>
      <c r="C293" s="76" t="str">
        <f>C160</f>
        <v>Breeding Swine</v>
      </c>
      <c r="D293" s="76"/>
      <c r="E293" s="77"/>
    </row>
    <row r="294" spans="1:5" ht="15.5" x14ac:dyDescent="0.45">
      <c r="A294" s="78" t="s">
        <v>188</v>
      </c>
      <c r="B294" s="67">
        <f>'Baseline Emission'!B11</f>
        <v>28</v>
      </c>
      <c r="C294" s="67">
        <f>'Baseline Emission'!C11</f>
        <v>28</v>
      </c>
      <c r="D294" s="67" t="s">
        <v>192</v>
      </c>
      <c r="E294" s="79" t="s">
        <v>124</v>
      </c>
    </row>
    <row r="295" spans="1:5" x14ac:dyDescent="0.35">
      <c r="A295" s="78" t="s">
        <v>189</v>
      </c>
      <c r="B295" s="67">
        <f>'Baseline Emission'!B12</f>
        <v>6.7000000000000002E-4</v>
      </c>
      <c r="C295" s="67">
        <f>'Baseline Emission'!C12</f>
        <v>6.7000000000000002E-4</v>
      </c>
      <c r="D295" s="67" t="s">
        <v>81</v>
      </c>
      <c r="E295" s="79" t="s">
        <v>395</v>
      </c>
    </row>
    <row r="296" spans="1:5" x14ac:dyDescent="0.35">
      <c r="A296" s="80" t="s">
        <v>26</v>
      </c>
      <c r="B296" s="81">
        <v>1</v>
      </c>
      <c r="C296" s="81">
        <v>1</v>
      </c>
      <c r="D296" s="67" t="s">
        <v>81</v>
      </c>
      <c r="E296" s="79" t="s">
        <v>395</v>
      </c>
    </row>
    <row r="297" spans="1:5" x14ac:dyDescent="0.35">
      <c r="A297" s="82" t="s">
        <v>190</v>
      </c>
      <c r="B297" s="83"/>
      <c r="C297" s="83"/>
      <c r="D297" s="568" t="s">
        <v>126</v>
      </c>
      <c r="E297" s="566" t="s">
        <v>102</v>
      </c>
    </row>
    <row r="298" spans="1:5" x14ac:dyDescent="0.35">
      <c r="A298" s="86" t="str">
        <f t="shared" ref="A298:A316" si="17">A254</f>
        <v>10-June-2020 to 30-June-2020</v>
      </c>
      <c r="B298" s="83">
        <f>'Baseline Emission'!B58</f>
        <v>18.642857142857142</v>
      </c>
      <c r="C298" s="83">
        <f>'Baseline Emission'!C58</f>
        <v>23.174999999999997</v>
      </c>
      <c r="D298" s="568"/>
      <c r="E298" s="566"/>
    </row>
    <row r="299" spans="1:5" x14ac:dyDescent="0.35">
      <c r="A299" s="86" t="str">
        <f t="shared" si="17"/>
        <v>01-July-2020 to 31-July-2020</v>
      </c>
      <c r="B299" s="83">
        <f>'Baseline Emission'!B59</f>
        <v>19.164642857142859</v>
      </c>
      <c r="C299" s="83">
        <f>'Baseline Emission'!C59</f>
        <v>23.715</v>
      </c>
      <c r="D299" s="568"/>
      <c r="E299" s="566"/>
    </row>
    <row r="300" spans="1:5" x14ac:dyDescent="0.35">
      <c r="A300" s="86" t="str">
        <f t="shared" si="17"/>
        <v>01-August-2020 to 31-August-2020</v>
      </c>
      <c r="B300" s="83">
        <f>'Baseline Emission'!B60</f>
        <v>19.064999999999998</v>
      </c>
      <c r="C300" s="83">
        <f>'Baseline Emission'!C60</f>
        <v>24.27964285714285</v>
      </c>
      <c r="D300" s="568"/>
      <c r="E300" s="566"/>
    </row>
    <row r="301" spans="1:5" x14ac:dyDescent="0.35">
      <c r="A301" s="86" t="str">
        <f t="shared" si="17"/>
        <v>01-September-2020 to 30-September-2020</v>
      </c>
      <c r="B301" s="83">
        <f>'Baseline Emission'!B61</f>
        <v>18.964285714285715</v>
      </c>
      <c r="C301" s="83">
        <f>'Baseline Emission'!C61</f>
        <v>23.207142857142856</v>
      </c>
      <c r="D301" s="568"/>
      <c r="E301" s="566"/>
    </row>
    <row r="302" spans="1:5" x14ac:dyDescent="0.35">
      <c r="A302" s="86" t="str">
        <f t="shared" si="17"/>
        <v>01-October-2020 to 31-October-2020</v>
      </c>
      <c r="B302" s="83">
        <f>'Baseline Emission'!B62</f>
        <v>19.496785714285714</v>
      </c>
      <c r="C302" s="83">
        <f>'Baseline Emission'!C62</f>
        <v>23.814642857142857</v>
      </c>
      <c r="D302" s="568"/>
      <c r="E302" s="566"/>
    </row>
    <row r="303" spans="1:5" x14ac:dyDescent="0.35">
      <c r="A303" s="86" t="str">
        <f t="shared" si="17"/>
        <v>01-November-2020 to 30-November-2020</v>
      </c>
      <c r="B303" s="83">
        <f>'Baseline Emission'!B63</f>
        <v>18.86785714285714</v>
      </c>
      <c r="C303" s="83">
        <f>'Baseline Emission'!C63</f>
        <v>23.528571428571428</v>
      </c>
      <c r="D303" s="568"/>
      <c r="E303" s="566"/>
    </row>
    <row r="304" spans="1:5" x14ac:dyDescent="0.35">
      <c r="A304" s="86" t="str">
        <f t="shared" si="17"/>
        <v>01-December-2020 to 31-December-2020</v>
      </c>
      <c r="B304" s="83">
        <f>'Baseline Emission'!B64</f>
        <v>19.197857142857142</v>
      </c>
      <c r="C304" s="83">
        <f>'Baseline Emission'!C64</f>
        <v>24.644999999999996</v>
      </c>
      <c r="D304" s="568"/>
      <c r="E304" s="566"/>
    </row>
    <row r="305" spans="1:5" x14ac:dyDescent="0.35">
      <c r="A305" s="86" t="str">
        <f t="shared" si="17"/>
        <v>01-January-2021 to 31-January-2021</v>
      </c>
      <c r="B305" s="83">
        <f>'Baseline Emission'!B65</f>
        <v>19.629642857142859</v>
      </c>
      <c r="C305" s="83">
        <f>'Baseline Emission'!C65</f>
        <v>23.914285714285715</v>
      </c>
      <c r="D305" s="568"/>
      <c r="E305" s="566"/>
    </row>
    <row r="306" spans="1:5" x14ac:dyDescent="0.35">
      <c r="A306" s="86" t="str">
        <f t="shared" si="17"/>
        <v>01-February-2021 to 28-February-2021</v>
      </c>
      <c r="B306" s="83">
        <f>'Baseline Emission'!B66</f>
        <v>17.670000000000002</v>
      </c>
      <c r="C306" s="83">
        <f>'Baseline Emission'!C66</f>
        <v>21.779999999999994</v>
      </c>
      <c r="D306" s="568"/>
      <c r="E306" s="566"/>
    </row>
    <row r="307" spans="1:5" x14ac:dyDescent="0.35">
      <c r="A307" s="86" t="str">
        <f t="shared" si="17"/>
        <v>01-March-2021 to 31-March-2021</v>
      </c>
      <c r="B307" s="83">
        <f>'Baseline Emission'!B67</f>
        <v>19.164642857142859</v>
      </c>
      <c r="C307" s="83">
        <f>'Baseline Emission'!C67</f>
        <v>24.146785714285713</v>
      </c>
      <c r="D307" s="568"/>
      <c r="E307" s="566"/>
    </row>
    <row r="308" spans="1:5" x14ac:dyDescent="0.35">
      <c r="A308" s="86" t="str">
        <f t="shared" si="17"/>
        <v>01-April-2021 to 30-April-2021</v>
      </c>
      <c r="B308" s="83">
        <f>'Baseline Emission'!B68</f>
        <v>18.224999999999998</v>
      </c>
      <c r="C308" s="83">
        <f>'Baseline Emission'!C68</f>
        <v>23.657142857142858</v>
      </c>
      <c r="D308" s="568"/>
      <c r="E308" s="566"/>
    </row>
    <row r="309" spans="1:5" x14ac:dyDescent="0.35">
      <c r="A309" s="86" t="str">
        <f t="shared" si="17"/>
        <v>01-May-2021 to 31-May-2021</v>
      </c>
      <c r="B309" s="83">
        <f>'Baseline Emission'!B69</f>
        <v>19.231071428571425</v>
      </c>
      <c r="C309" s="83">
        <f>'Baseline Emission'!C69</f>
        <v>24.346071428571427</v>
      </c>
      <c r="D309" s="568"/>
      <c r="E309" s="566"/>
    </row>
    <row r="310" spans="1:5" x14ac:dyDescent="0.35">
      <c r="A310" s="86" t="str">
        <f t="shared" si="17"/>
        <v>01-June-2021 to 30-June-2021</v>
      </c>
      <c r="B310" s="83">
        <f>'Baseline Emission'!B70</f>
        <v>18.482142857142854</v>
      </c>
      <c r="C310" s="83">
        <f>'Baseline Emission'!C70</f>
        <v>23.014285714285709</v>
      </c>
      <c r="D310" s="568"/>
      <c r="E310" s="566"/>
    </row>
    <row r="311" spans="1:5" x14ac:dyDescent="0.35">
      <c r="A311" s="86" t="str">
        <f t="shared" si="17"/>
        <v>01-July-2021 to 31-July-2021</v>
      </c>
      <c r="B311" s="83">
        <f>'Baseline Emission'!B71</f>
        <v>19.197857142857142</v>
      </c>
      <c r="C311" s="83">
        <f>'Baseline Emission'!C71</f>
        <v>23.914285714285715</v>
      </c>
      <c r="D311" s="568"/>
      <c r="E311" s="566"/>
    </row>
    <row r="312" spans="1:5" x14ac:dyDescent="0.35">
      <c r="A312" s="86" t="str">
        <f t="shared" si="17"/>
        <v>01-August-2021 to 31-August-2021</v>
      </c>
      <c r="B312" s="83">
        <f>'Baseline Emission'!B72</f>
        <v>19.297500000000003</v>
      </c>
      <c r="C312" s="83">
        <f>'Baseline Emission'!C72</f>
        <v>23.947499999999994</v>
      </c>
      <c r="D312" s="568"/>
      <c r="E312" s="566"/>
    </row>
    <row r="313" spans="1:5" x14ac:dyDescent="0.35">
      <c r="A313" s="86" t="str">
        <f t="shared" si="17"/>
        <v>01-September-2021 to 30-September-2021</v>
      </c>
      <c r="B313" s="83">
        <f>'Baseline Emission'!B73</f>
        <v>18.996428571428574</v>
      </c>
      <c r="C313" s="83">
        <f>'Baseline Emission'!C73</f>
        <v>23.239285714285714</v>
      </c>
      <c r="D313" s="568"/>
      <c r="E313" s="566"/>
    </row>
    <row r="314" spans="1:5" x14ac:dyDescent="0.35">
      <c r="A314" s="86" t="str">
        <f t="shared" si="17"/>
        <v>01-October-2021 to 31-October-2021</v>
      </c>
      <c r="B314" s="83">
        <f>'Baseline Emission'!B74</f>
        <v>19.39714285714286</v>
      </c>
      <c r="C314" s="83">
        <f>'Baseline Emission'!C74</f>
        <v>24.346071428571427</v>
      </c>
      <c r="D314" s="568"/>
      <c r="E314" s="566"/>
    </row>
    <row r="315" spans="1:5" x14ac:dyDescent="0.35">
      <c r="A315" s="86" t="str">
        <f t="shared" si="17"/>
        <v>01-November-2021 to 30-November-2021</v>
      </c>
      <c r="B315" s="83">
        <f>'Baseline Emission'!B75</f>
        <v>18.578571428571426</v>
      </c>
      <c r="C315" s="83">
        <f>'Baseline Emission'!C75</f>
        <v>23.303571428571431</v>
      </c>
      <c r="D315" s="568"/>
      <c r="E315" s="566"/>
    </row>
    <row r="316" spans="1:5" x14ac:dyDescent="0.35">
      <c r="A316" s="86" t="str">
        <f t="shared" si="17"/>
        <v>01-December-2021 to 31-December-2021</v>
      </c>
      <c r="B316" s="83">
        <f>'Baseline Emission'!B76</f>
        <v>19.297500000000003</v>
      </c>
      <c r="C316" s="83">
        <f>'Baseline Emission'!C76</f>
        <v>23.914285714285715</v>
      </c>
      <c r="D316" s="84"/>
      <c r="E316" s="85"/>
    </row>
    <row r="317" spans="1:5" ht="12.75" customHeight="1" x14ac:dyDescent="0.35">
      <c r="A317" s="82" t="s">
        <v>191</v>
      </c>
      <c r="B317" s="87"/>
      <c r="C317" s="87"/>
      <c r="D317" s="561" t="s">
        <v>72</v>
      </c>
      <c r="E317" s="573" t="str">
        <f>E24</f>
        <v>Calculated as equation 5 and 6 in JPM, of which Np,LT and Nda,LT is  sourced from "Exported from the stock record of Market swine"
NLT for breeding swine is sourced from "Breeding Pig stock record"</v>
      </c>
    </row>
    <row r="318" spans="1:5" x14ac:dyDescent="0.35">
      <c r="A318" s="86" t="str">
        <f t="shared" ref="A318:A336" si="18">A298</f>
        <v>10-June-2020 to 30-June-2020</v>
      </c>
      <c r="B318" s="87">
        <f t="shared" ref="B318:C336" si="19">B161</f>
        <v>94708</v>
      </c>
      <c r="C318" s="87">
        <f t="shared" si="19"/>
        <v>51811</v>
      </c>
      <c r="D318" s="562"/>
      <c r="E318" s="574"/>
    </row>
    <row r="319" spans="1:5" x14ac:dyDescent="0.35">
      <c r="A319" s="86" t="str">
        <f t="shared" si="18"/>
        <v>01-July-2020 to 31-July-2020</v>
      </c>
      <c r="B319" s="87">
        <f t="shared" si="19"/>
        <v>94708</v>
      </c>
      <c r="C319" s="87">
        <f t="shared" si="19"/>
        <v>51845</v>
      </c>
      <c r="D319" s="562"/>
      <c r="E319" s="574"/>
    </row>
    <row r="320" spans="1:5" x14ac:dyDescent="0.35">
      <c r="A320" s="86" t="str">
        <f t="shared" si="18"/>
        <v>01-August-2020 to 31-August-2020</v>
      </c>
      <c r="B320" s="87">
        <f t="shared" si="19"/>
        <v>94708</v>
      </c>
      <c r="C320" s="87">
        <f t="shared" si="19"/>
        <v>51842</v>
      </c>
      <c r="D320" s="562"/>
      <c r="E320" s="574"/>
    </row>
    <row r="321" spans="1:5" x14ac:dyDescent="0.35">
      <c r="A321" s="86" t="str">
        <f t="shared" si="18"/>
        <v>01-September-2020 to 30-September-2020</v>
      </c>
      <c r="B321" s="87">
        <f t="shared" si="19"/>
        <v>94708</v>
      </c>
      <c r="C321" s="87">
        <f t="shared" si="19"/>
        <v>51855</v>
      </c>
      <c r="D321" s="562"/>
      <c r="E321" s="574"/>
    </row>
    <row r="322" spans="1:5" x14ac:dyDescent="0.35">
      <c r="A322" s="86" t="str">
        <f t="shared" si="18"/>
        <v>01-October-2020 to 31-October-2020</v>
      </c>
      <c r="B322" s="87">
        <f t="shared" si="19"/>
        <v>94708</v>
      </c>
      <c r="C322" s="87">
        <f t="shared" si="19"/>
        <v>51808</v>
      </c>
      <c r="D322" s="562"/>
      <c r="E322" s="574"/>
    </row>
    <row r="323" spans="1:5" x14ac:dyDescent="0.35">
      <c r="A323" s="86" t="str">
        <f t="shared" si="18"/>
        <v>01-November-2020 to 30-November-2020</v>
      </c>
      <c r="B323" s="87">
        <f t="shared" si="19"/>
        <v>94708</v>
      </c>
      <c r="C323" s="87">
        <f t="shared" si="19"/>
        <v>51858</v>
      </c>
      <c r="D323" s="562"/>
      <c r="E323" s="574"/>
    </row>
    <row r="324" spans="1:5" x14ac:dyDescent="0.35">
      <c r="A324" s="86" t="str">
        <f t="shared" si="18"/>
        <v>01-December-2020 to 31-December-2020</v>
      </c>
      <c r="B324" s="87">
        <f t="shared" si="19"/>
        <v>94708</v>
      </c>
      <c r="C324" s="87">
        <f t="shared" si="19"/>
        <v>51872</v>
      </c>
      <c r="D324" s="562"/>
      <c r="E324" s="574"/>
    </row>
    <row r="325" spans="1:5" x14ac:dyDescent="0.35">
      <c r="A325" s="86" t="str">
        <f t="shared" si="18"/>
        <v>01-January-2021 to 31-January-2021</v>
      </c>
      <c r="B325" s="87">
        <f t="shared" si="19"/>
        <v>94708</v>
      </c>
      <c r="C325" s="87">
        <f t="shared" si="19"/>
        <v>51865</v>
      </c>
      <c r="D325" s="562"/>
      <c r="E325" s="574"/>
    </row>
    <row r="326" spans="1:5" x14ac:dyDescent="0.35">
      <c r="A326" s="86" t="str">
        <f t="shared" si="18"/>
        <v>01-February-2021 to 28-February-2021</v>
      </c>
      <c r="B326" s="87">
        <f t="shared" si="19"/>
        <v>94708</v>
      </c>
      <c r="C326" s="87">
        <f t="shared" si="19"/>
        <v>51889</v>
      </c>
      <c r="D326" s="562"/>
      <c r="E326" s="574"/>
    </row>
    <row r="327" spans="1:5" x14ac:dyDescent="0.35">
      <c r="A327" s="86" t="str">
        <f t="shared" si="18"/>
        <v>01-March-2021 to 31-March-2021</v>
      </c>
      <c r="B327" s="87">
        <f t="shared" si="19"/>
        <v>94708</v>
      </c>
      <c r="C327" s="87">
        <f t="shared" si="19"/>
        <v>51838</v>
      </c>
      <c r="D327" s="562"/>
      <c r="E327" s="574"/>
    </row>
    <row r="328" spans="1:5" x14ac:dyDescent="0.35">
      <c r="A328" s="86" t="str">
        <f t="shared" si="18"/>
        <v>01-April-2021 to 30-April-2021</v>
      </c>
      <c r="B328" s="87">
        <f t="shared" si="19"/>
        <v>94708</v>
      </c>
      <c r="C328" s="87">
        <f t="shared" si="19"/>
        <v>51829</v>
      </c>
      <c r="D328" s="562"/>
      <c r="E328" s="574"/>
    </row>
    <row r="329" spans="1:5" x14ac:dyDescent="0.35">
      <c r="A329" s="86" t="str">
        <f t="shared" si="18"/>
        <v>01-May-2021 to 31-May-2021</v>
      </c>
      <c r="B329" s="87">
        <f t="shared" si="19"/>
        <v>94708</v>
      </c>
      <c r="C329" s="87">
        <f t="shared" si="19"/>
        <v>51836</v>
      </c>
      <c r="D329" s="562"/>
      <c r="E329" s="574"/>
    </row>
    <row r="330" spans="1:5" x14ac:dyDescent="0.35">
      <c r="A330" s="86" t="str">
        <f t="shared" si="18"/>
        <v>01-June-2021 to 30-June-2021</v>
      </c>
      <c r="B330" s="87">
        <f t="shared" si="19"/>
        <v>94708</v>
      </c>
      <c r="C330" s="87">
        <f t="shared" si="19"/>
        <v>51849</v>
      </c>
      <c r="D330" s="562"/>
      <c r="E330" s="574"/>
    </row>
    <row r="331" spans="1:5" x14ac:dyDescent="0.35">
      <c r="A331" s="86" t="str">
        <f t="shared" si="18"/>
        <v>01-July-2021 to 31-July-2021</v>
      </c>
      <c r="B331" s="87">
        <f t="shared" si="19"/>
        <v>94708</v>
      </c>
      <c r="C331" s="87">
        <f t="shared" si="19"/>
        <v>51854</v>
      </c>
      <c r="D331" s="562"/>
      <c r="E331" s="574"/>
    </row>
    <row r="332" spans="1:5" x14ac:dyDescent="0.35">
      <c r="A332" s="86" t="str">
        <f t="shared" si="18"/>
        <v>01-August-2021 to 31-August-2021</v>
      </c>
      <c r="B332" s="87">
        <f t="shared" si="19"/>
        <v>94708</v>
      </c>
      <c r="C332" s="87">
        <f t="shared" si="19"/>
        <v>51815</v>
      </c>
      <c r="D332" s="562"/>
      <c r="E332" s="574"/>
    </row>
    <row r="333" spans="1:5" x14ac:dyDescent="0.35">
      <c r="A333" s="86" t="str">
        <f t="shared" si="18"/>
        <v>01-September-2021 to 30-September-2021</v>
      </c>
      <c r="B333" s="87">
        <f t="shared" si="19"/>
        <v>94708</v>
      </c>
      <c r="C333" s="87">
        <f t="shared" si="19"/>
        <v>51900</v>
      </c>
      <c r="D333" s="562"/>
      <c r="E333" s="574"/>
    </row>
    <row r="334" spans="1:5" x14ac:dyDescent="0.35">
      <c r="A334" s="86" t="str">
        <f t="shared" si="18"/>
        <v>01-October-2021 to 31-October-2021</v>
      </c>
      <c r="B334" s="87">
        <f t="shared" si="19"/>
        <v>94708</v>
      </c>
      <c r="C334" s="87">
        <f t="shared" si="19"/>
        <v>51859</v>
      </c>
      <c r="D334" s="562"/>
      <c r="E334" s="574"/>
    </row>
    <row r="335" spans="1:5" x14ac:dyDescent="0.35">
      <c r="A335" s="86" t="str">
        <f t="shared" si="18"/>
        <v>01-November-2021 to 30-November-2021</v>
      </c>
      <c r="B335" s="87">
        <f t="shared" si="19"/>
        <v>94708</v>
      </c>
      <c r="C335" s="87">
        <f t="shared" si="19"/>
        <v>51827</v>
      </c>
      <c r="D335" s="562"/>
      <c r="E335" s="574"/>
    </row>
    <row r="336" spans="1:5" x14ac:dyDescent="0.35">
      <c r="A336" s="86" t="str">
        <f t="shared" si="18"/>
        <v>01-December-2021 to 31-December-2021</v>
      </c>
      <c r="B336" s="87">
        <f t="shared" si="19"/>
        <v>94708</v>
      </c>
      <c r="C336" s="87">
        <f t="shared" si="19"/>
        <v>51854</v>
      </c>
      <c r="D336" s="563"/>
      <c r="E336" s="575"/>
    </row>
    <row r="337" spans="1:5" ht="16.5" x14ac:dyDescent="0.45">
      <c r="A337" s="82" t="s">
        <v>193</v>
      </c>
      <c r="B337" s="88">
        <v>0.28999999999999998</v>
      </c>
      <c r="C337" s="81">
        <v>0.28999999999999998</v>
      </c>
      <c r="D337" s="67" t="s">
        <v>398</v>
      </c>
      <c r="E337" s="79" t="s">
        <v>7</v>
      </c>
    </row>
    <row r="338" spans="1:5" s="384" customFormat="1" ht="27" x14ac:dyDescent="0.35">
      <c r="A338" s="80" t="s">
        <v>194</v>
      </c>
      <c r="B338" s="89">
        <v>0.85</v>
      </c>
      <c r="C338" s="89">
        <v>0.85</v>
      </c>
      <c r="D338" s="90" t="s">
        <v>81</v>
      </c>
      <c r="E338" s="79" t="s">
        <v>396</v>
      </c>
    </row>
    <row r="339" spans="1:5" ht="15.75" customHeight="1" x14ac:dyDescent="0.35">
      <c r="A339" s="80" t="s">
        <v>45</v>
      </c>
      <c r="B339" s="91">
        <v>1</v>
      </c>
      <c r="C339" s="91">
        <f>B339</f>
        <v>1</v>
      </c>
      <c r="D339" s="81" t="s">
        <v>104</v>
      </c>
      <c r="E339" s="37" t="s">
        <v>100</v>
      </c>
    </row>
    <row r="340" spans="1:5" ht="15.75" customHeight="1" x14ac:dyDescent="0.45">
      <c r="A340" s="92" t="s">
        <v>195</v>
      </c>
      <c r="B340" s="91"/>
      <c r="C340" s="91"/>
      <c r="D340" s="81"/>
      <c r="E340" s="93"/>
    </row>
    <row r="341" spans="1:5" ht="15.75" customHeight="1" x14ac:dyDescent="0.35">
      <c r="A341" s="94" t="str">
        <f t="shared" ref="A341:A359" si="20">A318</f>
        <v>10-June-2020 to 30-June-2020</v>
      </c>
      <c r="B341" s="95">
        <f t="shared" ref="B341:C359" si="21">ROUNDDOWN($B$294*$B$295*$B$296*(1-$B$338)*$B$337*B318*B298*$B$339,0)</f>
        <v>1440</v>
      </c>
      <c r="C341" s="95">
        <f t="shared" si="21"/>
        <v>979</v>
      </c>
      <c r="D341" s="490" t="s">
        <v>184</v>
      </c>
      <c r="E341" s="526" t="s">
        <v>102</v>
      </c>
    </row>
    <row r="342" spans="1:5" ht="15.75" customHeight="1" x14ac:dyDescent="0.35">
      <c r="A342" s="94" t="str">
        <f t="shared" si="20"/>
        <v>01-July-2020 to 31-July-2020</v>
      </c>
      <c r="B342" s="95">
        <f t="shared" si="21"/>
        <v>1481</v>
      </c>
      <c r="C342" s="95">
        <f t="shared" si="21"/>
        <v>1003</v>
      </c>
      <c r="D342" s="490"/>
      <c r="E342" s="526"/>
    </row>
    <row r="343" spans="1:5" ht="15.75" customHeight="1" x14ac:dyDescent="0.35">
      <c r="A343" s="94" t="str">
        <f t="shared" si="20"/>
        <v>01-August-2020 to 31-August-2020</v>
      </c>
      <c r="B343" s="95">
        <f t="shared" si="21"/>
        <v>1473</v>
      </c>
      <c r="C343" s="95">
        <f t="shared" si="21"/>
        <v>1027</v>
      </c>
      <c r="D343" s="490"/>
      <c r="E343" s="526"/>
    </row>
    <row r="344" spans="1:5" ht="15.75" customHeight="1" x14ac:dyDescent="0.35">
      <c r="A344" s="94" t="str">
        <f t="shared" si="20"/>
        <v>01-September-2020 to 30-September-2020</v>
      </c>
      <c r="B344" s="95">
        <f t="shared" si="21"/>
        <v>1465</v>
      </c>
      <c r="C344" s="95">
        <f t="shared" si="21"/>
        <v>982</v>
      </c>
      <c r="D344" s="490"/>
      <c r="E344" s="526"/>
    </row>
    <row r="345" spans="1:5" ht="15.75" customHeight="1" x14ac:dyDescent="0.35">
      <c r="A345" s="94" t="str">
        <f t="shared" si="20"/>
        <v>01-October-2020 to 31-October-2020</v>
      </c>
      <c r="B345" s="95">
        <f t="shared" si="21"/>
        <v>1506</v>
      </c>
      <c r="C345" s="95">
        <f t="shared" si="21"/>
        <v>1006</v>
      </c>
      <c r="D345" s="490"/>
      <c r="E345" s="526"/>
    </row>
    <row r="346" spans="1:5" ht="15.75" customHeight="1" x14ac:dyDescent="0.35">
      <c r="A346" s="94" t="str">
        <f t="shared" si="20"/>
        <v>01-November-2020 to 30-November-2020</v>
      </c>
      <c r="B346" s="95">
        <f t="shared" si="21"/>
        <v>1458</v>
      </c>
      <c r="C346" s="95">
        <f t="shared" si="21"/>
        <v>995</v>
      </c>
      <c r="D346" s="490"/>
      <c r="E346" s="526"/>
    </row>
    <row r="347" spans="1:5" ht="15.75" customHeight="1" x14ac:dyDescent="0.35">
      <c r="A347" s="94" t="str">
        <f t="shared" si="20"/>
        <v>01-December-2020 to 31-December-2020</v>
      </c>
      <c r="B347" s="95">
        <f t="shared" si="21"/>
        <v>1483</v>
      </c>
      <c r="C347" s="95">
        <f t="shared" si="21"/>
        <v>1043</v>
      </c>
      <c r="D347" s="490"/>
      <c r="E347" s="526"/>
    </row>
    <row r="348" spans="1:5" ht="15.75" customHeight="1" x14ac:dyDescent="0.35">
      <c r="A348" s="94" t="str">
        <f t="shared" si="20"/>
        <v>01-January-2021 to 31-January-2021</v>
      </c>
      <c r="B348" s="95">
        <f t="shared" si="21"/>
        <v>1517</v>
      </c>
      <c r="C348" s="95">
        <f t="shared" si="21"/>
        <v>1012</v>
      </c>
      <c r="D348" s="490"/>
      <c r="E348" s="526"/>
    </row>
    <row r="349" spans="1:5" ht="15.75" customHeight="1" x14ac:dyDescent="0.35">
      <c r="A349" s="94" t="str">
        <f t="shared" si="20"/>
        <v>01-February-2021 to 28-February-2021</v>
      </c>
      <c r="B349" s="95">
        <f t="shared" si="21"/>
        <v>1365</v>
      </c>
      <c r="C349" s="95">
        <f t="shared" si="21"/>
        <v>922</v>
      </c>
      <c r="D349" s="490"/>
      <c r="E349" s="526"/>
    </row>
    <row r="350" spans="1:5" x14ac:dyDescent="0.35">
      <c r="A350" s="94" t="str">
        <f t="shared" si="20"/>
        <v>01-March-2021 to 31-March-2021</v>
      </c>
      <c r="B350" s="95">
        <f t="shared" si="21"/>
        <v>1481</v>
      </c>
      <c r="C350" s="95">
        <f t="shared" si="21"/>
        <v>1021</v>
      </c>
      <c r="D350" s="490"/>
      <c r="E350" s="526"/>
    </row>
    <row r="351" spans="1:5" x14ac:dyDescent="0.35">
      <c r="A351" s="94" t="str">
        <f t="shared" si="20"/>
        <v>01-April-2021 to 30-April-2021</v>
      </c>
      <c r="B351" s="95">
        <f t="shared" si="21"/>
        <v>1408</v>
      </c>
      <c r="C351" s="95">
        <f t="shared" si="21"/>
        <v>1000</v>
      </c>
      <c r="D351" s="490"/>
      <c r="E351" s="526"/>
    </row>
    <row r="352" spans="1:5" x14ac:dyDescent="0.35">
      <c r="A352" s="94" t="str">
        <f t="shared" si="20"/>
        <v>01-May-2021 to 31-May-2021</v>
      </c>
      <c r="B352" s="95">
        <f t="shared" si="21"/>
        <v>1486</v>
      </c>
      <c r="C352" s="95">
        <f t="shared" si="21"/>
        <v>1029</v>
      </c>
      <c r="D352" s="490"/>
      <c r="E352" s="526"/>
    </row>
    <row r="353" spans="1:5" x14ac:dyDescent="0.35">
      <c r="A353" s="94" t="str">
        <f t="shared" si="20"/>
        <v>01-June-2021 to 30-June-2021</v>
      </c>
      <c r="B353" s="95">
        <f t="shared" si="21"/>
        <v>1428</v>
      </c>
      <c r="C353" s="95">
        <f t="shared" si="21"/>
        <v>973</v>
      </c>
      <c r="D353" s="490"/>
      <c r="E353" s="526"/>
    </row>
    <row r="354" spans="1:5" x14ac:dyDescent="0.35">
      <c r="A354" s="94" t="str">
        <f t="shared" si="20"/>
        <v>01-July-2021 to 31-July-2021</v>
      </c>
      <c r="B354" s="95">
        <f t="shared" si="21"/>
        <v>1483</v>
      </c>
      <c r="C354" s="95">
        <f t="shared" si="21"/>
        <v>1011</v>
      </c>
      <c r="D354" s="490"/>
      <c r="E354" s="526"/>
    </row>
    <row r="355" spans="1:5" x14ac:dyDescent="0.35">
      <c r="A355" s="94" t="str">
        <f t="shared" si="20"/>
        <v>01-August-2021 to 31-August-2021</v>
      </c>
      <c r="B355" s="95">
        <f t="shared" si="21"/>
        <v>1491</v>
      </c>
      <c r="C355" s="95">
        <f t="shared" si="21"/>
        <v>1012</v>
      </c>
      <c r="D355" s="490"/>
      <c r="E355" s="526"/>
    </row>
    <row r="356" spans="1:5" x14ac:dyDescent="0.35">
      <c r="A356" s="94" t="str">
        <f t="shared" si="20"/>
        <v>01-September-2021 to 30-September-2021</v>
      </c>
      <c r="B356" s="95">
        <f t="shared" si="21"/>
        <v>1468</v>
      </c>
      <c r="C356" s="95">
        <f t="shared" si="21"/>
        <v>984</v>
      </c>
      <c r="D356" s="490"/>
      <c r="E356" s="526"/>
    </row>
    <row r="357" spans="1:5" x14ac:dyDescent="0.35">
      <c r="A357" s="94" t="str">
        <f t="shared" si="20"/>
        <v>01-October-2021 to 31-October-2021</v>
      </c>
      <c r="B357" s="95">
        <f t="shared" si="21"/>
        <v>1499</v>
      </c>
      <c r="C357" s="95">
        <f t="shared" si="21"/>
        <v>1030</v>
      </c>
      <c r="D357" s="490"/>
      <c r="E357" s="526"/>
    </row>
    <row r="358" spans="1:5" x14ac:dyDescent="0.35">
      <c r="A358" s="94" t="str">
        <f t="shared" si="20"/>
        <v>01-November-2021 to 30-November-2021</v>
      </c>
      <c r="B358" s="95">
        <f t="shared" si="21"/>
        <v>1435</v>
      </c>
      <c r="C358" s="95">
        <f t="shared" si="21"/>
        <v>985</v>
      </c>
      <c r="D358" s="490"/>
      <c r="E358" s="526"/>
    </row>
    <row r="359" spans="1:5" x14ac:dyDescent="0.35">
      <c r="A359" s="94" t="str">
        <f t="shared" si="20"/>
        <v>01-December-2021 to 31-December-2021</v>
      </c>
      <c r="B359" s="95">
        <f t="shared" si="21"/>
        <v>1491</v>
      </c>
      <c r="C359" s="95">
        <f t="shared" si="21"/>
        <v>1011</v>
      </c>
      <c r="D359" s="490"/>
      <c r="E359" s="526"/>
    </row>
    <row r="360" spans="1:5" ht="15.5" x14ac:dyDescent="0.45">
      <c r="A360" s="96" t="s">
        <v>378</v>
      </c>
      <c r="B360" s="550">
        <f>SUM(B341:B347)+SUM(C341:C347)</f>
        <v>17341</v>
      </c>
      <c r="C360" s="551"/>
      <c r="D360" s="490"/>
      <c r="E360" s="526"/>
    </row>
    <row r="361" spans="1:5" ht="15.5" x14ac:dyDescent="0.45">
      <c r="A361" s="96" t="s">
        <v>379</v>
      </c>
      <c r="B361" s="550">
        <f>SUM(B348:B359)+SUM(C348:C359)</f>
        <v>29542</v>
      </c>
      <c r="C361" s="551"/>
      <c r="D361" s="490"/>
      <c r="E361" s="526"/>
    </row>
    <row r="362" spans="1:5" ht="16" thickBot="1" x14ac:dyDescent="0.5">
      <c r="A362" s="97" t="s">
        <v>196</v>
      </c>
      <c r="B362" s="557">
        <f>B360+B361</f>
        <v>46883</v>
      </c>
      <c r="C362" s="558"/>
      <c r="D362" s="545"/>
      <c r="E362" s="576"/>
    </row>
    <row r="363" spans="1:5" x14ac:dyDescent="0.35">
      <c r="A363" s="347"/>
    </row>
    <row r="364" spans="1:5" ht="14" thickBot="1" x14ac:dyDescent="0.4">
      <c r="A364" s="347"/>
    </row>
    <row r="365" spans="1:5" x14ac:dyDescent="0.35">
      <c r="A365" s="72" t="s">
        <v>3</v>
      </c>
      <c r="B365" s="73" t="s">
        <v>20</v>
      </c>
      <c r="C365" s="73"/>
      <c r="D365" s="73" t="s">
        <v>2</v>
      </c>
      <c r="E365" s="74" t="s">
        <v>4</v>
      </c>
    </row>
    <row r="366" spans="1:5" x14ac:dyDescent="0.35">
      <c r="A366" s="75"/>
      <c r="B366" s="76" t="str">
        <f>B293</f>
        <v>Market Swine</v>
      </c>
      <c r="C366" s="76" t="str">
        <f>C293</f>
        <v>Breeding Swine</v>
      </c>
      <c r="D366" s="76"/>
      <c r="E366" s="383"/>
    </row>
    <row r="367" spans="1:5" ht="15.5" x14ac:dyDescent="0.45">
      <c r="A367" s="78" t="s">
        <v>188</v>
      </c>
      <c r="B367" s="67">
        <f>B294</f>
        <v>28</v>
      </c>
      <c r="C367" s="67">
        <f>C294</f>
        <v>28</v>
      </c>
      <c r="D367" s="67" t="s">
        <v>179</v>
      </c>
      <c r="E367" s="343" t="s">
        <v>124</v>
      </c>
    </row>
    <row r="368" spans="1:5" x14ac:dyDescent="0.35">
      <c r="A368" s="78" t="s">
        <v>189</v>
      </c>
      <c r="B368" s="67">
        <f>'Baseline Emission'!B12</f>
        <v>6.7000000000000002E-4</v>
      </c>
      <c r="C368" s="67">
        <f>'Baseline Emission'!C12</f>
        <v>6.7000000000000002E-4</v>
      </c>
      <c r="D368" s="67" t="s">
        <v>81</v>
      </c>
      <c r="E368" s="343" t="s">
        <v>395</v>
      </c>
    </row>
    <row r="369" spans="1:5" x14ac:dyDescent="0.35">
      <c r="A369" s="80" t="s">
        <v>26</v>
      </c>
      <c r="B369" s="81">
        <v>1</v>
      </c>
      <c r="C369" s="81">
        <v>1</v>
      </c>
      <c r="D369" s="67" t="s">
        <v>81</v>
      </c>
      <c r="E369" s="343" t="s">
        <v>395</v>
      </c>
    </row>
    <row r="370" spans="1:5" x14ac:dyDescent="0.35">
      <c r="A370" s="82" t="s">
        <v>190</v>
      </c>
      <c r="B370" s="83"/>
      <c r="C370" s="83"/>
      <c r="D370" s="561" t="s">
        <v>126</v>
      </c>
      <c r="E370" s="577" t="s">
        <v>102</v>
      </c>
    </row>
    <row r="371" spans="1:5" x14ac:dyDescent="0.35">
      <c r="A371" s="86" t="str">
        <f t="shared" ref="A371:C389" si="22">A298</f>
        <v>10-June-2020 to 30-June-2020</v>
      </c>
      <c r="B371" s="83">
        <f t="shared" si="22"/>
        <v>18.642857142857142</v>
      </c>
      <c r="C371" s="83">
        <f t="shared" si="22"/>
        <v>23.174999999999997</v>
      </c>
      <c r="D371" s="562"/>
      <c r="E371" s="569"/>
    </row>
    <row r="372" spans="1:5" x14ac:dyDescent="0.35">
      <c r="A372" s="86" t="str">
        <f t="shared" si="22"/>
        <v>01-July-2020 to 31-July-2020</v>
      </c>
      <c r="B372" s="83">
        <f t="shared" si="22"/>
        <v>19.164642857142859</v>
      </c>
      <c r="C372" s="83">
        <f t="shared" si="22"/>
        <v>23.715</v>
      </c>
      <c r="D372" s="562"/>
      <c r="E372" s="569"/>
    </row>
    <row r="373" spans="1:5" x14ac:dyDescent="0.35">
      <c r="A373" s="86" t="str">
        <f t="shared" si="22"/>
        <v>01-August-2020 to 31-August-2020</v>
      </c>
      <c r="B373" s="83">
        <f t="shared" si="22"/>
        <v>19.064999999999998</v>
      </c>
      <c r="C373" s="83">
        <f t="shared" si="22"/>
        <v>24.27964285714285</v>
      </c>
      <c r="D373" s="562"/>
      <c r="E373" s="569"/>
    </row>
    <row r="374" spans="1:5" x14ac:dyDescent="0.35">
      <c r="A374" s="86" t="str">
        <f t="shared" si="22"/>
        <v>01-September-2020 to 30-September-2020</v>
      </c>
      <c r="B374" s="83">
        <f t="shared" si="22"/>
        <v>18.964285714285715</v>
      </c>
      <c r="C374" s="83">
        <f t="shared" si="22"/>
        <v>23.207142857142856</v>
      </c>
      <c r="D374" s="562"/>
      <c r="E374" s="569"/>
    </row>
    <row r="375" spans="1:5" x14ac:dyDescent="0.35">
      <c r="A375" s="86" t="str">
        <f t="shared" si="22"/>
        <v>01-October-2020 to 31-October-2020</v>
      </c>
      <c r="B375" s="83">
        <f t="shared" si="22"/>
        <v>19.496785714285714</v>
      </c>
      <c r="C375" s="83">
        <f t="shared" si="22"/>
        <v>23.814642857142857</v>
      </c>
      <c r="D375" s="562"/>
      <c r="E375" s="569"/>
    </row>
    <row r="376" spans="1:5" x14ac:dyDescent="0.35">
      <c r="A376" s="86" t="str">
        <f t="shared" si="22"/>
        <v>01-November-2020 to 30-November-2020</v>
      </c>
      <c r="B376" s="83">
        <f t="shared" si="22"/>
        <v>18.86785714285714</v>
      </c>
      <c r="C376" s="83">
        <f t="shared" si="22"/>
        <v>23.528571428571428</v>
      </c>
      <c r="D376" s="562"/>
      <c r="E376" s="569"/>
    </row>
    <row r="377" spans="1:5" x14ac:dyDescent="0.35">
      <c r="A377" s="86" t="str">
        <f t="shared" si="22"/>
        <v>01-December-2020 to 31-December-2020</v>
      </c>
      <c r="B377" s="83">
        <f t="shared" si="22"/>
        <v>19.197857142857142</v>
      </c>
      <c r="C377" s="83">
        <f t="shared" si="22"/>
        <v>24.644999999999996</v>
      </c>
      <c r="D377" s="562"/>
      <c r="E377" s="569"/>
    </row>
    <row r="378" spans="1:5" x14ac:dyDescent="0.35">
      <c r="A378" s="86" t="str">
        <f t="shared" si="22"/>
        <v>01-January-2021 to 31-January-2021</v>
      </c>
      <c r="B378" s="83">
        <f t="shared" si="22"/>
        <v>19.629642857142859</v>
      </c>
      <c r="C378" s="83">
        <f t="shared" si="22"/>
        <v>23.914285714285715</v>
      </c>
      <c r="D378" s="562"/>
      <c r="E378" s="569"/>
    </row>
    <row r="379" spans="1:5" x14ac:dyDescent="0.35">
      <c r="A379" s="86" t="str">
        <f t="shared" si="22"/>
        <v>01-February-2021 to 28-February-2021</v>
      </c>
      <c r="B379" s="83">
        <f t="shared" si="22"/>
        <v>17.670000000000002</v>
      </c>
      <c r="C379" s="83">
        <f t="shared" si="22"/>
        <v>21.779999999999994</v>
      </c>
      <c r="D379" s="562"/>
      <c r="E379" s="569"/>
    </row>
    <row r="380" spans="1:5" x14ac:dyDescent="0.35">
      <c r="A380" s="86" t="str">
        <f t="shared" si="22"/>
        <v>01-March-2021 to 31-March-2021</v>
      </c>
      <c r="B380" s="83">
        <f t="shared" si="22"/>
        <v>19.164642857142859</v>
      </c>
      <c r="C380" s="83">
        <f t="shared" si="22"/>
        <v>24.146785714285713</v>
      </c>
      <c r="D380" s="562"/>
      <c r="E380" s="569"/>
    </row>
    <row r="381" spans="1:5" x14ac:dyDescent="0.35">
      <c r="A381" s="86" t="str">
        <f t="shared" si="22"/>
        <v>01-April-2021 to 30-April-2021</v>
      </c>
      <c r="B381" s="83">
        <f t="shared" si="22"/>
        <v>18.224999999999998</v>
      </c>
      <c r="C381" s="83">
        <f t="shared" si="22"/>
        <v>23.657142857142858</v>
      </c>
      <c r="D381" s="562"/>
      <c r="E381" s="569"/>
    </row>
    <row r="382" spans="1:5" x14ac:dyDescent="0.35">
      <c r="A382" s="86" t="str">
        <f t="shared" si="22"/>
        <v>01-May-2021 to 31-May-2021</v>
      </c>
      <c r="B382" s="83">
        <f t="shared" si="22"/>
        <v>19.231071428571425</v>
      </c>
      <c r="C382" s="83">
        <f t="shared" si="22"/>
        <v>24.346071428571427</v>
      </c>
      <c r="D382" s="562"/>
      <c r="E382" s="569"/>
    </row>
    <row r="383" spans="1:5" x14ac:dyDescent="0.35">
      <c r="A383" s="86" t="str">
        <f t="shared" si="22"/>
        <v>01-June-2021 to 30-June-2021</v>
      </c>
      <c r="B383" s="83">
        <f t="shared" si="22"/>
        <v>18.482142857142854</v>
      </c>
      <c r="C383" s="83">
        <f t="shared" si="22"/>
        <v>23.014285714285709</v>
      </c>
      <c r="D383" s="562"/>
      <c r="E383" s="569"/>
    </row>
    <row r="384" spans="1:5" x14ac:dyDescent="0.35">
      <c r="A384" s="86" t="str">
        <f t="shared" si="22"/>
        <v>01-July-2021 to 31-July-2021</v>
      </c>
      <c r="B384" s="83">
        <f t="shared" si="22"/>
        <v>19.197857142857142</v>
      </c>
      <c r="C384" s="83">
        <f t="shared" si="22"/>
        <v>23.914285714285715</v>
      </c>
      <c r="D384" s="562"/>
      <c r="E384" s="569"/>
    </row>
    <row r="385" spans="1:5" x14ac:dyDescent="0.35">
      <c r="A385" s="86" t="str">
        <f t="shared" si="22"/>
        <v>01-August-2021 to 31-August-2021</v>
      </c>
      <c r="B385" s="83">
        <f t="shared" si="22"/>
        <v>19.297500000000003</v>
      </c>
      <c r="C385" s="83">
        <f t="shared" si="22"/>
        <v>23.947499999999994</v>
      </c>
      <c r="D385" s="562"/>
      <c r="E385" s="569"/>
    </row>
    <row r="386" spans="1:5" x14ac:dyDescent="0.35">
      <c r="A386" s="86" t="str">
        <f t="shared" si="22"/>
        <v>01-September-2021 to 30-September-2021</v>
      </c>
      <c r="B386" s="83">
        <f t="shared" si="22"/>
        <v>18.996428571428574</v>
      </c>
      <c r="C386" s="83">
        <f t="shared" si="22"/>
        <v>23.239285714285714</v>
      </c>
      <c r="D386" s="562"/>
      <c r="E386" s="569"/>
    </row>
    <row r="387" spans="1:5" x14ac:dyDescent="0.35">
      <c r="A387" s="86" t="str">
        <f t="shared" si="22"/>
        <v>01-October-2021 to 31-October-2021</v>
      </c>
      <c r="B387" s="83">
        <f t="shared" si="22"/>
        <v>19.39714285714286</v>
      </c>
      <c r="C387" s="83">
        <f t="shared" si="22"/>
        <v>24.346071428571427</v>
      </c>
      <c r="D387" s="562"/>
      <c r="E387" s="569"/>
    </row>
    <row r="388" spans="1:5" x14ac:dyDescent="0.35">
      <c r="A388" s="86" t="str">
        <f t="shared" si="22"/>
        <v>01-November-2021 to 30-November-2021</v>
      </c>
      <c r="B388" s="83">
        <f t="shared" si="22"/>
        <v>18.578571428571426</v>
      </c>
      <c r="C388" s="83">
        <f t="shared" si="22"/>
        <v>23.303571428571431</v>
      </c>
      <c r="D388" s="562"/>
      <c r="E388" s="569"/>
    </row>
    <row r="389" spans="1:5" x14ac:dyDescent="0.35">
      <c r="A389" s="86" t="str">
        <f t="shared" si="22"/>
        <v>01-December-2021 to 31-December-2021</v>
      </c>
      <c r="B389" s="83">
        <f t="shared" si="22"/>
        <v>19.297500000000003</v>
      </c>
      <c r="C389" s="83">
        <f t="shared" si="22"/>
        <v>23.914285714285715</v>
      </c>
      <c r="D389" s="563"/>
      <c r="E389" s="578"/>
    </row>
    <row r="390" spans="1:5" x14ac:dyDescent="0.35">
      <c r="A390" s="82" t="s">
        <v>191</v>
      </c>
      <c r="B390" s="87"/>
      <c r="C390" s="87"/>
      <c r="D390" s="571" t="s">
        <v>72</v>
      </c>
      <c r="E390" s="566" t="str">
        <f>E317</f>
        <v>Calculated as equation 5 and 6 in JPM, of which Np,LT and Nda,LT is  sourced from "Exported from the stock record of Market swine"
NLT for breeding swine is sourced from "Breeding Pig stock record"</v>
      </c>
    </row>
    <row r="391" spans="1:5" x14ac:dyDescent="0.35">
      <c r="A391" s="86" t="str">
        <f t="shared" ref="A391:A409" si="23">A371</f>
        <v>10-June-2020 to 30-June-2020</v>
      </c>
      <c r="B391" s="87">
        <f t="shared" ref="B391:C409" si="24">B318</f>
        <v>94708</v>
      </c>
      <c r="C391" s="87">
        <f t="shared" si="24"/>
        <v>51811</v>
      </c>
      <c r="D391" s="571"/>
      <c r="E391" s="566"/>
    </row>
    <row r="392" spans="1:5" x14ac:dyDescent="0.35">
      <c r="A392" s="86" t="str">
        <f t="shared" si="23"/>
        <v>01-July-2020 to 31-July-2020</v>
      </c>
      <c r="B392" s="87">
        <f t="shared" si="24"/>
        <v>94708</v>
      </c>
      <c r="C392" s="87">
        <f t="shared" si="24"/>
        <v>51845</v>
      </c>
      <c r="D392" s="571"/>
      <c r="E392" s="566"/>
    </row>
    <row r="393" spans="1:5" x14ac:dyDescent="0.35">
      <c r="A393" s="86" t="str">
        <f t="shared" si="23"/>
        <v>01-August-2020 to 31-August-2020</v>
      </c>
      <c r="B393" s="87">
        <f t="shared" si="24"/>
        <v>94708</v>
      </c>
      <c r="C393" s="87">
        <f t="shared" si="24"/>
        <v>51842</v>
      </c>
      <c r="D393" s="571"/>
      <c r="E393" s="566"/>
    </row>
    <row r="394" spans="1:5" x14ac:dyDescent="0.35">
      <c r="A394" s="86" t="str">
        <f t="shared" si="23"/>
        <v>01-September-2020 to 30-September-2020</v>
      </c>
      <c r="B394" s="87">
        <f t="shared" si="24"/>
        <v>94708</v>
      </c>
      <c r="C394" s="87">
        <f t="shared" si="24"/>
        <v>51855</v>
      </c>
      <c r="D394" s="571"/>
      <c r="E394" s="566"/>
    </row>
    <row r="395" spans="1:5" x14ac:dyDescent="0.35">
      <c r="A395" s="86" t="str">
        <f t="shared" si="23"/>
        <v>01-October-2020 to 31-October-2020</v>
      </c>
      <c r="B395" s="87">
        <f t="shared" si="24"/>
        <v>94708</v>
      </c>
      <c r="C395" s="87">
        <f t="shared" si="24"/>
        <v>51808</v>
      </c>
      <c r="D395" s="571"/>
      <c r="E395" s="566"/>
    </row>
    <row r="396" spans="1:5" x14ac:dyDescent="0.35">
      <c r="A396" s="86" t="str">
        <f t="shared" si="23"/>
        <v>01-November-2020 to 30-November-2020</v>
      </c>
      <c r="B396" s="87">
        <f t="shared" si="24"/>
        <v>94708</v>
      </c>
      <c r="C396" s="87">
        <f t="shared" si="24"/>
        <v>51858</v>
      </c>
      <c r="D396" s="571"/>
      <c r="E396" s="566"/>
    </row>
    <row r="397" spans="1:5" x14ac:dyDescent="0.35">
      <c r="A397" s="86" t="str">
        <f t="shared" si="23"/>
        <v>01-December-2020 to 31-December-2020</v>
      </c>
      <c r="B397" s="87">
        <f t="shared" si="24"/>
        <v>94708</v>
      </c>
      <c r="C397" s="87">
        <f t="shared" si="24"/>
        <v>51872</v>
      </c>
      <c r="D397" s="571"/>
      <c r="E397" s="566"/>
    </row>
    <row r="398" spans="1:5" x14ac:dyDescent="0.35">
      <c r="A398" s="86" t="str">
        <f t="shared" si="23"/>
        <v>01-January-2021 to 31-January-2021</v>
      </c>
      <c r="B398" s="87">
        <f t="shared" si="24"/>
        <v>94708</v>
      </c>
      <c r="C398" s="87">
        <f t="shared" si="24"/>
        <v>51865</v>
      </c>
      <c r="D398" s="571"/>
      <c r="E398" s="566"/>
    </row>
    <row r="399" spans="1:5" x14ac:dyDescent="0.35">
      <c r="A399" s="86" t="str">
        <f t="shared" si="23"/>
        <v>01-February-2021 to 28-February-2021</v>
      </c>
      <c r="B399" s="87">
        <f t="shared" si="24"/>
        <v>94708</v>
      </c>
      <c r="C399" s="87">
        <f t="shared" si="24"/>
        <v>51889</v>
      </c>
      <c r="D399" s="571"/>
      <c r="E399" s="566"/>
    </row>
    <row r="400" spans="1:5" x14ac:dyDescent="0.35">
      <c r="A400" s="86" t="str">
        <f t="shared" si="23"/>
        <v>01-March-2021 to 31-March-2021</v>
      </c>
      <c r="B400" s="87">
        <f t="shared" si="24"/>
        <v>94708</v>
      </c>
      <c r="C400" s="87">
        <f t="shared" si="24"/>
        <v>51838</v>
      </c>
      <c r="D400" s="571"/>
      <c r="E400" s="572"/>
    </row>
    <row r="401" spans="1:5" x14ac:dyDescent="0.35">
      <c r="A401" s="86" t="str">
        <f t="shared" si="23"/>
        <v>01-April-2021 to 30-April-2021</v>
      </c>
      <c r="B401" s="87">
        <f t="shared" si="24"/>
        <v>94708</v>
      </c>
      <c r="C401" s="87">
        <f t="shared" si="24"/>
        <v>51829</v>
      </c>
      <c r="D401" s="571"/>
      <c r="E401" s="572"/>
    </row>
    <row r="402" spans="1:5" x14ac:dyDescent="0.35">
      <c r="A402" s="86" t="str">
        <f t="shared" si="23"/>
        <v>01-May-2021 to 31-May-2021</v>
      </c>
      <c r="B402" s="87">
        <f t="shared" si="24"/>
        <v>94708</v>
      </c>
      <c r="C402" s="87">
        <f t="shared" si="24"/>
        <v>51836</v>
      </c>
      <c r="D402" s="571"/>
      <c r="E402" s="572"/>
    </row>
    <row r="403" spans="1:5" x14ac:dyDescent="0.35">
      <c r="A403" s="86" t="str">
        <f t="shared" si="23"/>
        <v>01-June-2021 to 30-June-2021</v>
      </c>
      <c r="B403" s="87">
        <f t="shared" si="24"/>
        <v>94708</v>
      </c>
      <c r="C403" s="87">
        <f t="shared" si="24"/>
        <v>51849</v>
      </c>
      <c r="D403" s="571"/>
      <c r="E403" s="572"/>
    </row>
    <row r="404" spans="1:5" x14ac:dyDescent="0.35">
      <c r="A404" s="86" t="str">
        <f t="shared" si="23"/>
        <v>01-July-2021 to 31-July-2021</v>
      </c>
      <c r="B404" s="87">
        <f t="shared" si="24"/>
        <v>94708</v>
      </c>
      <c r="C404" s="87">
        <f t="shared" si="24"/>
        <v>51854</v>
      </c>
      <c r="D404" s="571"/>
      <c r="E404" s="572"/>
    </row>
    <row r="405" spans="1:5" x14ac:dyDescent="0.35">
      <c r="A405" s="86" t="str">
        <f t="shared" si="23"/>
        <v>01-August-2021 to 31-August-2021</v>
      </c>
      <c r="B405" s="87">
        <f t="shared" si="24"/>
        <v>94708</v>
      </c>
      <c r="C405" s="87">
        <f t="shared" si="24"/>
        <v>51815</v>
      </c>
      <c r="D405" s="571"/>
      <c r="E405" s="572"/>
    </row>
    <row r="406" spans="1:5" x14ac:dyDescent="0.35">
      <c r="A406" s="86" t="str">
        <f t="shared" si="23"/>
        <v>01-September-2021 to 30-September-2021</v>
      </c>
      <c r="B406" s="87">
        <f t="shared" si="24"/>
        <v>94708</v>
      </c>
      <c r="C406" s="87">
        <f t="shared" si="24"/>
        <v>51900</v>
      </c>
      <c r="D406" s="571"/>
      <c r="E406" s="572"/>
    </row>
    <row r="407" spans="1:5" x14ac:dyDescent="0.35">
      <c r="A407" s="86" t="str">
        <f t="shared" si="23"/>
        <v>01-October-2021 to 31-October-2021</v>
      </c>
      <c r="B407" s="87">
        <f t="shared" si="24"/>
        <v>94708</v>
      </c>
      <c r="C407" s="87">
        <f t="shared" si="24"/>
        <v>51859</v>
      </c>
      <c r="D407" s="571"/>
      <c r="E407" s="572"/>
    </row>
    <row r="408" spans="1:5" x14ac:dyDescent="0.35">
      <c r="A408" s="86" t="str">
        <f t="shared" si="23"/>
        <v>01-November-2021 to 30-November-2021</v>
      </c>
      <c r="B408" s="87">
        <f t="shared" si="24"/>
        <v>94708</v>
      </c>
      <c r="C408" s="87">
        <f t="shared" si="24"/>
        <v>51827</v>
      </c>
      <c r="D408" s="571"/>
      <c r="E408" s="572"/>
    </row>
    <row r="409" spans="1:5" x14ac:dyDescent="0.35">
      <c r="A409" s="86" t="str">
        <f t="shared" si="23"/>
        <v>01-December-2021 to 31-December-2021</v>
      </c>
      <c r="B409" s="87">
        <f t="shared" si="24"/>
        <v>94708</v>
      </c>
      <c r="C409" s="87">
        <f t="shared" si="24"/>
        <v>51854</v>
      </c>
      <c r="D409" s="571"/>
      <c r="E409" s="572"/>
    </row>
    <row r="410" spans="1:5" ht="16.5" x14ac:dyDescent="0.45">
      <c r="A410" s="82" t="s">
        <v>354</v>
      </c>
      <c r="B410" s="88">
        <v>0.28999999999999998</v>
      </c>
      <c r="C410" s="81">
        <v>0.28999999999999998</v>
      </c>
      <c r="D410" s="67" t="s">
        <v>398</v>
      </c>
      <c r="E410" s="343" t="s">
        <v>7</v>
      </c>
    </row>
    <row r="411" spans="1:5" ht="30" customHeight="1" x14ac:dyDescent="0.35">
      <c r="A411" s="80" t="s">
        <v>355</v>
      </c>
      <c r="B411" s="89">
        <v>0.8</v>
      </c>
      <c r="C411" s="91">
        <v>0.8</v>
      </c>
      <c r="D411" s="67" t="s">
        <v>81</v>
      </c>
      <c r="E411" s="554" t="s">
        <v>397</v>
      </c>
    </row>
    <row r="412" spans="1:5" ht="25.5" customHeight="1" x14ac:dyDescent="0.35">
      <c r="A412" s="80" t="s">
        <v>355</v>
      </c>
      <c r="B412" s="89">
        <v>0.2</v>
      </c>
      <c r="C412" s="89">
        <v>0.2</v>
      </c>
      <c r="D412" s="81" t="s">
        <v>81</v>
      </c>
      <c r="E412" s="565"/>
    </row>
    <row r="413" spans="1:5" x14ac:dyDescent="0.35">
      <c r="A413" s="80" t="s">
        <v>45</v>
      </c>
      <c r="B413" s="89">
        <v>1</v>
      </c>
      <c r="C413" s="89">
        <v>1</v>
      </c>
      <c r="D413" s="81" t="s">
        <v>104</v>
      </c>
      <c r="E413" s="37" t="s">
        <v>100</v>
      </c>
    </row>
    <row r="414" spans="1:5" ht="15.5" x14ac:dyDescent="0.45">
      <c r="A414" s="402" t="s">
        <v>356</v>
      </c>
      <c r="B414" s="89"/>
      <c r="C414" s="89"/>
      <c r="D414" s="81"/>
      <c r="E414" s="343"/>
    </row>
    <row r="415" spans="1:5" x14ac:dyDescent="0.35">
      <c r="A415" s="94" t="str">
        <f t="shared" ref="A415:A433" si="25">A391</f>
        <v>10-June-2020 to 30-June-2020</v>
      </c>
      <c r="B415" s="403">
        <f t="shared" ref="B415:C433" si="26">ROUNDUP($B$367*$B$368*$B$369*(1-$B$411)*(1-$B$412)*$B$410*B391*B371*$B$413,0)</f>
        <v>1537</v>
      </c>
      <c r="C415" s="403">
        <f t="shared" si="26"/>
        <v>1046</v>
      </c>
      <c r="D415" s="562" t="s">
        <v>184</v>
      </c>
      <c r="E415" s="569" t="s">
        <v>102</v>
      </c>
    </row>
    <row r="416" spans="1:5" x14ac:dyDescent="0.35">
      <c r="A416" s="94" t="str">
        <f t="shared" si="25"/>
        <v>01-July-2020 to 31-July-2020</v>
      </c>
      <c r="B416" s="403">
        <f t="shared" si="26"/>
        <v>1580</v>
      </c>
      <c r="C416" s="403">
        <f t="shared" si="26"/>
        <v>1071</v>
      </c>
      <c r="D416" s="562"/>
      <c r="E416" s="569"/>
    </row>
    <row r="417" spans="1:5" x14ac:dyDescent="0.35">
      <c r="A417" s="94" t="str">
        <f t="shared" si="25"/>
        <v>01-August-2020 to 31-August-2020</v>
      </c>
      <c r="B417" s="403">
        <f t="shared" si="26"/>
        <v>1572</v>
      </c>
      <c r="C417" s="403">
        <f t="shared" si="26"/>
        <v>1096</v>
      </c>
      <c r="D417" s="562"/>
      <c r="E417" s="569"/>
    </row>
    <row r="418" spans="1:5" x14ac:dyDescent="0.35">
      <c r="A418" s="94" t="str">
        <f t="shared" si="25"/>
        <v>01-September-2020 to 30-September-2020</v>
      </c>
      <c r="B418" s="403">
        <f t="shared" si="26"/>
        <v>1564</v>
      </c>
      <c r="C418" s="403">
        <f t="shared" si="26"/>
        <v>1048</v>
      </c>
      <c r="D418" s="562"/>
      <c r="E418" s="569"/>
    </row>
    <row r="419" spans="1:5" x14ac:dyDescent="0.35">
      <c r="A419" s="94" t="str">
        <f t="shared" si="25"/>
        <v>01-October-2020 to 31-October-2020</v>
      </c>
      <c r="B419" s="403">
        <f t="shared" si="26"/>
        <v>1608</v>
      </c>
      <c r="C419" s="403">
        <f t="shared" si="26"/>
        <v>1074</v>
      </c>
      <c r="D419" s="562"/>
      <c r="E419" s="569"/>
    </row>
    <row r="420" spans="1:5" x14ac:dyDescent="0.35">
      <c r="A420" s="94" t="str">
        <f t="shared" si="25"/>
        <v>01-November-2020 to 30-November-2020</v>
      </c>
      <c r="B420" s="403">
        <f t="shared" si="26"/>
        <v>1556</v>
      </c>
      <c r="C420" s="403">
        <f t="shared" si="26"/>
        <v>1063</v>
      </c>
      <c r="D420" s="562"/>
      <c r="E420" s="569"/>
    </row>
    <row r="421" spans="1:5" x14ac:dyDescent="0.35">
      <c r="A421" s="94" t="str">
        <f t="shared" si="25"/>
        <v>01-December-2020 to 31-December-2020</v>
      </c>
      <c r="B421" s="403">
        <f t="shared" si="26"/>
        <v>1583</v>
      </c>
      <c r="C421" s="403">
        <f t="shared" si="26"/>
        <v>1113</v>
      </c>
      <c r="D421" s="562"/>
      <c r="E421" s="569"/>
    </row>
    <row r="422" spans="1:5" x14ac:dyDescent="0.35">
      <c r="A422" s="94" t="str">
        <f t="shared" si="25"/>
        <v>01-January-2021 to 31-January-2021</v>
      </c>
      <c r="B422" s="403">
        <f t="shared" si="26"/>
        <v>1619</v>
      </c>
      <c r="C422" s="403">
        <f t="shared" si="26"/>
        <v>1080</v>
      </c>
      <c r="D422" s="562"/>
      <c r="E422" s="569"/>
    </row>
    <row r="423" spans="1:5" x14ac:dyDescent="0.35">
      <c r="A423" s="94" t="str">
        <f t="shared" si="25"/>
        <v>01-February-2021 to 28-February-2021</v>
      </c>
      <c r="B423" s="403">
        <f t="shared" si="26"/>
        <v>1457</v>
      </c>
      <c r="C423" s="403">
        <f t="shared" si="26"/>
        <v>984</v>
      </c>
      <c r="D423" s="562"/>
      <c r="E423" s="569"/>
    </row>
    <row r="424" spans="1:5" ht="15.75" customHeight="1" x14ac:dyDescent="0.35">
      <c r="A424" s="94" t="str">
        <f t="shared" si="25"/>
        <v>01-March-2021 to 31-March-2021</v>
      </c>
      <c r="B424" s="403">
        <f t="shared" si="26"/>
        <v>1580</v>
      </c>
      <c r="C424" s="403">
        <f t="shared" si="26"/>
        <v>1090</v>
      </c>
      <c r="D424" s="562"/>
      <c r="E424" s="569"/>
    </row>
    <row r="425" spans="1:5" ht="12.75" customHeight="1" x14ac:dyDescent="0.35">
      <c r="A425" s="94" t="str">
        <f t="shared" si="25"/>
        <v>01-April-2021 to 30-April-2021</v>
      </c>
      <c r="B425" s="403">
        <f t="shared" si="26"/>
        <v>1503</v>
      </c>
      <c r="C425" s="403">
        <f t="shared" si="26"/>
        <v>1068</v>
      </c>
      <c r="D425" s="562"/>
      <c r="E425" s="569"/>
    </row>
    <row r="426" spans="1:5" ht="12.75" customHeight="1" x14ac:dyDescent="0.35">
      <c r="A426" s="94" t="str">
        <f t="shared" si="25"/>
        <v>01-May-2021 to 31-May-2021</v>
      </c>
      <c r="B426" s="403">
        <f t="shared" si="26"/>
        <v>1586</v>
      </c>
      <c r="C426" s="403">
        <f t="shared" si="26"/>
        <v>1099</v>
      </c>
      <c r="D426" s="562"/>
      <c r="E426" s="569"/>
    </row>
    <row r="427" spans="1:5" ht="12.75" customHeight="1" x14ac:dyDescent="0.35">
      <c r="A427" s="94" t="str">
        <f t="shared" si="25"/>
        <v>01-June-2021 to 30-June-2021</v>
      </c>
      <c r="B427" s="403">
        <f t="shared" si="26"/>
        <v>1524</v>
      </c>
      <c r="C427" s="403">
        <f t="shared" si="26"/>
        <v>1039</v>
      </c>
      <c r="D427" s="562"/>
      <c r="E427" s="569"/>
    </row>
    <row r="428" spans="1:5" ht="12.75" customHeight="1" x14ac:dyDescent="0.35">
      <c r="A428" s="94" t="str">
        <f t="shared" si="25"/>
        <v>01-July-2021 to 31-July-2021</v>
      </c>
      <c r="B428" s="403">
        <f t="shared" si="26"/>
        <v>1583</v>
      </c>
      <c r="C428" s="403">
        <f t="shared" si="26"/>
        <v>1080</v>
      </c>
      <c r="D428" s="562"/>
      <c r="E428" s="569"/>
    </row>
    <row r="429" spans="1:5" ht="12.75" customHeight="1" x14ac:dyDescent="0.35">
      <c r="A429" s="94" t="str">
        <f t="shared" si="25"/>
        <v>01-August-2021 to 31-August-2021</v>
      </c>
      <c r="B429" s="403">
        <f t="shared" si="26"/>
        <v>1591</v>
      </c>
      <c r="C429" s="403">
        <f t="shared" si="26"/>
        <v>1081</v>
      </c>
      <c r="D429" s="562"/>
      <c r="E429" s="569"/>
    </row>
    <row r="430" spans="1:5" ht="12.75" customHeight="1" x14ac:dyDescent="0.35">
      <c r="A430" s="94" t="str">
        <f t="shared" si="25"/>
        <v>01-September-2021 to 30-September-2021</v>
      </c>
      <c r="B430" s="403">
        <f t="shared" si="26"/>
        <v>1567</v>
      </c>
      <c r="C430" s="403">
        <f t="shared" si="26"/>
        <v>1050</v>
      </c>
      <c r="D430" s="562"/>
      <c r="E430" s="569"/>
    </row>
    <row r="431" spans="1:5" ht="12.75" customHeight="1" x14ac:dyDescent="0.35">
      <c r="A431" s="94" t="str">
        <f t="shared" si="25"/>
        <v>01-October-2021 to 31-October-2021</v>
      </c>
      <c r="B431" s="403">
        <f t="shared" si="26"/>
        <v>1600</v>
      </c>
      <c r="C431" s="403">
        <f t="shared" si="26"/>
        <v>1100</v>
      </c>
      <c r="D431" s="562"/>
      <c r="E431" s="569"/>
    </row>
    <row r="432" spans="1:5" ht="12.75" customHeight="1" x14ac:dyDescent="0.35">
      <c r="A432" s="94" t="str">
        <f t="shared" si="25"/>
        <v>01-November-2021 to 30-November-2021</v>
      </c>
      <c r="B432" s="403">
        <f t="shared" si="26"/>
        <v>1532</v>
      </c>
      <c r="C432" s="403">
        <f t="shared" si="26"/>
        <v>1052</v>
      </c>
      <c r="D432" s="562"/>
      <c r="E432" s="569"/>
    </row>
    <row r="433" spans="1:6" ht="12.75" customHeight="1" x14ac:dyDescent="0.35">
      <c r="A433" s="94" t="str">
        <f t="shared" si="25"/>
        <v>01-December-2021 to 31-December-2021</v>
      </c>
      <c r="B433" s="403">
        <f t="shared" si="26"/>
        <v>1591</v>
      </c>
      <c r="C433" s="403">
        <f t="shared" si="26"/>
        <v>1080</v>
      </c>
      <c r="D433" s="562"/>
      <c r="E433" s="569"/>
    </row>
    <row r="434" spans="1:6" ht="12.75" customHeight="1" x14ac:dyDescent="0.45">
      <c r="A434" s="96" t="s">
        <v>381</v>
      </c>
      <c r="B434" s="550">
        <f>SUM(B415:B421)+SUM(C415:C421)</f>
        <v>18511</v>
      </c>
      <c r="C434" s="551"/>
      <c r="D434" s="562"/>
      <c r="E434" s="569"/>
    </row>
    <row r="435" spans="1:6" ht="12.75" customHeight="1" x14ac:dyDescent="0.45">
      <c r="A435" s="96" t="s">
        <v>380</v>
      </c>
      <c r="B435" s="550">
        <f>SUM(B422:B433)+SUM(C422:C433)</f>
        <v>31536</v>
      </c>
      <c r="C435" s="551"/>
      <c r="D435" s="562"/>
      <c r="E435" s="569"/>
    </row>
    <row r="436" spans="1:6" ht="16" thickBot="1" x14ac:dyDescent="0.5">
      <c r="A436" s="97" t="s">
        <v>357</v>
      </c>
      <c r="B436" s="557">
        <f>B434+B435</f>
        <v>50047</v>
      </c>
      <c r="C436" s="558"/>
      <c r="D436" s="564"/>
      <c r="E436" s="570"/>
    </row>
    <row r="437" spans="1:6" x14ac:dyDescent="0.35">
      <c r="A437" s="347"/>
    </row>
    <row r="438" spans="1:6" ht="14" thickBot="1" x14ac:dyDescent="0.4"/>
    <row r="439" spans="1:6" ht="15.5" x14ac:dyDescent="0.45">
      <c r="A439" s="404" t="s">
        <v>358</v>
      </c>
      <c r="B439" s="405">
        <f>B440+B441</f>
        <v>46883</v>
      </c>
      <c r="C439" s="621" t="s">
        <v>184</v>
      </c>
      <c r="D439" s="167"/>
    </row>
    <row r="440" spans="1:6" x14ac:dyDescent="0.35">
      <c r="A440" s="96" t="s">
        <v>254</v>
      </c>
      <c r="B440" s="406">
        <f>B360</f>
        <v>17341</v>
      </c>
      <c r="C440" s="621"/>
      <c r="D440" s="167"/>
    </row>
    <row r="441" spans="1:6" x14ac:dyDescent="0.35">
      <c r="A441" s="96" t="s">
        <v>256</v>
      </c>
      <c r="B441" s="406">
        <f>B361</f>
        <v>29542</v>
      </c>
      <c r="C441" s="621"/>
      <c r="D441" s="167"/>
    </row>
    <row r="442" spans="1:6" ht="15.5" x14ac:dyDescent="0.45">
      <c r="A442" s="402" t="s">
        <v>359</v>
      </c>
      <c r="B442" s="406">
        <f>B443+B444</f>
        <v>50047</v>
      </c>
      <c r="C442" s="621"/>
      <c r="D442" s="167"/>
      <c r="F442" s="407"/>
    </row>
    <row r="443" spans="1:6" x14ac:dyDescent="0.35">
      <c r="A443" s="96" t="str">
        <f>A440</f>
        <v>10-June-2020 to 31-December-2020</v>
      </c>
      <c r="B443" s="406">
        <f>B434</f>
        <v>18511</v>
      </c>
      <c r="C443" s="621"/>
      <c r="D443" s="167"/>
      <c r="F443" s="407"/>
    </row>
    <row r="444" spans="1:6" x14ac:dyDescent="0.35">
      <c r="A444" s="96" t="str">
        <f>A441</f>
        <v>01-January-2021 to 31-December-2021</v>
      </c>
      <c r="B444" s="406">
        <f>B435</f>
        <v>31536</v>
      </c>
      <c r="C444" s="621"/>
      <c r="D444" s="167"/>
      <c r="F444" s="407"/>
    </row>
    <row r="445" spans="1:6" ht="15.5" x14ac:dyDescent="0.45">
      <c r="A445" s="402" t="s">
        <v>360</v>
      </c>
      <c r="B445" s="406">
        <f>B446+B447</f>
        <v>2651</v>
      </c>
      <c r="C445" s="621"/>
      <c r="D445" s="167"/>
      <c r="E445" s="408"/>
    </row>
    <row r="446" spans="1:6" x14ac:dyDescent="0.35">
      <c r="A446" s="96" t="str">
        <f>A443</f>
        <v>10-June-2020 to 31-December-2020</v>
      </c>
      <c r="B446" s="406">
        <f>B140</f>
        <v>981</v>
      </c>
      <c r="C446" s="621"/>
      <c r="D446" s="167"/>
      <c r="E446" s="408"/>
    </row>
    <row r="447" spans="1:6" x14ac:dyDescent="0.35">
      <c r="A447" s="96" t="str">
        <f>A441</f>
        <v>01-January-2021 to 31-December-2021</v>
      </c>
      <c r="B447" s="406">
        <f>B141</f>
        <v>1670</v>
      </c>
      <c r="C447" s="621"/>
      <c r="D447" s="167"/>
      <c r="E447" s="408"/>
    </row>
    <row r="448" spans="1:6" ht="15.5" x14ac:dyDescent="0.45">
      <c r="A448" s="402" t="s">
        <v>361</v>
      </c>
      <c r="B448" s="406">
        <f>B449+B450</f>
        <v>9550</v>
      </c>
      <c r="C448" s="621"/>
    </row>
    <row r="449" spans="1:5" x14ac:dyDescent="0.35">
      <c r="A449" s="96" t="str">
        <f>A446</f>
        <v>10-June-2020 to 31-December-2020</v>
      </c>
      <c r="B449" s="406">
        <f>B276</f>
        <v>3533</v>
      </c>
      <c r="C449" s="621"/>
    </row>
    <row r="450" spans="1:5" x14ac:dyDescent="0.35">
      <c r="A450" s="96" t="str">
        <f>A441</f>
        <v>01-January-2021 to 31-December-2021</v>
      </c>
      <c r="B450" s="406">
        <f>B277</f>
        <v>6017</v>
      </c>
      <c r="C450" s="621"/>
    </row>
    <row r="451" spans="1:5" x14ac:dyDescent="0.35">
      <c r="A451" s="409"/>
      <c r="B451" s="343"/>
      <c r="C451" s="621"/>
    </row>
    <row r="452" spans="1:5" x14ac:dyDescent="0.35">
      <c r="A452" s="402" t="s">
        <v>105</v>
      </c>
      <c r="B452" s="410">
        <f>B453+B454</f>
        <v>10063</v>
      </c>
      <c r="C452" s="621"/>
    </row>
    <row r="453" spans="1:5" x14ac:dyDescent="0.35">
      <c r="A453" s="96" t="str">
        <f>A449</f>
        <v>10-June-2020 to 31-December-2020</v>
      </c>
      <c r="B453" s="410">
        <f>ROUNDUP(B443-B440+B449-B446,0)</f>
        <v>3722</v>
      </c>
      <c r="C453" s="621"/>
    </row>
    <row r="454" spans="1:5" ht="14" thickBot="1" x14ac:dyDescent="0.4">
      <c r="A454" s="372" t="str">
        <f>A441</f>
        <v>01-January-2021 to 31-December-2021</v>
      </c>
      <c r="B454" s="411">
        <f>ROUNDUP(B444-B441+B450-B447,0)</f>
        <v>6341</v>
      </c>
      <c r="C454" s="621"/>
    </row>
    <row r="455" spans="1:5" x14ac:dyDescent="0.35">
      <c r="A455" s="347"/>
      <c r="B455" s="412"/>
    </row>
    <row r="456" spans="1:5" x14ac:dyDescent="0.35">
      <c r="A456" s="347"/>
      <c r="B456" s="412"/>
    </row>
    <row r="457" spans="1:5" x14ac:dyDescent="0.35">
      <c r="A457" s="347"/>
      <c r="B457" s="412"/>
    </row>
    <row r="458" spans="1:5" ht="15" x14ac:dyDescent="0.4">
      <c r="A458" s="413"/>
      <c r="B458" s="414"/>
    </row>
    <row r="459" spans="1:5" x14ac:dyDescent="0.35">
      <c r="A459" s="274"/>
      <c r="B459" s="274"/>
      <c r="C459" s="415"/>
      <c r="D459" s="274"/>
    </row>
    <row r="460" spans="1:5" x14ac:dyDescent="0.35">
      <c r="A460" s="274"/>
      <c r="B460" s="274"/>
      <c r="D460" s="416"/>
      <c r="E460" s="407"/>
    </row>
    <row r="461" spans="1:5" x14ac:dyDescent="0.35">
      <c r="A461" s="274"/>
      <c r="B461" s="274"/>
      <c r="D461" s="274"/>
    </row>
    <row r="462" spans="1:5" x14ac:dyDescent="0.35">
      <c r="A462" s="274"/>
      <c r="B462" s="274"/>
      <c r="C462" s="417"/>
      <c r="D462" s="274"/>
    </row>
    <row r="467" spans="1:5" x14ac:dyDescent="0.35">
      <c r="A467" s="418" t="s">
        <v>362</v>
      </c>
      <c r="B467" s="419"/>
      <c r="C467" s="419"/>
      <c r="D467" s="420"/>
      <c r="E467" s="420"/>
    </row>
    <row r="468" spans="1:5" x14ac:dyDescent="0.35">
      <c r="A468" s="421" t="s">
        <v>3</v>
      </c>
      <c r="B468" s="421" t="s">
        <v>20</v>
      </c>
      <c r="C468" s="421"/>
      <c r="D468" s="421" t="s">
        <v>2</v>
      </c>
      <c r="E468" s="421" t="s">
        <v>4</v>
      </c>
    </row>
    <row r="469" spans="1:5" x14ac:dyDescent="0.35">
      <c r="A469" s="421"/>
      <c r="B469" s="421" t="str">
        <f>'Baseline Emission'!B10</f>
        <v>Market Swine</v>
      </c>
      <c r="C469" s="421" t="str">
        <f>'Baseline Emission'!C10</f>
        <v>Breeding Swine</v>
      </c>
      <c r="D469" s="421"/>
      <c r="E469" s="421"/>
    </row>
    <row r="470" spans="1:5" x14ac:dyDescent="0.35">
      <c r="A470" s="422" t="s">
        <v>363</v>
      </c>
      <c r="B470" s="423">
        <v>0.01</v>
      </c>
      <c r="C470" s="424">
        <v>0.02</v>
      </c>
      <c r="D470" s="419" t="s">
        <v>17</v>
      </c>
      <c r="E470" s="425" t="s">
        <v>7</v>
      </c>
    </row>
    <row r="471" spans="1:5" ht="15.5" x14ac:dyDescent="0.35">
      <c r="A471" s="422" t="s">
        <v>364</v>
      </c>
      <c r="B471" s="426">
        <f>'Baseline Emission'!B15</f>
        <v>0</v>
      </c>
      <c r="C471" s="426">
        <f>'Baseline Emission'!C15</f>
        <v>0</v>
      </c>
      <c r="D471" s="419" t="s">
        <v>18</v>
      </c>
      <c r="E471" s="420" t="s">
        <v>29</v>
      </c>
    </row>
    <row r="472" spans="1:5" x14ac:dyDescent="0.35">
      <c r="A472" s="427" t="s">
        <v>26</v>
      </c>
      <c r="B472" s="426">
        <v>1</v>
      </c>
      <c r="C472" s="426">
        <v>1</v>
      </c>
      <c r="D472" s="419"/>
      <c r="E472" s="420" t="s">
        <v>7</v>
      </c>
    </row>
    <row r="473" spans="1:5" x14ac:dyDescent="0.35">
      <c r="A473" s="427" t="s">
        <v>365</v>
      </c>
      <c r="B473" s="428">
        <v>0.36</v>
      </c>
      <c r="C473" s="424">
        <v>0.39</v>
      </c>
      <c r="D473" s="419" t="s">
        <v>19</v>
      </c>
      <c r="E473" s="420" t="s">
        <v>7</v>
      </c>
    </row>
    <row r="474" spans="1:5" x14ac:dyDescent="0.35">
      <c r="A474" s="427" t="s">
        <v>27</v>
      </c>
      <c r="B474" s="429">
        <v>0.7</v>
      </c>
      <c r="C474" s="429">
        <v>0.7</v>
      </c>
      <c r="D474" s="419"/>
      <c r="E474" s="420" t="s">
        <v>33</v>
      </c>
    </row>
    <row r="475" spans="1:5" x14ac:dyDescent="0.35">
      <c r="A475" s="430" t="s">
        <v>22</v>
      </c>
      <c r="B475" s="431">
        <f>21*0.00067*365*B470*B471*B473*(1-B474)</f>
        <v>0</v>
      </c>
      <c r="C475" s="431">
        <f>21*0.00067*365*C470*C471*C473*(1-C474)</f>
        <v>0</v>
      </c>
      <c r="D475" s="418"/>
      <c r="E475" s="418" t="s">
        <v>31</v>
      </c>
    </row>
    <row r="476" spans="1:5" x14ac:dyDescent="0.35">
      <c r="A476" s="418" t="s">
        <v>28</v>
      </c>
      <c r="B476" s="432">
        <f>ROUND(B475+C475,0)</f>
        <v>0</v>
      </c>
      <c r="C476" s="421"/>
      <c r="D476" s="418"/>
      <c r="E476" s="418"/>
    </row>
  </sheetData>
  <customSheetViews>
    <customSheetView guid="{2C071143-29D6-4036-A926-BF7E54293313}" hiddenRows="1" showRuler="0" topLeftCell="A123">
      <selection activeCell="B81" sqref="B81"/>
      <pageMargins left="0.75" right="0.75" top="1" bottom="1" header="0.5" footer="0.5"/>
      <pageSetup paperSize="9" orientation="portrait" horizontalDpi="300" verticalDpi="300" r:id="rId1"/>
      <headerFooter alignWithMargins="0"/>
    </customSheetView>
  </customSheetViews>
  <mergeCells count="64">
    <mergeCell ref="C439:C454"/>
    <mergeCell ref="E415:E436"/>
    <mergeCell ref="D390:D409"/>
    <mergeCell ref="E390:E409"/>
    <mergeCell ref="E317:E336"/>
    <mergeCell ref="E341:E362"/>
    <mergeCell ref="D370:D389"/>
    <mergeCell ref="E370:E389"/>
    <mergeCell ref="D297:D315"/>
    <mergeCell ref="E94:E116"/>
    <mergeCell ref="E117:E139"/>
    <mergeCell ref="E140:E142"/>
    <mergeCell ref="D161:D179"/>
    <mergeCell ref="E161:E179"/>
    <mergeCell ref="D207:D275"/>
    <mergeCell ref="B435:C435"/>
    <mergeCell ref="D24:D43"/>
    <mergeCell ref="E24:E43"/>
    <mergeCell ref="D44:D63"/>
    <mergeCell ref="E44:E63"/>
    <mergeCell ref="D71:D93"/>
    <mergeCell ref="E71:E93"/>
    <mergeCell ref="E200:E201"/>
    <mergeCell ref="E411:E412"/>
    <mergeCell ref="D94:D116"/>
    <mergeCell ref="E180:E199"/>
    <mergeCell ref="E297:E315"/>
    <mergeCell ref="D180:D199"/>
    <mergeCell ref="D276:D278"/>
    <mergeCell ref="D117:D139"/>
    <mergeCell ref="D140:D142"/>
    <mergeCell ref="E207:E278"/>
    <mergeCell ref="B436:C436"/>
    <mergeCell ref="D341:D362"/>
    <mergeCell ref="B251:C251"/>
    <mergeCell ref="B273:C273"/>
    <mergeCell ref="B274:C274"/>
    <mergeCell ref="B276:C276"/>
    <mergeCell ref="B277:C277"/>
    <mergeCell ref="B278:C278"/>
    <mergeCell ref="D317:D336"/>
    <mergeCell ref="D415:D436"/>
    <mergeCell ref="B275:C275"/>
    <mergeCell ref="B360:C360"/>
    <mergeCell ref="B361:C361"/>
    <mergeCell ref="B362:C362"/>
    <mergeCell ref="B434:C434"/>
    <mergeCell ref="B91:C91"/>
    <mergeCell ref="B92:C92"/>
    <mergeCell ref="B114:C114"/>
    <mergeCell ref="B115:C115"/>
    <mergeCell ref="B137:C137"/>
    <mergeCell ref="B138:C138"/>
    <mergeCell ref="B93:C93"/>
    <mergeCell ref="B116:C116"/>
    <mergeCell ref="B139:C139"/>
    <mergeCell ref="B252:C252"/>
    <mergeCell ref="B229:C229"/>
    <mergeCell ref="B140:C140"/>
    <mergeCell ref="B141:C141"/>
    <mergeCell ref="B142:C142"/>
    <mergeCell ref="B227:C227"/>
    <mergeCell ref="B228:C228"/>
    <mergeCell ref="B250:C250"/>
  </mergeCells>
  <phoneticPr fontId="0" type="noConversion"/>
  <pageMargins left="0.75" right="0.75" top="1" bottom="1" header="0.5" footer="0.5"/>
  <pageSetup paperSize="9" orientation="portrait" horizontalDpi="300" verticalDpi="300"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4:G8"/>
  <sheetViews>
    <sheetView zoomScale="90" zoomScaleNormal="90" workbookViewId="0">
      <selection activeCell="I29" sqref="I29"/>
    </sheetView>
  </sheetViews>
  <sheetFormatPr defaultRowHeight="13.5" x14ac:dyDescent="0.35"/>
  <cols>
    <col min="1" max="2" width="8.7265625" style="51"/>
    <col min="3" max="3" width="37.90625" style="51" bestFit="1" customWidth="1"/>
    <col min="4" max="4" width="31.453125" style="51" bestFit="1" customWidth="1"/>
    <col min="5" max="5" width="28.81640625" style="51" bestFit="1" customWidth="1"/>
    <col min="6" max="6" width="30.54296875" style="51" bestFit="1" customWidth="1"/>
    <col min="7" max="7" width="34.54296875" style="51" bestFit="1" customWidth="1"/>
    <col min="8" max="16384" width="8.7265625" style="51"/>
  </cols>
  <sheetData>
    <row r="4" spans="3:7" ht="14" thickBot="1" x14ac:dyDescent="0.4"/>
    <row r="5" spans="3:7" ht="18" x14ac:dyDescent="0.35">
      <c r="C5" s="98" t="s">
        <v>132</v>
      </c>
      <c r="D5" s="99" t="s">
        <v>197</v>
      </c>
      <c r="E5" s="99" t="s">
        <v>198</v>
      </c>
      <c r="F5" s="99" t="s">
        <v>199</v>
      </c>
      <c r="G5" s="100" t="s">
        <v>200</v>
      </c>
    </row>
    <row r="6" spans="3:7" ht="28.5" customHeight="1" x14ac:dyDescent="0.35">
      <c r="C6" s="101" t="s">
        <v>255</v>
      </c>
      <c r="D6" s="102">
        <f>'Baseline Emission'!B327</f>
        <v>81830</v>
      </c>
      <c r="E6" s="103">
        <f>'Project Emission'!B467</f>
        <v>9105</v>
      </c>
      <c r="F6" s="104">
        <f>'Leakage Emission'!B453</f>
        <v>3722</v>
      </c>
      <c r="G6" s="105">
        <f>D6-E6-F6</f>
        <v>69003</v>
      </c>
    </row>
    <row r="7" spans="3:7" ht="24.75" customHeight="1" x14ac:dyDescent="0.35">
      <c r="C7" s="101" t="s">
        <v>257</v>
      </c>
      <c r="D7" s="102">
        <f>'Baseline Emission'!B328</f>
        <v>139402</v>
      </c>
      <c r="E7" s="103">
        <f>'Project Emission'!B468</f>
        <v>15823</v>
      </c>
      <c r="F7" s="104">
        <f>'Leakage Emission'!B454</f>
        <v>6341</v>
      </c>
      <c r="G7" s="105">
        <f>D7-E7-F7</f>
        <v>117238</v>
      </c>
    </row>
    <row r="8" spans="3:7" ht="28" customHeight="1" thickBot="1" x14ac:dyDescent="0.4">
      <c r="C8" s="106" t="s">
        <v>133</v>
      </c>
      <c r="D8" s="107">
        <f>SUM(D6:D7)</f>
        <v>221232</v>
      </c>
      <c r="E8" s="107">
        <f>SUM(E6:E7)</f>
        <v>24928</v>
      </c>
      <c r="F8" s="107">
        <f>SUM(F6:F7)</f>
        <v>10063</v>
      </c>
      <c r="G8" s="108">
        <f>SUM(G6:G7)</f>
        <v>186241</v>
      </c>
    </row>
  </sheetData>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93"/>
  <sheetViews>
    <sheetView topLeftCell="A31" zoomScaleNormal="100" workbookViewId="0">
      <selection activeCell="F30" sqref="F30"/>
    </sheetView>
  </sheetViews>
  <sheetFormatPr defaultRowHeight="13.5" x14ac:dyDescent="0.35"/>
  <cols>
    <col min="1" max="1" width="37.26953125" style="51" bestFit="1" customWidth="1"/>
    <col min="2" max="2" width="14.453125" style="51" customWidth="1"/>
    <col min="3" max="3" width="14.7265625" style="51" customWidth="1"/>
    <col min="4" max="4" width="13.26953125" style="51" customWidth="1"/>
    <col min="5" max="5" width="19.1796875" style="51" customWidth="1"/>
    <col min="6" max="6" width="17.54296875" style="51" customWidth="1"/>
    <col min="7" max="7" width="37.26953125" style="51" bestFit="1" customWidth="1"/>
    <col min="8" max="8" width="15.453125" style="51" customWidth="1"/>
    <col min="9" max="9" width="20.453125" style="51" customWidth="1"/>
    <col min="10" max="10" width="9.6328125" style="51" bestFit="1" customWidth="1"/>
    <col min="11" max="11" width="8.81640625" style="51" bestFit="1" customWidth="1"/>
    <col min="12" max="12" width="15" style="51" bestFit="1" customWidth="1"/>
    <col min="13" max="13" width="16.1796875" style="51" customWidth="1"/>
    <col min="14" max="14" width="17.54296875" style="51" customWidth="1"/>
    <col min="15" max="15" width="12.1796875" style="51" customWidth="1"/>
    <col min="16" max="16" width="9" style="51" customWidth="1"/>
    <col min="17" max="17" width="20.453125" style="51" customWidth="1"/>
    <col min="18" max="18" width="10.81640625" style="51" bestFit="1" customWidth="1"/>
    <col min="19" max="19" width="8.7265625" style="51"/>
    <col min="20" max="20" width="9.81640625" style="51" bestFit="1" customWidth="1"/>
    <col min="21" max="16384" width="8.7265625" style="51"/>
  </cols>
  <sheetData>
    <row r="1" spans="1:10" ht="33.75" customHeight="1" thickBot="1" x14ac:dyDescent="0.4"/>
    <row r="2" spans="1:10" ht="14.25" customHeight="1" x14ac:dyDescent="0.45">
      <c r="A2" s="582" t="s">
        <v>405</v>
      </c>
      <c r="B2" s="583"/>
      <c r="C2" s="583"/>
      <c r="D2" s="583"/>
      <c r="E2" s="584"/>
      <c r="G2" s="582" t="s">
        <v>131</v>
      </c>
      <c r="H2" s="583"/>
      <c r="I2" s="584"/>
    </row>
    <row r="3" spans="1:10" ht="29" x14ac:dyDescent="0.35">
      <c r="A3" s="586" t="s">
        <v>73</v>
      </c>
      <c r="B3" s="444" t="s">
        <v>201</v>
      </c>
      <c r="C3" s="444"/>
      <c r="D3" s="444" t="s">
        <v>202</v>
      </c>
      <c r="E3" s="585"/>
      <c r="G3" s="109" t="s">
        <v>73</v>
      </c>
      <c r="H3" s="110" t="s">
        <v>203</v>
      </c>
      <c r="I3" s="111" t="s">
        <v>130</v>
      </c>
    </row>
    <row r="4" spans="1:10" ht="12.75" customHeight="1" x14ac:dyDescent="0.35">
      <c r="A4" s="587"/>
      <c r="B4" s="459" t="s">
        <v>35</v>
      </c>
      <c r="C4" s="459" t="s">
        <v>94</v>
      </c>
      <c r="D4" s="459" t="s">
        <v>35</v>
      </c>
      <c r="E4" s="538" t="s">
        <v>94</v>
      </c>
      <c r="G4" s="112" t="str">
        <f t="shared" ref="G4:G22" si="0">A6</f>
        <v>10-June-2020 to 30-June-2020</v>
      </c>
      <c r="H4" s="433">
        <v>32.014750000000006</v>
      </c>
      <c r="I4" s="579" t="s">
        <v>127</v>
      </c>
      <c r="J4" s="148"/>
    </row>
    <row r="5" spans="1:10" x14ac:dyDescent="0.35">
      <c r="A5" s="588"/>
      <c r="B5" s="457"/>
      <c r="C5" s="457"/>
      <c r="D5" s="457"/>
      <c r="E5" s="540"/>
      <c r="F5" s="113"/>
      <c r="G5" s="112" t="str">
        <f t="shared" si="0"/>
        <v>01-July-2020 to 31-July-2020</v>
      </c>
      <c r="H5" s="433">
        <v>33.897970000000001</v>
      </c>
      <c r="I5" s="580"/>
      <c r="J5" s="148"/>
    </row>
    <row r="6" spans="1:10" x14ac:dyDescent="0.35">
      <c r="A6" s="623" t="s">
        <v>253</v>
      </c>
      <c r="B6" s="114">
        <f>'2020.6'!D142</f>
        <v>94708</v>
      </c>
      <c r="C6" s="114">
        <f>'2020.6'!E142</f>
        <v>51811</v>
      </c>
      <c r="D6" s="115">
        <f>'2020.6'!C146</f>
        <v>58</v>
      </c>
      <c r="E6" s="116">
        <f>'2020.6'!D146</f>
        <v>72.099999999999994</v>
      </c>
      <c r="F6" s="113"/>
      <c r="G6" s="112" t="str">
        <f t="shared" si="0"/>
        <v>01-August-2020 to 31-August-2020</v>
      </c>
      <c r="H6" s="433">
        <v>30.445399999999999</v>
      </c>
      <c r="I6" s="580"/>
      <c r="J6" s="148"/>
    </row>
    <row r="7" spans="1:10" x14ac:dyDescent="0.35">
      <c r="A7" s="623" t="s">
        <v>235</v>
      </c>
      <c r="B7" s="114">
        <f>'2020.7'!D142</f>
        <v>94708</v>
      </c>
      <c r="C7" s="114">
        <f>'2020.7'!E142</f>
        <v>51845</v>
      </c>
      <c r="D7" s="115">
        <f>'2020.7'!C146</f>
        <v>57.7</v>
      </c>
      <c r="E7" s="116">
        <f>'2020.7'!D146</f>
        <v>71.400000000000006</v>
      </c>
      <c r="F7" s="113"/>
      <c r="G7" s="112" t="str">
        <f t="shared" si="0"/>
        <v>01-September-2020 to 30-September-2020</v>
      </c>
      <c r="H7" s="433">
        <v>31.073139999999999</v>
      </c>
      <c r="I7" s="580"/>
      <c r="J7" s="148"/>
    </row>
    <row r="8" spans="1:10" x14ac:dyDescent="0.35">
      <c r="A8" s="623" t="s">
        <v>236</v>
      </c>
      <c r="B8" s="114">
        <f>'2020.8'!D142</f>
        <v>94708</v>
      </c>
      <c r="C8" s="114">
        <f>'2020.8'!E142</f>
        <v>51842</v>
      </c>
      <c r="D8" s="115">
        <f>'2020.8'!C146</f>
        <v>57.4</v>
      </c>
      <c r="E8" s="116">
        <f>'2020.8'!D146</f>
        <v>73.099999999999994</v>
      </c>
      <c r="F8" s="113"/>
      <c r="G8" s="112" t="str">
        <f t="shared" si="0"/>
        <v>01-October-2020 to 31-October-2020</v>
      </c>
      <c r="H8" s="433">
        <v>35.153450000000007</v>
      </c>
      <c r="I8" s="580"/>
      <c r="J8" s="148"/>
    </row>
    <row r="9" spans="1:10" x14ac:dyDescent="0.35">
      <c r="A9" s="623" t="s">
        <v>237</v>
      </c>
      <c r="B9" s="114">
        <f>'2020.9'!D142</f>
        <v>94708</v>
      </c>
      <c r="C9" s="114">
        <f>'2020.9'!E142</f>
        <v>51855</v>
      </c>
      <c r="D9" s="115">
        <f>'2020.9'!C146</f>
        <v>59</v>
      </c>
      <c r="E9" s="116">
        <f>'2020.9'!D146</f>
        <v>72.2</v>
      </c>
      <c r="F9" s="113"/>
      <c r="G9" s="112" t="str">
        <f t="shared" si="0"/>
        <v>01-November-2020 to 30-November-2020</v>
      </c>
      <c r="H9" s="433">
        <v>34.211840000000002</v>
      </c>
      <c r="I9" s="580"/>
      <c r="J9" s="148"/>
    </row>
    <row r="10" spans="1:10" x14ac:dyDescent="0.35">
      <c r="A10" s="623" t="s">
        <v>238</v>
      </c>
      <c r="B10" s="114">
        <f>'2020.10'!D142</f>
        <v>94708</v>
      </c>
      <c r="C10" s="114">
        <f>'2020.10'!E142</f>
        <v>51808</v>
      </c>
      <c r="D10" s="115">
        <f>'2020.10'!C146</f>
        <v>58.7</v>
      </c>
      <c r="E10" s="116">
        <f>'2020.10'!D146</f>
        <v>71.7</v>
      </c>
      <c r="F10" s="113"/>
      <c r="G10" s="112" t="str">
        <f t="shared" si="0"/>
        <v>01-December-2020 to 31-December-2020</v>
      </c>
      <c r="H10" s="433">
        <v>33.584100000000007</v>
      </c>
      <c r="I10" s="580"/>
      <c r="J10" s="148"/>
    </row>
    <row r="11" spans="1:10" x14ac:dyDescent="0.35">
      <c r="A11" s="623" t="s">
        <v>239</v>
      </c>
      <c r="B11" s="114">
        <f>'2020.11'!D142</f>
        <v>94708</v>
      </c>
      <c r="C11" s="114">
        <f>'2020.11'!E142</f>
        <v>51858</v>
      </c>
      <c r="D11" s="115">
        <f>'2020.11'!C146</f>
        <v>58.7</v>
      </c>
      <c r="E11" s="116">
        <f>'2020.11'!D146</f>
        <v>73.2</v>
      </c>
      <c r="F11" s="113"/>
      <c r="G11" s="112" t="str">
        <f t="shared" si="0"/>
        <v>01-January-2021 to 31-January-2021</v>
      </c>
      <c r="H11" s="433">
        <v>32.642490000000002</v>
      </c>
      <c r="I11" s="580"/>
      <c r="J11" s="148"/>
    </row>
    <row r="12" spans="1:10" x14ac:dyDescent="0.35">
      <c r="A12" s="623" t="s">
        <v>240</v>
      </c>
      <c r="B12" s="114">
        <f>'2020.12'!D142</f>
        <v>94708</v>
      </c>
      <c r="C12" s="114">
        <f>'2020.12'!E142</f>
        <v>51872</v>
      </c>
      <c r="D12" s="115">
        <f>'2020.12'!C146</f>
        <v>57.8</v>
      </c>
      <c r="E12" s="116">
        <f>'2020.12'!D146</f>
        <v>74.2</v>
      </c>
      <c r="F12" s="113"/>
      <c r="G12" s="112" t="str">
        <f t="shared" si="0"/>
        <v>01-February-2021 to 28-February-2021</v>
      </c>
      <c r="H12" s="433">
        <v>33.897970000000001</v>
      </c>
      <c r="I12" s="580"/>
      <c r="J12" s="148"/>
    </row>
    <row r="13" spans="1:10" x14ac:dyDescent="0.35">
      <c r="A13" s="623" t="s">
        <v>241</v>
      </c>
      <c r="B13" s="114">
        <f>'2021.1'!D142</f>
        <v>94708</v>
      </c>
      <c r="C13" s="114">
        <f>'2021.1'!E142</f>
        <v>51865</v>
      </c>
      <c r="D13" s="115">
        <f>'2021.1'!C146</f>
        <v>59.1</v>
      </c>
      <c r="E13" s="116">
        <f>'2021.1'!D146</f>
        <v>72</v>
      </c>
      <c r="F13" s="113"/>
      <c r="G13" s="112" t="str">
        <f t="shared" si="0"/>
        <v>01-March-2021 to 31-March-2021</v>
      </c>
      <c r="H13" s="433">
        <v>35.467320000000001</v>
      </c>
      <c r="I13" s="580"/>
      <c r="J13" s="148"/>
    </row>
    <row r="14" spans="1:10" x14ac:dyDescent="0.35">
      <c r="A14" s="623" t="s">
        <v>242</v>
      </c>
      <c r="B14" s="114">
        <f>'2021.2'!D142</f>
        <v>94708</v>
      </c>
      <c r="C14" s="114">
        <f>'2021.2'!E142</f>
        <v>51889</v>
      </c>
      <c r="D14" s="115">
        <f>'2021.2'!C146</f>
        <v>58.9</v>
      </c>
      <c r="E14" s="116">
        <f>'2021.2'!D146</f>
        <v>72.599999999999994</v>
      </c>
      <c r="F14" s="113"/>
      <c r="G14" s="112" t="str">
        <f t="shared" si="0"/>
        <v>01-April-2021 to 30-April-2021</v>
      </c>
      <c r="H14" s="433">
        <v>33.897970000000001</v>
      </c>
      <c r="I14" s="580"/>
      <c r="J14" s="148"/>
    </row>
    <row r="15" spans="1:10" x14ac:dyDescent="0.35">
      <c r="A15" s="623" t="s">
        <v>243</v>
      </c>
      <c r="B15" s="114">
        <f>'2021.3'!D142</f>
        <v>94708</v>
      </c>
      <c r="C15" s="114">
        <f>'2021.3'!E142</f>
        <v>51838</v>
      </c>
      <c r="D15" s="115">
        <f>'2021.3'!C146</f>
        <v>57.7</v>
      </c>
      <c r="E15" s="116">
        <f>'2021.3'!D146</f>
        <v>72.7</v>
      </c>
      <c r="F15" s="113"/>
      <c r="G15" s="112" t="str">
        <f t="shared" si="0"/>
        <v>01-May-2021 to 31-May-2021</v>
      </c>
      <c r="H15" s="433">
        <v>30.131529999999998</v>
      </c>
      <c r="I15" s="580"/>
      <c r="J15" s="148"/>
    </row>
    <row r="16" spans="1:10" x14ac:dyDescent="0.35">
      <c r="A16" s="623" t="s">
        <v>244</v>
      </c>
      <c r="B16" s="114">
        <f>'2021.4'!D142</f>
        <v>94708</v>
      </c>
      <c r="C16" s="114">
        <f>'2021.4'!E142</f>
        <v>51829</v>
      </c>
      <c r="D16" s="115">
        <f>'2021.4'!C146</f>
        <v>56.7</v>
      </c>
      <c r="E16" s="116">
        <f>'2021.4'!D146</f>
        <v>73.599999999999994</v>
      </c>
      <c r="F16" s="113"/>
      <c r="G16" s="112" t="str">
        <f t="shared" si="0"/>
        <v>01-June-2021 to 30-June-2021</v>
      </c>
      <c r="H16" s="433">
        <v>30.131529999999998</v>
      </c>
      <c r="I16" s="580"/>
      <c r="J16" s="148"/>
    </row>
    <row r="17" spans="1:10" x14ac:dyDescent="0.35">
      <c r="A17" s="623" t="s">
        <v>245</v>
      </c>
      <c r="B17" s="114">
        <f>'2021.5'!D142</f>
        <v>94708</v>
      </c>
      <c r="C17" s="114">
        <f>'2021.5'!E142</f>
        <v>51836</v>
      </c>
      <c r="D17" s="115">
        <f>'2021.5'!C146</f>
        <v>57.9</v>
      </c>
      <c r="E17" s="116">
        <f>'2021.5'!D146</f>
        <v>73.3</v>
      </c>
      <c r="F17" s="113"/>
      <c r="G17" s="112" t="str">
        <f t="shared" si="0"/>
        <v>01-July-2021 to 31-July-2021</v>
      </c>
      <c r="H17" s="433">
        <v>32.956360000000004</v>
      </c>
      <c r="I17" s="580"/>
      <c r="J17" s="148"/>
    </row>
    <row r="18" spans="1:10" x14ac:dyDescent="0.35">
      <c r="A18" s="623" t="s">
        <v>246</v>
      </c>
      <c r="B18" s="114">
        <f>'2021.6'!D142</f>
        <v>94708</v>
      </c>
      <c r="C18" s="114">
        <f>'2021.6'!E142</f>
        <v>51849</v>
      </c>
      <c r="D18" s="115">
        <f>'2021.6'!C146</f>
        <v>57.5</v>
      </c>
      <c r="E18" s="116">
        <f>'2021.6'!D146</f>
        <v>71.599999999999994</v>
      </c>
      <c r="F18" s="113"/>
      <c r="G18" s="112" t="str">
        <f t="shared" si="0"/>
        <v>01-August-2021 to 31-August-2021</v>
      </c>
      <c r="H18" s="433">
        <v>32.956360000000004</v>
      </c>
      <c r="I18" s="580"/>
      <c r="J18" s="148"/>
    </row>
    <row r="19" spans="1:10" x14ac:dyDescent="0.35">
      <c r="A19" s="623" t="s">
        <v>247</v>
      </c>
      <c r="B19" s="114">
        <f>'2021.7'!D142</f>
        <v>94708</v>
      </c>
      <c r="C19" s="114">
        <f>'2021.7'!E142</f>
        <v>51854</v>
      </c>
      <c r="D19" s="115">
        <f>'2021.7'!C146</f>
        <v>57.8</v>
      </c>
      <c r="E19" s="116">
        <f>'2021.7'!D146</f>
        <v>72</v>
      </c>
      <c r="F19" s="113"/>
      <c r="G19" s="112" t="str">
        <f t="shared" si="0"/>
        <v>01-September-2021 to 30-September-2021</v>
      </c>
      <c r="H19" s="433">
        <v>32.956360000000004</v>
      </c>
      <c r="I19" s="580"/>
      <c r="J19" s="148"/>
    </row>
    <row r="20" spans="1:10" x14ac:dyDescent="0.35">
      <c r="A20" s="623" t="s">
        <v>248</v>
      </c>
      <c r="B20" s="117">
        <f>'2021.8'!D142</f>
        <v>94708</v>
      </c>
      <c r="C20" s="117">
        <f>'2021.8'!E142</f>
        <v>51815</v>
      </c>
      <c r="D20" s="115">
        <f>'2021.8'!C146</f>
        <v>58.1</v>
      </c>
      <c r="E20" s="116">
        <f>'2021.8'!D146</f>
        <v>72.099999999999994</v>
      </c>
      <c r="F20" s="113"/>
      <c r="G20" s="112" t="str">
        <f t="shared" si="0"/>
        <v>01-October-2021 to 31-October-2021</v>
      </c>
      <c r="H20" s="433">
        <v>31.38701</v>
      </c>
      <c r="I20" s="580"/>
      <c r="J20" s="148"/>
    </row>
    <row r="21" spans="1:10" x14ac:dyDescent="0.35">
      <c r="A21" s="623" t="s">
        <v>249</v>
      </c>
      <c r="B21" s="117">
        <f>'2021.9'!D142</f>
        <v>94708</v>
      </c>
      <c r="C21" s="117">
        <f>'2021.9'!E142</f>
        <v>51900</v>
      </c>
      <c r="D21" s="115">
        <f>'2021.9'!C146</f>
        <v>59.1</v>
      </c>
      <c r="E21" s="116">
        <f>'2021.9'!D146</f>
        <v>72.3</v>
      </c>
      <c r="F21" s="113"/>
      <c r="G21" s="112" t="str">
        <f t="shared" si="0"/>
        <v>01-November-2021 to 30-November-2021</v>
      </c>
      <c r="H21" s="434">
        <v>35.781190000000002</v>
      </c>
      <c r="I21" s="580"/>
      <c r="J21" s="148"/>
    </row>
    <row r="22" spans="1:10" x14ac:dyDescent="0.35">
      <c r="A22" s="623" t="s">
        <v>250</v>
      </c>
      <c r="B22" s="117">
        <f>'2021.10'!D142</f>
        <v>94708</v>
      </c>
      <c r="C22" s="117">
        <f>'2021.10'!E142</f>
        <v>51859</v>
      </c>
      <c r="D22" s="115">
        <f>'2021.10'!C146</f>
        <v>58.4</v>
      </c>
      <c r="E22" s="116">
        <f>'2021.10'!D146</f>
        <v>73.3</v>
      </c>
      <c r="F22" s="113"/>
      <c r="G22" s="112" t="str">
        <f t="shared" si="0"/>
        <v>01-December-2021 to 31-December-2021</v>
      </c>
      <c r="H22" s="434">
        <v>33.270230000000005</v>
      </c>
      <c r="I22" s="580"/>
      <c r="J22" s="148"/>
    </row>
    <row r="23" spans="1:10" ht="14.5" customHeight="1" thickBot="1" x14ac:dyDescent="0.4">
      <c r="A23" s="623" t="s">
        <v>251</v>
      </c>
      <c r="B23" s="117">
        <f>'2021.11'!D142</f>
        <v>94708</v>
      </c>
      <c r="C23" s="117">
        <f>'2021.11'!E142</f>
        <v>51827</v>
      </c>
      <c r="D23" s="115">
        <f>'2021.11'!C146</f>
        <v>57.8</v>
      </c>
      <c r="E23" s="116">
        <f>'2021.11'!D146</f>
        <v>72.5</v>
      </c>
      <c r="F23" s="113"/>
      <c r="G23" s="118" t="s">
        <v>74</v>
      </c>
      <c r="H23" s="119">
        <f>SUM(H4:H22)</f>
        <v>625.85697000000005</v>
      </c>
      <c r="I23" s="581"/>
    </row>
    <row r="24" spans="1:10" ht="15" customHeight="1" x14ac:dyDescent="0.35">
      <c r="A24" s="623" t="s">
        <v>252</v>
      </c>
      <c r="B24" s="117">
        <f>'2021.12'!D142</f>
        <v>94708</v>
      </c>
      <c r="C24" s="117">
        <f>'2021.12'!E142</f>
        <v>51854</v>
      </c>
      <c r="D24" s="115">
        <f>'2021.12'!C146</f>
        <v>58.1</v>
      </c>
      <c r="E24" s="116">
        <f>'2021.12'!D146</f>
        <v>72</v>
      </c>
      <c r="F24" s="113"/>
    </row>
    <row r="25" spans="1:10" ht="14" thickBot="1" x14ac:dyDescent="0.4">
      <c r="A25" s="120" t="s">
        <v>95</v>
      </c>
      <c r="B25" s="121">
        <f>ROUNDDOWN(AVERAGE(B5:B24),0)</f>
        <v>94708</v>
      </c>
      <c r="C25" s="121">
        <f>ROUNDDOWN(AVERAGE(C5:C24),0)</f>
        <v>51847</v>
      </c>
      <c r="D25" s="122">
        <f>ROUNDDOWN(AVERAGE(D6:D24),1)</f>
        <v>58.1</v>
      </c>
      <c r="E25" s="123">
        <f>ROUNDDOWN(AVERAGE(E6:E24),1)</f>
        <v>72.5</v>
      </c>
      <c r="F25" s="113"/>
      <c r="I25" s="124"/>
    </row>
    <row r="26" spans="1:10" x14ac:dyDescent="0.35">
      <c r="F26" s="113"/>
      <c r="G26" s="53"/>
      <c r="H26" s="124"/>
      <c r="I26" s="124"/>
    </row>
    <row r="27" spans="1:10" x14ac:dyDescent="0.35">
      <c r="D27" s="125"/>
      <c r="E27" s="125"/>
      <c r="H27" s="126"/>
    </row>
    <row r="29" spans="1:10" x14ac:dyDescent="0.35">
      <c r="A29" s="127"/>
    </row>
    <row r="30" spans="1:10" x14ac:dyDescent="0.35">
      <c r="A30" s="127"/>
    </row>
    <row r="31" spans="1:10" x14ac:dyDescent="0.35">
      <c r="A31" s="127"/>
    </row>
    <row r="32" spans="1:10" x14ac:dyDescent="0.35">
      <c r="A32" s="127"/>
    </row>
    <row r="34" spans="1:19" ht="14" thickBot="1" x14ac:dyDescent="0.4">
      <c r="J34" s="128"/>
      <c r="K34" s="128"/>
      <c r="L34" s="128"/>
      <c r="M34" s="128"/>
      <c r="N34" s="128"/>
      <c r="O34" s="128"/>
      <c r="P34" s="128"/>
      <c r="Q34" s="128"/>
      <c r="R34" s="128"/>
    </row>
    <row r="35" spans="1:19" ht="16.5" x14ac:dyDescent="0.45">
      <c r="A35" s="129" t="s">
        <v>73</v>
      </c>
      <c r="B35" s="130" t="s">
        <v>204</v>
      </c>
      <c r="C35" s="130" t="s">
        <v>205</v>
      </c>
      <c r="D35" s="131" t="s">
        <v>92</v>
      </c>
      <c r="E35" s="132" t="s">
        <v>206</v>
      </c>
      <c r="F35" s="133" t="s">
        <v>88</v>
      </c>
      <c r="G35" s="133" t="s">
        <v>207</v>
      </c>
      <c r="H35" s="133" t="s">
        <v>89</v>
      </c>
      <c r="I35" s="133" t="s">
        <v>90</v>
      </c>
      <c r="J35" s="133" t="s">
        <v>208</v>
      </c>
      <c r="K35" s="133" t="s">
        <v>209</v>
      </c>
      <c r="L35" s="133" t="s">
        <v>210</v>
      </c>
      <c r="M35" s="134" t="s">
        <v>211</v>
      </c>
    </row>
    <row r="36" spans="1:19" x14ac:dyDescent="0.35">
      <c r="A36" s="622" t="str">
        <f t="shared" ref="A36:A54" si="1">A6</f>
        <v>10-June-2020 to 30-June-2020</v>
      </c>
      <c r="B36" s="135">
        <v>746776.2</v>
      </c>
      <c r="C36" s="135">
        <v>732654.95</v>
      </c>
      <c r="D36" s="136">
        <v>0</v>
      </c>
      <c r="E36" s="137">
        <v>36.9</v>
      </c>
      <c r="F36" s="138">
        <f t="shared" ref="F36:F54" si="2">E36+273.15</f>
        <v>310.04999999999995</v>
      </c>
      <c r="G36" s="67">
        <f>101.325*1000</f>
        <v>101325</v>
      </c>
      <c r="H36" s="67">
        <v>16.04</v>
      </c>
      <c r="I36" s="139">
        <v>8314</v>
      </c>
      <c r="J36" s="140">
        <f t="shared" ref="J36:J54" si="3">ROUND(G36*H36/F36/I36,2)/1000</f>
        <v>6.3000000000000003E-4</v>
      </c>
      <c r="K36" s="141">
        <v>60</v>
      </c>
      <c r="L36" s="142">
        <f t="shared" ref="L36:L54" si="4">B36</f>
        <v>746776.2</v>
      </c>
      <c r="M36" s="143">
        <f t="shared" ref="M36:M53" si="5">J36*K36*L36/100</f>
        <v>282.28140359999998</v>
      </c>
      <c r="N36" s="144"/>
      <c r="O36" s="145"/>
    </row>
    <row r="37" spans="1:19" x14ac:dyDescent="0.35">
      <c r="A37" s="622" t="str">
        <f t="shared" si="1"/>
        <v>01-July-2020 to 31-July-2020</v>
      </c>
      <c r="B37" s="135">
        <v>1102662.24</v>
      </c>
      <c r="C37" s="135">
        <v>1083377.9299999992</v>
      </c>
      <c r="D37" s="136">
        <v>0</v>
      </c>
      <c r="E37" s="137">
        <v>36.700000000000003</v>
      </c>
      <c r="F37" s="138">
        <f t="shared" si="2"/>
        <v>309.84999999999997</v>
      </c>
      <c r="G37" s="67">
        <f>101.325*1000</f>
        <v>101325</v>
      </c>
      <c r="H37" s="67">
        <v>16.04</v>
      </c>
      <c r="I37" s="139">
        <v>8314</v>
      </c>
      <c r="J37" s="140">
        <f t="shared" si="3"/>
        <v>6.3000000000000003E-4</v>
      </c>
      <c r="K37" s="141">
        <v>59.879999999999995</v>
      </c>
      <c r="L37" s="142">
        <f t="shared" si="4"/>
        <v>1102662.24</v>
      </c>
      <c r="M37" s="143">
        <f t="shared" si="5"/>
        <v>415.97271406656</v>
      </c>
      <c r="N37" s="144"/>
      <c r="O37" s="145"/>
    </row>
    <row r="38" spans="1:19" x14ac:dyDescent="0.35">
      <c r="A38" s="622" t="str">
        <f t="shared" si="1"/>
        <v>01-August-2020 to 31-August-2020</v>
      </c>
      <c r="B38" s="135">
        <v>1102637.6999999976</v>
      </c>
      <c r="C38" s="135">
        <v>1084195.7399999986</v>
      </c>
      <c r="D38" s="136">
        <v>0</v>
      </c>
      <c r="E38" s="137">
        <v>36.300000000000004</v>
      </c>
      <c r="F38" s="138">
        <f t="shared" si="2"/>
        <v>309.45</v>
      </c>
      <c r="G38" s="67">
        <f t="shared" ref="G38:G54" si="6">101.325*1000</f>
        <v>101325</v>
      </c>
      <c r="H38" s="67">
        <v>16.04</v>
      </c>
      <c r="I38" s="139">
        <v>8314</v>
      </c>
      <c r="J38" s="140">
        <f t="shared" si="3"/>
        <v>6.3000000000000003E-4</v>
      </c>
      <c r="K38" s="141">
        <v>61.019999999999996</v>
      </c>
      <c r="L38" s="142">
        <f t="shared" si="4"/>
        <v>1102637.6999999976</v>
      </c>
      <c r="M38" s="143">
        <f>J38*K38*L38/100</f>
        <v>423.88260046019911</v>
      </c>
      <c r="N38" s="144"/>
      <c r="O38" s="145"/>
    </row>
    <row r="39" spans="1:19" x14ac:dyDescent="0.35">
      <c r="A39" s="622" t="str">
        <f t="shared" si="1"/>
        <v>01-September-2020 to 30-September-2020</v>
      </c>
      <c r="B39" s="146">
        <v>1067171.7600000009</v>
      </c>
      <c r="C39" s="146">
        <v>1049185.3300000003</v>
      </c>
      <c r="D39" s="136">
        <v>0</v>
      </c>
      <c r="E39" s="147">
        <v>36.6</v>
      </c>
      <c r="F39" s="138">
        <f>E39+273.15</f>
        <v>309.75</v>
      </c>
      <c r="G39" s="67">
        <f t="shared" si="6"/>
        <v>101325</v>
      </c>
      <c r="H39" s="67">
        <v>16.04</v>
      </c>
      <c r="I39" s="139">
        <v>8314</v>
      </c>
      <c r="J39" s="140">
        <f t="shared" si="3"/>
        <v>6.3000000000000003E-4</v>
      </c>
      <c r="K39" s="142">
        <v>59</v>
      </c>
      <c r="L39" s="142">
        <f t="shared" si="4"/>
        <v>1067171.7600000009</v>
      </c>
      <c r="M39" s="143">
        <f t="shared" si="5"/>
        <v>396.66774319200033</v>
      </c>
      <c r="N39" s="144"/>
      <c r="O39" s="145"/>
    </row>
    <row r="40" spans="1:19" x14ac:dyDescent="0.35">
      <c r="A40" s="622" t="str">
        <f t="shared" si="1"/>
        <v>01-October-2020 to 31-October-2020</v>
      </c>
      <c r="B40" s="146">
        <v>1102359.4799999988</v>
      </c>
      <c r="C40" s="146">
        <v>1081540.6300000001</v>
      </c>
      <c r="D40" s="136">
        <v>0</v>
      </c>
      <c r="E40" s="147">
        <v>37</v>
      </c>
      <c r="F40" s="138">
        <f t="shared" si="2"/>
        <v>310.14999999999998</v>
      </c>
      <c r="G40" s="67">
        <f t="shared" si="6"/>
        <v>101325</v>
      </c>
      <c r="H40" s="67">
        <v>16.04</v>
      </c>
      <c r="I40" s="139">
        <v>8314</v>
      </c>
      <c r="J40" s="140">
        <f t="shared" si="3"/>
        <v>6.3000000000000003E-4</v>
      </c>
      <c r="K40" s="142">
        <v>60.16</v>
      </c>
      <c r="L40" s="142">
        <f t="shared" si="4"/>
        <v>1102359.4799999988</v>
      </c>
      <c r="M40" s="143">
        <f t="shared" si="5"/>
        <v>417.80306179583954</v>
      </c>
      <c r="N40" s="144"/>
      <c r="O40" s="145"/>
    </row>
    <row r="41" spans="1:19" x14ac:dyDescent="0.35">
      <c r="A41" s="622" t="str">
        <f t="shared" si="1"/>
        <v>01-November-2020 to 30-November-2020</v>
      </c>
      <c r="B41" s="146">
        <v>1067195.5200000007</v>
      </c>
      <c r="C41" s="146">
        <v>1047032.1699999999</v>
      </c>
      <c r="D41" s="136">
        <v>0</v>
      </c>
      <c r="E41" s="147">
        <v>36.5</v>
      </c>
      <c r="F41" s="138">
        <f t="shared" si="2"/>
        <v>309.64999999999998</v>
      </c>
      <c r="G41" s="67">
        <f t="shared" si="6"/>
        <v>101325</v>
      </c>
      <c r="H41" s="67">
        <v>16.04</v>
      </c>
      <c r="I41" s="139">
        <v>8314</v>
      </c>
      <c r="J41" s="140">
        <f t="shared" si="3"/>
        <v>6.3000000000000003E-4</v>
      </c>
      <c r="K41" s="142">
        <v>60.78</v>
      </c>
      <c r="L41" s="142">
        <f t="shared" si="4"/>
        <v>1067195.5200000007</v>
      </c>
      <c r="M41" s="143">
        <f t="shared" si="5"/>
        <v>408.64410534528031</v>
      </c>
      <c r="N41" s="144"/>
      <c r="O41" s="145"/>
      <c r="S41" s="148"/>
    </row>
    <row r="42" spans="1:19" x14ac:dyDescent="0.35">
      <c r="A42" s="622" t="str">
        <f t="shared" si="1"/>
        <v>01-December-2020 to 31-December-2020</v>
      </c>
      <c r="B42" s="146">
        <v>1102883.219999999</v>
      </c>
      <c r="C42" s="146">
        <v>1085617.8399999999</v>
      </c>
      <c r="D42" s="136">
        <v>0</v>
      </c>
      <c r="E42" s="147">
        <v>36.1</v>
      </c>
      <c r="F42" s="138">
        <f t="shared" si="2"/>
        <v>309.25</v>
      </c>
      <c r="G42" s="67">
        <f t="shared" si="6"/>
        <v>101325</v>
      </c>
      <c r="H42" s="67">
        <v>16.04</v>
      </c>
      <c r="I42" s="139">
        <v>8314</v>
      </c>
      <c r="J42" s="140">
        <f t="shared" si="3"/>
        <v>6.3000000000000003E-4</v>
      </c>
      <c r="K42" s="142">
        <v>60.76</v>
      </c>
      <c r="L42" s="142">
        <f t="shared" si="4"/>
        <v>1102883.219999999</v>
      </c>
      <c r="M42" s="143">
        <f t="shared" si="5"/>
        <v>422.17046201735968</v>
      </c>
      <c r="N42" s="144"/>
      <c r="O42" s="145"/>
      <c r="S42" s="148"/>
    </row>
    <row r="43" spans="1:19" x14ac:dyDescent="0.35">
      <c r="A43" s="622" t="str">
        <f t="shared" si="1"/>
        <v>01-January-2021 to 31-January-2021</v>
      </c>
      <c r="B43" s="146">
        <v>1102825.8599999992</v>
      </c>
      <c r="C43" s="146">
        <v>1082869.3299999998</v>
      </c>
      <c r="D43" s="136">
        <v>0</v>
      </c>
      <c r="E43" s="147">
        <v>36.9</v>
      </c>
      <c r="F43" s="138">
        <f t="shared" si="2"/>
        <v>310.04999999999995</v>
      </c>
      <c r="G43" s="67">
        <f t="shared" si="6"/>
        <v>101325</v>
      </c>
      <c r="H43" s="67">
        <v>16.04</v>
      </c>
      <c r="I43" s="139">
        <v>8314</v>
      </c>
      <c r="J43" s="140">
        <f t="shared" si="3"/>
        <v>6.3000000000000003E-4</v>
      </c>
      <c r="K43" s="142">
        <v>60.83</v>
      </c>
      <c r="L43" s="142">
        <f t="shared" si="4"/>
        <v>1102825.8599999992</v>
      </c>
      <c r="M43" s="143">
        <f t="shared" si="5"/>
        <v>422.63485150193969</v>
      </c>
      <c r="N43" s="144"/>
      <c r="O43" s="145"/>
    </row>
    <row r="44" spans="1:19" x14ac:dyDescent="0.35">
      <c r="A44" s="622" t="str">
        <f t="shared" si="1"/>
        <v>01-February-2021 to 28-February-2021</v>
      </c>
      <c r="B44" s="146">
        <v>996278.22</v>
      </c>
      <c r="C44" s="146">
        <v>982217.58000000019</v>
      </c>
      <c r="D44" s="136">
        <v>0</v>
      </c>
      <c r="E44" s="147">
        <v>35.700000000000003</v>
      </c>
      <c r="F44" s="138">
        <f t="shared" si="2"/>
        <v>308.84999999999997</v>
      </c>
      <c r="G44" s="67">
        <f t="shared" si="6"/>
        <v>101325</v>
      </c>
      <c r="H44" s="67">
        <v>16.04</v>
      </c>
      <c r="I44" s="139">
        <v>8314</v>
      </c>
      <c r="J44" s="140">
        <f t="shared" si="3"/>
        <v>6.3000000000000003E-4</v>
      </c>
      <c r="K44" s="142">
        <v>59.3</v>
      </c>
      <c r="L44" s="142">
        <f t="shared" si="4"/>
        <v>996278.22</v>
      </c>
      <c r="M44" s="143">
        <f t="shared" si="5"/>
        <v>372.19958020979999</v>
      </c>
      <c r="N44" s="144"/>
      <c r="O44" s="145"/>
    </row>
    <row r="45" spans="1:19" x14ac:dyDescent="0.35">
      <c r="A45" s="622" t="str">
        <f t="shared" si="1"/>
        <v>01-March-2021 to 31-March-2021</v>
      </c>
      <c r="B45" s="146">
        <v>1102604.8799999999</v>
      </c>
      <c r="C45" s="146">
        <v>1083294.1099999982</v>
      </c>
      <c r="D45" s="136">
        <v>0</v>
      </c>
      <c r="E45" s="147">
        <v>37.200000000000003</v>
      </c>
      <c r="F45" s="138">
        <f t="shared" si="2"/>
        <v>310.34999999999997</v>
      </c>
      <c r="G45" s="67">
        <f t="shared" si="6"/>
        <v>101325</v>
      </c>
      <c r="H45" s="67">
        <v>16.04</v>
      </c>
      <c r="I45" s="139">
        <v>8314</v>
      </c>
      <c r="J45" s="140">
        <f t="shared" si="3"/>
        <v>6.3000000000000003E-4</v>
      </c>
      <c r="K45" s="142">
        <v>60.71</v>
      </c>
      <c r="L45" s="142">
        <f t="shared" si="4"/>
        <v>1102604.8799999999</v>
      </c>
      <c r="M45" s="143">
        <f t="shared" si="5"/>
        <v>421.71659626824004</v>
      </c>
      <c r="N45" s="144"/>
      <c r="O45" s="145"/>
    </row>
    <row r="46" spans="1:19" x14ac:dyDescent="0.35">
      <c r="A46" s="622" t="str">
        <f t="shared" si="1"/>
        <v>01-April-2021 to 30-April-2021</v>
      </c>
      <c r="B46" s="146">
        <v>1066965.8400000001</v>
      </c>
      <c r="C46" s="146">
        <v>1050052.8500000001</v>
      </c>
      <c r="D46" s="136">
        <v>0</v>
      </c>
      <c r="E46" s="147">
        <v>36.799999999999997</v>
      </c>
      <c r="F46" s="138">
        <f t="shared" si="2"/>
        <v>309.95</v>
      </c>
      <c r="G46" s="67">
        <f t="shared" si="6"/>
        <v>101325</v>
      </c>
      <c r="H46" s="67">
        <v>16.04</v>
      </c>
      <c r="I46" s="139">
        <v>8314</v>
      </c>
      <c r="J46" s="140">
        <f t="shared" si="3"/>
        <v>6.3000000000000003E-4</v>
      </c>
      <c r="K46" s="142">
        <v>59.85</v>
      </c>
      <c r="L46" s="142">
        <f t="shared" si="4"/>
        <v>1066965.8400000001</v>
      </c>
      <c r="M46" s="143">
        <f t="shared" si="5"/>
        <v>402.30480480120008</v>
      </c>
      <c r="N46" s="144"/>
      <c r="O46" s="145"/>
    </row>
    <row r="47" spans="1:19" x14ac:dyDescent="0.35">
      <c r="A47" s="622" t="str">
        <f t="shared" si="1"/>
        <v>01-May-2021 to 31-May-2021</v>
      </c>
      <c r="B47" s="146">
        <v>1102588.560000001</v>
      </c>
      <c r="C47" s="146">
        <v>1086546.3900000011</v>
      </c>
      <c r="D47" s="136">
        <v>0</v>
      </c>
      <c r="E47" s="147">
        <v>37</v>
      </c>
      <c r="F47" s="138">
        <f t="shared" si="2"/>
        <v>310.14999999999998</v>
      </c>
      <c r="G47" s="67">
        <f t="shared" si="6"/>
        <v>101325</v>
      </c>
      <c r="H47" s="67">
        <v>16.04</v>
      </c>
      <c r="I47" s="139">
        <v>8314</v>
      </c>
      <c r="J47" s="140">
        <f t="shared" si="3"/>
        <v>6.3000000000000003E-4</v>
      </c>
      <c r="K47" s="142">
        <v>59.76</v>
      </c>
      <c r="L47" s="142">
        <f t="shared" si="4"/>
        <v>1102588.560000001</v>
      </c>
      <c r="M47" s="143">
        <f t="shared" si="5"/>
        <v>415.11136177728042</v>
      </c>
      <c r="N47" s="144"/>
      <c r="O47" s="145"/>
    </row>
    <row r="48" spans="1:19" x14ac:dyDescent="0.35">
      <c r="A48" s="622" t="str">
        <f t="shared" si="1"/>
        <v>01-June-2021 to 30-June-2021</v>
      </c>
      <c r="B48" s="146">
        <v>1067124.2399999988</v>
      </c>
      <c r="C48" s="146">
        <v>1048553.2700000018</v>
      </c>
      <c r="D48" s="136">
        <v>0</v>
      </c>
      <c r="E48" s="147">
        <v>36.9</v>
      </c>
      <c r="F48" s="138">
        <f t="shared" si="2"/>
        <v>310.04999999999995</v>
      </c>
      <c r="G48" s="67">
        <f t="shared" si="6"/>
        <v>101325</v>
      </c>
      <c r="H48" s="67">
        <v>16.04</v>
      </c>
      <c r="I48" s="139">
        <v>8314</v>
      </c>
      <c r="J48" s="140">
        <f t="shared" si="3"/>
        <v>6.3000000000000003E-4</v>
      </c>
      <c r="K48" s="142">
        <v>59.309999999999995</v>
      </c>
      <c r="L48" s="142">
        <f t="shared" si="4"/>
        <v>1067124.2399999988</v>
      </c>
      <c r="M48" s="143">
        <f t="shared" si="5"/>
        <v>398.73417364871949</v>
      </c>
      <c r="N48" s="144"/>
      <c r="O48" s="145"/>
    </row>
    <row r="49" spans="1:20" x14ac:dyDescent="0.35">
      <c r="A49" s="622" t="str">
        <f t="shared" si="1"/>
        <v>01-July-2021 to 31-July-2021</v>
      </c>
      <c r="B49" s="146">
        <v>1102735.8600000003</v>
      </c>
      <c r="C49" s="146">
        <v>1087112.8299999991</v>
      </c>
      <c r="D49" s="136">
        <v>0</v>
      </c>
      <c r="E49" s="147">
        <v>35.9</v>
      </c>
      <c r="F49" s="138">
        <f t="shared" si="2"/>
        <v>309.04999999999995</v>
      </c>
      <c r="G49" s="67">
        <f t="shared" si="6"/>
        <v>101325</v>
      </c>
      <c r="H49" s="67">
        <v>16.04</v>
      </c>
      <c r="I49" s="139">
        <v>8314</v>
      </c>
      <c r="J49" s="140">
        <f t="shared" si="3"/>
        <v>6.3000000000000003E-4</v>
      </c>
      <c r="K49" s="142">
        <v>61.2</v>
      </c>
      <c r="L49" s="142">
        <f t="shared" si="4"/>
        <v>1102735.8600000003</v>
      </c>
      <c r="M49" s="143">
        <f t="shared" si="5"/>
        <v>425.17083818160012</v>
      </c>
      <c r="N49" s="144"/>
      <c r="O49" s="145"/>
    </row>
    <row r="50" spans="1:20" x14ac:dyDescent="0.35">
      <c r="A50" s="622" t="str">
        <f t="shared" si="1"/>
        <v>01-August-2021 to 31-August-2021</v>
      </c>
      <c r="B50" s="146">
        <v>1102416.780000001</v>
      </c>
      <c r="C50" s="146">
        <v>1083284.2800000007</v>
      </c>
      <c r="D50" s="136">
        <v>0</v>
      </c>
      <c r="E50" s="147">
        <v>36.6</v>
      </c>
      <c r="F50" s="138">
        <f t="shared" si="2"/>
        <v>309.75</v>
      </c>
      <c r="G50" s="67">
        <f t="shared" si="6"/>
        <v>101325</v>
      </c>
      <c r="H50" s="67">
        <v>16.04</v>
      </c>
      <c r="I50" s="139">
        <v>8314</v>
      </c>
      <c r="J50" s="140">
        <f t="shared" si="3"/>
        <v>6.3000000000000003E-4</v>
      </c>
      <c r="K50" s="142">
        <v>59.76</v>
      </c>
      <c r="L50" s="142">
        <f t="shared" si="4"/>
        <v>1102416.780000001</v>
      </c>
      <c r="M50" s="143">
        <f t="shared" si="5"/>
        <v>415.0466886686404</v>
      </c>
      <c r="N50" s="144"/>
      <c r="O50" s="145"/>
    </row>
    <row r="51" spans="1:20" x14ac:dyDescent="0.35">
      <c r="A51" s="622" t="str">
        <f t="shared" si="1"/>
        <v>01-September-2021 to 30-September-2021</v>
      </c>
      <c r="B51" s="146">
        <v>1067528.159999999</v>
      </c>
      <c r="C51" s="146">
        <v>1052486.7600000028</v>
      </c>
      <c r="D51" s="136">
        <v>0</v>
      </c>
      <c r="E51" s="147">
        <v>36.9</v>
      </c>
      <c r="F51" s="138">
        <f t="shared" si="2"/>
        <v>310.04999999999995</v>
      </c>
      <c r="G51" s="67">
        <f t="shared" si="6"/>
        <v>101325</v>
      </c>
      <c r="H51" s="67">
        <v>16.04</v>
      </c>
      <c r="I51" s="139">
        <v>8314</v>
      </c>
      <c r="J51" s="140">
        <f t="shared" si="3"/>
        <v>6.3000000000000003E-4</v>
      </c>
      <c r="K51" s="142">
        <v>59.839999999999996</v>
      </c>
      <c r="L51" s="142">
        <f t="shared" si="4"/>
        <v>1067528.159999999</v>
      </c>
      <c r="M51" s="143">
        <f t="shared" si="5"/>
        <v>402.44957609471965</v>
      </c>
      <c r="N51" s="144"/>
      <c r="O51" s="145"/>
    </row>
    <row r="52" spans="1:20" x14ac:dyDescent="0.35">
      <c r="A52" s="622" t="str">
        <f t="shared" si="1"/>
        <v>01-October-2021 to 31-October-2021</v>
      </c>
      <c r="B52" s="146">
        <v>1102776.8400000008</v>
      </c>
      <c r="C52" s="146">
        <v>1084973.3400000001</v>
      </c>
      <c r="D52" s="136">
        <v>0</v>
      </c>
      <c r="E52" s="147">
        <v>36.9</v>
      </c>
      <c r="F52" s="138">
        <f t="shared" si="2"/>
        <v>310.04999999999995</v>
      </c>
      <c r="G52" s="67">
        <f t="shared" si="6"/>
        <v>101325</v>
      </c>
      <c r="H52" s="67">
        <v>16.04</v>
      </c>
      <c r="I52" s="139">
        <v>8314</v>
      </c>
      <c r="J52" s="140">
        <f t="shared" si="3"/>
        <v>6.3000000000000003E-4</v>
      </c>
      <c r="K52" s="142">
        <v>60.39</v>
      </c>
      <c r="L52" s="142">
        <f t="shared" si="4"/>
        <v>1102776.8400000008</v>
      </c>
      <c r="M52" s="143">
        <f t="shared" si="5"/>
        <v>419.55916821588033</v>
      </c>
      <c r="N52" s="144"/>
      <c r="O52" s="145"/>
    </row>
    <row r="53" spans="1:20" x14ac:dyDescent="0.35">
      <c r="A53" s="622" t="str">
        <f t="shared" si="1"/>
        <v>01-November-2021 to 30-November-2021</v>
      </c>
      <c r="B53" s="146">
        <v>1066950.0000000009</v>
      </c>
      <c r="C53" s="146">
        <v>1048518.2999999981</v>
      </c>
      <c r="D53" s="136">
        <v>0</v>
      </c>
      <c r="E53" s="147">
        <v>36.700000000000003</v>
      </c>
      <c r="F53" s="138">
        <f t="shared" si="2"/>
        <v>309.84999999999997</v>
      </c>
      <c r="G53" s="67">
        <f t="shared" si="6"/>
        <v>101325</v>
      </c>
      <c r="H53" s="67">
        <v>16.04</v>
      </c>
      <c r="I53" s="139">
        <v>8314</v>
      </c>
      <c r="J53" s="140">
        <f t="shared" si="3"/>
        <v>6.3000000000000003E-4</v>
      </c>
      <c r="K53" s="142">
        <v>61.37</v>
      </c>
      <c r="L53" s="142">
        <f t="shared" si="4"/>
        <v>1066950.0000000009</v>
      </c>
      <c r="M53" s="143">
        <f t="shared" si="5"/>
        <v>412.51594545000034</v>
      </c>
      <c r="N53" s="144"/>
      <c r="O53" s="145"/>
    </row>
    <row r="54" spans="1:20" x14ac:dyDescent="0.35">
      <c r="A54" s="622" t="str">
        <f t="shared" si="1"/>
        <v>01-December-2021 to 31-December-2021</v>
      </c>
      <c r="B54" s="149">
        <v>1102735.9200000009</v>
      </c>
      <c r="C54" s="149">
        <v>1085791.2499999995</v>
      </c>
      <c r="D54" s="136">
        <v>0</v>
      </c>
      <c r="E54" s="150">
        <v>37.5</v>
      </c>
      <c r="F54" s="138">
        <f t="shared" si="2"/>
        <v>310.64999999999998</v>
      </c>
      <c r="G54" s="67">
        <f t="shared" si="6"/>
        <v>101325</v>
      </c>
      <c r="H54" s="151">
        <v>16.04</v>
      </c>
      <c r="I54" s="152">
        <v>8314</v>
      </c>
      <c r="J54" s="140">
        <f t="shared" si="3"/>
        <v>6.3000000000000003E-4</v>
      </c>
      <c r="K54" s="153">
        <v>62.18</v>
      </c>
      <c r="L54" s="142">
        <f t="shared" si="4"/>
        <v>1102735.9200000009</v>
      </c>
      <c r="M54" s="143">
        <f>J54*K54*L54/100</f>
        <v>431.97915288528037</v>
      </c>
      <c r="N54" s="144"/>
      <c r="O54" s="145"/>
    </row>
    <row r="55" spans="1:20" ht="14" thickBot="1" x14ac:dyDescent="0.4">
      <c r="A55" s="118" t="s">
        <v>74</v>
      </c>
      <c r="B55" s="154">
        <f>SUM(B36:B54)</f>
        <v>20275217.279999997</v>
      </c>
      <c r="C55" s="154">
        <f>SUM(C36:C54)</f>
        <v>19939304.879999999</v>
      </c>
      <c r="D55" s="155">
        <f>SUM(D36:D54)</f>
        <v>0</v>
      </c>
      <c r="E55" s="437">
        <f>AVERAGE(E36:E54)</f>
        <v>36.689473684210526</v>
      </c>
      <c r="F55" s="156"/>
      <c r="G55" s="156"/>
      <c r="H55" s="156"/>
      <c r="I55" s="156"/>
      <c r="J55" s="156"/>
      <c r="K55" s="438">
        <f>AVERAGE(K36:K54)</f>
        <v>60.321052631578944</v>
      </c>
      <c r="L55" s="157">
        <f>SUM(L36:L54)</f>
        <v>20275217.279999997</v>
      </c>
      <c r="M55" s="158">
        <f>SUM(M36:M54)</f>
        <v>7706.8448281805377</v>
      </c>
      <c r="N55" s="53"/>
      <c r="S55" s="128"/>
      <c r="T55" s="128"/>
    </row>
    <row r="56" spans="1:20" x14ac:dyDescent="0.35">
      <c r="A56" s="53"/>
      <c r="B56" s="53"/>
      <c r="C56" s="53"/>
      <c r="D56" s="53"/>
      <c r="E56" s="53"/>
      <c r="F56" s="53"/>
      <c r="G56" s="53"/>
      <c r="J56" s="128"/>
      <c r="K56" s="128"/>
      <c r="L56" s="128"/>
      <c r="M56" s="128"/>
      <c r="N56" s="128"/>
      <c r="O56" s="128"/>
      <c r="P56" s="128"/>
      <c r="Q56" s="159"/>
      <c r="R56" s="160"/>
      <c r="S56" s="128"/>
      <c r="T56" s="161"/>
    </row>
    <row r="57" spans="1:20" x14ac:dyDescent="0.35">
      <c r="E57" s="162"/>
      <c r="F57" s="53"/>
      <c r="G57" s="53"/>
      <c r="J57" s="128"/>
      <c r="K57" s="128"/>
      <c r="L57" s="128"/>
      <c r="M57" s="128"/>
      <c r="N57" s="128"/>
      <c r="O57" s="128"/>
      <c r="P57" s="128"/>
      <c r="Q57" s="163"/>
      <c r="R57" s="128"/>
      <c r="S57" s="128"/>
      <c r="T57" s="128"/>
    </row>
    <row r="58" spans="1:20" x14ac:dyDescent="0.35">
      <c r="B58" s="164"/>
      <c r="E58" s="162"/>
      <c r="F58" s="53"/>
      <c r="G58" s="53"/>
      <c r="J58" s="128"/>
      <c r="K58" s="128"/>
      <c r="L58" s="128"/>
      <c r="M58" s="128"/>
      <c r="N58" s="128"/>
      <c r="O58" s="128"/>
      <c r="P58" s="128"/>
      <c r="Q58" s="128"/>
      <c r="R58" s="165"/>
      <c r="S58" s="128"/>
      <c r="T58" s="128"/>
    </row>
    <row r="59" spans="1:20" x14ac:dyDescent="0.35">
      <c r="A59" s="53"/>
      <c r="E59" s="162"/>
      <c r="F59" s="53"/>
      <c r="G59" s="53"/>
      <c r="J59" s="128"/>
      <c r="K59" s="128"/>
      <c r="L59" s="128"/>
      <c r="M59" s="128"/>
      <c r="N59" s="128"/>
      <c r="O59" s="128"/>
      <c r="P59" s="128"/>
      <c r="Q59" s="163"/>
      <c r="R59" s="165"/>
    </row>
    <row r="60" spans="1:20" x14ac:dyDescent="0.35">
      <c r="A60" s="53"/>
      <c r="E60" s="162"/>
      <c r="F60" s="53"/>
      <c r="G60" s="53"/>
      <c r="J60" s="128"/>
      <c r="K60" s="128"/>
      <c r="L60" s="128"/>
      <c r="M60" s="128"/>
      <c r="N60" s="128"/>
      <c r="O60" s="128"/>
      <c r="P60" s="128"/>
      <c r="Q60" s="128"/>
      <c r="R60" s="128"/>
    </row>
    <row r="61" spans="1:20" x14ac:dyDescent="0.35">
      <c r="A61" s="53"/>
      <c r="E61" s="162"/>
      <c r="F61" s="53"/>
      <c r="G61" s="53"/>
      <c r="K61" s="128"/>
      <c r="P61" s="128"/>
      <c r="Q61" s="166"/>
    </row>
    <row r="62" spans="1:20" x14ac:dyDescent="0.35">
      <c r="A62" s="53"/>
      <c r="E62" s="162"/>
      <c r="F62" s="53"/>
      <c r="G62" s="53"/>
      <c r="K62" s="128"/>
      <c r="P62" s="128"/>
      <c r="Q62" s="167"/>
    </row>
    <row r="63" spans="1:20" x14ac:dyDescent="0.35">
      <c r="A63" s="53"/>
      <c r="E63" s="162"/>
      <c r="F63" s="53"/>
      <c r="G63" s="53"/>
      <c r="K63" s="128"/>
      <c r="P63" s="128"/>
      <c r="Q63" s="163"/>
    </row>
    <row r="64" spans="1:20" x14ac:dyDescent="0.35">
      <c r="A64" s="53"/>
      <c r="E64" s="162"/>
      <c r="F64" s="53"/>
      <c r="G64" s="53"/>
      <c r="K64" s="128"/>
      <c r="P64" s="128"/>
      <c r="Q64" s="128"/>
    </row>
    <row r="65" spans="1:11" x14ac:dyDescent="0.35">
      <c r="A65" s="53"/>
      <c r="E65" s="162"/>
      <c r="F65" s="53"/>
      <c r="G65" s="53"/>
      <c r="K65" s="128"/>
    </row>
    <row r="66" spans="1:11" x14ac:dyDescent="0.35">
      <c r="A66" s="53"/>
      <c r="E66" s="162"/>
      <c r="F66" s="53"/>
      <c r="G66" s="53"/>
      <c r="K66" s="128"/>
    </row>
    <row r="67" spans="1:11" x14ac:dyDescent="0.35">
      <c r="A67" s="53"/>
      <c r="E67" s="162"/>
      <c r="F67" s="53"/>
      <c r="G67" s="53"/>
      <c r="K67" s="128"/>
    </row>
    <row r="68" spans="1:11" x14ac:dyDescent="0.35">
      <c r="A68" s="53"/>
      <c r="E68" s="162"/>
      <c r="F68" s="53"/>
      <c r="G68" s="53"/>
      <c r="K68" s="128"/>
    </row>
    <row r="69" spans="1:11" x14ac:dyDescent="0.35">
      <c r="A69" s="53"/>
      <c r="E69" s="162"/>
      <c r="F69" s="53"/>
      <c r="G69" s="53"/>
      <c r="K69" s="128"/>
    </row>
    <row r="70" spans="1:11" x14ac:dyDescent="0.35">
      <c r="A70" s="53"/>
      <c r="E70" s="162"/>
      <c r="F70" s="53"/>
      <c r="G70" s="53"/>
      <c r="K70" s="128"/>
    </row>
    <row r="71" spans="1:11" x14ac:dyDescent="0.35">
      <c r="A71" s="53"/>
      <c r="E71" s="162"/>
      <c r="F71" s="53"/>
      <c r="G71" s="53"/>
      <c r="K71" s="128"/>
    </row>
    <row r="72" spans="1:11" x14ac:dyDescent="0.35">
      <c r="A72" s="53"/>
      <c r="E72" s="162"/>
      <c r="F72" s="53"/>
      <c r="G72" s="53"/>
      <c r="K72" s="128"/>
    </row>
    <row r="73" spans="1:11" x14ac:dyDescent="0.35">
      <c r="A73" s="53"/>
      <c r="E73" s="162"/>
      <c r="F73" s="53"/>
      <c r="G73" s="53"/>
      <c r="K73" s="128"/>
    </row>
    <row r="74" spans="1:11" x14ac:dyDescent="0.35">
      <c r="A74" s="53"/>
      <c r="E74" s="162"/>
      <c r="F74" s="53"/>
      <c r="G74" s="53"/>
      <c r="K74" s="128"/>
    </row>
    <row r="75" spans="1:11" x14ac:dyDescent="0.35">
      <c r="A75" s="53"/>
      <c r="E75" s="162"/>
      <c r="F75" s="53"/>
      <c r="G75" s="53"/>
      <c r="K75" s="128"/>
    </row>
    <row r="76" spans="1:11" x14ac:dyDescent="0.35">
      <c r="A76" s="53"/>
      <c r="E76" s="53"/>
      <c r="F76" s="53"/>
      <c r="G76" s="53"/>
      <c r="K76" s="128"/>
    </row>
    <row r="77" spans="1:11" x14ac:dyDescent="0.35">
      <c r="A77" s="53"/>
      <c r="E77" s="53"/>
      <c r="F77" s="53"/>
      <c r="G77" s="53"/>
      <c r="K77" s="128"/>
    </row>
    <row r="78" spans="1:11" x14ac:dyDescent="0.35">
      <c r="A78" s="53"/>
      <c r="E78" s="53"/>
      <c r="F78" s="53"/>
      <c r="G78" s="53"/>
    </row>
    <row r="79" spans="1:11" x14ac:dyDescent="0.35">
      <c r="E79" s="53"/>
      <c r="F79" s="53"/>
      <c r="G79" s="53"/>
    </row>
    <row r="80" spans="1:11" x14ac:dyDescent="0.35">
      <c r="E80" s="53"/>
      <c r="F80" s="53"/>
      <c r="G80" s="53"/>
    </row>
    <row r="81" spans="5:17" x14ac:dyDescent="0.35">
      <c r="E81" s="53"/>
      <c r="F81" s="53"/>
      <c r="G81" s="53"/>
    </row>
    <row r="82" spans="5:17" x14ac:dyDescent="0.35">
      <c r="E82" s="53"/>
      <c r="F82" s="53"/>
      <c r="G82" s="53"/>
    </row>
    <row r="83" spans="5:17" x14ac:dyDescent="0.35">
      <c r="E83" s="53"/>
      <c r="F83" s="53"/>
      <c r="G83" s="53"/>
    </row>
    <row r="84" spans="5:17" x14ac:dyDescent="0.35">
      <c r="E84" s="53"/>
      <c r="F84" s="53"/>
      <c r="G84" s="53"/>
      <c r="Q84" s="168"/>
    </row>
    <row r="85" spans="5:17" x14ac:dyDescent="0.35">
      <c r="E85" s="53"/>
      <c r="F85" s="53"/>
      <c r="G85" s="53"/>
    </row>
    <row r="86" spans="5:17" x14ac:dyDescent="0.35">
      <c r="E86" s="53"/>
      <c r="F86" s="53"/>
      <c r="G86" s="53"/>
    </row>
    <row r="87" spans="5:17" x14ac:dyDescent="0.35">
      <c r="E87" s="53"/>
      <c r="F87" s="53"/>
      <c r="G87" s="53"/>
    </row>
    <row r="88" spans="5:17" x14ac:dyDescent="0.35">
      <c r="E88" s="53"/>
      <c r="F88" s="53"/>
      <c r="G88" s="53"/>
    </row>
    <row r="89" spans="5:17" x14ac:dyDescent="0.35">
      <c r="E89" s="53"/>
      <c r="F89" s="169"/>
      <c r="G89" s="169"/>
      <c r="H89" s="148"/>
    </row>
    <row r="91" spans="5:17" x14ac:dyDescent="0.35">
      <c r="F91" s="113"/>
      <c r="G91" s="168"/>
      <c r="H91" s="168"/>
    </row>
    <row r="93" spans="5:17" x14ac:dyDescent="0.35">
      <c r="F93" s="168"/>
      <c r="G93" s="170"/>
      <c r="H93" s="170"/>
    </row>
  </sheetData>
  <mergeCells count="10">
    <mergeCell ref="I4:I23"/>
    <mergeCell ref="E4:E5"/>
    <mergeCell ref="A2:E2"/>
    <mergeCell ref="G2:I2"/>
    <mergeCell ref="B3:C3"/>
    <mergeCell ref="D3:E3"/>
    <mergeCell ref="A3:A5"/>
    <mergeCell ref="B4:B5"/>
    <mergeCell ref="C4:C5"/>
    <mergeCell ref="D4:D5"/>
  </mergeCells>
  <phoneticPr fontId="8" type="noConversion"/>
  <conditionalFormatting sqref="F4:F25">
    <cfRule type="duplicateValues" dxfId="0" priority="2" stopIfTrue="1"/>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67"/>
  <sheetViews>
    <sheetView zoomScale="85" zoomScaleNormal="85" workbookViewId="0">
      <selection activeCell="I47" sqref="I47"/>
    </sheetView>
  </sheetViews>
  <sheetFormatPr defaultColWidth="8.54296875" defaultRowHeight="13.5" x14ac:dyDescent="0.25"/>
  <cols>
    <col min="1" max="1" width="45" style="173" bestFit="1" customWidth="1"/>
    <col min="2" max="2" width="15.54296875" style="173" customWidth="1"/>
    <col min="3" max="3" width="12.453125" style="173" customWidth="1"/>
    <col min="4" max="4" width="11.54296875" style="173" customWidth="1"/>
    <col min="5" max="5" width="9.81640625" style="173" customWidth="1"/>
    <col min="6" max="6" width="10.1796875" style="173" bestFit="1" customWidth="1"/>
    <col min="7" max="8" width="9.81640625" style="173" customWidth="1"/>
    <col min="9" max="9" width="10.81640625" style="173" bestFit="1" customWidth="1"/>
    <col min="10" max="10" width="9.81640625" style="173" customWidth="1"/>
    <col min="11" max="11" width="18.453125" style="173" customWidth="1"/>
    <col min="12" max="12" width="9" style="173" customWidth="1"/>
    <col min="13" max="13" width="12" style="173" bestFit="1" customWidth="1"/>
    <col min="14" max="14" width="6" style="173" bestFit="1" customWidth="1"/>
    <col min="15" max="15" width="9.81640625" style="173" bestFit="1" customWidth="1"/>
    <col min="16" max="16" width="12.453125" style="173" customWidth="1"/>
    <col min="17" max="17" width="12.1796875" style="173" customWidth="1"/>
    <col min="18" max="18" width="11.453125" style="173" customWidth="1"/>
    <col min="19" max="19" width="10.453125" style="173" customWidth="1"/>
    <col min="20" max="20" width="19" style="173" customWidth="1"/>
    <col min="21" max="21" width="11.453125" style="173" customWidth="1"/>
    <col min="22" max="22" width="9.453125" style="173" customWidth="1"/>
    <col min="23" max="23" width="5.453125" style="173" customWidth="1"/>
    <col min="24" max="24" width="9.26953125" style="173" bestFit="1" customWidth="1"/>
    <col min="25" max="25" width="9.81640625" style="173" bestFit="1" customWidth="1"/>
    <col min="26" max="26" width="12" style="173" bestFit="1" customWidth="1"/>
    <col min="27" max="27" width="8.1796875" style="173" customWidth="1"/>
    <col min="28" max="28" width="11.1796875" style="173" customWidth="1"/>
    <col min="29" max="29" width="18.453125" style="173" customWidth="1"/>
    <col min="30" max="30" width="11.453125" style="173" customWidth="1"/>
    <col min="31" max="31" width="14.453125" style="173" customWidth="1"/>
    <col min="32" max="32" width="4.54296875" style="173" customWidth="1"/>
    <col min="33" max="33" width="7.1796875" style="173" customWidth="1"/>
    <col min="34" max="34" width="8.1796875" style="173" customWidth="1"/>
    <col min="35" max="35" width="9.54296875" style="173" customWidth="1"/>
    <col min="36" max="36" width="10.54296875" style="173" customWidth="1"/>
    <col min="37" max="37" width="8.54296875" style="173"/>
    <col min="38" max="38" width="18.1796875" style="173" customWidth="1"/>
    <col min="39" max="39" width="11.1796875" style="173" customWidth="1"/>
    <col min="40" max="40" width="13.453125" style="173" customWidth="1"/>
    <col min="41" max="16384" width="8.54296875" style="173"/>
  </cols>
  <sheetData>
    <row r="1" spans="1:40" ht="19" x14ac:dyDescent="0.25">
      <c r="A1" s="594" t="s">
        <v>106</v>
      </c>
      <c r="B1" s="594"/>
      <c r="C1" s="594"/>
      <c r="D1" s="594"/>
      <c r="E1" s="594"/>
      <c r="F1" s="594"/>
      <c r="G1" s="171"/>
      <c r="H1" s="171"/>
      <c r="I1" s="171"/>
      <c r="J1" s="171"/>
      <c r="K1" s="171"/>
      <c r="L1" s="171"/>
      <c r="M1" s="171"/>
      <c r="N1" s="172"/>
      <c r="O1" s="172"/>
      <c r="P1" s="172"/>
      <c r="Q1" s="172"/>
      <c r="R1" s="172"/>
      <c r="S1" s="172"/>
      <c r="T1" s="172"/>
    </row>
    <row r="2" spans="1:40" ht="31.5" customHeight="1" x14ac:dyDescent="0.25">
      <c r="A2" s="174" t="s">
        <v>107</v>
      </c>
      <c r="B2" s="175" t="s">
        <v>108</v>
      </c>
      <c r="C2" s="595" t="s">
        <v>156</v>
      </c>
      <c r="D2" s="596"/>
      <c r="E2" s="596"/>
      <c r="F2" s="596"/>
      <c r="G2" s="596"/>
      <c r="H2" s="596"/>
      <c r="I2" s="596"/>
      <c r="J2" s="596"/>
      <c r="K2" s="597"/>
      <c r="L2" s="598" t="s">
        <v>157</v>
      </c>
      <c r="M2" s="599"/>
      <c r="N2" s="599"/>
      <c r="O2" s="599"/>
      <c r="P2" s="599"/>
      <c r="Q2" s="599"/>
      <c r="R2" s="599"/>
      <c r="S2" s="599"/>
      <c r="T2" s="600"/>
      <c r="U2" s="595" t="s">
        <v>158</v>
      </c>
      <c r="V2" s="596"/>
      <c r="W2" s="596"/>
      <c r="X2" s="596"/>
      <c r="Y2" s="596"/>
      <c r="Z2" s="596"/>
      <c r="AA2" s="596"/>
      <c r="AB2" s="596"/>
      <c r="AC2" s="597"/>
      <c r="AD2" s="598" t="s">
        <v>159</v>
      </c>
      <c r="AE2" s="599"/>
      <c r="AF2" s="599"/>
      <c r="AG2" s="599"/>
      <c r="AH2" s="599"/>
      <c r="AI2" s="599"/>
      <c r="AJ2" s="599"/>
      <c r="AK2" s="599"/>
      <c r="AL2" s="600"/>
      <c r="AM2" s="590" t="s">
        <v>212</v>
      </c>
      <c r="AN2" s="592" t="s">
        <v>213</v>
      </c>
    </row>
    <row r="3" spans="1:40" ht="30.75" customHeight="1" x14ac:dyDescent="0.25">
      <c r="A3" s="174" t="s">
        <v>107</v>
      </c>
      <c r="B3" s="176" t="s">
        <v>109</v>
      </c>
      <c r="C3" s="177" t="s">
        <v>214</v>
      </c>
      <c r="D3" s="178" t="s">
        <v>215</v>
      </c>
      <c r="E3" s="178" t="s">
        <v>216</v>
      </c>
      <c r="F3" s="178" t="s">
        <v>217</v>
      </c>
      <c r="G3" s="178" t="s">
        <v>218</v>
      </c>
      <c r="H3" s="178" t="s">
        <v>219</v>
      </c>
      <c r="I3" s="178" t="s">
        <v>220</v>
      </c>
      <c r="J3" s="178" t="s">
        <v>221</v>
      </c>
      <c r="K3" s="178"/>
      <c r="L3" s="179" t="s">
        <v>214</v>
      </c>
      <c r="M3" s="180" t="s">
        <v>215</v>
      </c>
      <c r="N3" s="180" t="s">
        <v>216</v>
      </c>
      <c r="O3" s="180" t="s">
        <v>217</v>
      </c>
      <c r="P3" s="180" t="s">
        <v>218</v>
      </c>
      <c r="Q3" s="180" t="s">
        <v>219</v>
      </c>
      <c r="R3" s="180" t="s">
        <v>220</v>
      </c>
      <c r="S3" s="180" t="s">
        <v>221</v>
      </c>
      <c r="T3" s="180"/>
      <c r="U3" s="177" t="s">
        <v>214</v>
      </c>
      <c r="V3" s="178" t="s">
        <v>215</v>
      </c>
      <c r="W3" s="178" t="s">
        <v>216</v>
      </c>
      <c r="X3" s="178" t="s">
        <v>217</v>
      </c>
      <c r="Y3" s="178" t="s">
        <v>218</v>
      </c>
      <c r="Z3" s="178" t="s">
        <v>219</v>
      </c>
      <c r="AA3" s="178" t="s">
        <v>220</v>
      </c>
      <c r="AB3" s="178" t="s">
        <v>221</v>
      </c>
      <c r="AC3" s="178"/>
      <c r="AD3" s="179" t="s">
        <v>214</v>
      </c>
      <c r="AE3" s="180" t="s">
        <v>215</v>
      </c>
      <c r="AF3" s="180" t="s">
        <v>216</v>
      </c>
      <c r="AG3" s="180" t="s">
        <v>217</v>
      </c>
      <c r="AH3" s="180" t="s">
        <v>218</v>
      </c>
      <c r="AI3" s="180" t="s">
        <v>219</v>
      </c>
      <c r="AJ3" s="180" t="s">
        <v>220</v>
      </c>
      <c r="AK3" s="180" t="s">
        <v>221</v>
      </c>
      <c r="AL3" s="180"/>
      <c r="AM3" s="591"/>
      <c r="AN3" s="593"/>
    </row>
    <row r="4" spans="1:40" ht="16" x14ac:dyDescent="0.25">
      <c r="A4" s="439" t="str">
        <f>'monitoring results'!A6</f>
        <v>10-June-2020 to 30-June-2020</v>
      </c>
      <c r="B4" s="181">
        <f>F4+O4+X4+AG4</f>
        <v>146519</v>
      </c>
      <c r="C4" s="182">
        <f>AVERAGE('2020.6'!B5:G20)</f>
        <v>68.302666666666667</v>
      </c>
      <c r="D4" s="182">
        <f>_xlfn.STDEV.S('2020.6'!B5:G20)</f>
        <v>26.361852933549478</v>
      </c>
      <c r="E4" s="178">
        <f>COUNT('2020.6'!B5:G20)</f>
        <v>75</v>
      </c>
      <c r="F4" s="178">
        <f>'2020.6'!D138+'2020.6'!E138</f>
        <v>24373</v>
      </c>
      <c r="G4" s="183">
        <f t="shared" ref="G4:G22" si="0">F4/B4</f>
        <v>0.16634702666548365</v>
      </c>
      <c r="H4" s="183">
        <f t="shared" ref="H4:H22" si="1">F4*C4/B4</f>
        <v>11.361945513323642</v>
      </c>
      <c r="I4" s="183">
        <f t="shared" ref="I4:I22" si="2">1-(E4/F4)</f>
        <v>0.99692282443687685</v>
      </c>
      <c r="J4" s="183">
        <f t="shared" ref="J4:J22" si="3">D4*D4/E4</f>
        <v>9.2659638678678835</v>
      </c>
      <c r="K4" s="184">
        <f t="shared" ref="K4:K22" si="4">G4*G4*I4*J4</f>
        <v>0.25561258169340978</v>
      </c>
      <c r="L4" s="185">
        <f>AVERAGE('2020.6'!B24:G52)</f>
        <v>68.298290598290578</v>
      </c>
      <c r="M4" s="186">
        <f>_xlfn.STDEV.S('2020.6'!B24:G52)</f>
        <v>28.312203360419055</v>
      </c>
      <c r="N4" s="187">
        <f>COUNT('2020.6'!B24:G52)</f>
        <v>117</v>
      </c>
      <c r="O4" s="187">
        <f>'2020.6'!D139+'2020.6'!E139</f>
        <v>38892</v>
      </c>
      <c r="P4" s="188">
        <f>O4/B4</f>
        <v>0.26543997706782058</v>
      </c>
      <c r="Q4" s="189">
        <f t="shared" ref="Q4:Q22" si="5">O4*L4/B4</f>
        <v>18.129096690181594</v>
      </c>
      <c r="R4" s="189">
        <f t="shared" ref="R4:R22" si="6">1-N4/O4</f>
        <v>0.99699166923788951</v>
      </c>
      <c r="S4" s="189">
        <f t="shared" ref="S4:S22" si="7">M4*M4/N4</f>
        <v>6.8511184540318295</v>
      </c>
      <c r="T4" s="189">
        <f t="shared" ref="T4:T22" si="8">P4*P4*R4*S4</f>
        <v>0.48126653966079158</v>
      </c>
      <c r="U4" s="190">
        <f>AVERAGE('2020.6'!B56:G67)</f>
        <v>65.057894736842115</v>
      </c>
      <c r="V4" s="190">
        <f>_xlfn.STDEV.S('2020.6'!B56:G67)</f>
        <v>28.407776521883804</v>
      </c>
      <c r="W4" s="178">
        <f>COUNT('2020.6'!B56:G67)</f>
        <v>57</v>
      </c>
      <c r="X4" s="178">
        <f>'2020.6'!D140+'2020.6'!E140</f>
        <v>18249</v>
      </c>
      <c r="Y4" s="183">
        <f>X4/B4</f>
        <v>0.12455039960687693</v>
      </c>
      <c r="Z4" s="183">
        <f t="shared" ref="Z4:Z22" si="9">X4*U4/B4</f>
        <v>8.102986787055821</v>
      </c>
      <c r="AA4" s="183">
        <f t="shared" ref="AA4:AA22" si="10">1-W4/X4</f>
        <v>0.99687654118033864</v>
      </c>
      <c r="AB4" s="183">
        <f t="shared" ref="AB4:AB22" si="11">V4*V4/W4</f>
        <v>14.1579257353911</v>
      </c>
      <c r="AC4" s="184">
        <f t="shared" ref="AC4:AC22" si="12">Y4*Y4*AA4*AB4</f>
        <v>0.21894309681461097</v>
      </c>
      <c r="AD4" s="191">
        <f>AVERAGE('2020.6'!B71:D133)</f>
        <v>57.373262032085584</v>
      </c>
      <c r="AE4" s="191">
        <f>_xlfn.STDEV.S('2020.6'!B71:D133)</f>
        <v>24.634123364260226</v>
      </c>
      <c r="AF4" s="180">
        <f>COUNT('2020.6'!B71:D133)</f>
        <v>187</v>
      </c>
      <c r="AG4" s="180">
        <f>'2020.6'!D141+'2020.6'!E141</f>
        <v>65005</v>
      </c>
      <c r="AH4" s="180">
        <f t="shared" ref="AH4:AH22" si="13">AG4/B4</f>
        <v>0.44366259665981889</v>
      </c>
      <c r="AI4" s="189">
        <f t="shared" ref="AI4:AI22" si="14">AG4*AD4/B4</f>
        <v>25.454370411999285</v>
      </c>
      <c r="AJ4" s="189">
        <f t="shared" ref="AJ4:AJ22" si="15">1-AF4/AG4</f>
        <v>0.99712329820783019</v>
      </c>
      <c r="AK4" s="189">
        <f t="shared" ref="AK4:AK22" si="16">AE4*AE4/AF4</f>
        <v>3.2451338712598479</v>
      </c>
      <c r="AL4" s="192">
        <f t="shared" ref="AL4:AL22" si="17">AH4*AH4*AJ4*AK4</f>
        <v>0.63692326787967746</v>
      </c>
      <c r="AM4" s="193">
        <f>H4+Q4+Z4+AI4</f>
        <v>63.048399402560342</v>
      </c>
      <c r="AN4" s="194">
        <f>SQRT(K4+T4+AC4+AL4)</f>
        <v>1.2620402077780604</v>
      </c>
    </row>
    <row r="5" spans="1:40" ht="16" x14ac:dyDescent="0.25">
      <c r="A5" s="439" t="str">
        <f>'monitoring results'!A7</f>
        <v>01-July-2020 to 31-July-2020</v>
      </c>
      <c r="B5" s="181">
        <f t="shared" ref="B5:B22" si="18">F5+O5+X5+AG5</f>
        <v>146553</v>
      </c>
      <c r="C5" s="182">
        <f>AVERAGE('2020.7'!B5:G20)</f>
        <v>67.162666666666667</v>
      </c>
      <c r="D5" s="182">
        <f>_xlfn.STDEV.S('2020.7'!B5:G20)</f>
        <v>25.695076683399197</v>
      </c>
      <c r="E5" s="178">
        <f>COUNT('2020.7'!B5:G20)</f>
        <v>75</v>
      </c>
      <c r="F5" s="178">
        <f>'2020.7'!D138+'2020.7'!E138</f>
        <v>24394</v>
      </c>
      <c r="G5" s="183">
        <f t="shared" si="0"/>
        <v>0.16645172736143238</v>
      </c>
      <c r="H5" s="183">
        <f t="shared" si="1"/>
        <v>11.179341880866762</v>
      </c>
      <c r="I5" s="183">
        <f t="shared" si="2"/>
        <v>0.99692547347708449</v>
      </c>
      <c r="J5" s="183">
        <f t="shared" si="3"/>
        <v>8.8031595435435346</v>
      </c>
      <c r="K5" s="184">
        <f t="shared" si="4"/>
        <v>0.24315201837613484</v>
      </c>
      <c r="L5" s="186">
        <f>AVERAGE('2020.7'!B24:G52)</f>
        <v>67.641025641025678</v>
      </c>
      <c r="M5" s="186">
        <f>_xlfn.STDEV.S('2020.7'!B24:G52)</f>
        <v>28.398270205474233</v>
      </c>
      <c r="N5" s="187">
        <f>COUNT('2020.7'!B24:G52)</f>
        <v>117</v>
      </c>
      <c r="O5" s="187">
        <f>'2020.7'!D139+'2020.7'!E139</f>
        <v>38913</v>
      </c>
      <c r="P5" s="188">
        <f t="shared" ref="P5:P22" si="19">O5/B5</f>
        <v>0.26552168839941864</v>
      </c>
      <c r="Q5" s="189">
        <f t="shared" si="5"/>
        <v>17.960159333273509</v>
      </c>
      <c r="R5" s="189">
        <f t="shared" si="6"/>
        <v>0.99699329272993598</v>
      </c>
      <c r="S5" s="189">
        <f t="shared" si="7"/>
        <v>6.89283547575321</v>
      </c>
      <c r="T5" s="189">
        <f t="shared" si="8"/>
        <v>0.48449595006547047</v>
      </c>
      <c r="U5" s="190">
        <f>AVERAGE('2020.7'!B56:G67)</f>
        <v>63.066666666666677</v>
      </c>
      <c r="V5" s="190">
        <f>_xlfn.STDEV.S('2020.7'!B56:G67)</f>
        <v>27.00035273138198</v>
      </c>
      <c r="W5" s="178">
        <f>COUNT('2020.7'!B56:G67)</f>
        <v>57</v>
      </c>
      <c r="X5" s="178">
        <f>'2020.7'!D140+'2020.7'!E140</f>
        <v>18241</v>
      </c>
      <c r="Y5" s="183">
        <f t="shared" ref="Y5:Y22" si="20">X5/B5</f>
        <v>0.12446691640566894</v>
      </c>
      <c r="Z5" s="183">
        <f t="shared" si="9"/>
        <v>7.8497135279841892</v>
      </c>
      <c r="AA5" s="183">
        <f t="shared" si="10"/>
        <v>0.99687517131736203</v>
      </c>
      <c r="AB5" s="183">
        <f t="shared" si="11"/>
        <v>12.789807852965724</v>
      </c>
      <c r="AC5" s="184">
        <f t="shared" si="12"/>
        <v>0.19752071994221621</v>
      </c>
      <c r="AD5" s="191">
        <f>AVERAGE('2020.7'!B71:D133)</f>
        <v>57.687165775401041</v>
      </c>
      <c r="AE5" s="191">
        <f>_xlfn.STDEV.S('2020.7'!B71:D133)</f>
        <v>23.358561921536786</v>
      </c>
      <c r="AF5" s="180">
        <f>COUNT('2020.7'!B71:D133)</f>
        <v>187</v>
      </c>
      <c r="AG5" s="180">
        <f>'2020.7'!D141+'2020.7'!E141</f>
        <v>65005</v>
      </c>
      <c r="AH5" s="180">
        <f t="shared" si="13"/>
        <v>0.44355966783348005</v>
      </c>
      <c r="AI5" s="189">
        <f t="shared" si="14"/>
        <v>25.587700089591785</v>
      </c>
      <c r="AJ5" s="189">
        <f t="shared" si="15"/>
        <v>0.99712329820783019</v>
      </c>
      <c r="AK5" s="189">
        <f t="shared" si="16"/>
        <v>2.9177669253597238</v>
      </c>
      <c r="AL5" s="192">
        <f t="shared" si="17"/>
        <v>0.57240518622128012</v>
      </c>
      <c r="AM5" s="193">
        <f t="shared" ref="AM5:AM22" si="21">H5+Q5+Z5+AI5</f>
        <v>62.576914831716245</v>
      </c>
      <c r="AN5" s="194">
        <f t="shared" ref="AN5:AN22" si="22">SQRT(K5+T5+AC5+AL5)</f>
        <v>1.2237540090251398</v>
      </c>
    </row>
    <row r="6" spans="1:40" ht="16" x14ac:dyDescent="0.25">
      <c r="A6" s="439" t="str">
        <f>'monitoring results'!A8</f>
        <v>01-August-2020 to 31-August-2020</v>
      </c>
      <c r="B6" s="181">
        <f t="shared" si="18"/>
        <v>146550</v>
      </c>
      <c r="C6" s="182">
        <f>AVERAGE('2020.8'!B5:G20)</f>
        <v>65.14266666666667</v>
      </c>
      <c r="D6" s="182">
        <f>_xlfn.STDEV.S('2020.8'!B5:G20)</f>
        <v>28.750056043815359</v>
      </c>
      <c r="E6" s="178">
        <f>COUNT('2020.8'!B5:G20)</f>
        <v>75</v>
      </c>
      <c r="F6" s="178">
        <f>'2020.8'!D138+'2020.8'!E138</f>
        <v>24386</v>
      </c>
      <c r="G6" s="183">
        <f t="shared" si="0"/>
        <v>0.16640054588877518</v>
      </c>
      <c r="H6" s="183">
        <f t="shared" si="1"/>
        <v>10.839775293983852</v>
      </c>
      <c r="I6" s="183">
        <f t="shared" si="2"/>
        <v>0.99692446485688513</v>
      </c>
      <c r="J6" s="183">
        <f t="shared" si="3"/>
        <v>11.020876300300321</v>
      </c>
      <c r="K6" s="184">
        <f t="shared" si="4"/>
        <v>0.30422007921490335</v>
      </c>
      <c r="L6" s="186">
        <f>AVERAGE('2020.8'!B24:G52)</f>
        <v>69.320512820512818</v>
      </c>
      <c r="M6" s="186">
        <f>_xlfn.STDEV.S('2020.8'!B24:G52)</f>
        <v>27.371500842216133</v>
      </c>
      <c r="N6" s="187">
        <f>COUNT('2020.8'!B24:G52)</f>
        <v>117</v>
      </c>
      <c r="O6" s="187">
        <f>'2020.8'!D139+'2020.8'!E139</f>
        <v>38914</v>
      </c>
      <c r="P6" s="188">
        <f t="shared" si="19"/>
        <v>0.26553394745820541</v>
      </c>
      <c r="Q6" s="189">
        <f t="shared" si="5"/>
        <v>18.406949409057905</v>
      </c>
      <c r="R6" s="189">
        <f t="shared" si="6"/>
        <v>0.99699336999537447</v>
      </c>
      <c r="S6" s="189">
        <f t="shared" si="7"/>
        <v>6.4034107551746873</v>
      </c>
      <c r="T6" s="189">
        <f t="shared" si="8"/>
        <v>0.45013598710261371</v>
      </c>
      <c r="U6" s="190">
        <f>AVERAGE('2020.8'!B56:G67)</f>
        <v>62.914035087719313</v>
      </c>
      <c r="V6" s="190">
        <f>_xlfn.STDEV.S('2020.8'!B56:G67)</f>
        <v>27.745549441026743</v>
      </c>
      <c r="W6" s="178">
        <f>COUNT('2020.8'!B56:G67)</f>
        <v>57</v>
      </c>
      <c r="X6" s="178">
        <f>'2020.8'!D140+'2020.8'!E140</f>
        <v>18245</v>
      </c>
      <c r="Y6" s="183">
        <f t="shared" si="20"/>
        <v>0.12449675878539748</v>
      </c>
      <c r="Z6" s="183">
        <f t="shared" si="9"/>
        <v>7.8325934505318244</v>
      </c>
      <c r="AA6" s="183">
        <f t="shared" si="10"/>
        <v>0.99687585639901344</v>
      </c>
      <c r="AB6" s="183">
        <f t="shared" si="11"/>
        <v>13.50553532955192</v>
      </c>
      <c r="AC6" s="184">
        <f t="shared" si="12"/>
        <v>0.20867430273479284</v>
      </c>
      <c r="AD6" s="191">
        <f>AVERAGE('2020.8'!B71:D133)</f>
        <v>58.330481283422436</v>
      </c>
      <c r="AE6" s="191">
        <f>_xlfn.STDEV.S('2020.8'!B71:D133)</f>
        <v>23.809778900117916</v>
      </c>
      <c r="AF6" s="180">
        <f>COUNT('2020.8'!B71:D133)</f>
        <v>187</v>
      </c>
      <c r="AG6" s="180">
        <f>'2020.8'!D141+'2020.8'!E141</f>
        <v>65005</v>
      </c>
      <c r="AH6" s="180">
        <f t="shared" si="13"/>
        <v>0.44356874786762196</v>
      </c>
      <c r="AI6" s="189">
        <f t="shared" si="14"/>
        <v>25.873578545403447</v>
      </c>
      <c r="AJ6" s="189">
        <f t="shared" si="15"/>
        <v>0.99712329820783019</v>
      </c>
      <c r="AK6" s="189">
        <f t="shared" si="16"/>
        <v>3.0315805950401087</v>
      </c>
      <c r="AL6" s="192">
        <f t="shared" si="17"/>
        <v>0.59475741069086574</v>
      </c>
      <c r="AM6" s="193">
        <f t="shared" si="21"/>
        <v>62.952896698977028</v>
      </c>
      <c r="AN6" s="194">
        <f t="shared" si="22"/>
        <v>1.2481136886290349</v>
      </c>
    </row>
    <row r="7" spans="1:40" ht="16" x14ac:dyDescent="0.25">
      <c r="A7" s="439" t="str">
        <f>'monitoring results'!A9</f>
        <v>01-September-2020 to 30-September-2020</v>
      </c>
      <c r="B7" s="181">
        <f t="shared" si="18"/>
        <v>146563</v>
      </c>
      <c r="C7" s="182">
        <f>AVERAGE('2020.9'!B5:G20)</f>
        <v>66.848000000000013</v>
      </c>
      <c r="D7" s="182">
        <f>_xlfn.STDEV.S('2020.9'!B5:G20)</f>
        <v>27.375913461249805</v>
      </c>
      <c r="E7" s="178">
        <f>COUNT('2020.9'!B5:G20)</f>
        <v>75</v>
      </c>
      <c r="F7" s="178">
        <f>'2020.9'!D138+'2020.9'!E138</f>
        <v>24413</v>
      </c>
      <c r="G7" s="183">
        <f t="shared" si="0"/>
        <v>0.16657000743707484</v>
      </c>
      <c r="H7" s="183">
        <f t="shared" si="1"/>
        <v>11.134871857153582</v>
      </c>
      <c r="I7" s="183">
        <f t="shared" si="2"/>
        <v>0.99692786630074137</v>
      </c>
      <c r="J7" s="183">
        <f t="shared" si="3"/>
        <v>9.9925418378378428</v>
      </c>
      <c r="K7" s="184">
        <f t="shared" si="4"/>
        <v>0.27639699762914782</v>
      </c>
      <c r="L7" s="186">
        <f>AVERAGE('2020.9'!B24:G52)</f>
        <v>68.737606837606819</v>
      </c>
      <c r="M7" s="186">
        <f>_xlfn.STDEV.S('2020.9'!B24:G52)</f>
        <v>27.981708084512096</v>
      </c>
      <c r="N7" s="187">
        <f>COUNT('2020.9'!B24:G52)</f>
        <v>117</v>
      </c>
      <c r="O7" s="187">
        <f>'2020.9'!D139+'2020.9'!E139</f>
        <v>38903</v>
      </c>
      <c r="P7" s="188">
        <f t="shared" si="19"/>
        <v>0.2654353417984075</v>
      </c>
      <c r="Q7" s="189">
        <f t="shared" si="5"/>
        <v>18.24539016534472</v>
      </c>
      <c r="R7" s="189">
        <f t="shared" si="6"/>
        <v>0.99699251985708048</v>
      </c>
      <c r="S7" s="189">
        <f t="shared" si="7"/>
        <v>6.6921024557850393</v>
      </c>
      <c r="T7" s="189">
        <f t="shared" si="8"/>
        <v>0.4700802181844751</v>
      </c>
      <c r="U7" s="190">
        <f>AVERAGE('2020.9'!B56:G67)</f>
        <v>64.431578947368422</v>
      </c>
      <c r="V7" s="190">
        <f>_xlfn.STDEV.S('2020.9'!B56:G67)</f>
        <v>26.938661528784341</v>
      </c>
      <c r="W7" s="178">
        <f>COUNT('2020.9'!B56:G67)</f>
        <v>57</v>
      </c>
      <c r="X7" s="178">
        <f>'2020.9'!D140+'2020.9'!E140</f>
        <v>18242</v>
      </c>
      <c r="Y7" s="183">
        <f t="shared" si="20"/>
        <v>0.12446524702687581</v>
      </c>
      <c r="Z7" s="183">
        <f t="shared" si="9"/>
        <v>8.019492390015861</v>
      </c>
      <c r="AA7" s="183">
        <f t="shared" si="10"/>
        <v>0.99687534261594124</v>
      </c>
      <c r="AB7" s="183">
        <f t="shared" si="11"/>
        <v>12.731429560743955</v>
      </c>
      <c r="AC7" s="184">
        <f t="shared" si="12"/>
        <v>0.19661390836893472</v>
      </c>
      <c r="AD7" s="191">
        <f>AVERAGE('2020.9'!B71:D133)</f>
        <v>59.371122994652396</v>
      </c>
      <c r="AE7" s="191">
        <f>_xlfn.STDEV.S('2020.9'!B71:D133)</f>
        <v>25.105650315503883</v>
      </c>
      <c r="AF7" s="180">
        <f>COUNT('2020.9'!B71:D133)</f>
        <v>187</v>
      </c>
      <c r="AG7" s="180">
        <f>'2020.9'!D141+'2020.9'!E141</f>
        <v>65005</v>
      </c>
      <c r="AH7" s="180">
        <f t="shared" si="13"/>
        <v>0.44352940373764183</v>
      </c>
      <c r="AI7" s="189">
        <f t="shared" si="14"/>
        <v>26.332838781052374</v>
      </c>
      <c r="AJ7" s="189">
        <f t="shared" si="15"/>
        <v>0.99712329820783019</v>
      </c>
      <c r="AK7" s="189">
        <f t="shared" si="16"/>
        <v>3.3705544265473812</v>
      </c>
      <c r="AL7" s="192">
        <f t="shared" si="17"/>
        <v>0.66114244796139432</v>
      </c>
      <c r="AM7" s="193">
        <f t="shared" si="21"/>
        <v>63.732593193566537</v>
      </c>
      <c r="AN7" s="194">
        <f t="shared" si="22"/>
        <v>1.2665834248654733</v>
      </c>
    </row>
    <row r="8" spans="1:40" ht="16" x14ac:dyDescent="0.25">
      <c r="A8" s="439" t="str">
        <f>'monitoring results'!A10</f>
        <v>01-October-2020 to 31-October-2020</v>
      </c>
      <c r="B8" s="181">
        <f t="shared" si="18"/>
        <v>146516</v>
      </c>
      <c r="C8" s="182">
        <f>AVERAGE('2020.10'!B5:G20)</f>
        <v>66.898666666666685</v>
      </c>
      <c r="D8" s="182">
        <f>_xlfn.STDEV.S('2020.10'!B5:G20)</f>
        <v>28.02115751478636</v>
      </c>
      <c r="E8" s="178">
        <f>COUNT('2020.10'!B5:G20)</f>
        <v>75</v>
      </c>
      <c r="F8" s="178">
        <f>'2020.10'!D138+'2020.10'!E138</f>
        <v>24380</v>
      </c>
      <c r="G8" s="183">
        <f t="shared" si="0"/>
        <v>0.16639820906931665</v>
      </c>
      <c r="H8" s="183">
        <f t="shared" si="1"/>
        <v>11.13181832245853</v>
      </c>
      <c r="I8" s="183">
        <f t="shared" si="2"/>
        <v>0.99692370795734209</v>
      </c>
      <c r="J8" s="183">
        <f t="shared" si="3"/>
        <v>10.469136912912907</v>
      </c>
      <c r="K8" s="184">
        <f t="shared" si="4"/>
        <v>0.2889815385722479</v>
      </c>
      <c r="L8" s="186">
        <f>AVERAGE('2020.10'!B24:G52)</f>
        <v>68.439316239316241</v>
      </c>
      <c r="M8" s="186">
        <f>_xlfn.STDEV.S('2020.10'!B24:G52)</f>
        <v>27.1523097298622</v>
      </c>
      <c r="N8" s="187">
        <f>COUNT('2020.10'!B24:G52)</f>
        <v>117</v>
      </c>
      <c r="O8" s="195">
        <f>'2020.10'!D139+'2020.10'!E139</f>
        <v>38880</v>
      </c>
      <c r="P8" s="188">
        <f t="shared" si="19"/>
        <v>0.26536350978732698</v>
      </c>
      <c r="Q8" s="189">
        <f t="shared" si="5"/>
        <v>18.161297164709762</v>
      </c>
      <c r="R8" s="189">
        <f t="shared" si="6"/>
        <v>0.99699074074074079</v>
      </c>
      <c r="S8" s="189">
        <f t="shared" si="7"/>
        <v>6.3012643048407648</v>
      </c>
      <c r="T8" s="189">
        <f t="shared" si="8"/>
        <v>0.44238584932106101</v>
      </c>
      <c r="U8" s="190">
        <f>AVERAGE('2020.10'!B56:G67)</f>
        <v>63.147368421052647</v>
      </c>
      <c r="V8" s="190">
        <f>_xlfn.STDEV.S('2020.10'!B56:G67)</f>
        <v>27.122579584329166</v>
      </c>
      <c r="W8" s="178">
        <f>COUNT('2020.10'!B56:G67)</f>
        <v>57</v>
      </c>
      <c r="X8" s="196">
        <f>'2020.10'!D140+'2020.10'!E140</f>
        <v>18251</v>
      </c>
      <c r="Y8" s="183">
        <f t="shared" si="20"/>
        <v>0.12456660023478665</v>
      </c>
      <c r="Z8" s="183">
        <f t="shared" si="9"/>
        <v>7.8660529979840552</v>
      </c>
      <c r="AA8" s="183">
        <f t="shared" si="10"/>
        <v>0.99687688345844061</v>
      </c>
      <c r="AB8" s="183">
        <f t="shared" si="11"/>
        <v>12.905865321197705</v>
      </c>
      <c r="AC8" s="184">
        <f t="shared" si="12"/>
        <v>0.19963279031181841</v>
      </c>
      <c r="AD8" s="191">
        <f>AVERAGE('2020.10'!B71:D133)</f>
        <v>58.900534759358266</v>
      </c>
      <c r="AE8" s="191">
        <f>_xlfn.STDEV.S('2020.10'!B71:D133)</f>
        <v>24.415103067097924</v>
      </c>
      <c r="AF8" s="180">
        <f>COUNT('2020.10'!B71:D133)</f>
        <v>187</v>
      </c>
      <c r="AG8" s="197">
        <f>'2020.10'!D141+'2020.10'!E141</f>
        <v>65005</v>
      </c>
      <c r="AH8" s="180">
        <f t="shared" si="13"/>
        <v>0.44367168090856973</v>
      </c>
      <c r="AI8" s="189">
        <f t="shared" si="14"/>
        <v>26.132499263098119</v>
      </c>
      <c r="AJ8" s="189">
        <f t="shared" si="15"/>
        <v>0.99712329820783019</v>
      </c>
      <c r="AK8" s="189">
        <f t="shared" si="16"/>
        <v>3.1876858704653177</v>
      </c>
      <c r="AL8" s="192">
        <f t="shared" si="17"/>
        <v>0.62567355511110589</v>
      </c>
      <c r="AM8" s="193">
        <f t="shared" si="21"/>
        <v>63.291667748250468</v>
      </c>
      <c r="AN8" s="194">
        <f t="shared" si="22"/>
        <v>1.2476673167620578</v>
      </c>
    </row>
    <row r="9" spans="1:40" ht="16" x14ac:dyDescent="0.25">
      <c r="A9" s="439" t="str">
        <f>'monitoring results'!A11</f>
        <v>01-November-2020 to 30-November-2020</v>
      </c>
      <c r="B9" s="181">
        <f t="shared" si="18"/>
        <v>146566</v>
      </c>
      <c r="C9" s="182">
        <f>AVERAGE('2020.11'!B5:G20)</f>
        <v>67.838666666666668</v>
      </c>
      <c r="D9" s="182">
        <f>_xlfn.STDEV.S('2020.11'!B5:G20)</f>
        <v>27.142078100315103</v>
      </c>
      <c r="E9" s="178">
        <f>COUNT('2020.11'!B5:G20)</f>
        <v>75</v>
      </c>
      <c r="F9" s="178">
        <f>'2020.11'!D138+'2020.11'!E138</f>
        <v>24404</v>
      </c>
      <c r="G9" s="183">
        <f t="shared" si="0"/>
        <v>0.16650519220010099</v>
      </c>
      <c r="H9" s="183">
        <f t="shared" si="1"/>
        <v>11.295490231931916</v>
      </c>
      <c r="I9" s="183">
        <f t="shared" si="2"/>
        <v>0.99692673332240611</v>
      </c>
      <c r="J9" s="183">
        <f t="shared" si="3"/>
        <v>9.8225653813813967</v>
      </c>
      <c r="K9" s="184">
        <f t="shared" si="4"/>
        <v>0.2714836828349122</v>
      </c>
      <c r="L9" s="186">
        <f>AVERAGE('2020.11'!B24:G52)</f>
        <v>70.407692307692329</v>
      </c>
      <c r="M9" s="186">
        <f>_xlfn.STDEV.S('2020.11'!B24:G52)</f>
        <v>26.199411528815549</v>
      </c>
      <c r="N9" s="187">
        <f>COUNT('2020.11'!B24:G52)</f>
        <v>117</v>
      </c>
      <c r="O9" s="195">
        <f>'2020.11'!D139+'2020.11'!E139</f>
        <v>38917</v>
      </c>
      <c r="P9" s="188">
        <f t="shared" si="19"/>
        <v>0.26552542881705171</v>
      </c>
      <c r="Q9" s="189">
        <f t="shared" si="5"/>
        <v>18.695032692019037</v>
      </c>
      <c r="R9" s="189">
        <f t="shared" si="6"/>
        <v>0.99699360176786489</v>
      </c>
      <c r="S9" s="189">
        <f t="shared" si="7"/>
        <v>5.8667449953524198</v>
      </c>
      <c r="T9" s="189">
        <f t="shared" si="8"/>
        <v>0.41238401299938754</v>
      </c>
      <c r="U9" s="190">
        <f>AVERAGE('2020.11'!B56:G67)</f>
        <v>62.90526315789473</v>
      </c>
      <c r="V9" s="190">
        <f>_xlfn.STDEV.S('2020.11'!B56:G67)</f>
        <v>26.829863565575018</v>
      </c>
      <c r="W9" s="178">
        <f>COUNT('2020.11'!B56:G67)</f>
        <v>57</v>
      </c>
      <c r="X9" s="196">
        <f>'2020.11'!D140+'2020.11'!E140</f>
        <v>18240</v>
      </c>
      <c r="Y9" s="183">
        <f t="shared" si="20"/>
        <v>0.1244490536686544</v>
      </c>
      <c r="Z9" s="183">
        <f t="shared" si="9"/>
        <v>7.8285004707776684</v>
      </c>
      <c r="AA9" s="183">
        <f t="shared" si="10"/>
        <v>0.99687499999999996</v>
      </c>
      <c r="AB9" s="183">
        <f t="shared" si="11"/>
        <v>12.628799630655612</v>
      </c>
      <c r="AC9" s="184">
        <f t="shared" si="12"/>
        <v>0.1949781630797095</v>
      </c>
      <c r="AD9" s="191">
        <f>AVERAGE('2020.11'!B71:D133)</f>
        <v>58.704278074866295</v>
      </c>
      <c r="AE9" s="191">
        <f>_xlfn.STDEV.S('2020.11'!B71:D133)</f>
        <v>24.585627913056218</v>
      </c>
      <c r="AF9" s="180">
        <f>COUNT('2020.11'!B71:D133)</f>
        <v>187</v>
      </c>
      <c r="AG9" s="197">
        <f>'2020.11'!D141+'2020.11'!E141</f>
        <v>65005</v>
      </c>
      <c r="AH9" s="180">
        <f t="shared" si="13"/>
        <v>0.44352032531419294</v>
      </c>
      <c r="AI9" s="189">
        <f t="shared" si="14"/>
        <v>26.036540509099542</v>
      </c>
      <c r="AJ9" s="189">
        <f t="shared" si="15"/>
        <v>0.99712329820783019</v>
      </c>
      <c r="AK9" s="189">
        <f t="shared" si="16"/>
        <v>3.2323695180708505</v>
      </c>
      <c r="AL9" s="192">
        <f t="shared" si="17"/>
        <v>0.63401118666529444</v>
      </c>
      <c r="AM9" s="193">
        <f t="shared" si="21"/>
        <v>63.85556390382817</v>
      </c>
      <c r="AN9" s="194">
        <f t="shared" si="22"/>
        <v>1.2299825387294341</v>
      </c>
    </row>
    <row r="10" spans="1:40" ht="16" x14ac:dyDescent="0.25">
      <c r="A10" s="439" t="str">
        <f>'monitoring results'!A12</f>
        <v>01-December-2020 to 31-December-2020</v>
      </c>
      <c r="B10" s="181">
        <f t="shared" si="18"/>
        <v>146580</v>
      </c>
      <c r="C10" s="182">
        <f>AVERAGE('2020.12'!B5:G20)</f>
        <v>68.289333333333317</v>
      </c>
      <c r="D10" s="182">
        <f>_xlfn.STDEV.S('2020.12'!B5:G20)</f>
        <v>26.468750434230017</v>
      </c>
      <c r="E10" s="178">
        <f>COUNT('2020.12'!B5:G20)</f>
        <v>75</v>
      </c>
      <c r="F10" s="178">
        <f>'2020.12'!D138+'2020.12'!E138</f>
        <v>24401</v>
      </c>
      <c r="G10" s="183">
        <f t="shared" si="0"/>
        <v>0.16646882248601447</v>
      </c>
      <c r="H10" s="183">
        <f t="shared" si="1"/>
        <v>11.368044908354934</v>
      </c>
      <c r="I10" s="183">
        <f t="shared" si="2"/>
        <v>0.99692635547723452</v>
      </c>
      <c r="J10" s="183">
        <f t="shared" si="3"/>
        <v>9.341263327327356</v>
      </c>
      <c r="K10" s="184">
        <f t="shared" si="4"/>
        <v>0.25806820881381776</v>
      </c>
      <c r="L10" s="186">
        <f>AVERAGE('2020.12'!B24:G52)</f>
        <v>69.836752136752153</v>
      </c>
      <c r="M10" s="186">
        <f>_xlfn.STDEV.S('2020.12'!B24:G52)</f>
        <v>27.778019710116485</v>
      </c>
      <c r="N10" s="187">
        <f>COUNT('2020.12'!B24:G52)</f>
        <v>117</v>
      </c>
      <c r="O10" s="195">
        <f>'2020.12'!D139+'2020.12'!E139</f>
        <v>38916</v>
      </c>
      <c r="P10" s="188">
        <f t="shared" si="19"/>
        <v>0.26549324600900531</v>
      </c>
      <c r="Q10" s="189">
        <f t="shared" si="5"/>
        <v>18.541186015512668</v>
      </c>
      <c r="R10" s="189">
        <f t="shared" si="6"/>
        <v>0.99699352451433854</v>
      </c>
      <c r="S10" s="189">
        <f t="shared" si="7"/>
        <v>6.5950288804753834</v>
      </c>
      <c r="T10" s="189">
        <f t="shared" si="8"/>
        <v>0.46346398768178593</v>
      </c>
      <c r="U10" s="190">
        <f>AVERAGE('2020.12'!B56:G67)</f>
        <v>63.347368421052643</v>
      </c>
      <c r="V10" s="190">
        <f>_xlfn.STDEV.S('2020.12'!B56:G67)</f>
        <v>29.005209539858971</v>
      </c>
      <c r="W10" s="178">
        <f>COUNT('2020.12'!B56:G67)</f>
        <v>57</v>
      </c>
      <c r="X10" s="196">
        <f>'2020.12'!D140+'2020.12'!E140</f>
        <v>18258</v>
      </c>
      <c r="Y10" s="183">
        <f t="shared" si="20"/>
        <v>0.12455996725337699</v>
      </c>
      <c r="Z10" s="183">
        <f t="shared" si="9"/>
        <v>7.8905461361139242</v>
      </c>
      <c r="AA10" s="183">
        <f t="shared" si="10"/>
        <v>0.99687808084127505</v>
      </c>
      <c r="AB10" s="183">
        <f t="shared" si="11"/>
        <v>14.759687376335542</v>
      </c>
      <c r="AC10" s="184">
        <f t="shared" si="12"/>
        <v>0.22828436945166747</v>
      </c>
      <c r="AD10" s="191">
        <f>AVERAGE('2020.12'!B71:D133)</f>
        <v>58.209625668449185</v>
      </c>
      <c r="AE10" s="191">
        <f>_xlfn.STDEV.S('2020.12'!B71:D133)</f>
        <v>24.996326899392152</v>
      </c>
      <c r="AF10" s="180">
        <f>COUNT('2020.12'!B71:D133)</f>
        <v>187</v>
      </c>
      <c r="AG10" s="197">
        <f>'2020.12'!D141+'2020.12'!E141</f>
        <v>65005</v>
      </c>
      <c r="AH10" s="180">
        <f t="shared" si="13"/>
        <v>0.44347796425160324</v>
      </c>
      <c r="AI10" s="189">
        <f t="shared" si="14"/>
        <v>25.814686291291711</v>
      </c>
      <c r="AJ10" s="189">
        <f t="shared" si="15"/>
        <v>0.99712329820783019</v>
      </c>
      <c r="AK10" s="189">
        <f t="shared" si="16"/>
        <v>3.3412639489907789</v>
      </c>
      <c r="AL10" s="192">
        <f t="shared" si="17"/>
        <v>0.6552450355857542</v>
      </c>
      <c r="AM10" s="193">
        <f t="shared" si="21"/>
        <v>63.614463351273244</v>
      </c>
      <c r="AN10" s="194">
        <f t="shared" si="22"/>
        <v>1.2669102578845217</v>
      </c>
    </row>
    <row r="11" spans="1:40" ht="16" x14ac:dyDescent="0.25">
      <c r="A11" s="439" t="str">
        <f>'monitoring results'!A13</f>
        <v>01-January-2021 to 31-January-2021</v>
      </c>
      <c r="B11" s="181">
        <f t="shared" si="18"/>
        <v>146573</v>
      </c>
      <c r="C11" s="182">
        <f>AVERAGE('2021.1'!B5:G20)</f>
        <v>67.296000000000006</v>
      </c>
      <c r="D11" s="182">
        <f>_xlfn.STDEV.S('2021.1'!B5:G20)</f>
        <v>26.759996566072569</v>
      </c>
      <c r="E11" s="178">
        <f>COUNT('2021.1'!B5:G20)</f>
        <v>75</v>
      </c>
      <c r="F11" s="178">
        <f>'2021.1'!D138+'2021.1'!E138</f>
        <v>24402</v>
      </c>
      <c r="G11" s="183">
        <f t="shared" si="0"/>
        <v>0.16648359520511963</v>
      </c>
      <c r="H11" s="183">
        <f t="shared" si="1"/>
        <v>11.203680022923731</v>
      </c>
      <c r="I11" s="183">
        <f t="shared" si="2"/>
        <v>0.99692648143594786</v>
      </c>
      <c r="J11" s="183">
        <f t="shared" si="3"/>
        <v>9.5479655495495432</v>
      </c>
      <c r="K11" s="184">
        <f t="shared" si="4"/>
        <v>0.26382555926081241</v>
      </c>
      <c r="L11" s="186">
        <f>AVERAGE('2021.1'!B24:G52)</f>
        <v>67.929059829059824</v>
      </c>
      <c r="M11" s="186">
        <f>_xlfn.STDEV.S('2021.1'!B24:G52)</f>
        <v>27.209915344851328</v>
      </c>
      <c r="N11" s="187">
        <f>COUNT('2021.1'!B24:G52)</f>
        <v>117</v>
      </c>
      <c r="O11" s="195">
        <f>'2021.1'!D139+'2021.1'!E139</f>
        <v>38912</v>
      </c>
      <c r="P11" s="188">
        <f t="shared" si="19"/>
        <v>0.26547863521931053</v>
      </c>
      <c r="Q11" s="189">
        <f t="shared" si="5"/>
        <v>18.033714095149691</v>
      </c>
      <c r="R11" s="189">
        <f t="shared" si="6"/>
        <v>0.99699321546052633</v>
      </c>
      <c r="S11" s="189">
        <f t="shared" si="7"/>
        <v>6.3280298553331269</v>
      </c>
      <c r="T11" s="189">
        <f t="shared" si="8"/>
        <v>0.44465161609329429</v>
      </c>
      <c r="U11" s="190">
        <f>AVERAGE('2021.1'!B56:G67)</f>
        <v>64.97543859649123</v>
      </c>
      <c r="V11" s="190">
        <f>_xlfn.STDEV.S('2021.1'!B56:G67)</f>
        <v>26.941691541322516</v>
      </c>
      <c r="W11" s="178">
        <f>COUNT('2021.1'!B56:G67)</f>
        <v>57</v>
      </c>
      <c r="X11" s="196">
        <f>'2021.1'!D140+'2021.1'!E140</f>
        <v>18254</v>
      </c>
      <c r="Y11" s="183">
        <f t="shared" si="20"/>
        <v>0.12453862580420677</v>
      </c>
      <c r="Z11" s="183">
        <f t="shared" si="9"/>
        <v>8.0919518338326366</v>
      </c>
      <c r="AA11" s="183">
        <f t="shared" si="10"/>
        <v>0.99687739673496223</v>
      </c>
      <c r="AB11" s="183">
        <f t="shared" si="11"/>
        <v>12.734293738732793</v>
      </c>
      <c r="AC11" s="184">
        <f t="shared" si="12"/>
        <v>0.19689049500790384</v>
      </c>
      <c r="AD11" s="191">
        <f>AVERAGE('2021.1'!B71:D133)</f>
        <v>59.429411764705819</v>
      </c>
      <c r="AE11" s="191">
        <f>_xlfn.STDEV.S('2021.1'!B71:D133)</f>
        <v>24.038314872515301</v>
      </c>
      <c r="AF11" s="180">
        <f>COUNT('2021.1'!B71:D133)</f>
        <v>187</v>
      </c>
      <c r="AG11" s="197">
        <f>'2021.1'!D141+'2021.1'!E141</f>
        <v>65005</v>
      </c>
      <c r="AH11" s="180">
        <f t="shared" si="13"/>
        <v>0.44349914377136307</v>
      </c>
      <c r="AI11" s="189">
        <f t="shared" si="14"/>
        <v>26.356893232482804</v>
      </c>
      <c r="AJ11" s="189">
        <f t="shared" si="15"/>
        <v>0.99712329820783019</v>
      </c>
      <c r="AK11" s="189">
        <f t="shared" si="16"/>
        <v>3.0900565877550283</v>
      </c>
      <c r="AL11" s="192">
        <f t="shared" si="17"/>
        <v>0.60603941169777398</v>
      </c>
      <c r="AM11" s="193">
        <f t="shared" si="21"/>
        <v>63.68623918438886</v>
      </c>
      <c r="AN11" s="194">
        <f t="shared" si="22"/>
        <v>1.2293929729991888</v>
      </c>
    </row>
    <row r="12" spans="1:40" ht="16" x14ac:dyDescent="0.25">
      <c r="A12" s="439" t="str">
        <f>'monitoring results'!A14</f>
        <v>01-February-2021 to 28-February-2021</v>
      </c>
      <c r="B12" s="181">
        <f t="shared" si="18"/>
        <v>146597</v>
      </c>
      <c r="C12" s="182">
        <f>AVERAGE('2021.2'!B5:G20)</f>
        <v>67.480000000000018</v>
      </c>
      <c r="D12" s="182">
        <f>_xlfn.STDEV.S('2021.2'!B5:G20)</f>
        <v>28.042395510119025</v>
      </c>
      <c r="E12" s="178">
        <f>COUNT('2021.2'!B5:G20)</f>
        <v>75</v>
      </c>
      <c r="F12" s="178">
        <f>'2021.2'!D138+'2021.2'!E138</f>
        <v>24414</v>
      </c>
      <c r="G12" s="183">
        <f t="shared" si="0"/>
        <v>0.16653819655245333</v>
      </c>
      <c r="H12" s="183">
        <f t="shared" si="1"/>
        <v>11.237997503359553</v>
      </c>
      <c r="I12" s="183">
        <f t="shared" si="2"/>
        <v>0.99692799213565986</v>
      </c>
      <c r="J12" s="183">
        <f t="shared" si="3"/>
        <v>10.485012612612582</v>
      </c>
      <c r="K12" s="184">
        <f t="shared" si="4"/>
        <v>0.28990817525586293</v>
      </c>
      <c r="L12" s="186">
        <f>AVERAGE('2021.2'!B24:G52)</f>
        <v>69.102564102564074</v>
      </c>
      <c r="M12" s="186">
        <f>_xlfn.STDEV.S('2021.2'!B24:G52)</f>
        <v>27.112080465390477</v>
      </c>
      <c r="N12" s="187">
        <f>COUNT('2021.2'!B24:G52)</f>
        <v>117</v>
      </c>
      <c r="O12" s="195">
        <f>'2021.2'!D139+'2021.2'!E139</f>
        <v>38925</v>
      </c>
      <c r="P12" s="188">
        <f t="shared" si="19"/>
        <v>0.26552385110200072</v>
      </c>
      <c r="Q12" s="189">
        <f t="shared" si="5"/>
        <v>18.348378941535682</v>
      </c>
      <c r="R12" s="189">
        <f t="shared" si="6"/>
        <v>0.99699421965317914</v>
      </c>
      <c r="S12" s="189">
        <f t="shared" si="7"/>
        <v>6.2826060441180163</v>
      </c>
      <c r="T12" s="189">
        <f t="shared" si="8"/>
        <v>0.44161065658575616</v>
      </c>
      <c r="U12" s="190">
        <f>AVERAGE('2021.2'!B56:G67)</f>
        <v>63.387719298245585</v>
      </c>
      <c r="V12" s="190">
        <f>_xlfn.STDEV.S('2021.2'!B56:G67)</f>
        <v>27.878582858630327</v>
      </c>
      <c r="W12" s="178">
        <f>COUNT('2021.2'!B56:G67)</f>
        <v>57</v>
      </c>
      <c r="X12" s="196">
        <f>'2021.2'!D140+'2021.2'!E140</f>
        <v>18253</v>
      </c>
      <c r="Y12" s="183">
        <f t="shared" si="20"/>
        <v>0.12451141564970634</v>
      </c>
      <c r="Z12" s="183">
        <f t="shared" si="9"/>
        <v>7.8924946646307683</v>
      </c>
      <c r="AA12" s="183">
        <f t="shared" si="10"/>
        <v>0.99687722566153514</v>
      </c>
      <c r="AB12" s="183">
        <f t="shared" si="11"/>
        <v>13.635357582552924</v>
      </c>
      <c r="AC12" s="184">
        <f t="shared" si="12"/>
        <v>0.21073008767766022</v>
      </c>
      <c r="AD12" s="191">
        <f>AVERAGE('2021.2'!B71:D133)</f>
        <v>59.295187165775431</v>
      </c>
      <c r="AE12" s="191">
        <f>_xlfn.STDEV.S('2021.2'!B71:D133)</f>
        <v>24.705382904420286</v>
      </c>
      <c r="AF12" s="180">
        <f>COUNT('2021.2'!B71:D133)</f>
        <v>187</v>
      </c>
      <c r="AG12" s="197">
        <f>'2021.2'!D141+'2021.2'!E141</f>
        <v>65005</v>
      </c>
      <c r="AH12" s="180">
        <f t="shared" si="13"/>
        <v>0.44342653669583959</v>
      </c>
      <c r="AI12" s="189">
        <f t="shared" si="14"/>
        <v>26.293059487651398</v>
      </c>
      <c r="AJ12" s="189">
        <f t="shared" si="15"/>
        <v>0.99712329820783019</v>
      </c>
      <c r="AK12" s="189">
        <f t="shared" si="16"/>
        <v>3.2639355318396905</v>
      </c>
      <c r="AL12" s="192">
        <f t="shared" si="17"/>
        <v>0.63993195244707812</v>
      </c>
      <c r="AM12" s="193">
        <f t="shared" si="21"/>
        <v>63.771930597177402</v>
      </c>
      <c r="AN12" s="194">
        <f t="shared" si="22"/>
        <v>1.2578477141396558</v>
      </c>
    </row>
    <row r="13" spans="1:40" ht="16" x14ac:dyDescent="0.25">
      <c r="A13" s="439" t="str">
        <f>'monitoring results'!A15</f>
        <v>01-March-2021 to 31-March-2021</v>
      </c>
      <c r="B13" s="181">
        <f t="shared" si="18"/>
        <v>146546</v>
      </c>
      <c r="C13" s="182">
        <f>AVERAGE('2021.3'!B5:G20)</f>
        <v>66.991999999999976</v>
      </c>
      <c r="D13" s="182">
        <f>_xlfn.STDEV.S('2021.3'!B5:G20)</f>
        <v>26.578912389031004</v>
      </c>
      <c r="E13" s="178">
        <f>COUNT('2021.3'!B5:G20)</f>
        <v>75</v>
      </c>
      <c r="F13" s="178">
        <f>'2021.3'!D138+'2021.3'!E138</f>
        <v>24382</v>
      </c>
      <c r="G13" s="183">
        <f t="shared" si="0"/>
        <v>0.16637779263848892</v>
      </c>
      <c r="H13" s="183">
        <f t="shared" si="1"/>
        <v>11.145981084437647</v>
      </c>
      <c r="I13" s="183">
        <f t="shared" si="2"/>
        <v>0.99692396029858088</v>
      </c>
      <c r="J13" s="183">
        <f t="shared" si="3"/>
        <v>9.4191811171171445</v>
      </c>
      <c r="K13" s="184">
        <f t="shared" si="4"/>
        <v>0.2599356807571111</v>
      </c>
      <c r="L13" s="186">
        <f>AVERAGE('2021.3'!B24:G52)</f>
        <v>69.280341880341894</v>
      </c>
      <c r="M13" s="186">
        <f>_xlfn.STDEV.S('2021.3'!B24:G52)</f>
        <v>25.066491712616294</v>
      </c>
      <c r="N13" s="187">
        <f>COUNT('2021.3'!B24:G52)</f>
        <v>117</v>
      </c>
      <c r="O13" s="195">
        <f>'2021.3'!D139+'2021.3'!E139</f>
        <v>38902</v>
      </c>
      <c r="P13" s="188">
        <f t="shared" si="19"/>
        <v>0.26545930970480258</v>
      </c>
      <c r="Q13" s="189">
        <f t="shared" si="5"/>
        <v>18.391111731668282</v>
      </c>
      <c r="R13" s="189">
        <f t="shared" si="6"/>
        <v>0.99699244254794095</v>
      </c>
      <c r="S13" s="189">
        <f t="shared" si="7"/>
        <v>5.3703333912706093</v>
      </c>
      <c r="T13" s="189">
        <f t="shared" si="8"/>
        <v>0.37730193746954749</v>
      </c>
      <c r="U13" s="190">
        <f>AVERAGE('2021.3'!B56:G67)</f>
        <v>62.928070175438606</v>
      </c>
      <c r="V13" s="190">
        <f>_xlfn.STDEV.S('2021.3'!B56:G67)</f>
        <v>24.374201484253497</v>
      </c>
      <c r="W13" s="178">
        <f>COUNT('2021.3'!B56:G67)</f>
        <v>57</v>
      </c>
      <c r="X13" s="196">
        <f>'2021.3'!D140+'2021.3'!E140</f>
        <v>18257</v>
      </c>
      <c r="Y13" s="183">
        <f t="shared" si="20"/>
        <v>0.12458204249860112</v>
      </c>
      <c r="Z13" s="183">
        <f t="shared" si="9"/>
        <v>7.8397075129514464</v>
      </c>
      <c r="AA13" s="183">
        <f t="shared" si="10"/>
        <v>0.9968779098428</v>
      </c>
      <c r="AB13" s="183">
        <f t="shared" si="11"/>
        <v>10.422836806929567</v>
      </c>
      <c r="AC13" s="184">
        <f t="shared" si="12"/>
        <v>0.1612645109676912</v>
      </c>
      <c r="AD13" s="191">
        <f>AVERAGE('2021.3'!B71:D133)</f>
        <v>57.851336898395772</v>
      </c>
      <c r="AE13" s="191">
        <f>_xlfn.STDEV.S('2021.3'!B71:D133)</f>
        <v>24.37748467245493</v>
      </c>
      <c r="AF13" s="180">
        <f>COUNT('2021.3'!B71:D133)</f>
        <v>187</v>
      </c>
      <c r="AG13" s="197">
        <f>'2021.3'!D141+'2021.3'!E141</f>
        <v>65005</v>
      </c>
      <c r="AH13" s="180">
        <f t="shared" si="13"/>
        <v>0.44358085515810736</v>
      </c>
      <c r="AI13" s="189">
        <f t="shared" si="14"/>
        <v>25.661745493430164</v>
      </c>
      <c r="AJ13" s="189">
        <f t="shared" si="15"/>
        <v>0.99712329820783019</v>
      </c>
      <c r="AK13" s="189">
        <f t="shared" si="16"/>
        <v>3.1778703687474601</v>
      </c>
      <c r="AL13" s="192">
        <f t="shared" si="17"/>
        <v>0.62349163195749424</v>
      </c>
      <c r="AM13" s="193">
        <f t="shared" si="21"/>
        <v>63.038545822487535</v>
      </c>
      <c r="AN13" s="194">
        <f t="shared" si="22"/>
        <v>1.1924737989372529</v>
      </c>
    </row>
    <row r="14" spans="1:40" ht="16" x14ac:dyDescent="0.25">
      <c r="A14" s="439" t="str">
        <f>'monitoring results'!A16</f>
        <v>01-April-2021 to 30-April-2021</v>
      </c>
      <c r="B14" s="181">
        <f t="shared" si="18"/>
        <v>146537</v>
      </c>
      <c r="C14" s="182">
        <f>AVERAGE('2021.4'!B5:G20)</f>
        <v>67.224000000000004</v>
      </c>
      <c r="D14" s="182">
        <f>_xlfn.STDEV.S('2021.4'!B5:G20)</f>
        <v>27.328758439377317</v>
      </c>
      <c r="E14" s="178">
        <f>COUNT('2021.4'!B5:G20)</f>
        <v>75</v>
      </c>
      <c r="F14" s="178">
        <f>'2021.4'!D138+'2021.4'!E138</f>
        <v>24385</v>
      </c>
      <c r="G14" s="183">
        <f t="shared" si="0"/>
        <v>0.16640848386414353</v>
      </c>
      <c r="H14" s="183">
        <f t="shared" si="1"/>
        <v>11.186643919283185</v>
      </c>
      <c r="I14" s="183">
        <f t="shared" si="2"/>
        <v>0.9969243387328276</v>
      </c>
      <c r="J14" s="183">
        <f t="shared" si="3"/>
        <v>9.9581471711711593</v>
      </c>
      <c r="K14" s="184">
        <f t="shared" si="4"/>
        <v>0.2749107147136774</v>
      </c>
      <c r="L14" s="186">
        <f>AVERAGE('2021.4'!B24:G52)</f>
        <v>70.584615384615361</v>
      </c>
      <c r="M14" s="186">
        <f>_xlfn.STDEV.S('2021.4'!B24:G52)</f>
        <v>28.153001357069257</v>
      </c>
      <c r="N14" s="187">
        <f>COUNT('2021.4'!B24:G52)</f>
        <v>117</v>
      </c>
      <c r="O14" s="195">
        <f>'2021.4'!D139+'2021.4'!E139</f>
        <v>38908</v>
      </c>
      <c r="P14" s="188">
        <f t="shared" si="19"/>
        <v>0.2655165589578059</v>
      </c>
      <c r="Q14" s="189">
        <f t="shared" si="5"/>
        <v>18.741384192283277</v>
      </c>
      <c r="R14" s="189">
        <f t="shared" si="6"/>
        <v>0.99699290634316851</v>
      </c>
      <c r="S14" s="189">
        <f t="shared" si="7"/>
        <v>6.7742862000952435</v>
      </c>
      <c r="T14" s="189">
        <f t="shared" si="8"/>
        <v>0.47614456478459932</v>
      </c>
      <c r="U14" s="190">
        <f>AVERAGE('2021.4'!B56:G67)</f>
        <v>62.23859649122808</v>
      </c>
      <c r="V14" s="190">
        <f>_xlfn.STDEV.S('2021.4'!B56:G67)</f>
        <v>23.176017117346916</v>
      </c>
      <c r="W14" s="178">
        <f>COUNT('2021.4'!B56:G67)</f>
        <v>57</v>
      </c>
      <c r="X14" s="196">
        <f>'2021.4'!D140+'2021.4'!E140</f>
        <v>18239</v>
      </c>
      <c r="Y14" s="183">
        <f t="shared" si="20"/>
        <v>0.12446685819963559</v>
      </c>
      <c r="Z14" s="183">
        <f t="shared" si="9"/>
        <v>7.7466425640180221</v>
      </c>
      <c r="AA14" s="183">
        <f t="shared" si="10"/>
        <v>0.99687482866385213</v>
      </c>
      <c r="AB14" s="183">
        <f t="shared" si="11"/>
        <v>9.4232942004132862</v>
      </c>
      <c r="AC14" s="184">
        <f t="shared" si="12"/>
        <v>0.1455294321439784</v>
      </c>
      <c r="AD14" s="191">
        <f>AVERAGE('2021.4'!B71:D133)</f>
        <v>56.428877005347559</v>
      </c>
      <c r="AE14" s="191">
        <f>_xlfn.STDEV.S('2021.4'!B71:D133)</f>
        <v>22.915875145373448</v>
      </c>
      <c r="AF14" s="180">
        <f>COUNT('2021.4'!B71:D133)</f>
        <v>187</v>
      </c>
      <c r="AG14" s="197">
        <f>'2021.4'!D141+'2021.4'!E141</f>
        <v>65005</v>
      </c>
      <c r="AH14" s="180">
        <f t="shared" si="13"/>
        <v>0.44360809897841502</v>
      </c>
      <c r="AI14" s="189">
        <f t="shared" si="14"/>
        <v>25.032306855829027</v>
      </c>
      <c r="AJ14" s="189">
        <f t="shared" si="15"/>
        <v>0.99712329820783019</v>
      </c>
      <c r="AK14" s="189">
        <f t="shared" si="16"/>
        <v>2.8082210357130726</v>
      </c>
      <c r="AL14" s="192">
        <f t="shared" si="17"/>
        <v>0.55103487350861458</v>
      </c>
      <c r="AM14" s="193">
        <f t="shared" si="21"/>
        <v>62.706977531413514</v>
      </c>
      <c r="AN14" s="194">
        <f t="shared" si="22"/>
        <v>1.203170638417872</v>
      </c>
    </row>
    <row r="15" spans="1:40" ht="16" x14ac:dyDescent="0.25">
      <c r="A15" s="439" t="str">
        <f>'monitoring results'!A17</f>
        <v>01-May-2021 to 31-May-2021</v>
      </c>
      <c r="B15" s="181">
        <f t="shared" si="18"/>
        <v>146544</v>
      </c>
      <c r="C15" s="182">
        <f>AVERAGE('2021.5'!B5:G20)</f>
        <v>69.253333333333316</v>
      </c>
      <c r="D15" s="182">
        <f>_xlfn.STDEV.S('2021.5'!B5:G20)</f>
        <v>27.242253217389404</v>
      </c>
      <c r="E15" s="178">
        <f>COUNT('2021.5'!B5:G20)</f>
        <v>75</v>
      </c>
      <c r="F15" s="178">
        <f>'2021.5'!D138+'2021.5'!E138</f>
        <v>24397</v>
      </c>
      <c r="G15" s="183">
        <f t="shared" si="0"/>
        <v>0.16648242166175348</v>
      </c>
      <c r="H15" s="183">
        <f t="shared" si="1"/>
        <v>11.529462641481965</v>
      </c>
      <c r="I15" s="183">
        <f t="shared" si="2"/>
        <v>0.99692585153912361</v>
      </c>
      <c r="J15" s="183">
        <f t="shared" si="3"/>
        <v>9.8952048048048447</v>
      </c>
      <c r="K15" s="184">
        <f t="shared" si="4"/>
        <v>0.27341630783891202</v>
      </c>
      <c r="L15" s="186">
        <f>AVERAGE('2021.5'!B24:G52)</f>
        <v>68.794017094017093</v>
      </c>
      <c r="M15" s="186">
        <f>_xlfn.STDEV.S('2021.5'!B24:G52)</f>
        <v>25.820234949778698</v>
      </c>
      <c r="N15" s="187">
        <f>COUNT('2021.5'!B24:G52)</f>
        <v>117</v>
      </c>
      <c r="O15" s="195">
        <f>'2021.5'!D139+'2021.5'!E139</f>
        <v>38886</v>
      </c>
      <c r="P15" s="188">
        <f t="shared" si="19"/>
        <v>0.26535375040943332</v>
      </c>
      <c r="Q15" s="189">
        <f t="shared" si="5"/>
        <v>18.254750441628104</v>
      </c>
      <c r="R15" s="189">
        <f t="shared" si="6"/>
        <v>0.99699120506094741</v>
      </c>
      <c r="S15" s="189">
        <f t="shared" si="7"/>
        <v>5.6981584005279773</v>
      </c>
      <c r="T15" s="189">
        <f t="shared" si="8"/>
        <v>0.40001502606120964</v>
      </c>
      <c r="U15" s="190">
        <f>AVERAGE('2021.5'!B56:G67)</f>
        <v>64.075438596491225</v>
      </c>
      <c r="V15" s="190">
        <f>_xlfn.STDEV.S('2021.5'!B56:G67)</f>
        <v>26.669768068396383</v>
      </c>
      <c r="W15" s="178">
        <f>COUNT('2021.5'!B56:G67)</f>
        <v>57</v>
      </c>
      <c r="X15" s="196">
        <f>'2021.5'!D140+'2021.5'!E140</f>
        <v>18256</v>
      </c>
      <c r="Y15" s="183">
        <f t="shared" si="20"/>
        <v>0.12457691887760673</v>
      </c>
      <c r="Z15" s="183">
        <f t="shared" si="9"/>
        <v>7.9823207160821577</v>
      </c>
      <c r="AA15" s="183">
        <f t="shared" si="10"/>
        <v>0.99687773882559161</v>
      </c>
      <c r="AB15" s="183">
        <f t="shared" si="11"/>
        <v>12.478535593369392</v>
      </c>
      <c r="AC15" s="184">
        <f t="shared" si="12"/>
        <v>0.19305483854423314</v>
      </c>
      <c r="AD15" s="191">
        <f>AVERAGE('2021.5'!B71:D133)</f>
        <v>57.748128342245977</v>
      </c>
      <c r="AE15" s="191">
        <f>_xlfn.STDEV.S('2021.5'!B71:D133)</f>
        <v>23.933616395979382</v>
      </c>
      <c r="AF15" s="180">
        <f>COUNT('2021.5'!B71:D133)</f>
        <v>187</v>
      </c>
      <c r="AG15" s="197">
        <f>'2021.5'!D141+'2021.5'!E141</f>
        <v>65005</v>
      </c>
      <c r="AH15" s="180">
        <f t="shared" si="13"/>
        <v>0.44358690905120646</v>
      </c>
      <c r="AI15" s="189">
        <f t="shared" si="14"/>
        <v>25.616313754829264</v>
      </c>
      <c r="AJ15" s="189">
        <f t="shared" si="15"/>
        <v>0.99712329820783019</v>
      </c>
      <c r="AK15" s="189">
        <f t="shared" si="16"/>
        <v>3.0631978277534389</v>
      </c>
      <c r="AL15" s="192">
        <f t="shared" si="17"/>
        <v>0.60100951975942807</v>
      </c>
      <c r="AM15" s="193">
        <f t="shared" si="21"/>
        <v>63.382847554021488</v>
      </c>
      <c r="AN15" s="194">
        <f t="shared" si="22"/>
        <v>1.2114023659394852</v>
      </c>
    </row>
    <row r="16" spans="1:40" ht="16" x14ac:dyDescent="0.25">
      <c r="A16" s="439" t="str">
        <f>'monitoring results'!A18</f>
        <v>01-June-2021 to 30-June-2021</v>
      </c>
      <c r="B16" s="181">
        <f t="shared" si="18"/>
        <v>146557</v>
      </c>
      <c r="C16" s="182">
        <f>AVERAGE('2021.6'!B5:G20)</f>
        <v>67.246666666666684</v>
      </c>
      <c r="D16" s="182">
        <f>_xlfn.STDEV.S('2021.6'!B5:G20)</f>
        <v>28.184236217630062</v>
      </c>
      <c r="E16" s="178">
        <f>COUNT('2021.6'!B5:G20)</f>
        <v>75</v>
      </c>
      <c r="F16" s="178">
        <f>'2021.6'!D138+'2021.6'!E138</f>
        <v>24376</v>
      </c>
      <c r="G16" s="183">
        <f t="shared" si="0"/>
        <v>0.16632436526402697</v>
      </c>
      <c r="H16" s="183">
        <f t="shared" si="1"/>
        <v>11.184759149454935</v>
      </c>
      <c r="I16" s="183">
        <f t="shared" si="2"/>
        <v>0.99692320315063998</v>
      </c>
      <c r="J16" s="183">
        <f t="shared" si="3"/>
        <v>10.591348948948935</v>
      </c>
      <c r="K16" s="184">
        <f t="shared" si="4"/>
        <v>0.29209540865416439</v>
      </c>
      <c r="L16" s="186">
        <f>AVERAGE('2021.6'!B24:G52)</f>
        <v>68.246153846153859</v>
      </c>
      <c r="M16" s="186">
        <f>_xlfn.STDEV.S('2021.6'!B24:G52)</f>
        <v>27.134659533714625</v>
      </c>
      <c r="N16" s="187">
        <f>COUNT('2021.6'!B24:G52)</f>
        <v>117</v>
      </c>
      <c r="O16" s="195">
        <f>'2021.6'!D139+'2021.6'!E139</f>
        <v>38926</v>
      </c>
      <c r="P16" s="188">
        <f t="shared" si="19"/>
        <v>0.26560314416916286</v>
      </c>
      <c r="Q16" s="189">
        <f t="shared" si="5"/>
        <v>18.126393038990873</v>
      </c>
      <c r="R16" s="189">
        <f t="shared" si="6"/>
        <v>0.99699429687098595</v>
      </c>
      <c r="S16" s="189">
        <f t="shared" si="7"/>
        <v>6.2930747693214526</v>
      </c>
      <c r="T16" s="189">
        <f t="shared" si="8"/>
        <v>0.44261078228044515</v>
      </c>
      <c r="U16" s="190">
        <f>AVERAGE('2021.6'!B56:G67)</f>
        <v>63.028070175438593</v>
      </c>
      <c r="V16" s="190">
        <f>_xlfn.STDEV.S('2021.6'!B56:G67)</f>
        <v>24.523339862159652</v>
      </c>
      <c r="W16" s="178">
        <f>COUNT('2021.6'!B56:G67)</f>
        <v>57</v>
      </c>
      <c r="X16" s="196">
        <f>'2021.6'!D140+'2021.6'!E140</f>
        <v>18250</v>
      </c>
      <c r="Y16" s="183">
        <f t="shared" si="20"/>
        <v>0.12452492886726665</v>
      </c>
      <c r="Z16" s="183">
        <f t="shared" si="9"/>
        <v>7.8485659552375822</v>
      </c>
      <c r="AA16" s="183">
        <f t="shared" si="10"/>
        <v>0.99687671232876718</v>
      </c>
      <c r="AB16" s="183">
        <f t="shared" si="11"/>
        <v>10.550775403420852</v>
      </c>
      <c r="AC16" s="184">
        <f t="shared" si="12"/>
        <v>0.16309416874201607</v>
      </c>
      <c r="AD16" s="191">
        <f>AVERAGE('2021.6'!B71:D133)</f>
        <v>57.149732620320826</v>
      </c>
      <c r="AE16" s="191">
        <f>_xlfn.STDEV.S('2021.6'!B71:D133)</f>
        <v>24.277427398942454</v>
      </c>
      <c r="AF16" s="180">
        <f>COUNT('2021.6'!B71:D133)</f>
        <v>187</v>
      </c>
      <c r="AG16" s="197">
        <f>'2021.6'!D141+'2021.6'!E141</f>
        <v>65005</v>
      </c>
      <c r="AH16" s="180">
        <f t="shared" si="13"/>
        <v>0.44354756169954351</v>
      </c>
      <c r="AI16" s="189">
        <f t="shared" si="14"/>
        <v>25.348624555524164</v>
      </c>
      <c r="AJ16" s="189">
        <f t="shared" si="15"/>
        <v>0.99712329820783019</v>
      </c>
      <c r="AK16" s="189">
        <f t="shared" si="16"/>
        <v>3.151836797384608</v>
      </c>
      <c r="AL16" s="192">
        <f t="shared" si="17"/>
        <v>0.6182910752762959</v>
      </c>
      <c r="AM16" s="193">
        <f t="shared" si="21"/>
        <v>62.50834269920756</v>
      </c>
      <c r="AN16" s="194">
        <f t="shared" si="22"/>
        <v>1.2312966478281835</v>
      </c>
    </row>
    <row r="17" spans="1:40" ht="16" x14ac:dyDescent="0.25">
      <c r="A17" s="439" t="str">
        <f>'monitoring results'!A19</f>
        <v>01-July-2021 to 31-July-2021</v>
      </c>
      <c r="B17" s="181">
        <f t="shared" si="18"/>
        <v>146562</v>
      </c>
      <c r="C17" s="182">
        <f>AVERAGE('2021.7'!B5:G20)</f>
        <v>65.282666666666671</v>
      </c>
      <c r="D17" s="182">
        <f>_xlfn.STDEV.S('2021.7'!B5:G20)</f>
        <v>26.715768060511802</v>
      </c>
      <c r="E17" s="178">
        <f>COUNT('2021.7'!B5:G20)</f>
        <v>75</v>
      </c>
      <c r="F17" s="178">
        <f>'2021.7'!D138+'2021.7'!E138</f>
        <v>24377</v>
      </c>
      <c r="G17" s="183">
        <f t="shared" si="0"/>
        <v>0.1663255141168925</v>
      </c>
      <c r="H17" s="183">
        <f t="shared" si="1"/>
        <v>10.858173096255054</v>
      </c>
      <c r="I17" s="183">
        <f t="shared" si="2"/>
        <v>0.99692332936784678</v>
      </c>
      <c r="J17" s="183">
        <f t="shared" si="3"/>
        <v>9.5164301741741664</v>
      </c>
      <c r="K17" s="184">
        <f t="shared" si="4"/>
        <v>0.26245422813085462</v>
      </c>
      <c r="L17" s="186">
        <f>AVERAGE('2021.7'!B24:G52)</f>
        <v>69.593162393162373</v>
      </c>
      <c r="M17" s="186">
        <f>_xlfn.STDEV.S('2021.7'!B24:G52)</f>
        <v>25.651825660967017</v>
      </c>
      <c r="N17" s="187">
        <f>COUNT('2021.7'!B24:G52)</f>
        <v>117</v>
      </c>
      <c r="O17" s="195">
        <f>'2021.7'!D139+'2021.7'!E139</f>
        <v>38932</v>
      </c>
      <c r="P17" s="188">
        <f t="shared" si="19"/>
        <v>0.26563502135614964</v>
      </c>
      <c r="Q17" s="189">
        <f t="shared" si="5"/>
        <v>18.486381178549674</v>
      </c>
      <c r="R17" s="189">
        <f t="shared" si="6"/>
        <v>0.99699476009452381</v>
      </c>
      <c r="S17" s="189">
        <f t="shared" si="7"/>
        <v>5.6240697413730416</v>
      </c>
      <c r="T17" s="189">
        <f t="shared" si="8"/>
        <v>0.39565279417299348</v>
      </c>
      <c r="U17" s="190">
        <f>AVERAGE('2021.7'!B56:G67)</f>
        <v>62.280701754385959</v>
      </c>
      <c r="V17" s="190">
        <f>_xlfn.STDEV.S('2021.7'!B56:G67)</f>
        <v>26.380359567817109</v>
      </c>
      <c r="W17" s="178">
        <f>COUNT('2021.7'!B56:G67)</f>
        <v>57</v>
      </c>
      <c r="X17" s="196">
        <f>'2021.7'!D140+'2021.7'!E140</f>
        <v>18248</v>
      </c>
      <c r="Y17" s="183">
        <f t="shared" si="20"/>
        <v>0.12450703456557634</v>
      </c>
      <c r="Z17" s="183">
        <f t="shared" si="9"/>
        <v>7.7543854861016843</v>
      </c>
      <c r="AA17" s="183">
        <f t="shared" si="10"/>
        <v>0.9968763700131521</v>
      </c>
      <c r="AB17" s="183">
        <f t="shared" si="11"/>
        <v>12.209181946093329</v>
      </c>
      <c r="AC17" s="184">
        <f t="shared" si="12"/>
        <v>0.18867555942742634</v>
      </c>
      <c r="AD17" s="191">
        <f>AVERAGE('2021.7'!B71:D133)</f>
        <v>58.062032085561491</v>
      </c>
      <c r="AE17" s="191">
        <f>_xlfn.STDEV.S('2021.7'!B71:D133)</f>
        <v>23.54605192892911</v>
      </c>
      <c r="AF17" s="180">
        <f>COUNT('2021.7'!B71:D133)</f>
        <v>187</v>
      </c>
      <c r="AG17" s="197">
        <f>'2021.7'!D141+'2021.7'!E141</f>
        <v>65005</v>
      </c>
      <c r="AH17" s="180">
        <f t="shared" si="13"/>
        <v>0.44353242996138154</v>
      </c>
      <c r="AI17" s="189">
        <f t="shared" si="14"/>
        <v>25.752394179404789</v>
      </c>
      <c r="AJ17" s="189">
        <f t="shared" si="15"/>
        <v>0.99712329820783019</v>
      </c>
      <c r="AK17" s="189">
        <f t="shared" si="16"/>
        <v>2.9647944462022795</v>
      </c>
      <c r="AL17" s="192">
        <f t="shared" si="17"/>
        <v>0.58155957694781679</v>
      </c>
      <c r="AM17" s="193">
        <f t="shared" si="21"/>
        <v>62.8513339403112</v>
      </c>
      <c r="AN17" s="194">
        <f t="shared" si="22"/>
        <v>1.1951326950088392</v>
      </c>
    </row>
    <row r="18" spans="1:40" ht="16" x14ac:dyDescent="0.25">
      <c r="A18" s="439" t="str">
        <f>'monitoring results'!A20</f>
        <v>01-August-2021 to 31-August-2021</v>
      </c>
      <c r="B18" s="181">
        <f t="shared" si="18"/>
        <v>146523</v>
      </c>
      <c r="C18" s="182">
        <f>AVERAGE('2021.8'!B5:G20)</f>
        <v>67.039999999999992</v>
      </c>
      <c r="D18" s="182">
        <f>_xlfn.STDEV.S('2021.8'!B5:G20)</f>
        <v>27.67893139633907</v>
      </c>
      <c r="E18" s="178">
        <f>COUNT('2021.8'!B5:G20)</f>
        <v>75</v>
      </c>
      <c r="F18" s="178">
        <f>'2021.8'!D138+'2021.8'!E138</f>
        <v>24400</v>
      </c>
      <c r="G18" s="183">
        <f t="shared" si="0"/>
        <v>0.16652675689140953</v>
      </c>
      <c r="H18" s="183">
        <f t="shared" si="1"/>
        <v>11.163953782000094</v>
      </c>
      <c r="I18" s="183">
        <f t="shared" si="2"/>
        <v>0.99692622950819676</v>
      </c>
      <c r="J18" s="183">
        <f t="shared" si="3"/>
        <v>10.214976576576596</v>
      </c>
      <c r="K18" s="184">
        <f t="shared" si="4"/>
        <v>0.2824024409395624</v>
      </c>
      <c r="L18" s="186">
        <f>AVERAGE('2021.8'!B24:G52)</f>
        <v>70.023076923076943</v>
      </c>
      <c r="M18" s="186">
        <f>_xlfn.STDEV.S('2021.8'!B24:G52)</f>
        <v>26.639636610261604</v>
      </c>
      <c r="N18" s="187">
        <f>COUNT('2021.8'!B24:G52)</f>
        <v>117</v>
      </c>
      <c r="O18" s="195">
        <f>'2021.8'!D139+'2021.8'!E139</f>
        <v>38883</v>
      </c>
      <c r="P18" s="188">
        <f t="shared" si="19"/>
        <v>0.26537130689379823</v>
      </c>
      <c r="Q18" s="189">
        <f t="shared" si="5"/>
        <v>18.582115435801892</v>
      </c>
      <c r="R18" s="189">
        <f t="shared" si="6"/>
        <v>0.99699097291875627</v>
      </c>
      <c r="S18" s="189">
        <f t="shared" si="7"/>
        <v>6.0655575959554726</v>
      </c>
      <c r="T18" s="189">
        <f t="shared" si="8"/>
        <v>0.42586297487373936</v>
      </c>
      <c r="U18" s="190">
        <f>AVERAGE('2021.8'!B56:G67)</f>
        <v>61.919298245614044</v>
      </c>
      <c r="V18" s="190">
        <f>_xlfn.STDEV.S('2021.8'!B56:G67)</f>
        <v>25.138732484501237</v>
      </c>
      <c r="W18" s="178">
        <f>COUNT('2021.8'!B56:G67)</f>
        <v>57</v>
      </c>
      <c r="X18" s="198">
        <f>'2021.8'!D140+'2021.8'!E140</f>
        <v>18235</v>
      </c>
      <c r="Y18" s="183">
        <f t="shared" si="20"/>
        <v>0.12445145130798578</v>
      </c>
      <c r="Z18" s="183">
        <f t="shared" si="9"/>
        <v>7.7059465306386858</v>
      </c>
      <c r="AA18" s="183">
        <f t="shared" si="10"/>
        <v>0.99687414313134082</v>
      </c>
      <c r="AB18" s="183">
        <f t="shared" si="11"/>
        <v>11.086945103988031</v>
      </c>
      <c r="AC18" s="184">
        <f t="shared" si="12"/>
        <v>0.17117966011137406</v>
      </c>
      <c r="AD18" s="191">
        <f>AVERAGE('2021.8'!B71:D133)</f>
        <v>57.836898395721967</v>
      </c>
      <c r="AE18" s="191">
        <f>_xlfn.STDEV.S('2021.8'!B71:D133)</f>
        <v>24.135835958696362</v>
      </c>
      <c r="AF18" s="180">
        <f>COUNT('2021.8'!B71:D133)</f>
        <v>187</v>
      </c>
      <c r="AG18" s="197">
        <f>'2021.8'!D141+'2021.8'!E141</f>
        <v>65005</v>
      </c>
      <c r="AH18" s="180">
        <f t="shared" si="13"/>
        <v>0.44365048490680642</v>
      </c>
      <c r="AI18" s="189">
        <f t="shared" si="14"/>
        <v>25.659368018767744</v>
      </c>
      <c r="AJ18" s="189">
        <f t="shared" si="15"/>
        <v>0.99712329820783019</v>
      </c>
      <c r="AK18" s="189">
        <f t="shared" si="16"/>
        <v>3.1151795584229967</v>
      </c>
      <c r="AL18" s="192">
        <f t="shared" si="17"/>
        <v>0.61138371887386589</v>
      </c>
      <c r="AM18" s="193">
        <f t="shared" si="21"/>
        <v>63.111383767208416</v>
      </c>
      <c r="AN18" s="194">
        <f t="shared" si="22"/>
        <v>1.2209950019547753</v>
      </c>
    </row>
    <row r="19" spans="1:40" ht="16" x14ac:dyDescent="0.25">
      <c r="A19" s="439" t="str">
        <f>'monitoring results'!A21</f>
        <v>01-September-2021 to 30-September-2021</v>
      </c>
      <c r="B19" s="181">
        <f t="shared" si="18"/>
        <v>146608</v>
      </c>
      <c r="C19" s="182">
        <f>AVERAGE('2021.9'!B5:G20)</f>
        <v>67.923999999999978</v>
      </c>
      <c r="D19" s="182">
        <f>_xlfn.STDEV.S('2021.9'!B5:G20)</f>
        <v>25.592982779808416</v>
      </c>
      <c r="E19" s="178">
        <f>COUNT('2021.9'!B5:G20)</f>
        <v>75</v>
      </c>
      <c r="F19" s="178">
        <f>'2021.9'!D138+'2021.9'!E138</f>
        <v>24410</v>
      </c>
      <c r="G19" s="183">
        <f t="shared" si="0"/>
        <v>0.16649841754883771</v>
      </c>
      <c r="H19" s="183">
        <f t="shared" si="1"/>
        <v>11.30923851358725</v>
      </c>
      <c r="I19" s="183">
        <f t="shared" si="2"/>
        <v>0.9969274887341254</v>
      </c>
      <c r="J19" s="183">
        <f t="shared" si="3"/>
        <v>8.7333435675676014</v>
      </c>
      <c r="K19" s="184">
        <f t="shared" si="4"/>
        <v>0.24135946643401313</v>
      </c>
      <c r="L19" s="186">
        <f>AVERAGE('2021.9'!B24:G52)</f>
        <v>69.089743589743591</v>
      </c>
      <c r="M19" s="186">
        <f>_xlfn.STDEV.S('2021.9'!B24:G52)</f>
        <v>25.952039268139703</v>
      </c>
      <c r="N19" s="187">
        <f>COUNT('2021.9'!B24:G52)</f>
        <v>117</v>
      </c>
      <c r="O19" s="195">
        <f>'2021.9'!D139+'2021.9'!E139</f>
        <v>38933</v>
      </c>
      <c r="P19" s="188">
        <f t="shared" si="19"/>
        <v>0.26555849612572302</v>
      </c>
      <c r="Q19" s="189">
        <f t="shared" si="5"/>
        <v>18.347368405404119</v>
      </c>
      <c r="R19" s="189">
        <f t="shared" si="6"/>
        <v>0.99699483728456584</v>
      </c>
      <c r="S19" s="189">
        <f t="shared" si="7"/>
        <v>5.7564815570518393</v>
      </c>
      <c r="T19" s="189">
        <f t="shared" si="8"/>
        <v>0.40473468862334094</v>
      </c>
      <c r="U19" s="190">
        <f>AVERAGE('2021.9'!B56:G67)</f>
        <v>64.671929824561374</v>
      </c>
      <c r="V19" s="190">
        <f>_xlfn.STDEV.S('2021.9'!B56:G67)</f>
        <v>26.206274837376931</v>
      </c>
      <c r="W19" s="178">
        <f>COUNT('2021.9'!B56:G67)</f>
        <v>57</v>
      </c>
      <c r="X19" s="198">
        <f>'2021.9'!D140+'2021.9'!E140</f>
        <v>18260</v>
      </c>
      <c r="Y19" s="183">
        <f t="shared" si="20"/>
        <v>0.12454981992797119</v>
      </c>
      <c r="Z19" s="183">
        <f t="shared" si="9"/>
        <v>8.0548772140435094</v>
      </c>
      <c r="AA19" s="183">
        <f t="shared" si="10"/>
        <v>0.9968784227820372</v>
      </c>
      <c r="AB19" s="183">
        <f t="shared" si="11"/>
        <v>12.048576155300619</v>
      </c>
      <c r="AC19" s="184">
        <f t="shared" si="12"/>
        <v>0.18632199724188539</v>
      </c>
      <c r="AD19" s="191">
        <f>AVERAGE('2021.9'!B71:D133)</f>
        <v>58.892513368983984</v>
      </c>
      <c r="AE19" s="191">
        <f>_xlfn.STDEV.S('2021.9'!B71:D133)</f>
        <v>24.481332532640899</v>
      </c>
      <c r="AF19" s="180">
        <f>COUNT('2021.9'!B71:D133)</f>
        <v>187</v>
      </c>
      <c r="AG19" s="197">
        <f>'2021.9'!D141+'2021.9'!E141</f>
        <v>65005</v>
      </c>
      <c r="AH19" s="180">
        <f t="shared" si="13"/>
        <v>0.44339326639746807</v>
      </c>
      <c r="AI19" s="189">
        <f t="shared" si="14"/>
        <v>26.112543869030368</v>
      </c>
      <c r="AJ19" s="189">
        <f t="shared" si="15"/>
        <v>0.99712329820783019</v>
      </c>
      <c r="AK19" s="189">
        <f t="shared" si="16"/>
        <v>3.2050034362232176</v>
      </c>
      <c r="AL19" s="192">
        <f t="shared" si="17"/>
        <v>0.62828334915298423</v>
      </c>
      <c r="AM19" s="193">
        <f t="shared" si="21"/>
        <v>63.824028002065248</v>
      </c>
      <c r="AN19" s="194">
        <f t="shared" si="22"/>
        <v>1.2085940184579038</v>
      </c>
    </row>
    <row r="20" spans="1:40" ht="16" x14ac:dyDescent="0.25">
      <c r="A20" s="439" t="str">
        <f>'monitoring results'!A22</f>
        <v>01-October-2021 to 31-October-2021</v>
      </c>
      <c r="B20" s="181">
        <f t="shared" si="18"/>
        <v>146567</v>
      </c>
      <c r="C20" s="182">
        <f>AVERAGE('2021.10'!B5:G20)</f>
        <v>68.13866666666668</v>
      </c>
      <c r="D20" s="182">
        <f>_xlfn.STDEV.S('2021.10'!B5:G20)</f>
        <v>27.685516231578728</v>
      </c>
      <c r="E20" s="178">
        <f>COUNT('2021.10'!B5:G20)</f>
        <v>75</v>
      </c>
      <c r="F20" s="178">
        <f>'2021.10'!D138+'2021.10'!E138</f>
        <v>24383</v>
      </c>
      <c r="G20" s="183">
        <f t="shared" si="0"/>
        <v>0.1663607769825404</v>
      </c>
      <c r="H20" s="183">
        <f t="shared" si="1"/>
        <v>11.335601529220995</v>
      </c>
      <c r="I20" s="183">
        <f t="shared" si="2"/>
        <v>0.99692408645367669</v>
      </c>
      <c r="J20" s="183">
        <f t="shared" si="3"/>
        <v>10.219837453453456</v>
      </c>
      <c r="K20" s="184">
        <f t="shared" si="4"/>
        <v>0.28197328086141821</v>
      </c>
      <c r="L20" s="186">
        <f>AVERAGE('2021.10'!B24:G52)</f>
        <v>69.914529914529894</v>
      </c>
      <c r="M20" s="186">
        <f>_xlfn.STDEV.S('2021.10'!B24:G52)</f>
        <v>27.709037069834505</v>
      </c>
      <c r="N20" s="187">
        <f>COUNT('2021.10'!B24:G52)</f>
        <v>117</v>
      </c>
      <c r="O20" s="195">
        <f>'2021.10'!D139+'2021.10'!E139</f>
        <v>38936</v>
      </c>
      <c r="P20" s="188">
        <f t="shared" si="19"/>
        <v>0.26565325073174728</v>
      </c>
      <c r="Q20" s="189">
        <f t="shared" si="5"/>
        <v>18.573022145176854</v>
      </c>
      <c r="R20" s="189">
        <f t="shared" si="6"/>
        <v>0.99699506883090194</v>
      </c>
      <c r="S20" s="189">
        <f t="shared" si="7"/>
        <v>6.5623139772432708</v>
      </c>
      <c r="T20" s="189">
        <f t="shared" si="8"/>
        <v>0.46172169906866456</v>
      </c>
      <c r="U20" s="190">
        <f>AVERAGE('2021.10'!B56:G67)</f>
        <v>64.485964912280721</v>
      </c>
      <c r="V20" s="190">
        <f>_xlfn.STDEV.S('2021.10'!B56:G67)</f>
        <v>28.073528702043504</v>
      </c>
      <c r="W20" s="178">
        <f>COUNT('2021.10'!B56:G67)</f>
        <v>57</v>
      </c>
      <c r="X20" s="198">
        <f>'2021.10'!D140+'2021.10'!E140</f>
        <v>18243</v>
      </c>
      <c r="Y20" s="183">
        <f t="shared" si="20"/>
        <v>0.1244686730300818</v>
      </c>
      <c r="Z20" s="183">
        <f t="shared" si="9"/>
        <v>8.0264824816959965</v>
      </c>
      <c r="AA20" s="183">
        <f t="shared" si="10"/>
        <v>0.99687551389574081</v>
      </c>
      <c r="AB20" s="183">
        <f t="shared" si="11"/>
        <v>13.826719540078253</v>
      </c>
      <c r="AC20" s="184">
        <f t="shared" si="12"/>
        <v>0.21354047351628214</v>
      </c>
      <c r="AD20" s="191">
        <f>AVERAGE('2021.10'!B71:D133)</f>
        <v>58.192513368983967</v>
      </c>
      <c r="AE20" s="191">
        <f>_xlfn.STDEV.S('2021.10'!B71:D133)</f>
        <v>24.56418512714886</v>
      </c>
      <c r="AF20" s="180">
        <f>COUNT('2021.10'!B71:D133)</f>
        <v>187</v>
      </c>
      <c r="AG20" s="197">
        <f>'2021.10'!D141+'2021.10'!E141</f>
        <v>65005</v>
      </c>
      <c r="AH20" s="180">
        <f t="shared" si="13"/>
        <v>0.44351729925563055</v>
      </c>
      <c r="AI20" s="189">
        <f t="shared" si="14"/>
        <v>25.809386366308942</v>
      </c>
      <c r="AJ20" s="189">
        <f t="shared" si="15"/>
        <v>0.99712329820783019</v>
      </c>
      <c r="AK20" s="189">
        <f t="shared" si="16"/>
        <v>3.2267336415018248</v>
      </c>
      <c r="AL20" s="192">
        <f t="shared" si="17"/>
        <v>0.63289710465284754</v>
      </c>
      <c r="AM20" s="193">
        <f t="shared" si="21"/>
        <v>63.744492522402787</v>
      </c>
      <c r="AN20" s="194">
        <f t="shared" si="22"/>
        <v>1.2610045829017484</v>
      </c>
    </row>
    <row r="21" spans="1:40" ht="16" x14ac:dyDescent="0.25">
      <c r="A21" s="439" t="str">
        <f>'monitoring results'!A23</f>
        <v>01-November-2021 to 30-November-2021</v>
      </c>
      <c r="B21" s="181">
        <f t="shared" si="18"/>
        <v>146535</v>
      </c>
      <c r="C21" s="182">
        <f>AVERAGE('2021.11'!B5:G20)</f>
        <v>66.944000000000017</v>
      </c>
      <c r="D21" s="182">
        <f>_xlfn.STDEV.S('2021.11'!B5:G20)</f>
        <v>24.623616657536211</v>
      </c>
      <c r="E21" s="178">
        <f>COUNT('2021.11'!B5:G20)</f>
        <v>75</v>
      </c>
      <c r="F21" s="178">
        <f>'2021.11'!D138+'2021.11'!E138</f>
        <v>24375</v>
      </c>
      <c r="G21" s="183">
        <f t="shared" si="0"/>
        <v>0.16634251202784317</v>
      </c>
      <c r="H21" s="183">
        <f t="shared" si="1"/>
        <v>11.135633125191937</v>
      </c>
      <c r="I21" s="183">
        <f t="shared" si="2"/>
        <v>0.99692307692307691</v>
      </c>
      <c r="J21" s="183">
        <f t="shared" si="3"/>
        <v>8.0842999639639288</v>
      </c>
      <c r="K21" s="184">
        <f t="shared" si="4"/>
        <v>0.22300293557862896</v>
      </c>
      <c r="L21" s="186">
        <f>AVERAGE('2021.11'!B24:G52)</f>
        <v>69.241880341880332</v>
      </c>
      <c r="M21" s="186">
        <f>_xlfn.STDEV.S('2021.11'!B24:G52)</f>
        <v>27.610815095301703</v>
      </c>
      <c r="N21" s="187">
        <f>COUNT('2021.11'!B24:G52)</f>
        <v>117</v>
      </c>
      <c r="O21" s="195">
        <f>'2021.11'!D139+'2021.11'!E139</f>
        <v>38911</v>
      </c>
      <c r="P21" s="188">
        <f t="shared" si="19"/>
        <v>0.26554065581601666</v>
      </c>
      <c r="Q21" s="189">
        <f t="shared" si="5"/>
        <v>18.386534315917054</v>
      </c>
      <c r="R21" s="189">
        <f t="shared" si="6"/>
        <v>0.99699313818714508</v>
      </c>
      <c r="S21" s="189">
        <f t="shared" si="7"/>
        <v>6.5158727369823968</v>
      </c>
      <c r="T21" s="189">
        <f t="shared" si="8"/>
        <v>0.4580646840223237</v>
      </c>
      <c r="U21" s="190">
        <f>AVERAGE('2021.11'!B56:G67)</f>
        <v>62.678947368421035</v>
      </c>
      <c r="V21" s="190">
        <f>_xlfn.STDEV.S('2021.11'!B56:G67)</f>
        <v>25.566102954904093</v>
      </c>
      <c r="W21" s="178">
        <f>COUNT('2021.11'!B56:G67)</f>
        <v>57</v>
      </c>
      <c r="X21" s="198">
        <f>'2021.11'!D140+'2021.11'!E140</f>
        <v>18244</v>
      </c>
      <c r="Y21" s="183">
        <f t="shared" si="20"/>
        <v>0.1245026785409629</v>
      </c>
      <c r="Z21" s="183">
        <f t="shared" si="9"/>
        <v>7.8036968354964573</v>
      </c>
      <c r="AA21" s="183">
        <f t="shared" si="10"/>
        <v>0.99687568515676384</v>
      </c>
      <c r="AB21" s="183">
        <f t="shared" si="11"/>
        <v>11.467116145627296</v>
      </c>
      <c r="AC21" s="184">
        <f t="shared" si="12"/>
        <v>0.17719546567818087</v>
      </c>
      <c r="AD21" s="191">
        <f>AVERAGE('2021.11'!B71:D133)</f>
        <v>57.981818181818156</v>
      </c>
      <c r="AE21" s="191">
        <f>_xlfn.STDEV.S('2021.11'!B71:D133)</f>
        <v>24.62216177430178</v>
      </c>
      <c r="AF21" s="180">
        <f>COUNT('2021.11'!B71:D133)</f>
        <v>187</v>
      </c>
      <c r="AG21" s="197">
        <f>'2021.11'!D141+'2021.11'!E141</f>
        <v>65005</v>
      </c>
      <c r="AH21" s="180">
        <f t="shared" si="13"/>
        <v>0.44361415361517725</v>
      </c>
      <c r="AI21" s="189">
        <f t="shared" si="14"/>
        <v>25.721555197796359</v>
      </c>
      <c r="AJ21" s="189">
        <f t="shared" si="15"/>
        <v>0.99712329820783019</v>
      </c>
      <c r="AK21" s="189">
        <f t="shared" si="16"/>
        <v>3.2419831574325553</v>
      </c>
      <c r="AL21" s="192">
        <f t="shared" si="17"/>
        <v>0.63616592914605663</v>
      </c>
      <c r="AM21" s="193">
        <f t="shared" si="21"/>
        <v>63.047419474401806</v>
      </c>
      <c r="AN21" s="194">
        <f t="shared" si="22"/>
        <v>1.2224684103997085</v>
      </c>
    </row>
    <row r="22" spans="1:40" ht="16" x14ac:dyDescent="0.25">
      <c r="A22" s="439" t="str">
        <f>'monitoring results'!A24</f>
        <v>01-December-2021 to 31-December-2021</v>
      </c>
      <c r="B22" s="181">
        <f t="shared" si="18"/>
        <v>146562</v>
      </c>
      <c r="C22" s="182">
        <f>AVERAGE('2021.12'!B5:G20)</f>
        <v>67.458666666666673</v>
      </c>
      <c r="D22" s="182">
        <f>_xlfn.STDEV.S('2021.12'!B5:G20)</f>
        <v>26.703861919981545</v>
      </c>
      <c r="E22" s="178">
        <f>COUNT('2021.12'!B5:G20)</f>
        <v>75</v>
      </c>
      <c r="F22" s="178">
        <f>'2021.12'!D138+'2021.12'!E138</f>
        <v>24370</v>
      </c>
      <c r="G22" s="183">
        <f t="shared" si="0"/>
        <v>0.16627775275992412</v>
      </c>
      <c r="H22" s="183">
        <f t="shared" si="1"/>
        <v>11.216875497514136</v>
      </c>
      <c r="I22" s="183">
        <f t="shared" si="2"/>
        <v>0.99692244562987276</v>
      </c>
      <c r="J22" s="183">
        <f t="shared" si="3"/>
        <v>9.5079498858858731</v>
      </c>
      <c r="K22" s="184">
        <f t="shared" si="4"/>
        <v>0.26206954277718469</v>
      </c>
      <c r="L22" s="186">
        <f>AVERAGE('2021.12'!B24:G52)</f>
        <v>67.893162393162413</v>
      </c>
      <c r="M22" s="186">
        <f>_xlfn.STDEV.S('2021.12'!B24:G52)</f>
        <v>26.690834428680969</v>
      </c>
      <c r="N22" s="187">
        <f>COUNT('2021.12'!B24:G52)</f>
        <v>117</v>
      </c>
      <c r="O22" s="195">
        <f>'2021.12'!D139+'2021.12'!E139</f>
        <v>38923</v>
      </c>
      <c r="P22" s="188">
        <f t="shared" si="19"/>
        <v>0.26557361389719025</v>
      </c>
      <c r="Q22" s="189">
        <f t="shared" si="5"/>
        <v>18.030632495660953</v>
      </c>
      <c r="R22" s="189">
        <f t="shared" si="6"/>
        <v>0.99699406520566247</v>
      </c>
      <c r="S22" s="189">
        <f t="shared" si="7"/>
        <v>6.0888943803355673</v>
      </c>
      <c r="T22" s="189">
        <f t="shared" si="8"/>
        <v>0.42815484289790601</v>
      </c>
      <c r="U22" s="190">
        <f>AVERAGE('2021.12'!B56:G67)</f>
        <v>62.747368421052627</v>
      </c>
      <c r="V22" s="190">
        <f>_xlfn.STDEV.S('2021.12'!B56:G67)</f>
        <v>25.251429275411873</v>
      </c>
      <c r="W22" s="178">
        <f>COUNT('2021.12'!B56:G67)</f>
        <v>57</v>
      </c>
      <c r="X22" s="198">
        <f>'2021.12'!D140+'2021.12'!E140</f>
        <v>18264</v>
      </c>
      <c r="Y22" s="183">
        <f t="shared" si="20"/>
        <v>0.12461620338150407</v>
      </c>
      <c r="Z22" s="183">
        <f t="shared" si="9"/>
        <v>7.8193388248120597</v>
      </c>
      <c r="AA22" s="183">
        <f t="shared" si="10"/>
        <v>0.99687910643889621</v>
      </c>
      <c r="AB22" s="183">
        <f t="shared" si="11"/>
        <v>11.186573341247856</v>
      </c>
      <c r="AC22" s="184">
        <f t="shared" si="12"/>
        <v>0.17317635699054623</v>
      </c>
      <c r="AD22" s="191">
        <f>AVERAGE('2021.12'!B71:D133)</f>
        <v>58.563101604278089</v>
      </c>
      <c r="AE22" s="191">
        <f>_xlfn.STDEV.S('2021.12'!B71:D133)</f>
        <v>24.547804513995963</v>
      </c>
      <c r="AF22" s="180">
        <f>COUNT('2021.12'!B71:D133)</f>
        <v>187</v>
      </c>
      <c r="AG22" s="197">
        <f>'2021.12'!D141+'2021.12'!E141</f>
        <v>65005</v>
      </c>
      <c r="AH22" s="180">
        <f t="shared" si="13"/>
        <v>0.44353242996138154</v>
      </c>
      <c r="AI22" s="189">
        <f t="shared" si="14"/>
        <v>25.974634760620742</v>
      </c>
      <c r="AJ22" s="189">
        <f t="shared" si="15"/>
        <v>0.99712329820783019</v>
      </c>
      <c r="AK22" s="189">
        <f t="shared" si="16"/>
        <v>3.2224315853334793</v>
      </c>
      <c r="AL22" s="192">
        <f t="shared" si="17"/>
        <v>0.63209641798619332</v>
      </c>
      <c r="AM22" s="193">
        <f t="shared" si="21"/>
        <v>63.041481578607886</v>
      </c>
      <c r="AN22" s="194">
        <f t="shared" si="22"/>
        <v>1.2229052132736333</v>
      </c>
    </row>
    <row r="23" spans="1:40" s="199" customFormat="1" ht="19" x14ac:dyDescent="0.25">
      <c r="P23" s="172"/>
    </row>
    <row r="24" spans="1:40" s="199" customFormat="1" ht="16" x14ac:dyDescent="0.25"/>
    <row r="25" spans="1:40" ht="19" x14ac:dyDescent="0.25">
      <c r="A25" s="594" t="s">
        <v>110</v>
      </c>
      <c r="B25" s="594"/>
      <c r="C25" s="594"/>
      <c r="D25" s="594"/>
      <c r="E25" s="594"/>
      <c r="F25" s="594"/>
      <c r="G25" s="200"/>
      <c r="H25" s="200"/>
      <c r="I25" s="200"/>
      <c r="J25" s="200"/>
      <c r="K25" s="201"/>
      <c r="L25" s="200"/>
      <c r="M25" s="200"/>
      <c r="N25" s="172"/>
      <c r="O25" s="172"/>
      <c r="P25" s="172"/>
      <c r="Q25" s="172"/>
      <c r="R25" s="172"/>
      <c r="S25" s="172"/>
      <c r="T25" s="172"/>
      <c r="U25" s="199"/>
      <c r="V25" s="199"/>
      <c r="W25" s="199"/>
      <c r="X25" s="199"/>
      <c r="Y25" s="199"/>
      <c r="Z25" s="199"/>
      <c r="AA25" s="199"/>
      <c r="AB25" s="199"/>
      <c r="AC25" s="199"/>
      <c r="AD25" s="199"/>
      <c r="AE25" s="199"/>
      <c r="AF25" s="199"/>
      <c r="AG25" s="199"/>
      <c r="AH25" s="199"/>
      <c r="AI25" s="199"/>
      <c r="AJ25" s="199"/>
      <c r="AK25" s="199"/>
      <c r="AL25" s="199"/>
      <c r="AM25" s="199"/>
      <c r="AN25" s="199"/>
    </row>
    <row r="26" spans="1:40" ht="39" customHeight="1" x14ac:dyDescent="0.25">
      <c r="A26" s="601"/>
      <c r="B26" s="601"/>
      <c r="C26" s="601"/>
      <c r="D26" s="601"/>
      <c r="E26" s="601"/>
      <c r="F26" s="601"/>
      <c r="G26" s="202"/>
      <c r="H26" s="203"/>
      <c r="I26" s="203"/>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row>
    <row r="27" spans="1:40" ht="17" x14ac:dyDescent="0.25">
      <c r="A27" s="204" t="s">
        <v>222</v>
      </c>
      <c r="B27" s="589" t="s">
        <v>111</v>
      </c>
      <c r="C27" s="589"/>
      <c r="D27" s="589"/>
      <c r="E27" s="589"/>
      <c r="F27" s="589"/>
      <c r="G27" s="205"/>
      <c r="H27" s="206"/>
      <c r="I27" s="206"/>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row>
    <row r="28" spans="1:40" ht="17.5" x14ac:dyDescent="0.25">
      <c r="A28" s="204" t="s">
        <v>223</v>
      </c>
      <c r="B28" s="589" t="s">
        <v>224</v>
      </c>
      <c r="C28" s="589"/>
      <c r="D28" s="589"/>
      <c r="E28" s="589"/>
      <c r="F28" s="589"/>
      <c r="G28" s="205"/>
      <c r="H28" s="206"/>
      <c r="I28" s="206"/>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row>
    <row r="29" spans="1:40" ht="16" x14ac:dyDescent="0.25">
      <c r="A29" s="204" t="s">
        <v>112</v>
      </c>
      <c r="B29" s="589" t="s">
        <v>108</v>
      </c>
      <c r="C29" s="589"/>
      <c r="D29" s="589"/>
      <c r="E29" s="589"/>
      <c r="F29" s="589"/>
      <c r="G29" s="205"/>
      <c r="H29" s="206"/>
      <c r="I29" s="206"/>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row>
    <row r="30" spans="1:40" ht="17.5" x14ac:dyDescent="0.25">
      <c r="A30" s="204" t="s">
        <v>225</v>
      </c>
      <c r="B30" s="589" t="s">
        <v>226</v>
      </c>
      <c r="C30" s="589"/>
      <c r="D30" s="589"/>
      <c r="E30" s="589"/>
      <c r="F30" s="589"/>
      <c r="G30" s="205"/>
      <c r="H30" s="206"/>
      <c r="I30" s="206"/>
      <c r="J30" s="199"/>
      <c r="K30" s="199"/>
      <c r="L30" s="199"/>
      <c r="N30" s="199"/>
      <c r="O30" s="199"/>
      <c r="P30" s="199"/>
      <c r="R30" s="199"/>
      <c r="S30" s="199"/>
      <c r="T30" s="199"/>
      <c r="U30" s="199"/>
    </row>
    <row r="31" spans="1:40" ht="16" x14ac:dyDescent="0.25">
      <c r="A31" s="199"/>
      <c r="B31" s="199"/>
      <c r="C31" s="199"/>
      <c r="D31" s="199"/>
      <c r="E31" s="199"/>
      <c r="F31" s="199"/>
      <c r="G31" s="199"/>
      <c r="H31" s="199"/>
      <c r="I31" s="199"/>
      <c r="J31" s="199"/>
      <c r="K31" s="199"/>
      <c r="L31" s="199"/>
      <c r="M31" s="199"/>
      <c r="N31" s="199"/>
      <c r="O31" s="199"/>
      <c r="P31" s="199"/>
      <c r="Q31" s="199"/>
      <c r="R31" s="199"/>
      <c r="S31" s="199"/>
      <c r="T31" s="199"/>
    </row>
    <row r="32" spans="1:40" ht="16" x14ac:dyDescent="0.25">
      <c r="A32" s="199"/>
      <c r="B32" s="199"/>
      <c r="C32" s="199"/>
      <c r="D32" s="199"/>
      <c r="E32" s="199"/>
      <c r="F32" s="199"/>
      <c r="G32" s="199"/>
      <c r="H32" s="199"/>
      <c r="I32" s="199"/>
      <c r="J32" s="199"/>
      <c r="K32" s="199"/>
      <c r="L32" s="199"/>
      <c r="M32" s="199"/>
      <c r="N32" s="199"/>
      <c r="O32" s="199"/>
      <c r="P32" s="199"/>
      <c r="Q32" s="199"/>
    </row>
    <row r="33" spans="1:38" ht="19" x14ac:dyDescent="0.25">
      <c r="A33" s="594" t="s">
        <v>113</v>
      </c>
      <c r="B33" s="594"/>
      <c r="C33" s="594"/>
      <c r="D33" s="594"/>
      <c r="E33" s="594"/>
      <c r="F33" s="594"/>
      <c r="G33" s="200"/>
      <c r="H33" s="200"/>
      <c r="I33" s="200"/>
      <c r="J33" s="199"/>
      <c r="K33" s="199"/>
      <c r="L33" s="199"/>
      <c r="M33" s="199"/>
      <c r="N33" s="199"/>
      <c r="O33" s="199"/>
      <c r="P33" s="199"/>
      <c r="Q33" s="199"/>
      <c r="R33" s="172"/>
      <c r="S33" s="172"/>
      <c r="T33" s="172"/>
    </row>
    <row r="34" spans="1:38" ht="57" customHeight="1" x14ac:dyDescent="0.25">
      <c r="A34" s="601"/>
      <c r="B34" s="601"/>
      <c r="C34" s="601"/>
      <c r="D34" s="601"/>
      <c r="E34" s="601"/>
      <c r="F34" s="601"/>
      <c r="G34" s="202"/>
      <c r="H34" s="203"/>
      <c r="I34" s="203"/>
      <c r="J34" s="203"/>
      <c r="K34" s="199"/>
      <c r="L34" s="199"/>
      <c r="M34" s="203"/>
      <c r="N34" s="199"/>
      <c r="O34" s="207"/>
      <c r="P34" s="207"/>
      <c r="Q34" s="207"/>
      <c r="R34" s="207"/>
      <c r="S34" s="207"/>
      <c r="T34" s="207"/>
    </row>
    <row r="35" spans="1:38" ht="17" x14ac:dyDescent="0.25">
      <c r="A35" s="204" t="s">
        <v>227</v>
      </c>
      <c r="B35" s="602" t="s">
        <v>114</v>
      </c>
      <c r="C35" s="602"/>
      <c r="D35" s="602"/>
      <c r="E35" s="602"/>
      <c r="F35" s="602"/>
      <c r="G35" s="205"/>
      <c r="H35" s="206"/>
      <c r="I35" s="206"/>
      <c r="J35" s="206"/>
      <c r="K35" s="199"/>
      <c r="L35" s="199"/>
      <c r="M35" s="206"/>
      <c r="N35" s="199"/>
      <c r="O35" s="208"/>
      <c r="P35" s="208"/>
      <c r="Q35" s="208"/>
      <c r="R35" s="208"/>
      <c r="S35" s="208"/>
      <c r="T35" s="208"/>
      <c r="V35" s="199"/>
      <c r="W35" s="199"/>
      <c r="X35" s="199"/>
      <c r="Y35" s="199"/>
      <c r="Z35" s="199"/>
      <c r="AA35" s="199"/>
      <c r="AB35" s="199"/>
      <c r="AC35" s="199"/>
      <c r="AD35" s="199"/>
    </row>
    <row r="36" spans="1:38" ht="17.5" x14ac:dyDescent="0.25">
      <c r="A36" s="204" t="s">
        <v>223</v>
      </c>
      <c r="B36" s="589" t="s">
        <v>224</v>
      </c>
      <c r="C36" s="589"/>
      <c r="D36" s="589"/>
      <c r="E36" s="589"/>
      <c r="F36" s="589"/>
      <c r="G36" s="209"/>
      <c r="H36" s="208"/>
      <c r="I36" s="208"/>
      <c r="J36" s="208"/>
      <c r="K36" s="208"/>
      <c r="L36" s="208"/>
      <c r="M36" s="208"/>
      <c r="N36" s="208"/>
      <c r="O36" s="208"/>
      <c r="P36" s="208"/>
      <c r="Q36" s="208"/>
      <c r="R36" s="208"/>
      <c r="S36" s="208"/>
      <c r="T36" s="208"/>
    </row>
    <row r="37" spans="1:38" ht="15" x14ac:dyDescent="0.25">
      <c r="A37" s="204" t="s">
        <v>112</v>
      </c>
      <c r="B37" s="589" t="s">
        <v>108</v>
      </c>
      <c r="C37" s="589"/>
      <c r="D37" s="589"/>
      <c r="E37" s="589"/>
      <c r="F37" s="589"/>
      <c r="G37" s="205"/>
      <c r="H37" s="206"/>
      <c r="I37" s="206"/>
      <c r="J37" s="206"/>
      <c r="K37" s="206"/>
      <c r="L37" s="206"/>
      <c r="M37" s="206"/>
      <c r="N37" s="208"/>
      <c r="O37" s="208"/>
      <c r="P37" s="208"/>
      <c r="Q37" s="208"/>
      <c r="R37" s="208"/>
      <c r="S37" s="208"/>
      <c r="T37" s="208"/>
    </row>
    <row r="38" spans="1:38" ht="19.5" customHeight="1" x14ac:dyDescent="0.25">
      <c r="A38" s="204" t="s">
        <v>228</v>
      </c>
      <c r="B38" s="602" t="s">
        <v>229</v>
      </c>
      <c r="C38" s="602"/>
      <c r="D38" s="602"/>
      <c r="E38" s="602"/>
      <c r="F38" s="602"/>
      <c r="G38" s="210"/>
      <c r="H38" s="211"/>
      <c r="I38" s="211"/>
      <c r="J38" s="211"/>
      <c r="K38" s="211"/>
      <c r="L38" s="211"/>
      <c r="M38" s="211"/>
      <c r="N38" s="212"/>
      <c r="O38" s="212"/>
      <c r="P38" s="212"/>
      <c r="Q38" s="212"/>
      <c r="R38" s="212"/>
      <c r="S38" s="212"/>
      <c r="T38" s="212"/>
      <c r="AE38" s="199"/>
      <c r="AF38" s="199"/>
      <c r="AG38" s="199"/>
      <c r="AH38" s="199"/>
      <c r="AI38" s="199"/>
      <c r="AJ38" s="199"/>
      <c r="AK38" s="199"/>
      <c r="AL38" s="199"/>
    </row>
    <row r="39" spans="1:38" ht="17.5" x14ac:dyDescent="0.25">
      <c r="A39" s="204" t="s">
        <v>230</v>
      </c>
      <c r="B39" s="589" t="s">
        <v>231</v>
      </c>
      <c r="C39" s="589"/>
      <c r="D39" s="589"/>
      <c r="E39" s="589"/>
      <c r="F39" s="589"/>
      <c r="G39" s="205"/>
      <c r="H39" s="206"/>
      <c r="I39" s="206"/>
      <c r="J39" s="206"/>
      <c r="K39" s="206"/>
      <c r="L39" s="206"/>
      <c r="M39" s="206"/>
      <c r="N39" s="208"/>
      <c r="O39" s="208"/>
      <c r="P39" s="208"/>
      <c r="Q39" s="208"/>
      <c r="R39" s="208"/>
      <c r="S39" s="208"/>
      <c r="T39" s="208"/>
      <c r="AD39" s="199"/>
    </row>
    <row r="41" spans="1:38" ht="19" x14ac:dyDescent="0.25">
      <c r="A41" s="594" t="s">
        <v>115</v>
      </c>
      <c r="B41" s="594"/>
      <c r="C41" s="594"/>
      <c r="D41" s="594"/>
      <c r="E41" s="594"/>
      <c r="F41" s="594"/>
      <c r="G41" s="200"/>
      <c r="H41" s="200"/>
      <c r="I41" s="200"/>
      <c r="J41" s="200"/>
      <c r="K41" s="200"/>
      <c r="L41" s="200"/>
      <c r="M41" s="200"/>
      <c r="N41" s="172"/>
      <c r="O41" s="172"/>
      <c r="P41" s="172"/>
      <c r="Q41" s="172"/>
      <c r="R41" s="172"/>
      <c r="S41" s="172"/>
      <c r="T41" s="172"/>
    </row>
    <row r="42" spans="1:38" ht="93.75" customHeight="1" x14ac:dyDescent="0.25">
      <c r="A42" s="213">
        <f>TINV(0.05,436)</f>
        <v>1.9654198522355233</v>
      </c>
      <c r="B42" s="603" t="s">
        <v>160</v>
      </c>
      <c r="C42" s="603"/>
      <c r="D42" s="603"/>
      <c r="E42" s="603"/>
      <c r="F42" s="603"/>
      <c r="G42" s="214"/>
      <c r="H42" s="214"/>
      <c r="I42" s="214"/>
      <c r="J42" s="214"/>
      <c r="K42" s="214"/>
      <c r="L42" s="214"/>
      <c r="M42" s="214"/>
      <c r="N42" s="215"/>
      <c r="O42" s="215"/>
      <c r="P42" s="215"/>
      <c r="Q42" s="215"/>
      <c r="R42" s="215"/>
      <c r="S42" s="215"/>
      <c r="T42" s="215"/>
    </row>
    <row r="43" spans="1:38" ht="17.25" customHeight="1" x14ac:dyDescent="0.25"/>
    <row r="44" spans="1:38" ht="17.25" customHeight="1" x14ac:dyDescent="0.25">
      <c r="A44" s="594" t="s">
        <v>116</v>
      </c>
      <c r="B44" s="594"/>
      <c r="C44" s="594"/>
      <c r="D44" s="594"/>
      <c r="E44" s="594"/>
      <c r="F44" s="594"/>
      <c r="G44" s="172"/>
      <c r="H44" s="172"/>
      <c r="I44" s="172"/>
      <c r="J44" s="172"/>
      <c r="K44" s="172"/>
      <c r="L44" s="172"/>
      <c r="M44" s="172"/>
      <c r="N44" s="172"/>
      <c r="O44" s="172"/>
      <c r="P44" s="172"/>
      <c r="Q44" s="172"/>
      <c r="R44" s="172"/>
      <c r="S44" s="172"/>
      <c r="T44" s="172"/>
    </row>
    <row r="45" spans="1:38" ht="37.5" customHeight="1" x14ac:dyDescent="0.25">
      <c r="A45" s="213" t="s">
        <v>117</v>
      </c>
      <c r="B45" s="604" t="s">
        <v>232</v>
      </c>
      <c r="C45" s="604"/>
      <c r="D45" s="604"/>
      <c r="E45" s="604"/>
      <c r="F45" s="604"/>
      <c r="G45" s="216"/>
      <c r="H45" s="216"/>
      <c r="I45" s="216"/>
      <c r="J45" s="216"/>
      <c r="K45" s="216"/>
      <c r="L45" s="216"/>
      <c r="M45" s="216"/>
      <c r="N45" s="217"/>
      <c r="O45" s="217"/>
      <c r="P45" s="217"/>
      <c r="Q45" s="217"/>
      <c r="R45" s="217"/>
      <c r="S45" s="217"/>
      <c r="T45" s="217"/>
    </row>
    <row r="47" spans="1:38" ht="19" x14ac:dyDescent="0.25">
      <c r="A47" s="594" t="s">
        <v>118</v>
      </c>
      <c r="B47" s="594"/>
      <c r="C47" s="594"/>
      <c r="D47" s="594"/>
      <c r="E47" s="594"/>
      <c r="F47" s="594"/>
      <c r="G47" s="200"/>
      <c r="H47" s="200"/>
      <c r="I47" s="200"/>
      <c r="J47" s="200"/>
      <c r="K47" s="200"/>
      <c r="L47" s="200"/>
      <c r="M47" s="200"/>
      <c r="N47" s="172"/>
      <c r="O47" s="172"/>
      <c r="P47" s="172"/>
      <c r="Q47" s="172"/>
      <c r="R47" s="172"/>
      <c r="S47" s="172"/>
      <c r="T47" s="172"/>
    </row>
    <row r="48" spans="1:38" ht="34" x14ac:dyDescent="0.25">
      <c r="A48" s="174" t="s">
        <v>134</v>
      </c>
      <c r="B48" s="218" t="s">
        <v>119</v>
      </c>
      <c r="C48" s="218" t="s">
        <v>212</v>
      </c>
      <c r="D48" s="219" t="s">
        <v>213</v>
      </c>
      <c r="E48" s="176" t="s">
        <v>233</v>
      </c>
      <c r="F48" s="219" t="s">
        <v>120</v>
      </c>
      <c r="G48" s="220"/>
      <c r="H48" s="221"/>
      <c r="I48" s="221"/>
      <c r="J48" s="221"/>
      <c r="K48" s="221"/>
      <c r="L48" s="222"/>
      <c r="M48" s="221"/>
      <c r="N48" s="221"/>
      <c r="O48" s="221"/>
      <c r="P48" s="221"/>
      <c r="Q48" s="221"/>
      <c r="R48" s="221"/>
      <c r="S48" s="221"/>
      <c r="T48" s="221"/>
      <c r="U48" s="223"/>
      <c r="V48" s="224"/>
      <c r="W48" s="224"/>
      <c r="X48" s="224"/>
      <c r="Y48" s="224"/>
      <c r="Z48" s="224"/>
      <c r="AA48" s="224"/>
      <c r="AB48" s="224"/>
      <c r="AC48" s="224"/>
      <c r="AD48" s="223"/>
      <c r="AE48" s="224"/>
      <c r="AF48" s="224"/>
      <c r="AG48" s="224"/>
      <c r="AH48" s="224"/>
      <c r="AI48" s="224"/>
      <c r="AJ48" s="224"/>
      <c r="AK48" s="224"/>
      <c r="AL48" s="224"/>
    </row>
    <row r="49" spans="1:38" ht="16" x14ac:dyDescent="0.25">
      <c r="A49" s="624" t="str">
        <f t="shared" ref="A49:A67" si="23">A4</f>
        <v>10-June-2020 to 30-June-2020</v>
      </c>
      <c r="B49" s="225">
        <f t="shared" ref="B49:B67" si="24">$A$42</f>
        <v>1.9654198522355233</v>
      </c>
      <c r="C49" s="226">
        <f t="shared" ref="C49:C67" si="25">AM4</f>
        <v>63.048399402560342</v>
      </c>
      <c r="D49" s="227">
        <f t="shared" ref="D49:D67" si="26">AN4</f>
        <v>1.2620402077780604</v>
      </c>
      <c r="E49" s="228">
        <f t="shared" ref="E49:E67" si="27">B49*D49</f>
        <v>2.4804388786864444</v>
      </c>
      <c r="F49" s="229">
        <f t="shared" ref="F49:F67" si="28">E49/C49</f>
        <v>3.9341821555992043E-2</v>
      </c>
      <c r="G49" s="230"/>
      <c r="H49" s="221"/>
      <c r="I49" s="221"/>
      <c r="J49" s="221"/>
      <c r="K49" s="221"/>
      <c r="L49" s="222"/>
      <c r="M49" s="221"/>
      <c r="N49" s="221"/>
      <c r="O49" s="221"/>
      <c r="P49" s="221"/>
      <c r="Q49" s="221"/>
      <c r="R49" s="221"/>
      <c r="S49" s="221"/>
      <c r="T49" s="221"/>
      <c r="U49" s="223"/>
      <c r="V49" s="224"/>
      <c r="W49" s="224"/>
      <c r="X49" s="224"/>
      <c r="Y49" s="224"/>
      <c r="Z49" s="224"/>
      <c r="AA49" s="224"/>
      <c r="AB49" s="224"/>
      <c r="AC49" s="224"/>
      <c r="AD49" s="223"/>
      <c r="AE49" s="224"/>
      <c r="AF49" s="224"/>
      <c r="AG49" s="224"/>
      <c r="AH49" s="224"/>
      <c r="AI49" s="224"/>
      <c r="AJ49" s="224"/>
      <c r="AK49" s="224"/>
      <c r="AL49" s="224"/>
    </row>
    <row r="50" spans="1:38" ht="16" x14ac:dyDescent="0.25">
      <c r="A50" s="624" t="str">
        <f t="shared" si="23"/>
        <v>01-July-2020 to 31-July-2020</v>
      </c>
      <c r="B50" s="225">
        <f t="shared" si="24"/>
        <v>1.9654198522355233</v>
      </c>
      <c r="C50" s="226">
        <f t="shared" si="25"/>
        <v>62.576914831716245</v>
      </c>
      <c r="D50" s="227">
        <f t="shared" si="26"/>
        <v>1.2237540090251398</v>
      </c>
      <c r="E50" s="228">
        <f t="shared" si="27"/>
        <v>2.4051904235908195</v>
      </c>
      <c r="F50" s="229">
        <f t="shared" si="28"/>
        <v>3.8435746314098913E-2</v>
      </c>
      <c r="G50" s="230"/>
      <c r="H50" s="221"/>
      <c r="I50" s="221"/>
      <c r="J50" s="221"/>
      <c r="K50" s="221"/>
      <c r="L50" s="222"/>
      <c r="M50" s="221"/>
      <c r="N50" s="221"/>
      <c r="O50" s="221"/>
      <c r="P50" s="221"/>
      <c r="Q50" s="221"/>
      <c r="R50" s="221"/>
      <c r="S50" s="221"/>
      <c r="T50" s="221"/>
      <c r="U50" s="223"/>
      <c r="V50" s="224"/>
      <c r="W50" s="224"/>
      <c r="X50" s="224"/>
      <c r="Y50" s="224"/>
      <c r="Z50" s="224"/>
      <c r="AA50" s="224"/>
      <c r="AB50" s="224"/>
      <c r="AC50" s="224"/>
      <c r="AD50" s="223"/>
      <c r="AE50" s="224"/>
      <c r="AF50" s="224"/>
      <c r="AG50" s="224"/>
      <c r="AH50" s="224"/>
      <c r="AI50" s="224"/>
      <c r="AJ50" s="224"/>
      <c r="AK50" s="224"/>
      <c r="AL50" s="224"/>
    </row>
    <row r="51" spans="1:38" ht="16" x14ac:dyDescent="0.25">
      <c r="A51" s="624" t="str">
        <f t="shared" si="23"/>
        <v>01-August-2020 to 31-August-2020</v>
      </c>
      <c r="B51" s="225">
        <f t="shared" si="24"/>
        <v>1.9654198522355233</v>
      </c>
      <c r="C51" s="226">
        <f t="shared" si="25"/>
        <v>62.952896698977028</v>
      </c>
      <c r="D51" s="227">
        <f t="shared" si="26"/>
        <v>1.2481136886290349</v>
      </c>
      <c r="E51" s="228">
        <f t="shared" si="27"/>
        <v>2.4530674214784116</v>
      </c>
      <c r="F51" s="229">
        <f t="shared" si="28"/>
        <v>3.8966712416877131E-2</v>
      </c>
      <c r="G51" s="230"/>
      <c r="H51" s="221"/>
      <c r="I51" s="221"/>
      <c r="J51" s="221"/>
      <c r="K51" s="221"/>
      <c r="L51" s="222"/>
      <c r="M51" s="221"/>
      <c r="N51" s="221"/>
      <c r="O51" s="221"/>
      <c r="P51" s="221"/>
      <c r="Q51" s="221"/>
      <c r="R51" s="221"/>
      <c r="S51" s="221"/>
      <c r="T51" s="221"/>
      <c r="U51" s="223"/>
      <c r="V51" s="224"/>
      <c r="W51" s="224"/>
      <c r="X51" s="224"/>
      <c r="Y51" s="224"/>
      <c r="Z51" s="224"/>
      <c r="AA51" s="224"/>
      <c r="AB51" s="224"/>
      <c r="AC51" s="224"/>
      <c r="AD51" s="223"/>
      <c r="AE51" s="224"/>
      <c r="AF51" s="224"/>
      <c r="AG51" s="224"/>
      <c r="AH51" s="224"/>
      <c r="AI51" s="224"/>
      <c r="AJ51" s="224"/>
      <c r="AK51" s="224"/>
      <c r="AL51" s="224"/>
    </row>
    <row r="52" spans="1:38" ht="16" x14ac:dyDescent="0.25">
      <c r="A52" s="624" t="str">
        <f t="shared" si="23"/>
        <v>01-September-2020 to 30-September-2020</v>
      </c>
      <c r="B52" s="225">
        <f t="shared" si="24"/>
        <v>1.9654198522355233</v>
      </c>
      <c r="C52" s="226">
        <f t="shared" si="25"/>
        <v>63.732593193566537</v>
      </c>
      <c r="D52" s="227">
        <f t="shared" si="26"/>
        <v>1.2665834248654733</v>
      </c>
      <c r="E52" s="228">
        <f t="shared" si="27"/>
        <v>2.4893682077430617</v>
      </c>
      <c r="F52" s="229">
        <f t="shared" si="28"/>
        <v>3.9059578200159442E-2</v>
      </c>
      <c r="G52" s="230"/>
      <c r="H52" s="221"/>
      <c r="I52" s="221"/>
      <c r="J52" s="221"/>
      <c r="K52" s="221"/>
      <c r="L52" s="222"/>
      <c r="M52" s="221"/>
      <c r="N52" s="221"/>
      <c r="O52" s="221"/>
      <c r="P52" s="221"/>
      <c r="Q52" s="221"/>
      <c r="R52" s="221"/>
      <c r="S52" s="221"/>
      <c r="T52" s="221"/>
      <c r="U52" s="223"/>
      <c r="V52" s="224"/>
      <c r="W52" s="224"/>
      <c r="X52" s="224"/>
      <c r="Y52" s="224"/>
      <c r="Z52" s="224"/>
      <c r="AA52" s="224"/>
      <c r="AB52" s="224"/>
      <c r="AC52" s="224"/>
      <c r="AD52" s="223"/>
      <c r="AE52" s="224"/>
      <c r="AF52" s="224"/>
      <c r="AG52" s="224"/>
      <c r="AH52" s="224"/>
      <c r="AI52" s="224"/>
      <c r="AJ52" s="224"/>
      <c r="AK52" s="224"/>
      <c r="AL52" s="224"/>
    </row>
    <row r="53" spans="1:38" ht="16" x14ac:dyDescent="0.25">
      <c r="A53" s="624" t="str">
        <f t="shared" si="23"/>
        <v>01-October-2020 to 31-October-2020</v>
      </c>
      <c r="B53" s="225">
        <f t="shared" si="24"/>
        <v>1.9654198522355233</v>
      </c>
      <c r="C53" s="226">
        <f t="shared" si="25"/>
        <v>63.291667748250468</v>
      </c>
      <c r="D53" s="227">
        <f t="shared" si="26"/>
        <v>1.2476673167620578</v>
      </c>
      <c r="E53" s="228">
        <f t="shared" si="27"/>
        <v>2.4521901133495754</v>
      </c>
      <c r="F53" s="229">
        <f t="shared" si="28"/>
        <v>3.8744280259819186E-2</v>
      </c>
      <c r="G53" s="230"/>
      <c r="H53" s="221"/>
      <c r="I53" s="221"/>
      <c r="J53" s="221"/>
      <c r="K53" s="221"/>
      <c r="L53" s="222"/>
      <c r="M53" s="221"/>
      <c r="N53" s="221"/>
      <c r="O53" s="221"/>
      <c r="P53" s="221"/>
      <c r="Q53" s="221"/>
      <c r="R53" s="221"/>
      <c r="S53" s="221"/>
      <c r="T53" s="221"/>
      <c r="U53" s="223"/>
      <c r="V53" s="224"/>
      <c r="W53" s="224"/>
      <c r="X53" s="224"/>
      <c r="Y53" s="224"/>
      <c r="Z53" s="224"/>
      <c r="AA53" s="224"/>
      <c r="AB53" s="224"/>
      <c r="AC53" s="224"/>
      <c r="AD53" s="223"/>
      <c r="AE53" s="224"/>
      <c r="AF53" s="224"/>
      <c r="AG53" s="224"/>
      <c r="AH53" s="224"/>
      <c r="AI53" s="224"/>
      <c r="AJ53" s="224"/>
      <c r="AK53" s="224"/>
      <c r="AL53" s="224"/>
    </row>
    <row r="54" spans="1:38" ht="16" x14ac:dyDescent="0.25">
      <c r="A54" s="624" t="str">
        <f t="shared" si="23"/>
        <v>01-November-2020 to 30-November-2020</v>
      </c>
      <c r="B54" s="225">
        <f t="shared" si="24"/>
        <v>1.9654198522355233</v>
      </c>
      <c r="C54" s="226">
        <f t="shared" si="25"/>
        <v>63.85556390382817</v>
      </c>
      <c r="D54" s="227">
        <f t="shared" si="26"/>
        <v>1.2299825387294341</v>
      </c>
      <c r="E54" s="228">
        <f t="shared" si="27"/>
        <v>2.4174320995218781</v>
      </c>
      <c r="F54" s="229">
        <f t="shared" si="28"/>
        <v>3.7857814601132231E-2</v>
      </c>
      <c r="G54" s="230"/>
      <c r="H54" s="221"/>
      <c r="I54" s="221"/>
      <c r="J54" s="221"/>
      <c r="K54" s="221"/>
      <c r="L54" s="222"/>
      <c r="M54" s="221"/>
      <c r="N54" s="221"/>
      <c r="O54" s="221"/>
      <c r="P54" s="221"/>
      <c r="Q54" s="221"/>
      <c r="R54" s="221"/>
      <c r="S54" s="221"/>
      <c r="T54" s="221"/>
      <c r="U54" s="223"/>
      <c r="V54" s="224"/>
      <c r="W54" s="224"/>
      <c r="X54" s="224"/>
      <c r="Y54" s="224"/>
      <c r="Z54" s="224"/>
      <c r="AA54" s="224"/>
      <c r="AB54" s="224"/>
      <c r="AC54" s="224"/>
      <c r="AD54" s="223"/>
      <c r="AE54" s="224"/>
      <c r="AF54" s="224"/>
      <c r="AG54" s="224"/>
      <c r="AH54" s="224"/>
      <c r="AI54" s="224"/>
      <c r="AJ54" s="224"/>
      <c r="AK54" s="224"/>
      <c r="AL54" s="224"/>
    </row>
    <row r="55" spans="1:38" ht="16" x14ac:dyDescent="0.25">
      <c r="A55" s="624" t="str">
        <f t="shared" si="23"/>
        <v>01-December-2020 to 31-December-2020</v>
      </c>
      <c r="B55" s="225">
        <f t="shared" si="24"/>
        <v>1.9654198522355233</v>
      </c>
      <c r="C55" s="226">
        <f t="shared" si="25"/>
        <v>63.614463351273244</v>
      </c>
      <c r="D55" s="227">
        <f t="shared" si="26"/>
        <v>1.2669102578845217</v>
      </c>
      <c r="E55" s="228">
        <f t="shared" si="27"/>
        <v>2.4900105718470655</v>
      </c>
      <c r="F55" s="229">
        <f t="shared" si="28"/>
        <v>3.9142208244333607E-2</v>
      </c>
      <c r="G55" s="230"/>
      <c r="H55" s="221"/>
      <c r="I55" s="221"/>
      <c r="J55" s="221"/>
      <c r="K55" s="221"/>
      <c r="L55" s="222"/>
      <c r="M55" s="221"/>
      <c r="N55" s="221"/>
      <c r="O55" s="221"/>
      <c r="P55" s="221"/>
      <c r="Q55" s="221"/>
      <c r="R55" s="221"/>
      <c r="S55" s="221"/>
      <c r="T55" s="221"/>
      <c r="U55" s="223"/>
      <c r="V55" s="224"/>
      <c r="W55" s="224"/>
      <c r="X55" s="224"/>
      <c r="Y55" s="224"/>
      <c r="Z55" s="224"/>
      <c r="AA55" s="224"/>
      <c r="AB55" s="224"/>
      <c r="AC55" s="224"/>
      <c r="AD55" s="223"/>
      <c r="AE55" s="224"/>
      <c r="AF55" s="224"/>
      <c r="AG55" s="224"/>
      <c r="AH55" s="224"/>
      <c r="AI55" s="224"/>
      <c r="AJ55" s="224"/>
      <c r="AK55" s="224"/>
      <c r="AL55" s="224"/>
    </row>
    <row r="56" spans="1:38" ht="16" x14ac:dyDescent="0.25">
      <c r="A56" s="624" t="str">
        <f t="shared" si="23"/>
        <v>01-January-2021 to 31-January-2021</v>
      </c>
      <c r="B56" s="225">
        <f t="shared" si="24"/>
        <v>1.9654198522355233</v>
      </c>
      <c r="C56" s="226">
        <f t="shared" si="25"/>
        <v>63.68623918438886</v>
      </c>
      <c r="D56" s="227">
        <f t="shared" si="26"/>
        <v>1.2293929729991888</v>
      </c>
      <c r="E56" s="228">
        <f t="shared" si="27"/>
        <v>2.4162733553314562</v>
      </c>
      <c r="F56" s="229">
        <f t="shared" si="28"/>
        <v>3.7940273853126927E-2</v>
      </c>
      <c r="G56" s="230"/>
      <c r="H56" s="221"/>
      <c r="I56" s="221"/>
      <c r="J56" s="221"/>
      <c r="K56" s="221"/>
      <c r="L56" s="222"/>
      <c r="M56" s="221"/>
      <c r="N56" s="221"/>
      <c r="O56" s="221"/>
      <c r="P56" s="221"/>
      <c r="Q56" s="221"/>
      <c r="R56" s="221"/>
      <c r="S56" s="221"/>
      <c r="T56" s="221"/>
      <c r="U56" s="223"/>
      <c r="V56" s="224"/>
      <c r="W56" s="224"/>
      <c r="X56" s="224"/>
      <c r="Y56" s="224"/>
      <c r="Z56" s="224"/>
      <c r="AA56" s="224"/>
      <c r="AB56" s="224"/>
      <c r="AC56" s="224"/>
      <c r="AD56" s="223"/>
      <c r="AE56" s="224"/>
      <c r="AF56" s="224"/>
      <c r="AG56" s="224"/>
      <c r="AH56" s="224"/>
      <c r="AI56" s="224"/>
      <c r="AJ56" s="224"/>
      <c r="AK56" s="224"/>
      <c r="AL56" s="224"/>
    </row>
    <row r="57" spans="1:38" ht="16" x14ac:dyDescent="0.25">
      <c r="A57" s="624" t="str">
        <f t="shared" si="23"/>
        <v>01-February-2021 to 28-February-2021</v>
      </c>
      <c r="B57" s="225">
        <f t="shared" si="24"/>
        <v>1.9654198522355233</v>
      </c>
      <c r="C57" s="226">
        <f t="shared" si="25"/>
        <v>63.771930597177402</v>
      </c>
      <c r="D57" s="227">
        <f t="shared" si="26"/>
        <v>1.2578477141396558</v>
      </c>
      <c r="E57" s="228">
        <f t="shared" si="27"/>
        <v>2.4721988684591532</v>
      </c>
      <c r="F57" s="229">
        <f t="shared" si="28"/>
        <v>3.8766254138910682E-2</v>
      </c>
    </row>
    <row r="58" spans="1:38" ht="16" x14ac:dyDescent="0.25">
      <c r="A58" s="624" t="str">
        <f t="shared" si="23"/>
        <v>01-March-2021 to 31-March-2021</v>
      </c>
      <c r="B58" s="225">
        <f t="shared" si="24"/>
        <v>1.9654198522355233</v>
      </c>
      <c r="C58" s="226">
        <f t="shared" si="25"/>
        <v>63.038545822487535</v>
      </c>
      <c r="D58" s="227">
        <f t="shared" si="26"/>
        <v>1.1924737989372529</v>
      </c>
      <c r="E58" s="228">
        <f t="shared" si="27"/>
        <v>2.3437116777019886</v>
      </c>
      <c r="F58" s="229">
        <f t="shared" si="28"/>
        <v>3.717902510476255E-2</v>
      </c>
    </row>
    <row r="59" spans="1:38" ht="16" x14ac:dyDescent="0.25">
      <c r="A59" s="624" t="str">
        <f t="shared" si="23"/>
        <v>01-April-2021 to 30-April-2021</v>
      </c>
      <c r="B59" s="225">
        <f t="shared" si="24"/>
        <v>1.9654198522355233</v>
      </c>
      <c r="C59" s="226">
        <f t="shared" si="25"/>
        <v>62.706977531413514</v>
      </c>
      <c r="D59" s="227">
        <f t="shared" si="26"/>
        <v>1.203170638417872</v>
      </c>
      <c r="E59" s="228">
        <f t="shared" si="27"/>
        <v>2.364735458373374</v>
      </c>
      <c r="F59" s="229">
        <f t="shared" si="28"/>
        <v>3.7710882448268895E-2</v>
      </c>
    </row>
    <row r="60" spans="1:38" ht="16" x14ac:dyDescent="0.25">
      <c r="A60" s="624" t="str">
        <f t="shared" si="23"/>
        <v>01-May-2021 to 31-May-2021</v>
      </c>
      <c r="B60" s="225">
        <f t="shared" si="24"/>
        <v>1.9654198522355233</v>
      </c>
      <c r="C60" s="226">
        <f t="shared" si="25"/>
        <v>63.382847554021488</v>
      </c>
      <c r="D60" s="227">
        <f t="shared" si="26"/>
        <v>1.2114023659394852</v>
      </c>
      <c r="E60" s="228">
        <f t="shared" si="27"/>
        <v>2.3809142590625463</v>
      </c>
      <c r="F60" s="229">
        <f t="shared" si="28"/>
        <v>3.7564015359727761E-2</v>
      </c>
    </row>
    <row r="61" spans="1:38" ht="16" x14ac:dyDescent="0.25">
      <c r="A61" s="624" t="str">
        <f t="shared" si="23"/>
        <v>01-June-2021 to 30-June-2021</v>
      </c>
      <c r="B61" s="225">
        <f t="shared" si="24"/>
        <v>1.9654198522355233</v>
      </c>
      <c r="C61" s="226">
        <f t="shared" si="25"/>
        <v>62.50834269920756</v>
      </c>
      <c r="D61" s="227">
        <f t="shared" si="26"/>
        <v>1.2312966478281835</v>
      </c>
      <c r="E61" s="228">
        <f t="shared" si="27"/>
        <v>2.4200148756325635</v>
      </c>
      <c r="F61" s="229">
        <f t="shared" si="28"/>
        <v>3.8715070199153476E-2</v>
      </c>
    </row>
    <row r="62" spans="1:38" ht="16" x14ac:dyDescent="0.25">
      <c r="A62" s="624" t="str">
        <f t="shared" si="23"/>
        <v>01-July-2021 to 31-July-2021</v>
      </c>
      <c r="B62" s="225">
        <f t="shared" si="24"/>
        <v>1.9654198522355233</v>
      </c>
      <c r="C62" s="226">
        <f t="shared" si="25"/>
        <v>62.8513339403112</v>
      </c>
      <c r="D62" s="227">
        <f t="shared" si="26"/>
        <v>1.1951326950088392</v>
      </c>
      <c r="E62" s="228">
        <f t="shared" si="27"/>
        <v>2.3489375248261157</v>
      </c>
      <c r="F62" s="229">
        <f t="shared" si="28"/>
        <v>3.7372914424646263E-2</v>
      </c>
    </row>
    <row r="63" spans="1:38" ht="16" x14ac:dyDescent="0.25">
      <c r="A63" s="624" t="str">
        <f t="shared" si="23"/>
        <v>01-August-2021 to 31-August-2021</v>
      </c>
      <c r="B63" s="225">
        <f t="shared" si="24"/>
        <v>1.9654198522355233</v>
      </c>
      <c r="C63" s="226">
        <f t="shared" si="25"/>
        <v>63.111383767208416</v>
      </c>
      <c r="D63" s="227">
        <f t="shared" si="26"/>
        <v>1.2209950019547753</v>
      </c>
      <c r="E63" s="228">
        <f t="shared" si="27"/>
        <v>2.3997678163222669</v>
      </c>
      <c r="F63" s="229">
        <f t="shared" si="28"/>
        <v>3.8024325772573926E-2</v>
      </c>
    </row>
    <row r="64" spans="1:38" ht="16" x14ac:dyDescent="0.25">
      <c r="A64" s="624" t="str">
        <f t="shared" si="23"/>
        <v>01-September-2021 to 30-September-2021</v>
      </c>
      <c r="B64" s="225">
        <f t="shared" si="24"/>
        <v>1.9654198522355233</v>
      </c>
      <c r="C64" s="226">
        <f t="shared" si="25"/>
        <v>63.824028002065248</v>
      </c>
      <c r="D64" s="227">
        <f t="shared" si="26"/>
        <v>1.2085940184579038</v>
      </c>
      <c r="E64" s="228">
        <f t="shared" si="27"/>
        <v>2.3753946771702705</v>
      </c>
      <c r="F64" s="229">
        <f t="shared" si="28"/>
        <v>3.7217874702195328E-2</v>
      </c>
    </row>
    <row r="65" spans="1:6" ht="16" x14ac:dyDescent="0.25">
      <c r="A65" s="624" t="str">
        <f t="shared" si="23"/>
        <v>01-October-2021 to 31-October-2021</v>
      </c>
      <c r="B65" s="225">
        <f t="shared" si="24"/>
        <v>1.9654198522355233</v>
      </c>
      <c r="C65" s="226">
        <f t="shared" si="25"/>
        <v>63.744492522402787</v>
      </c>
      <c r="D65" s="227">
        <f t="shared" si="26"/>
        <v>1.2610045829017484</v>
      </c>
      <c r="E65" s="228">
        <f t="shared" si="27"/>
        <v>2.4784034409950721</v>
      </c>
      <c r="F65" s="229">
        <f t="shared" si="28"/>
        <v>3.8880275658701738E-2</v>
      </c>
    </row>
    <row r="66" spans="1:6" ht="16" x14ac:dyDescent="0.25">
      <c r="A66" s="624" t="str">
        <f t="shared" si="23"/>
        <v>01-November-2021 to 30-November-2021</v>
      </c>
      <c r="B66" s="225">
        <f t="shared" si="24"/>
        <v>1.9654198522355233</v>
      </c>
      <c r="C66" s="226">
        <f t="shared" si="25"/>
        <v>63.047419474401806</v>
      </c>
      <c r="D66" s="227">
        <f t="shared" si="26"/>
        <v>1.2224684103997085</v>
      </c>
      <c r="E66" s="228">
        <f t="shared" si="27"/>
        <v>2.4026636825303904</v>
      </c>
      <c r="F66" s="229">
        <f t="shared" si="28"/>
        <v>3.810883462892415E-2</v>
      </c>
    </row>
    <row r="67" spans="1:6" ht="16" x14ac:dyDescent="0.25">
      <c r="A67" s="624" t="str">
        <f t="shared" si="23"/>
        <v>01-December-2021 to 31-December-2021</v>
      </c>
      <c r="B67" s="225">
        <f t="shared" si="24"/>
        <v>1.9654198522355233</v>
      </c>
      <c r="C67" s="226">
        <f t="shared" si="25"/>
        <v>63.041481578607886</v>
      </c>
      <c r="D67" s="227">
        <f t="shared" si="26"/>
        <v>1.2229052132736333</v>
      </c>
      <c r="E67" s="228">
        <f t="shared" si="27"/>
        <v>2.4035221835703156</v>
      </c>
      <c r="F67" s="229">
        <f t="shared" si="28"/>
        <v>3.812604214533423E-2</v>
      </c>
    </row>
  </sheetData>
  <mergeCells count="25">
    <mergeCell ref="A47:F47"/>
    <mergeCell ref="A33:F33"/>
    <mergeCell ref="A34:F34"/>
    <mergeCell ref="B35:F35"/>
    <mergeCell ref="B36:F36"/>
    <mergeCell ref="B37:F37"/>
    <mergeCell ref="B38:F38"/>
    <mergeCell ref="B39:F39"/>
    <mergeCell ref="A41:F41"/>
    <mergeCell ref="B42:F42"/>
    <mergeCell ref="A44:F44"/>
    <mergeCell ref="B45:F45"/>
    <mergeCell ref="B30:F30"/>
    <mergeCell ref="AM2:AM3"/>
    <mergeCell ref="AN2:AN3"/>
    <mergeCell ref="A1:F1"/>
    <mergeCell ref="C2:K2"/>
    <mergeCell ref="L2:T2"/>
    <mergeCell ref="U2:AC2"/>
    <mergeCell ref="AD2:AL2"/>
    <mergeCell ref="A25:F25"/>
    <mergeCell ref="A26:F26"/>
    <mergeCell ref="B27:F27"/>
    <mergeCell ref="B28:F28"/>
    <mergeCell ref="B29:F29"/>
  </mergeCells>
  <phoneticPr fontId="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46"/>
  <sheetViews>
    <sheetView tabSelected="1" zoomScale="55" zoomScaleNormal="55" workbookViewId="0">
      <selection activeCell="T66" sqref="T66"/>
    </sheetView>
  </sheetViews>
  <sheetFormatPr defaultRowHeight="12.5" x14ac:dyDescent="0.25"/>
  <cols>
    <col min="1" max="1" width="21.7265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09" t="s">
        <v>400</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32.700000000000003</v>
      </c>
      <c r="C5" s="7">
        <v>48.3</v>
      </c>
      <c r="D5" s="7">
        <v>75.3</v>
      </c>
      <c r="E5" s="7">
        <v>45.7</v>
      </c>
      <c r="F5" s="7">
        <v>60.2</v>
      </c>
      <c r="G5" s="7">
        <v>119</v>
      </c>
    </row>
    <row r="6" spans="1:7" ht="13" x14ac:dyDescent="0.25">
      <c r="A6" s="11">
        <v>2</v>
      </c>
      <c r="B6" s="7">
        <v>33.1</v>
      </c>
      <c r="C6" s="7">
        <v>63.9</v>
      </c>
      <c r="D6" s="7">
        <v>108</v>
      </c>
      <c r="E6" s="7">
        <v>52.2</v>
      </c>
      <c r="F6" s="7">
        <v>71.599999999999994</v>
      </c>
      <c r="G6" s="7">
        <v>85</v>
      </c>
    </row>
    <row r="7" spans="1:7" ht="13" x14ac:dyDescent="0.25">
      <c r="A7" s="11">
        <v>3</v>
      </c>
      <c r="B7" s="7">
        <v>45</v>
      </c>
      <c r="C7" s="7">
        <v>64.099999999999994</v>
      </c>
      <c r="D7" s="7">
        <v>101.4</v>
      </c>
      <c r="E7" s="7">
        <v>35.9</v>
      </c>
      <c r="F7" s="7">
        <v>74.8</v>
      </c>
      <c r="G7" s="7">
        <v>100.7</v>
      </c>
    </row>
    <row r="8" spans="1:7" ht="13" x14ac:dyDescent="0.25">
      <c r="A8" s="11">
        <v>4</v>
      </c>
      <c r="B8" s="7">
        <v>41.1</v>
      </c>
      <c r="C8" s="7">
        <v>59.4</v>
      </c>
      <c r="D8" s="7">
        <v>65.2</v>
      </c>
      <c r="E8" s="7">
        <v>45.2</v>
      </c>
      <c r="F8" s="7">
        <v>83.3</v>
      </c>
      <c r="G8" s="7">
        <v>109.2</v>
      </c>
    </row>
    <row r="9" spans="1:7" ht="13" x14ac:dyDescent="0.25">
      <c r="A9" s="11">
        <v>5</v>
      </c>
      <c r="B9" s="7">
        <v>21.6</v>
      </c>
      <c r="C9" s="7">
        <v>52.2</v>
      </c>
      <c r="D9" s="7">
        <v>98.7</v>
      </c>
      <c r="E9" s="7">
        <v>29.7</v>
      </c>
      <c r="F9" s="7">
        <v>79.099999999999994</v>
      </c>
      <c r="G9" s="7">
        <v>103.7</v>
      </c>
    </row>
    <row r="10" spans="1:7" ht="13" x14ac:dyDescent="0.25">
      <c r="A10" s="11">
        <v>6</v>
      </c>
      <c r="B10" s="7">
        <v>27</v>
      </c>
      <c r="C10" s="7">
        <v>55.2</v>
      </c>
      <c r="D10" s="7">
        <v>108.8</v>
      </c>
      <c r="E10" s="7">
        <v>58.6</v>
      </c>
      <c r="F10" s="7">
        <v>83.4</v>
      </c>
      <c r="G10" s="7">
        <v>119.5</v>
      </c>
    </row>
    <row r="11" spans="1:7" ht="13" x14ac:dyDescent="0.25">
      <c r="A11" s="11">
        <v>7</v>
      </c>
      <c r="B11" s="7">
        <v>25.8</v>
      </c>
      <c r="C11" s="7">
        <v>61.8</v>
      </c>
      <c r="D11" s="7">
        <v>82.6</v>
      </c>
      <c r="E11" s="7">
        <v>58.9</v>
      </c>
      <c r="F11" s="7">
        <v>64.2</v>
      </c>
      <c r="G11" s="7">
        <v>90.7</v>
      </c>
    </row>
    <row r="12" spans="1:7" ht="13" x14ac:dyDescent="0.25">
      <c r="A12" s="11">
        <v>8</v>
      </c>
      <c r="B12" s="7">
        <v>37.299999999999997</v>
      </c>
      <c r="C12" s="7">
        <v>52.1</v>
      </c>
      <c r="D12" s="7">
        <v>87.6</v>
      </c>
      <c r="E12" s="7">
        <v>33.299999999999997</v>
      </c>
      <c r="F12" s="7">
        <v>80.8</v>
      </c>
      <c r="G12" s="7">
        <v>108</v>
      </c>
    </row>
    <row r="13" spans="1:7" ht="13" x14ac:dyDescent="0.25">
      <c r="A13" s="11">
        <v>9</v>
      </c>
      <c r="B13" s="7">
        <v>23.6</v>
      </c>
      <c r="C13" s="7">
        <v>56.8</v>
      </c>
      <c r="D13" s="7">
        <v>80.5</v>
      </c>
      <c r="E13" s="7">
        <v>33.700000000000003</v>
      </c>
      <c r="F13" s="7">
        <v>69</v>
      </c>
      <c r="G13" s="7">
        <v>95.5</v>
      </c>
    </row>
    <row r="14" spans="1:7" ht="13" x14ac:dyDescent="0.25">
      <c r="A14" s="11">
        <v>10</v>
      </c>
      <c r="B14" s="7"/>
      <c r="C14" s="7"/>
      <c r="D14" s="7"/>
      <c r="E14" s="7">
        <v>50.5</v>
      </c>
      <c r="F14" s="7">
        <v>60.2</v>
      </c>
      <c r="G14" s="7">
        <v>114.2</v>
      </c>
    </row>
    <row r="15" spans="1:7" ht="13" x14ac:dyDescent="0.25">
      <c r="A15" s="11">
        <v>11</v>
      </c>
      <c r="B15" s="7"/>
      <c r="C15" s="7"/>
      <c r="D15" s="7"/>
      <c r="E15" s="7">
        <v>51.2</v>
      </c>
      <c r="F15" s="7">
        <v>75.3</v>
      </c>
      <c r="G15" s="7">
        <v>86.6</v>
      </c>
    </row>
    <row r="16" spans="1:7" ht="13" x14ac:dyDescent="0.25">
      <c r="A16" s="11">
        <v>12</v>
      </c>
      <c r="B16" s="7"/>
      <c r="C16" s="7"/>
      <c r="D16" s="7"/>
      <c r="E16" s="7">
        <v>55.6</v>
      </c>
      <c r="F16" s="7">
        <v>63.9</v>
      </c>
      <c r="G16" s="7">
        <v>107.9</v>
      </c>
    </row>
    <row r="17" spans="1:7" ht="13" x14ac:dyDescent="0.25">
      <c r="A17" s="11">
        <v>13</v>
      </c>
      <c r="B17" s="7"/>
      <c r="C17" s="7"/>
      <c r="D17" s="7"/>
      <c r="E17" s="7">
        <v>44.2</v>
      </c>
      <c r="F17" s="7">
        <v>76</v>
      </c>
      <c r="G17" s="7">
        <v>96.2</v>
      </c>
    </row>
    <row r="18" spans="1:7" ht="13" x14ac:dyDescent="0.25">
      <c r="A18" s="11">
        <v>14</v>
      </c>
      <c r="B18" s="7"/>
      <c r="C18" s="7"/>
      <c r="D18" s="7"/>
      <c r="E18" s="7">
        <v>46.8</v>
      </c>
      <c r="F18" s="7">
        <v>68.099999999999994</v>
      </c>
      <c r="G18" s="7">
        <v>96.7</v>
      </c>
    </row>
    <row r="19" spans="1:7" ht="13" x14ac:dyDescent="0.25">
      <c r="A19" s="11">
        <v>15</v>
      </c>
      <c r="B19" s="7"/>
      <c r="C19" s="7"/>
      <c r="D19" s="7"/>
      <c r="E19" s="7">
        <v>42</v>
      </c>
      <c r="F19" s="7">
        <v>64.7</v>
      </c>
      <c r="G19" s="7">
        <v>109.3</v>
      </c>
    </row>
    <row r="20" spans="1:7" ht="13.5" thickBot="1" x14ac:dyDescent="0.3">
      <c r="A20" s="14">
        <v>16</v>
      </c>
      <c r="B20" s="15"/>
      <c r="C20" s="15"/>
      <c r="D20" s="15"/>
      <c r="E20" s="15">
        <v>36.700000000000003</v>
      </c>
      <c r="F20" s="15">
        <v>77.8</v>
      </c>
      <c r="G20" s="15">
        <v>98.8</v>
      </c>
    </row>
    <row r="21" spans="1:7" ht="13.5" thickTop="1" x14ac:dyDescent="0.25">
      <c r="A21" s="611" t="s">
        <v>401</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42.7</v>
      </c>
      <c r="C24" s="7">
        <v>49.4</v>
      </c>
      <c r="D24" s="7">
        <v>85.6</v>
      </c>
      <c r="E24" s="7">
        <v>41.7</v>
      </c>
      <c r="F24" s="7">
        <v>68.2</v>
      </c>
      <c r="G24" s="7">
        <v>118.1</v>
      </c>
    </row>
    <row r="25" spans="1:7" ht="13" x14ac:dyDescent="0.25">
      <c r="A25" s="11">
        <v>2</v>
      </c>
      <c r="B25" s="7">
        <v>34.299999999999997</v>
      </c>
      <c r="C25" s="7">
        <v>50.3</v>
      </c>
      <c r="D25" s="7">
        <v>92.6</v>
      </c>
      <c r="E25" s="7">
        <v>47.4</v>
      </c>
      <c r="F25" s="7">
        <v>66.2</v>
      </c>
      <c r="G25" s="7">
        <v>87.2</v>
      </c>
    </row>
    <row r="26" spans="1:7" ht="13" x14ac:dyDescent="0.25">
      <c r="A26" s="11">
        <v>3</v>
      </c>
      <c r="B26" s="7">
        <v>22</v>
      </c>
      <c r="C26" s="7">
        <v>57.6</v>
      </c>
      <c r="D26" s="7">
        <v>85.9</v>
      </c>
      <c r="E26" s="7">
        <v>42.8</v>
      </c>
      <c r="F26" s="7">
        <v>69</v>
      </c>
      <c r="G26" s="7">
        <v>119.6</v>
      </c>
    </row>
    <row r="27" spans="1:7" ht="13" x14ac:dyDescent="0.25">
      <c r="A27" s="11">
        <v>4</v>
      </c>
      <c r="B27" s="7">
        <v>20.9</v>
      </c>
      <c r="C27" s="7">
        <v>48.9</v>
      </c>
      <c r="D27" s="7">
        <v>100.6</v>
      </c>
      <c r="E27" s="7">
        <v>50.3</v>
      </c>
      <c r="F27" s="7">
        <v>84.2</v>
      </c>
      <c r="G27" s="7">
        <v>89.7</v>
      </c>
    </row>
    <row r="28" spans="1:7" ht="13" x14ac:dyDescent="0.25">
      <c r="A28" s="11">
        <v>5</v>
      </c>
      <c r="B28" s="7">
        <v>38.299999999999997</v>
      </c>
      <c r="C28" s="7">
        <v>60.7</v>
      </c>
      <c r="D28" s="7">
        <v>104.8</v>
      </c>
      <c r="E28" s="7">
        <v>32.5</v>
      </c>
      <c r="F28" s="7">
        <v>60.9</v>
      </c>
      <c r="G28" s="7">
        <v>105.7</v>
      </c>
    </row>
    <row r="29" spans="1:7" ht="13" x14ac:dyDescent="0.25">
      <c r="A29" s="11">
        <v>6</v>
      </c>
      <c r="B29" s="7">
        <v>23</v>
      </c>
      <c r="C29" s="7">
        <v>50.4</v>
      </c>
      <c r="D29" s="7">
        <v>102.4</v>
      </c>
      <c r="E29" s="7">
        <v>33.9</v>
      </c>
      <c r="F29" s="7">
        <v>71.900000000000006</v>
      </c>
      <c r="G29" s="7">
        <v>107.7</v>
      </c>
    </row>
    <row r="30" spans="1:7" ht="13" x14ac:dyDescent="0.25">
      <c r="A30" s="11">
        <v>7</v>
      </c>
      <c r="B30" s="7">
        <v>21.3</v>
      </c>
      <c r="C30" s="7">
        <v>50.6</v>
      </c>
      <c r="D30" s="7">
        <v>95.2</v>
      </c>
      <c r="E30" s="7">
        <v>25.3</v>
      </c>
      <c r="F30" s="7">
        <v>71</v>
      </c>
      <c r="G30" s="7">
        <v>115.5</v>
      </c>
    </row>
    <row r="31" spans="1:7" ht="13" x14ac:dyDescent="0.25">
      <c r="A31" s="11">
        <v>8</v>
      </c>
      <c r="B31" s="7">
        <v>28.9</v>
      </c>
      <c r="C31" s="7">
        <v>55</v>
      </c>
      <c r="D31" s="7">
        <v>102.7</v>
      </c>
      <c r="E31" s="7">
        <v>53.4</v>
      </c>
      <c r="F31" s="7">
        <v>82</v>
      </c>
      <c r="G31" s="7">
        <v>96.3</v>
      </c>
    </row>
    <row r="32" spans="1:7" ht="13" x14ac:dyDescent="0.25">
      <c r="A32" s="11">
        <v>9</v>
      </c>
      <c r="B32" s="7">
        <v>28.6</v>
      </c>
      <c r="C32" s="7">
        <v>62.4</v>
      </c>
      <c r="D32" s="7">
        <v>72</v>
      </c>
      <c r="E32" s="7">
        <v>50.1</v>
      </c>
      <c r="F32" s="7">
        <v>64.5</v>
      </c>
      <c r="G32" s="7">
        <v>110.7</v>
      </c>
    </row>
    <row r="33" spans="1:7" ht="13" x14ac:dyDescent="0.25">
      <c r="A33" s="11">
        <v>10</v>
      </c>
      <c r="B33" s="7">
        <v>41</v>
      </c>
      <c r="C33" s="7">
        <v>51.1</v>
      </c>
      <c r="D33" s="7">
        <v>74.2</v>
      </c>
      <c r="E33" s="7">
        <v>41.4</v>
      </c>
      <c r="F33" s="7">
        <v>82.4</v>
      </c>
      <c r="G33" s="7">
        <v>108.9</v>
      </c>
    </row>
    <row r="34" spans="1:7" ht="13" x14ac:dyDescent="0.25">
      <c r="A34" s="11">
        <v>11</v>
      </c>
      <c r="B34" s="7"/>
      <c r="C34" s="7"/>
      <c r="D34" s="7"/>
      <c r="E34" s="7">
        <v>28.2</v>
      </c>
      <c r="F34" s="7">
        <v>64.099999999999994</v>
      </c>
      <c r="G34" s="7">
        <v>106.3</v>
      </c>
    </row>
    <row r="35" spans="1:7" ht="13" x14ac:dyDescent="0.25">
      <c r="A35" s="11">
        <v>12</v>
      </c>
      <c r="B35" s="7"/>
      <c r="C35" s="7"/>
      <c r="D35" s="7"/>
      <c r="E35" s="7">
        <v>27.3</v>
      </c>
      <c r="F35" s="7">
        <v>74.400000000000006</v>
      </c>
      <c r="G35" s="7">
        <v>88.8</v>
      </c>
    </row>
    <row r="36" spans="1:7" ht="13" x14ac:dyDescent="0.25">
      <c r="A36" s="11">
        <v>13</v>
      </c>
      <c r="B36" s="7"/>
      <c r="C36" s="7"/>
      <c r="D36" s="7"/>
      <c r="E36" s="7">
        <v>51.1</v>
      </c>
      <c r="F36" s="7">
        <v>70.5</v>
      </c>
      <c r="G36" s="7">
        <v>109.3</v>
      </c>
    </row>
    <row r="37" spans="1:7" ht="13" x14ac:dyDescent="0.25">
      <c r="A37" s="11">
        <v>14</v>
      </c>
      <c r="B37" s="7"/>
      <c r="C37" s="7"/>
      <c r="D37" s="7"/>
      <c r="E37" s="7">
        <v>45.8</v>
      </c>
      <c r="F37" s="7">
        <v>76.599999999999994</v>
      </c>
      <c r="G37" s="7">
        <v>101</v>
      </c>
    </row>
    <row r="38" spans="1:7" ht="13" x14ac:dyDescent="0.25">
      <c r="A38" s="11">
        <v>15</v>
      </c>
      <c r="B38" s="7"/>
      <c r="C38" s="7"/>
      <c r="D38" s="7"/>
      <c r="E38" s="7">
        <v>48.7</v>
      </c>
      <c r="F38" s="7">
        <v>60.5</v>
      </c>
      <c r="G38" s="7">
        <v>104.9</v>
      </c>
    </row>
    <row r="39" spans="1:7" ht="13" x14ac:dyDescent="0.25">
      <c r="A39" s="11">
        <v>16</v>
      </c>
      <c r="B39" s="7"/>
      <c r="C39" s="7"/>
      <c r="D39" s="7"/>
      <c r="E39" s="7">
        <v>28.6</v>
      </c>
      <c r="F39" s="7">
        <v>60</v>
      </c>
      <c r="G39" s="7">
        <v>106.7</v>
      </c>
    </row>
    <row r="40" spans="1:7" ht="13" x14ac:dyDescent="0.25">
      <c r="A40" s="11">
        <v>17</v>
      </c>
      <c r="B40" s="7"/>
      <c r="C40" s="7"/>
      <c r="D40" s="7"/>
      <c r="E40" s="7">
        <v>52.6</v>
      </c>
      <c r="F40" s="7">
        <v>81.5</v>
      </c>
      <c r="G40" s="7">
        <v>107.6</v>
      </c>
    </row>
    <row r="41" spans="1:7" ht="13" x14ac:dyDescent="0.25">
      <c r="A41" s="11">
        <v>18</v>
      </c>
      <c r="B41" s="7"/>
      <c r="C41" s="7"/>
      <c r="D41" s="7"/>
      <c r="E41" s="7">
        <v>26.2</v>
      </c>
      <c r="F41" s="7">
        <v>75.2</v>
      </c>
      <c r="G41" s="7">
        <v>96.9</v>
      </c>
    </row>
    <row r="42" spans="1:7" ht="13" x14ac:dyDescent="0.25">
      <c r="A42" s="11">
        <v>19</v>
      </c>
      <c r="B42" s="7"/>
      <c r="C42" s="7"/>
      <c r="D42" s="7"/>
      <c r="E42" s="7">
        <v>40.9</v>
      </c>
      <c r="F42" s="7">
        <v>68.8</v>
      </c>
      <c r="G42" s="7">
        <v>116.8</v>
      </c>
    </row>
    <row r="43" spans="1:7" ht="13" x14ac:dyDescent="0.25">
      <c r="A43" s="11">
        <v>20</v>
      </c>
      <c r="B43" s="7"/>
      <c r="C43" s="7"/>
      <c r="D43" s="7"/>
      <c r="E43" s="7">
        <v>41</v>
      </c>
      <c r="F43" s="7">
        <v>69.5</v>
      </c>
      <c r="G43" s="7">
        <v>106.9</v>
      </c>
    </row>
    <row r="44" spans="1:7" ht="13" x14ac:dyDescent="0.25">
      <c r="A44" s="11">
        <v>21</v>
      </c>
      <c r="B44" s="7"/>
      <c r="C44" s="7"/>
      <c r="D44" s="7"/>
      <c r="E44" s="7">
        <v>35.5</v>
      </c>
      <c r="F44" s="7">
        <v>66.3</v>
      </c>
      <c r="G44" s="7">
        <v>118.9</v>
      </c>
    </row>
    <row r="45" spans="1:7" ht="13" x14ac:dyDescent="0.25">
      <c r="A45" s="11">
        <v>22</v>
      </c>
      <c r="B45" s="7"/>
      <c r="C45" s="7"/>
      <c r="D45" s="7"/>
      <c r="E45" s="7">
        <v>25.8</v>
      </c>
      <c r="F45" s="7">
        <v>66.8</v>
      </c>
      <c r="G45" s="7">
        <v>88.4</v>
      </c>
    </row>
    <row r="46" spans="1:7" ht="13" x14ac:dyDescent="0.25">
      <c r="A46" s="11">
        <v>23</v>
      </c>
      <c r="B46" s="7"/>
      <c r="C46" s="7"/>
      <c r="D46" s="7"/>
      <c r="E46" s="7">
        <v>56.7</v>
      </c>
      <c r="F46" s="7">
        <v>66.900000000000006</v>
      </c>
      <c r="G46" s="7">
        <v>92</v>
      </c>
    </row>
    <row r="47" spans="1:7" ht="13" x14ac:dyDescent="0.25">
      <c r="A47" s="11">
        <v>24</v>
      </c>
      <c r="B47" s="7"/>
      <c r="C47" s="7"/>
      <c r="D47" s="7"/>
      <c r="E47" s="7">
        <v>31.4</v>
      </c>
      <c r="F47" s="7">
        <v>70.599999999999994</v>
      </c>
      <c r="G47" s="7">
        <v>93.4</v>
      </c>
    </row>
    <row r="48" spans="1:7" ht="13" x14ac:dyDescent="0.25">
      <c r="A48" s="11">
        <v>25</v>
      </c>
      <c r="B48" s="7"/>
      <c r="C48" s="7"/>
      <c r="D48" s="7"/>
      <c r="E48" s="7">
        <v>32.799999999999997</v>
      </c>
      <c r="F48" s="7">
        <v>84.2</v>
      </c>
      <c r="G48" s="7">
        <v>120</v>
      </c>
    </row>
    <row r="49" spans="1:7" ht="13" x14ac:dyDescent="0.25">
      <c r="A49" s="11">
        <v>26</v>
      </c>
      <c r="B49" s="7"/>
      <c r="C49" s="16"/>
      <c r="D49" s="7"/>
      <c r="E49" s="7">
        <v>44.9</v>
      </c>
      <c r="F49" s="7">
        <v>60.5</v>
      </c>
      <c r="G49" s="7">
        <v>105.4</v>
      </c>
    </row>
    <row r="50" spans="1:7" ht="13" x14ac:dyDescent="0.25">
      <c r="A50" s="11">
        <v>27</v>
      </c>
      <c r="B50" s="7"/>
      <c r="C50" s="16"/>
      <c r="D50" s="7"/>
      <c r="E50" s="7">
        <v>35</v>
      </c>
      <c r="F50" s="7">
        <v>81.7</v>
      </c>
      <c r="G50" s="7">
        <v>88.2</v>
      </c>
    </row>
    <row r="51" spans="1:7" ht="13" x14ac:dyDescent="0.25">
      <c r="A51" s="11">
        <v>28</v>
      </c>
      <c r="B51" s="7"/>
      <c r="C51" s="17"/>
      <c r="D51" s="7"/>
      <c r="E51" s="7">
        <v>32.200000000000003</v>
      </c>
      <c r="F51" s="7">
        <v>64</v>
      </c>
      <c r="G51" s="7">
        <v>108.1</v>
      </c>
    </row>
    <row r="52" spans="1:7" ht="13.5" thickBot="1" x14ac:dyDescent="0.3">
      <c r="A52" s="14">
        <v>29</v>
      </c>
      <c r="B52" s="18"/>
      <c r="C52" s="18"/>
      <c r="D52" s="15"/>
      <c r="E52" s="7">
        <v>54.2</v>
      </c>
      <c r="F52" s="7">
        <v>68.7</v>
      </c>
      <c r="G52" s="7">
        <v>109.7</v>
      </c>
    </row>
    <row r="53" spans="1:7" ht="13.5" thickTop="1" x14ac:dyDescent="0.25">
      <c r="A53" s="611" t="s">
        <v>402</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38.5</v>
      </c>
      <c r="C56" s="7">
        <v>51.5</v>
      </c>
      <c r="D56" s="7">
        <v>79.5</v>
      </c>
      <c r="E56" s="7">
        <v>31.6</v>
      </c>
      <c r="F56" s="7">
        <v>73.099999999999994</v>
      </c>
      <c r="G56" s="7">
        <v>111</v>
      </c>
    </row>
    <row r="57" spans="1:7" ht="13" x14ac:dyDescent="0.25">
      <c r="A57" s="11">
        <v>2</v>
      </c>
      <c r="B57" s="7">
        <v>42.9</v>
      </c>
      <c r="C57" s="7">
        <v>64.099999999999994</v>
      </c>
      <c r="D57" s="7">
        <v>83.9</v>
      </c>
      <c r="E57" s="7">
        <v>53.2</v>
      </c>
      <c r="F57" s="7">
        <v>72.3</v>
      </c>
      <c r="G57" s="7">
        <v>119</v>
      </c>
    </row>
    <row r="58" spans="1:7" ht="13" x14ac:dyDescent="0.25">
      <c r="A58" s="11">
        <v>3</v>
      </c>
      <c r="B58" s="7">
        <v>21.1</v>
      </c>
      <c r="C58" s="7">
        <v>53.1</v>
      </c>
      <c r="D58" s="7">
        <v>96.2</v>
      </c>
      <c r="E58" s="7">
        <v>32.4</v>
      </c>
      <c r="F58" s="7">
        <v>75.900000000000006</v>
      </c>
      <c r="G58" s="7">
        <v>118.2</v>
      </c>
    </row>
    <row r="59" spans="1:7" ht="13" x14ac:dyDescent="0.25">
      <c r="A59" s="11">
        <v>4</v>
      </c>
      <c r="B59" s="7">
        <v>22.7</v>
      </c>
      <c r="C59" s="7">
        <v>64.2</v>
      </c>
      <c r="D59" s="7">
        <v>67</v>
      </c>
      <c r="E59" s="7">
        <v>33.1</v>
      </c>
      <c r="F59" s="7">
        <v>61.8</v>
      </c>
      <c r="G59" s="7">
        <v>96.8</v>
      </c>
    </row>
    <row r="60" spans="1:7" ht="13" x14ac:dyDescent="0.25">
      <c r="A60" s="11">
        <v>5</v>
      </c>
      <c r="B60" s="7">
        <v>41</v>
      </c>
      <c r="C60" s="7">
        <v>51.5</v>
      </c>
      <c r="D60" s="7">
        <v>91.1</v>
      </c>
      <c r="E60" s="7">
        <v>38.799999999999997</v>
      </c>
      <c r="F60" s="7">
        <v>61.2</v>
      </c>
      <c r="G60" s="7">
        <v>117.5</v>
      </c>
    </row>
    <row r="61" spans="1:7" ht="13" x14ac:dyDescent="0.25">
      <c r="A61" s="11">
        <v>6</v>
      </c>
      <c r="B61" s="7">
        <v>37.799999999999997</v>
      </c>
      <c r="C61" s="7">
        <v>56.7</v>
      </c>
      <c r="D61" s="7">
        <v>104.6</v>
      </c>
      <c r="E61" s="7">
        <v>26.9</v>
      </c>
      <c r="F61" s="7">
        <v>68.8</v>
      </c>
      <c r="G61" s="7">
        <v>116.5</v>
      </c>
    </row>
    <row r="62" spans="1:7" ht="13" x14ac:dyDescent="0.25">
      <c r="A62" s="11">
        <v>7</v>
      </c>
      <c r="B62" s="7">
        <v>43.8</v>
      </c>
      <c r="C62" s="7">
        <v>56.7</v>
      </c>
      <c r="D62" s="7">
        <v>103.9</v>
      </c>
      <c r="E62" s="7">
        <v>31.6</v>
      </c>
      <c r="F62" s="7">
        <v>66.099999999999994</v>
      </c>
      <c r="G62" s="7">
        <v>105</v>
      </c>
    </row>
    <row r="63" spans="1:7" ht="13" x14ac:dyDescent="0.25">
      <c r="A63" s="11">
        <v>8</v>
      </c>
      <c r="B63" s="7">
        <v>23.2</v>
      </c>
      <c r="C63" s="7">
        <v>60.4</v>
      </c>
      <c r="D63" s="7">
        <v>73.900000000000006</v>
      </c>
      <c r="E63" s="7"/>
      <c r="F63" s="7"/>
      <c r="G63" s="7"/>
    </row>
    <row r="64" spans="1:7" ht="13" x14ac:dyDescent="0.25">
      <c r="A64" s="11">
        <v>9</v>
      </c>
      <c r="B64" s="7">
        <v>43.3</v>
      </c>
      <c r="C64" s="7">
        <v>62.5</v>
      </c>
      <c r="D64" s="7">
        <v>83.9</v>
      </c>
      <c r="E64" s="7"/>
      <c r="F64" s="7"/>
      <c r="G64" s="7"/>
    </row>
    <row r="65" spans="1:7" ht="13" x14ac:dyDescent="0.25">
      <c r="A65" s="11">
        <v>10</v>
      </c>
      <c r="B65" s="7">
        <v>34</v>
      </c>
      <c r="C65" s="7">
        <v>61</v>
      </c>
      <c r="D65" s="7">
        <v>91</v>
      </c>
      <c r="E65" s="7"/>
      <c r="F65" s="7"/>
      <c r="G65" s="7"/>
    </row>
    <row r="66" spans="1:7" ht="13" x14ac:dyDescent="0.25">
      <c r="A66" s="11">
        <v>11</v>
      </c>
      <c r="B66" s="7">
        <v>35.1</v>
      </c>
      <c r="C66" s="7">
        <v>52.5</v>
      </c>
      <c r="D66" s="7">
        <v>107.4</v>
      </c>
      <c r="E66" s="7"/>
      <c r="F66" s="7"/>
      <c r="G66" s="7"/>
    </row>
    <row r="67" spans="1:7" ht="13.5" thickBot="1" x14ac:dyDescent="0.3">
      <c r="A67" s="14">
        <v>12</v>
      </c>
      <c r="B67" s="7">
        <v>38.5</v>
      </c>
      <c r="C67" s="7">
        <v>52</v>
      </c>
      <c r="D67" s="7">
        <v>107</v>
      </c>
      <c r="E67" s="15"/>
      <c r="F67" s="15"/>
      <c r="G67" s="15"/>
    </row>
    <row r="68" spans="1:7" ht="13.5" thickTop="1" x14ac:dyDescent="0.25">
      <c r="A68" s="611" t="s">
        <v>403</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20</v>
      </c>
      <c r="C71" s="7">
        <v>53.5</v>
      </c>
      <c r="D71" s="7">
        <v>84.1</v>
      </c>
      <c r="E71" s="7"/>
      <c r="F71" s="7"/>
      <c r="G71" s="7"/>
    </row>
    <row r="72" spans="1:7" ht="13" x14ac:dyDescent="0.25">
      <c r="A72" s="11">
        <v>2</v>
      </c>
      <c r="B72" s="7">
        <v>21.5</v>
      </c>
      <c r="C72" s="7">
        <v>50.3</v>
      </c>
      <c r="D72" s="7">
        <v>86.9</v>
      </c>
      <c r="E72" s="6"/>
      <c r="F72" s="6"/>
      <c r="G72" s="7"/>
    </row>
    <row r="73" spans="1:7" ht="13" x14ac:dyDescent="0.25">
      <c r="A73" s="11">
        <v>3</v>
      </c>
      <c r="B73" s="7">
        <v>30.2</v>
      </c>
      <c r="C73" s="7">
        <v>60</v>
      </c>
      <c r="D73" s="7">
        <v>90</v>
      </c>
      <c r="E73" s="6"/>
      <c r="F73" s="6"/>
      <c r="G73" s="6"/>
    </row>
    <row r="74" spans="1:7" ht="13" x14ac:dyDescent="0.25">
      <c r="A74" s="11">
        <v>4</v>
      </c>
      <c r="B74" s="7">
        <v>35.799999999999997</v>
      </c>
      <c r="C74" s="7">
        <v>46.1</v>
      </c>
      <c r="D74" s="7">
        <v>107.8</v>
      </c>
      <c r="E74" s="6"/>
      <c r="F74" s="6"/>
      <c r="G74" s="6"/>
    </row>
    <row r="75" spans="1:7" ht="13" x14ac:dyDescent="0.25">
      <c r="A75" s="11">
        <v>5</v>
      </c>
      <c r="B75" s="7">
        <v>22.1</v>
      </c>
      <c r="C75" s="7">
        <v>50.6</v>
      </c>
      <c r="D75" s="7">
        <v>79.5</v>
      </c>
      <c r="E75" s="6"/>
      <c r="F75" s="6"/>
      <c r="G75" s="6"/>
    </row>
    <row r="76" spans="1:7" ht="13" x14ac:dyDescent="0.25">
      <c r="A76" s="11">
        <v>6</v>
      </c>
      <c r="B76" s="7">
        <v>20.9</v>
      </c>
      <c r="C76" s="7">
        <v>56.7</v>
      </c>
      <c r="D76" s="7">
        <v>94.5</v>
      </c>
      <c r="E76" s="6"/>
      <c r="F76" s="6"/>
      <c r="G76" s="6"/>
    </row>
    <row r="77" spans="1:7" ht="13" x14ac:dyDescent="0.25">
      <c r="A77" s="11">
        <v>7</v>
      </c>
      <c r="B77" s="7">
        <v>28.6</v>
      </c>
      <c r="C77" s="7">
        <v>50.1</v>
      </c>
      <c r="D77" s="7">
        <v>85.3</v>
      </c>
      <c r="E77" s="6"/>
      <c r="F77" s="6"/>
      <c r="G77" s="6"/>
    </row>
    <row r="78" spans="1:7" ht="13" x14ac:dyDescent="0.25">
      <c r="A78" s="11">
        <v>8</v>
      </c>
      <c r="B78" s="7">
        <v>34</v>
      </c>
      <c r="C78" s="7">
        <v>58.3</v>
      </c>
      <c r="D78" s="7">
        <v>98.1</v>
      </c>
      <c r="E78" s="6"/>
      <c r="F78" s="6"/>
      <c r="G78" s="6"/>
    </row>
    <row r="79" spans="1:7" ht="13" x14ac:dyDescent="0.25">
      <c r="A79" s="11">
        <v>9</v>
      </c>
      <c r="B79" s="7">
        <v>40.5</v>
      </c>
      <c r="C79" s="7">
        <v>55.5</v>
      </c>
      <c r="D79" s="7">
        <v>97.3</v>
      </c>
      <c r="E79" s="6"/>
      <c r="F79" s="6"/>
      <c r="G79" s="6"/>
    </row>
    <row r="80" spans="1:7" ht="13" x14ac:dyDescent="0.25">
      <c r="A80" s="11">
        <v>10</v>
      </c>
      <c r="B80" s="7">
        <v>32.299999999999997</v>
      </c>
      <c r="C80" s="7">
        <v>48.4</v>
      </c>
      <c r="D80" s="7">
        <v>70.5</v>
      </c>
      <c r="E80" s="6"/>
      <c r="F80" s="6"/>
      <c r="G80" s="6"/>
    </row>
    <row r="81" spans="1:7" ht="13" x14ac:dyDescent="0.25">
      <c r="A81" s="11">
        <v>11</v>
      </c>
      <c r="B81" s="7">
        <v>31.2</v>
      </c>
      <c r="C81" s="7">
        <v>45.7</v>
      </c>
      <c r="D81" s="7">
        <v>92.6</v>
      </c>
      <c r="E81" s="6"/>
      <c r="F81" s="6"/>
      <c r="G81" s="6"/>
    </row>
    <row r="82" spans="1:7" ht="13" x14ac:dyDescent="0.25">
      <c r="A82" s="11">
        <v>12</v>
      </c>
      <c r="B82" s="7">
        <v>21</v>
      </c>
      <c r="C82" s="7">
        <v>53.1</v>
      </c>
      <c r="D82" s="7">
        <v>95.6</v>
      </c>
      <c r="E82" s="6"/>
      <c r="F82" s="6"/>
      <c r="G82" s="6"/>
    </row>
    <row r="83" spans="1:7" ht="13" x14ac:dyDescent="0.25">
      <c r="A83" s="11">
        <v>13</v>
      </c>
      <c r="B83" s="7">
        <v>33.1</v>
      </c>
      <c r="C83" s="7">
        <v>49.4</v>
      </c>
      <c r="D83" s="7">
        <v>95.9</v>
      </c>
      <c r="E83" s="6"/>
      <c r="F83" s="6"/>
      <c r="G83" s="6"/>
    </row>
    <row r="84" spans="1:7" ht="13" x14ac:dyDescent="0.25">
      <c r="A84" s="11">
        <v>14</v>
      </c>
      <c r="B84" s="7">
        <v>25.1</v>
      </c>
      <c r="C84" s="7">
        <v>55</v>
      </c>
      <c r="D84" s="7">
        <v>78.2</v>
      </c>
      <c r="E84" s="6"/>
      <c r="F84" s="6"/>
      <c r="G84" s="6"/>
    </row>
    <row r="85" spans="1:7" ht="13" x14ac:dyDescent="0.25">
      <c r="A85" s="11">
        <v>15</v>
      </c>
      <c r="B85" s="7">
        <v>41.2</v>
      </c>
      <c r="C85" s="7">
        <v>55.9</v>
      </c>
      <c r="D85" s="7">
        <v>102.1</v>
      </c>
      <c r="E85" s="6"/>
      <c r="F85" s="6"/>
      <c r="G85" s="6"/>
    </row>
    <row r="86" spans="1:7" ht="13" x14ac:dyDescent="0.25">
      <c r="A86" s="11">
        <v>16</v>
      </c>
      <c r="B86" s="7">
        <v>30.3</v>
      </c>
      <c r="C86" s="7">
        <v>47.6</v>
      </c>
      <c r="D86" s="7">
        <v>76.599999999999994</v>
      </c>
      <c r="E86" s="6"/>
      <c r="F86" s="6"/>
      <c r="G86" s="6"/>
    </row>
    <row r="87" spans="1:7" ht="13" x14ac:dyDescent="0.25">
      <c r="A87" s="11">
        <v>17</v>
      </c>
      <c r="B87" s="7">
        <v>24.7</v>
      </c>
      <c r="C87" s="7">
        <v>53.4</v>
      </c>
      <c r="D87" s="7">
        <v>108.8</v>
      </c>
      <c r="E87" s="6"/>
      <c r="F87" s="6"/>
      <c r="G87" s="6"/>
    </row>
    <row r="88" spans="1:7" ht="13" x14ac:dyDescent="0.25">
      <c r="A88" s="11">
        <v>18</v>
      </c>
      <c r="B88" s="7">
        <v>44.6</v>
      </c>
      <c r="C88" s="7">
        <v>46.3</v>
      </c>
      <c r="D88" s="7">
        <v>88.2</v>
      </c>
      <c r="E88" s="6"/>
      <c r="F88" s="6"/>
      <c r="G88" s="6"/>
    </row>
    <row r="89" spans="1:7" ht="13" x14ac:dyDescent="0.25">
      <c r="A89" s="11">
        <v>19</v>
      </c>
      <c r="B89" s="7">
        <v>29.3</v>
      </c>
      <c r="C89" s="7">
        <v>50.6</v>
      </c>
      <c r="D89" s="7">
        <v>98.4</v>
      </c>
      <c r="E89" s="6"/>
      <c r="F89" s="6"/>
      <c r="G89" s="6"/>
    </row>
    <row r="90" spans="1:7" ht="13" x14ac:dyDescent="0.25">
      <c r="A90" s="11">
        <v>20</v>
      </c>
      <c r="B90" s="7">
        <v>41.7</v>
      </c>
      <c r="C90" s="7">
        <v>64.900000000000006</v>
      </c>
      <c r="D90" s="7">
        <v>108</v>
      </c>
      <c r="E90" s="6"/>
      <c r="F90" s="6"/>
      <c r="G90" s="6"/>
    </row>
    <row r="91" spans="1:7" ht="13" x14ac:dyDescent="0.25">
      <c r="A91" s="11">
        <v>21</v>
      </c>
      <c r="B91" s="7">
        <v>38.5</v>
      </c>
      <c r="C91" s="7">
        <v>55.8</v>
      </c>
      <c r="D91" s="7">
        <v>72.8</v>
      </c>
      <c r="E91" s="6"/>
      <c r="F91" s="6"/>
      <c r="G91" s="6"/>
    </row>
    <row r="92" spans="1:7" ht="13" x14ac:dyDescent="0.25">
      <c r="A92" s="11">
        <v>22</v>
      </c>
      <c r="B92" s="7">
        <v>43.9</v>
      </c>
      <c r="C92" s="7">
        <v>47.2</v>
      </c>
      <c r="D92" s="7">
        <v>105.8</v>
      </c>
      <c r="E92" s="6"/>
      <c r="F92" s="6"/>
      <c r="G92" s="6"/>
    </row>
    <row r="93" spans="1:7" ht="13" x14ac:dyDescent="0.25">
      <c r="A93" s="11">
        <v>23</v>
      </c>
      <c r="B93" s="7">
        <v>44.1</v>
      </c>
      <c r="C93" s="7">
        <v>45.3</v>
      </c>
      <c r="D93" s="7">
        <v>78</v>
      </c>
      <c r="E93" s="6"/>
      <c r="F93" s="6"/>
      <c r="G93" s="6"/>
    </row>
    <row r="94" spans="1:7" ht="13" x14ac:dyDescent="0.25">
      <c r="A94" s="11">
        <v>24</v>
      </c>
      <c r="B94" s="7">
        <v>43.9</v>
      </c>
      <c r="C94" s="7">
        <v>50.7</v>
      </c>
      <c r="D94" s="7">
        <v>85</v>
      </c>
      <c r="E94" s="6"/>
      <c r="F94" s="6"/>
      <c r="G94" s="6"/>
    </row>
    <row r="95" spans="1:7" ht="13" x14ac:dyDescent="0.25">
      <c r="A95" s="11">
        <v>25</v>
      </c>
      <c r="B95" s="7">
        <v>30.8</v>
      </c>
      <c r="C95" s="7">
        <v>48.4</v>
      </c>
      <c r="D95" s="7">
        <v>106.2</v>
      </c>
      <c r="E95" s="6"/>
      <c r="F95" s="6"/>
      <c r="G95" s="6"/>
    </row>
    <row r="96" spans="1:7" ht="13" x14ac:dyDescent="0.25">
      <c r="A96" s="11">
        <v>26</v>
      </c>
      <c r="B96" s="7">
        <v>26.9</v>
      </c>
      <c r="C96" s="7">
        <v>55.3</v>
      </c>
      <c r="D96" s="7">
        <v>107.7</v>
      </c>
      <c r="E96" s="17"/>
      <c r="F96" s="17"/>
      <c r="G96" s="17"/>
    </row>
    <row r="97" spans="1:7" ht="13" x14ac:dyDescent="0.25">
      <c r="A97" s="11">
        <v>27</v>
      </c>
      <c r="B97" s="7">
        <v>40.799999999999997</v>
      </c>
      <c r="C97" s="7">
        <v>53.8</v>
      </c>
      <c r="D97" s="7">
        <v>91.7</v>
      </c>
      <c r="E97" s="17"/>
      <c r="F97" s="17"/>
      <c r="G97" s="17"/>
    </row>
    <row r="98" spans="1:7" ht="13" x14ac:dyDescent="0.25">
      <c r="A98" s="11">
        <v>28</v>
      </c>
      <c r="B98" s="7">
        <v>44.4</v>
      </c>
      <c r="C98" s="7">
        <v>51.7</v>
      </c>
      <c r="D98" s="7">
        <v>108.9</v>
      </c>
      <c r="E98" s="17"/>
      <c r="F98" s="17"/>
      <c r="G98" s="17"/>
    </row>
    <row r="99" spans="1:7" ht="13" x14ac:dyDescent="0.25">
      <c r="A99" s="11">
        <v>29</v>
      </c>
      <c r="B99" s="7">
        <v>22.6</v>
      </c>
      <c r="C99" s="7">
        <v>60.3</v>
      </c>
      <c r="D99" s="7">
        <v>72.599999999999994</v>
      </c>
      <c r="E99" s="6"/>
      <c r="F99" s="6"/>
      <c r="G99" s="6"/>
    </row>
    <row r="100" spans="1:7" ht="13" x14ac:dyDescent="0.25">
      <c r="A100" s="11">
        <v>30</v>
      </c>
      <c r="B100" s="7">
        <v>28.1</v>
      </c>
      <c r="C100" s="7">
        <v>56.9</v>
      </c>
      <c r="D100" s="7">
        <v>69.7</v>
      </c>
      <c r="E100" s="2"/>
      <c r="F100" s="2"/>
      <c r="G100" s="2"/>
    </row>
    <row r="101" spans="1:7" ht="13" x14ac:dyDescent="0.25">
      <c r="A101" s="11">
        <v>31</v>
      </c>
      <c r="B101" s="7">
        <v>29.2</v>
      </c>
      <c r="C101" s="7">
        <v>45.1</v>
      </c>
      <c r="D101" s="7">
        <v>79.900000000000006</v>
      </c>
      <c r="E101" s="2"/>
      <c r="F101" s="2"/>
      <c r="G101" s="2"/>
    </row>
    <row r="102" spans="1:7" ht="13" x14ac:dyDescent="0.25">
      <c r="A102" s="11">
        <v>32</v>
      </c>
      <c r="B102" s="7">
        <v>39.1</v>
      </c>
      <c r="C102" s="7">
        <v>60.6</v>
      </c>
      <c r="D102" s="7">
        <v>71.5</v>
      </c>
      <c r="E102" s="2"/>
      <c r="F102" s="2"/>
      <c r="G102" s="2"/>
    </row>
    <row r="103" spans="1:7" ht="13" x14ac:dyDescent="0.25">
      <c r="A103" s="11">
        <v>33</v>
      </c>
      <c r="B103" s="7">
        <v>23</v>
      </c>
      <c r="C103" s="7">
        <v>62.7</v>
      </c>
      <c r="D103" s="7">
        <v>71.099999999999994</v>
      </c>
      <c r="E103" s="2"/>
      <c r="F103" s="2"/>
      <c r="G103" s="2"/>
    </row>
    <row r="104" spans="1:7" ht="13" x14ac:dyDescent="0.25">
      <c r="A104" s="11">
        <v>34</v>
      </c>
      <c r="B104" s="7">
        <v>20.5</v>
      </c>
      <c r="C104" s="7">
        <v>50.8</v>
      </c>
      <c r="D104" s="7">
        <v>98</v>
      </c>
      <c r="E104" s="2"/>
      <c r="F104" s="2"/>
      <c r="G104" s="2"/>
    </row>
    <row r="105" spans="1:7" ht="13" x14ac:dyDescent="0.25">
      <c r="A105" s="11">
        <v>35</v>
      </c>
      <c r="B105" s="7">
        <v>22.6</v>
      </c>
      <c r="C105" s="7">
        <v>56.1</v>
      </c>
      <c r="D105" s="7">
        <v>88</v>
      </c>
      <c r="E105" s="2"/>
      <c r="F105" s="2"/>
      <c r="G105" s="2"/>
    </row>
    <row r="106" spans="1:7" ht="13" x14ac:dyDescent="0.25">
      <c r="A106" s="11">
        <v>36</v>
      </c>
      <c r="B106" s="7">
        <v>43.3</v>
      </c>
      <c r="C106" s="7">
        <v>64.8</v>
      </c>
      <c r="D106" s="7">
        <v>104.6</v>
      </c>
      <c r="E106" s="2"/>
      <c r="F106" s="2"/>
      <c r="G106" s="2"/>
    </row>
    <row r="107" spans="1:7" ht="13" x14ac:dyDescent="0.25">
      <c r="A107" s="11">
        <v>37</v>
      </c>
      <c r="B107" s="7">
        <v>44.3</v>
      </c>
      <c r="C107" s="7">
        <v>49.6</v>
      </c>
      <c r="D107" s="7">
        <v>81.5</v>
      </c>
      <c r="E107" s="2"/>
      <c r="F107" s="2"/>
      <c r="G107" s="2"/>
    </row>
    <row r="108" spans="1:7" ht="13" x14ac:dyDescent="0.25">
      <c r="A108" s="11">
        <v>38</v>
      </c>
      <c r="B108" s="7">
        <v>34</v>
      </c>
      <c r="C108" s="7">
        <v>48.3</v>
      </c>
      <c r="D108" s="7">
        <v>65.3</v>
      </c>
      <c r="E108" s="2"/>
      <c r="F108" s="2"/>
      <c r="G108" s="2"/>
    </row>
    <row r="109" spans="1:7" ht="13" x14ac:dyDescent="0.25">
      <c r="A109" s="11">
        <v>39</v>
      </c>
      <c r="B109" s="7">
        <v>32.700000000000003</v>
      </c>
      <c r="C109" s="7">
        <v>55</v>
      </c>
      <c r="D109" s="7">
        <v>82.1</v>
      </c>
      <c r="E109" s="2"/>
      <c r="F109" s="2"/>
      <c r="G109" s="2"/>
    </row>
    <row r="110" spans="1:7" ht="13" x14ac:dyDescent="0.25">
      <c r="A110" s="11">
        <v>40</v>
      </c>
      <c r="B110" s="7">
        <v>37.799999999999997</v>
      </c>
      <c r="C110" s="7">
        <v>63</v>
      </c>
      <c r="D110" s="7">
        <v>79.400000000000006</v>
      </c>
      <c r="E110" s="2"/>
      <c r="F110" s="2"/>
      <c r="G110" s="2"/>
    </row>
    <row r="111" spans="1:7" ht="13" x14ac:dyDescent="0.25">
      <c r="A111" s="11">
        <v>41</v>
      </c>
      <c r="B111" s="7">
        <v>35.299999999999997</v>
      </c>
      <c r="C111" s="7">
        <v>48.9</v>
      </c>
      <c r="D111" s="7">
        <v>82.7</v>
      </c>
      <c r="E111" s="2"/>
      <c r="F111" s="2"/>
      <c r="G111" s="2"/>
    </row>
    <row r="112" spans="1:7" ht="13" x14ac:dyDescent="0.25">
      <c r="A112" s="11">
        <v>42</v>
      </c>
      <c r="B112" s="7">
        <v>42.9</v>
      </c>
      <c r="C112" s="7">
        <v>55.1</v>
      </c>
      <c r="D112" s="7">
        <v>65.2</v>
      </c>
      <c r="E112" s="2"/>
      <c r="F112" s="2"/>
      <c r="G112" s="2"/>
    </row>
    <row r="113" spans="1:7" ht="13" x14ac:dyDescent="0.25">
      <c r="A113" s="11">
        <v>43</v>
      </c>
      <c r="B113" s="7">
        <v>25.4</v>
      </c>
      <c r="C113" s="7">
        <v>46.6</v>
      </c>
      <c r="D113" s="7">
        <v>102</v>
      </c>
      <c r="E113" s="2"/>
      <c r="F113" s="2"/>
      <c r="G113" s="2"/>
    </row>
    <row r="114" spans="1:7" ht="13" x14ac:dyDescent="0.25">
      <c r="A114" s="11">
        <v>44</v>
      </c>
      <c r="B114" s="7">
        <v>27.3</v>
      </c>
      <c r="C114" s="7">
        <v>50.7</v>
      </c>
      <c r="D114" s="7">
        <v>97.9</v>
      </c>
      <c r="E114" s="2"/>
      <c r="F114" s="2"/>
      <c r="G114" s="2"/>
    </row>
    <row r="115" spans="1:7" ht="13" x14ac:dyDescent="0.25">
      <c r="A115" s="11">
        <v>45</v>
      </c>
      <c r="B115" s="7">
        <v>30.4</v>
      </c>
      <c r="C115" s="7">
        <v>50.5</v>
      </c>
      <c r="D115" s="7">
        <v>68.7</v>
      </c>
      <c r="E115" s="2"/>
      <c r="F115" s="2"/>
      <c r="G115" s="2"/>
    </row>
    <row r="116" spans="1:7" ht="13" x14ac:dyDescent="0.25">
      <c r="A116" s="11">
        <v>46</v>
      </c>
      <c r="B116" s="7">
        <v>44.9</v>
      </c>
      <c r="C116" s="7">
        <v>46.4</v>
      </c>
      <c r="D116" s="7">
        <v>87.1</v>
      </c>
      <c r="E116" s="2"/>
      <c r="F116" s="2"/>
      <c r="G116" s="2"/>
    </row>
    <row r="117" spans="1:7" ht="13" x14ac:dyDescent="0.25">
      <c r="A117" s="11">
        <v>47</v>
      </c>
      <c r="B117" s="7">
        <v>26.6</v>
      </c>
      <c r="C117" s="7">
        <v>64.599999999999994</v>
      </c>
      <c r="D117" s="7">
        <v>76.3</v>
      </c>
      <c r="E117" s="2"/>
      <c r="F117" s="2"/>
      <c r="G117" s="2"/>
    </row>
    <row r="118" spans="1:7" ht="13" x14ac:dyDescent="0.25">
      <c r="A118" s="11">
        <v>48</v>
      </c>
      <c r="B118" s="7">
        <v>27.3</v>
      </c>
      <c r="C118" s="7">
        <v>46.7</v>
      </c>
      <c r="D118" s="7">
        <v>86.3</v>
      </c>
      <c r="E118" s="2"/>
      <c r="F118" s="2"/>
      <c r="G118" s="2"/>
    </row>
    <row r="119" spans="1:7" ht="13" x14ac:dyDescent="0.25">
      <c r="A119" s="11">
        <v>49</v>
      </c>
      <c r="B119" s="7">
        <v>35</v>
      </c>
      <c r="C119" s="7">
        <v>58.7</v>
      </c>
      <c r="D119" s="7">
        <v>76.2</v>
      </c>
      <c r="E119" s="2"/>
      <c r="F119" s="2"/>
      <c r="G119" s="2"/>
    </row>
    <row r="120" spans="1:7" ht="13" x14ac:dyDescent="0.25">
      <c r="A120" s="11">
        <v>50</v>
      </c>
      <c r="B120" s="7">
        <v>26.4</v>
      </c>
      <c r="C120" s="7">
        <v>53</v>
      </c>
      <c r="D120" s="7">
        <v>79.5</v>
      </c>
      <c r="E120" s="2"/>
      <c r="F120" s="2"/>
      <c r="G120" s="2"/>
    </row>
    <row r="121" spans="1:7" ht="13" x14ac:dyDescent="0.25">
      <c r="A121" s="11">
        <v>51</v>
      </c>
      <c r="B121" s="7">
        <v>20.8</v>
      </c>
      <c r="C121" s="7">
        <v>60</v>
      </c>
      <c r="D121" s="7">
        <v>96.2</v>
      </c>
      <c r="E121" s="2"/>
      <c r="F121" s="2"/>
      <c r="G121" s="2"/>
    </row>
    <row r="122" spans="1:7" ht="13" x14ac:dyDescent="0.25">
      <c r="A122" s="11">
        <v>52</v>
      </c>
      <c r="B122" s="7">
        <v>23.5</v>
      </c>
      <c r="C122" s="7">
        <v>47.1</v>
      </c>
      <c r="D122" s="7">
        <v>72.5</v>
      </c>
      <c r="E122" s="2"/>
      <c r="F122" s="2"/>
      <c r="G122" s="2"/>
    </row>
    <row r="123" spans="1:7" ht="13" x14ac:dyDescent="0.25">
      <c r="A123" s="11">
        <v>53</v>
      </c>
      <c r="B123" s="7">
        <v>20.100000000000001</v>
      </c>
      <c r="C123" s="7">
        <v>52.5</v>
      </c>
      <c r="D123" s="7">
        <v>94</v>
      </c>
      <c r="E123" s="2"/>
      <c r="F123" s="2"/>
      <c r="G123" s="2"/>
    </row>
    <row r="124" spans="1:7" ht="13" x14ac:dyDescent="0.25">
      <c r="A124" s="11">
        <v>54</v>
      </c>
      <c r="B124" s="7">
        <v>21.1</v>
      </c>
      <c r="C124" s="7">
        <v>63</v>
      </c>
      <c r="D124" s="7">
        <v>99.2</v>
      </c>
      <c r="E124" s="2"/>
      <c r="F124" s="2"/>
      <c r="G124" s="2"/>
    </row>
    <row r="125" spans="1:7" ht="13" x14ac:dyDescent="0.25">
      <c r="A125" s="11">
        <v>55</v>
      </c>
      <c r="B125" s="7">
        <v>35.299999999999997</v>
      </c>
      <c r="C125" s="7">
        <v>54.1</v>
      </c>
      <c r="D125" s="7">
        <v>103</v>
      </c>
      <c r="E125" s="2"/>
      <c r="F125" s="2"/>
      <c r="G125" s="2"/>
    </row>
    <row r="126" spans="1:7" ht="13" x14ac:dyDescent="0.25">
      <c r="A126" s="11">
        <v>56</v>
      </c>
      <c r="B126" s="7">
        <v>39.5</v>
      </c>
      <c r="C126" s="7">
        <v>45.1</v>
      </c>
      <c r="D126" s="7">
        <v>71.900000000000006</v>
      </c>
      <c r="E126" s="2"/>
      <c r="F126" s="2"/>
      <c r="G126" s="2"/>
    </row>
    <row r="127" spans="1:7" ht="13" x14ac:dyDescent="0.25">
      <c r="A127" s="11">
        <v>57</v>
      </c>
      <c r="B127" s="7">
        <v>23.4</v>
      </c>
      <c r="C127" s="7">
        <v>56.6</v>
      </c>
      <c r="D127" s="7">
        <v>88.3</v>
      </c>
      <c r="E127" s="2"/>
      <c r="F127" s="2"/>
      <c r="G127" s="2"/>
    </row>
    <row r="128" spans="1:7" ht="13" x14ac:dyDescent="0.25">
      <c r="A128" s="11">
        <v>58</v>
      </c>
      <c r="B128" s="7">
        <v>30.1</v>
      </c>
      <c r="C128" s="7">
        <v>63.8</v>
      </c>
      <c r="D128" s="7">
        <v>83.2</v>
      </c>
      <c r="E128" s="2"/>
      <c r="F128" s="2"/>
      <c r="G128" s="2"/>
    </row>
    <row r="129" spans="1:7" ht="13" x14ac:dyDescent="0.25">
      <c r="A129" s="11">
        <v>59</v>
      </c>
      <c r="B129" s="7">
        <v>39.6</v>
      </c>
      <c r="C129" s="7">
        <v>57.5</v>
      </c>
      <c r="D129" s="7">
        <v>81.900000000000006</v>
      </c>
      <c r="E129" s="2"/>
      <c r="F129" s="2"/>
      <c r="G129" s="2"/>
    </row>
    <row r="130" spans="1:7" ht="13" x14ac:dyDescent="0.25">
      <c r="A130" s="11">
        <v>60</v>
      </c>
      <c r="B130" s="7">
        <v>29.6</v>
      </c>
      <c r="C130" s="7">
        <v>56.3</v>
      </c>
      <c r="D130" s="7">
        <v>84.1</v>
      </c>
      <c r="E130" s="2"/>
      <c r="F130" s="2"/>
      <c r="G130" s="2"/>
    </row>
    <row r="131" spans="1:7" ht="13" x14ac:dyDescent="0.25">
      <c r="A131" s="11">
        <v>61</v>
      </c>
      <c r="B131" s="7">
        <v>42.1</v>
      </c>
      <c r="C131" s="7">
        <v>50.2</v>
      </c>
      <c r="D131" s="7">
        <v>86.5</v>
      </c>
      <c r="E131" s="2"/>
      <c r="F131" s="2"/>
      <c r="G131" s="2"/>
    </row>
    <row r="132" spans="1:7" ht="13" x14ac:dyDescent="0.25">
      <c r="A132" s="11">
        <v>62</v>
      </c>
      <c r="B132" s="7">
        <v>27.5</v>
      </c>
      <c r="C132" s="7">
        <v>54.4</v>
      </c>
      <c r="D132" s="7">
        <v>69.599999999999994</v>
      </c>
      <c r="E132" s="2"/>
      <c r="F132" s="2"/>
      <c r="G132" s="2"/>
    </row>
    <row r="133" spans="1:7" ht="13.5" thickBot="1" x14ac:dyDescent="0.3">
      <c r="A133" s="14">
        <v>63</v>
      </c>
      <c r="B133" s="7">
        <v>31</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11" t="str">
        <f>A2</f>
        <v>Siyang Aiyuan Farm</v>
      </c>
      <c r="B138" s="13">
        <f>ROUNDDOWN(AVERAGE(B5:D13),1)</f>
        <v>59.5</v>
      </c>
      <c r="C138" s="13">
        <f>ROUNDDOWN(AVERAGE(E5:G20),1)</f>
        <v>73.2</v>
      </c>
      <c r="D138" s="11">
        <v>8438</v>
      </c>
      <c r="E138" s="11">
        <v>15935</v>
      </c>
      <c r="F138" s="11">
        <f>B138*D138</f>
        <v>502061</v>
      </c>
      <c r="G138" s="11">
        <f>C138*E138</f>
        <v>1166442</v>
      </c>
    </row>
    <row r="139" spans="1:7" ht="13" x14ac:dyDescent="0.25">
      <c r="A139" s="11" t="str">
        <f>A21</f>
        <v>Dongtai Jianggang Farm</v>
      </c>
      <c r="B139" s="13">
        <f>ROUNDDOWN(AVERAGE(B24:D33),1)</f>
        <v>58.4</v>
      </c>
      <c r="C139" s="13">
        <f>ROUNDDOWN(AVERAGE(E24:G52),1)</f>
        <v>71.599999999999994</v>
      </c>
      <c r="D139" s="11">
        <v>9440</v>
      </c>
      <c r="E139" s="11">
        <v>29452</v>
      </c>
      <c r="F139" s="11">
        <f t="shared" ref="F139:G141" si="0">B139*D139</f>
        <v>551296</v>
      </c>
      <c r="G139" s="11">
        <f t="shared" si="0"/>
        <v>2108763.1999999997</v>
      </c>
    </row>
    <row r="140" spans="1:7" ht="13" x14ac:dyDescent="0.25">
      <c r="A140" s="11" t="str">
        <f>A53</f>
        <v>Sheyang Linhai Farm</v>
      </c>
      <c r="B140" s="13">
        <f>ROUNDDOWN(AVERAGE(B56:D67),1)</f>
        <v>61</v>
      </c>
      <c r="C140" s="13">
        <f>ROUNDDOWN(AVERAGE(E56:G62),1)</f>
        <v>71.900000000000006</v>
      </c>
      <c r="D140" s="11">
        <v>11825</v>
      </c>
      <c r="E140" s="11">
        <v>6424</v>
      </c>
      <c r="F140" s="11">
        <f t="shared" si="0"/>
        <v>721325</v>
      </c>
      <c r="G140" s="11">
        <f t="shared" si="0"/>
        <v>461885.60000000003</v>
      </c>
    </row>
    <row r="141" spans="1:7" ht="13" x14ac:dyDescent="0.25">
      <c r="A141" s="11" t="str">
        <f>A68</f>
        <v>Siyang Nanliuji</v>
      </c>
      <c r="B141" s="13">
        <f>ROUNDDOWN(AVERAGE(B71:D133),1)</f>
        <v>57.3</v>
      </c>
      <c r="C141" s="11">
        <f>ROUNDDOWN(AVERAGE(0),1)</f>
        <v>0</v>
      </c>
      <c r="D141" s="11">
        <v>65005</v>
      </c>
      <c r="E141" s="11">
        <v>0</v>
      </c>
      <c r="F141" s="11">
        <f t="shared" si="0"/>
        <v>3724786.5</v>
      </c>
      <c r="G141" s="11">
        <f t="shared" si="0"/>
        <v>0</v>
      </c>
    </row>
    <row r="142" spans="1:7" ht="13" x14ac:dyDescent="0.25">
      <c r="A142" s="613" t="s">
        <v>154</v>
      </c>
      <c r="B142" s="617"/>
      <c r="C142" s="614"/>
      <c r="D142" s="11">
        <f>SUM(D138:D141)</f>
        <v>94708</v>
      </c>
      <c r="E142" s="11">
        <f>SUM(E138:E141)</f>
        <v>51811</v>
      </c>
      <c r="F142" s="11">
        <f>SUM(F138:F141)</f>
        <v>5499468.5</v>
      </c>
      <c r="G142" s="11">
        <f>SUM(G138:G141)</f>
        <v>3737090.8</v>
      </c>
    </row>
    <row r="144" spans="1:7" ht="13" x14ac:dyDescent="0.25">
      <c r="C144" s="613" t="s">
        <v>155</v>
      </c>
      <c r="D144" s="614"/>
    </row>
    <row r="145" spans="3:4" ht="13" x14ac:dyDescent="0.25">
      <c r="C145" s="11" t="s">
        <v>152</v>
      </c>
      <c r="D145" s="11" t="s">
        <v>153</v>
      </c>
    </row>
    <row r="146" spans="3:4" ht="13" x14ac:dyDescent="0.25">
      <c r="C146" s="12">
        <f>ROUNDDOWN(F142/D142,1)</f>
        <v>58</v>
      </c>
      <c r="D146" s="12">
        <f>ROUNDDOWN(G142/E142,1)</f>
        <v>72.099999999999994</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46"/>
  <sheetViews>
    <sheetView topLeftCell="A55" workbookViewId="0">
      <selection activeCell="E146" sqref="E146"/>
    </sheetView>
  </sheetViews>
  <sheetFormatPr defaultRowHeight="12.5" x14ac:dyDescent="0.25"/>
  <cols>
    <col min="1" max="1" width="19.90625" bestFit="1" customWidth="1"/>
    <col min="2" max="2" width="16.26953125" bestFit="1" customWidth="1"/>
    <col min="3" max="3" width="22.90625" bestFit="1" customWidth="1"/>
    <col min="4" max="4" width="22.6328125" bestFit="1" customWidth="1"/>
    <col min="5" max="5" width="21.453125" bestFit="1" customWidth="1"/>
    <col min="6" max="6" width="23.453125" bestFit="1" customWidth="1"/>
    <col min="7" max="7" width="23.08984375" bestFit="1" customWidth="1"/>
  </cols>
  <sheetData>
    <row r="1" spans="1:7" ht="13" x14ac:dyDescent="0.3">
      <c r="A1" s="606" t="s">
        <v>138</v>
      </c>
      <c r="B1" s="607"/>
      <c r="C1" s="607"/>
      <c r="D1" s="607"/>
      <c r="E1" s="607"/>
      <c r="F1" s="607"/>
      <c r="G1" s="608"/>
    </row>
    <row r="2" spans="1:7" ht="13" x14ac:dyDescent="0.25">
      <c r="A2" s="610" t="str">
        <f>'2020.6'!A2:G2</f>
        <v>Siyang Aiyuan Farm</v>
      </c>
      <c r="B2" s="610"/>
      <c r="C2" s="610"/>
      <c r="D2" s="610"/>
      <c r="E2" s="610"/>
      <c r="F2" s="610"/>
      <c r="G2" s="610"/>
    </row>
    <row r="3" spans="1:7" ht="13" x14ac:dyDescent="0.3">
      <c r="A3" s="5"/>
      <c r="B3" s="605" t="s">
        <v>139</v>
      </c>
      <c r="C3" s="605"/>
      <c r="D3" s="605"/>
      <c r="E3" s="605" t="s">
        <v>140</v>
      </c>
      <c r="F3" s="605"/>
      <c r="G3" s="605"/>
    </row>
    <row r="4" spans="1:7" ht="13" x14ac:dyDescent="0.25">
      <c r="A4" s="11" t="s">
        <v>141</v>
      </c>
      <c r="B4" s="6" t="s">
        <v>142</v>
      </c>
      <c r="C4" s="6" t="s">
        <v>143</v>
      </c>
      <c r="D4" s="6" t="s">
        <v>144</v>
      </c>
      <c r="E4" s="6" t="s">
        <v>145</v>
      </c>
      <c r="F4" s="6" t="s">
        <v>146</v>
      </c>
      <c r="G4" s="6" t="s">
        <v>147</v>
      </c>
    </row>
    <row r="5" spans="1:7" ht="13" x14ac:dyDescent="0.25">
      <c r="A5" s="11">
        <v>1</v>
      </c>
      <c r="B5" s="7">
        <v>42</v>
      </c>
      <c r="C5" s="7">
        <v>50.8</v>
      </c>
      <c r="D5" s="7">
        <v>90.2</v>
      </c>
      <c r="E5" s="7">
        <v>48</v>
      </c>
      <c r="F5" s="7">
        <v>85</v>
      </c>
      <c r="G5" s="7">
        <v>112.2</v>
      </c>
    </row>
    <row r="6" spans="1:7" ht="13" x14ac:dyDescent="0.25">
      <c r="A6" s="11">
        <v>2</v>
      </c>
      <c r="B6" s="7">
        <v>20.6</v>
      </c>
      <c r="C6" s="7">
        <v>64</v>
      </c>
      <c r="D6" s="7">
        <v>74.900000000000006</v>
      </c>
      <c r="E6" s="7">
        <v>52.6</v>
      </c>
      <c r="F6" s="7">
        <v>84.5</v>
      </c>
      <c r="G6" s="7">
        <v>98</v>
      </c>
    </row>
    <row r="7" spans="1:7" ht="13" x14ac:dyDescent="0.25">
      <c r="A7" s="11">
        <v>3</v>
      </c>
      <c r="B7" s="7">
        <v>26.6</v>
      </c>
      <c r="C7" s="7">
        <v>64.5</v>
      </c>
      <c r="D7" s="7">
        <v>102.5</v>
      </c>
      <c r="E7" s="7">
        <v>33.799999999999997</v>
      </c>
      <c r="F7" s="7">
        <v>84.1</v>
      </c>
      <c r="G7" s="7">
        <v>108.2</v>
      </c>
    </row>
    <row r="8" spans="1:7" ht="13" x14ac:dyDescent="0.25">
      <c r="A8" s="11">
        <v>4</v>
      </c>
      <c r="B8" s="7">
        <v>29.6</v>
      </c>
      <c r="C8" s="7">
        <v>45.8</v>
      </c>
      <c r="D8" s="7">
        <v>100.1</v>
      </c>
      <c r="E8" s="7">
        <v>34</v>
      </c>
      <c r="F8" s="7">
        <v>65</v>
      </c>
      <c r="G8" s="7">
        <v>88.6</v>
      </c>
    </row>
    <row r="9" spans="1:7" ht="13" x14ac:dyDescent="0.25">
      <c r="A9" s="11">
        <v>5</v>
      </c>
      <c r="B9" s="7">
        <v>38.299999999999997</v>
      </c>
      <c r="C9" s="7">
        <v>50.3</v>
      </c>
      <c r="D9" s="7">
        <v>70.400000000000006</v>
      </c>
      <c r="E9" s="7">
        <v>56.6</v>
      </c>
      <c r="F9" s="7">
        <v>62.8</v>
      </c>
      <c r="G9" s="7">
        <v>101.3</v>
      </c>
    </row>
    <row r="10" spans="1:7" ht="13" x14ac:dyDescent="0.25">
      <c r="A10" s="11">
        <v>6</v>
      </c>
      <c r="B10" s="7">
        <v>33.700000000000003</v>
      </c>
      <c r="C10" s="7">
        <v>50.3</v>
      </c>
      <c r="D10" s="7">
        <v>91.5</v>
      </c>
      <c r="E10" s="7">
        <v>44.4</v>
      </c>
      <c r="F10" s="7">
        <v>81.2</v>
      </c>
      <c r="G10" s="7">
        <v>93.7</v>
      </c>
    </row>
    <row r="11" spans="1:7" ht="13" x14ac:dyDescent="0.25">
      <c r="A11" s="11">
        <v>7</v>
      </c>
      <c r="B11" s="7">
        <v>43.4</v>
      </c>
      <c r="C11" s="7">
        <v>49.1</v>
      </c>
      <c r="D11" s="7">
        <v>71.2</v>
      </c>
      <c r="E11" s="7">
        <v>51.2</v>
      </c>
      <c r="F11" s="7">
        <v>66.099999999999994</v>
      </c>
      <c r="G11" s="7">
        <v>109.1</v>
      </c>
    </row>
    <row r="12" spans="1:7" ht="13" x14ac:dyDescent="0.25">
      <c r="A12" s="11">
        <v>8</v>
      </c>
      <c r="B12" s="7">
        <v>29.8</v>
      </c>
      <c r="C12" s="7">
        <v>48.7</v>
      </c>
      <c r="D12" s="7">
        <v>82.4</v>
      </c>
      <c r="E12" s="7">
        <v>58.2</v>
      </c>
      <c r="F12" s="7">
        <v>71.8</v>
      </c>
      <c r="G12" s="7">
        <v>113.2</v>
      </c>
    </row>
    <row r="13" spans="1:7" ht="13" x14ac:dyDescent="0.25">
      <c r="A13" s="11">
        <v>9</v>
      </c>
      <c r="B13" s="7">
        <v>42.7</v>
      </c>
      <c r="C13" s="7">
        <v>59</v>
      </c>
      <c r="D13" s="7">
        <v>93.3</v>
      </c>
      <c r="E13" s="7">
        <v>32.1</v>
      </c>
      <c r="F13" s="7">
        <v>73.599999999999994</v>
      </c>
      <c r="G13" s="7">
        <v>99.4</v>
      </c>
    </row>
    <row r="14" spans="1:7" ht="13" x14ac:dyDescent="0.25">
      <c r="A14" s="11">
        <v>10</v>
      </c>
      <c r="B14" s="7"/>
      <c r="C14" s="7"/>
      <c r="D14" s="7"/>
      <c r="E14" s="7">
        <v>31.7</v>
      </c>
      <c r="F14" s="7">
        <v>66.7</v>
      </c>
      <c r="G14" s="7">
        <v>100.9</v>
      </c>
    </row>
    <row r="15" spans="1:7" ht="13" x14ac:dyDescent="0.25">
      <c r="A15" s="11">
        <v>11</v>
      </c>
      <c r="B15" s="7"/>
      <c r="C15" s="7"/>
      <c r="D15" s="7"/>
      <c r="E15" s="7">
        <v>31</v>
      </c>
      <c r="F15" s="7">
        <v>72</v>
      </c>
      <c r="G15" s="7">
        <v>97.5</v>
      </c>
    </row>
    <row r="16" spans="1:7" ht="13" x14ac:dyDescent="0.25">
      <c r="A16" s="11">
        <v>12</v>
      </c>
      <c r="B16" s="7"/>
      <c r="C16" s="7"/>
      <c r="D16" s="7"/>
      <c r="E16" s="7">
        <v>51.9</v>
      </c>
      <c r="F16" s="7">
        <v>75.3</v>
      </c>
      <c r="G16" s="7">
        <v>87</v>
      </c>
    </row>
    <row r="17" spans="1:7" ht="13" x14ac:dyDescent="0.25">
      <c r="A17" s="11">
        <v>13</v>
      </c>
      <c r="B17" s="7"/>
      <c r="C17" s="7"/>
      <c r="D17" s="7"/>
      <c r="E17" s="7">
        <v>34.9</v>
      </c>
      <c r="F17" s="7">
        <v>65.599999999999994</v>
      </c>
      <c r="G17" s="7">
        <v>105.3</v>
      </c>
    </row>
    <row r="18" spans="1:7" ht="13" x14ac:dyDescent="0.25">
      <c r="A18" s="11">
        <v>14</v>
      </c>
      <c r="B18" s="7"/>
      <c r="C18" s="7"/>
      <c r="D18" s="7"/>
      <c r="E18" s="7">
        <v>50.5</v>
      </c>
      <c r="F18" s="7">
        <v>70</v>
      </c>
      <c r="G18" s="7">
        <v>94.1</v>
      </c>
    </row>
    <row r="19" spans="1:7" ht="13" x14ac:dyDescent="0.25">
      <c r="A19" s="11">
        <v>15</v>
      </c>
      <c r="B19" s="7"/>
      <c r="C19" s="7"/>
      <c r="D19" s="7"/>
      <c r="E19" s="7">
        <v>32.4</v>
      </c>
      <c r="F19" s="7">
        <v>69.3</v>
      </c>
      <c r="G19" s="7">
        <v>116.2</v>
      </c>
    </row>
    <row r="20" spans="1:7" ht="13.5" thickBot="1" x14ac:dyDescent="0.3">
      <c r="A20" s="14">
        <v>16</v>
      </c>
      <c r="B20" s="15"/>
      <c r="C20" s="15"/>
      <c r="D20" s="15"/>
      <c r="E20" s="7">
        <v>40.6</v>
      </c>
      <c r="F20" s="7">
        <v>78.099999999999994</v>
      </c>
      <c r="G20" s="7">
        <v>91.8</v>
      </c>
    </row>
    <row r="21" spans="1:7" ht="13.5" thickTop="1" x14ac:dyDescent="0.25">
      <c r="A21" s="612" t="str">
        <f>'2020.6'!A21:G21</f>
        <v>Dongtai Jianggang Farm</v>
      </c>
      <c r="B21" s="612"/>
      <c r="C21" s="612"/>
      <c r="D21" s="612"/>
      <c r="E21" s="612"/>
      <c r="F21" s="612"/>
      <c r="G21" s="612"/>
    </row>
    <row r="22" spans="1:7" ht="13" x14ac:dyDescent="0.3">
      <c r="A22" s="5"/>
      <c r="B22" s="605" t="s">
        <v>139</v>
      </c>
      <c r="C22" s="605"/>
      <c r="D22" s="605"/>
      <c r="E22" s="605" t="s">
        <v>140</v>
      </c>
      <c r="F22" s="605"/>
      <c r="G22" s="605"/>
    </row>
    <row r="23" spans="1:7" ht="13" x14ac:dyDescent="0.25">
      <c r="A23" s="11" t="s">
        <v>141</v>
      </c>
      <c r="B23" s="6" t="s">
        <v>142</v>
      </c>
      <c r="C23" s="6" t="s">
        <v>143</v>
      </c>
      <c r="D23" s="6" t="s">
        <v>144</v>
      </c>
      <c r="E23" s="6" t="s">
        <v>145</v>
      </c>
      <c r="F23" s="6" t="s">
        <v>146</v>
      </c>
      <c r="G23" s="6" t="s">
        <v>147</v>
      </c>
    </row>
    <row r="24" spans="1:7" ht="13" x14ac:dyDescent="0.25">
      <c r="A24" s="11">
        <v>1</v>
      </c>
      <c r="B24" s="7">
        <v>44.7</v>
      </c>
      <c r="C24" s="7">
        <v>47.1</v>
      </c>
      <c r="D24" s="7">
        <v>96.6</v>
      </c>
      <c r="E24" s="7">
        <v>25.5</v>
      </c>
      <c r="F24" s="7">
        <v>70.099999999999994</v>
      </c>
      <c r="G24" s="7">
        <v>106.6</v>
      </c>
    </row>
    <row r="25" spans="1:7" ht="13" x14ac:dyDescent="0.25">
      <c r="A25" s="11">
        <v>2</v>
      </c>
      <c r="B25" s="7">
        <v>20.8</v>
      </c>
      <c r="C25" s="7">
        <v>54.7</v>
      </c>
      <c r="D25" s="7">
        <v>87</v>
      </c>
      <c r="E25" s="7">
        <v>35</v>
      </c>
      <c r="F25" s="7">
        <v>75.3</v>
      </c>
      <c r="G25" s="7">
        <v>92.1</v>
      </c>
    </row>
    <row r="26" spans="1:7" ht="13" x14ac:dyDescent="0.25">
      <c r="A26" s="11">
        <v>3</v>
      </c>
      <c r="B26" s="7">
        <v>25.2</v>
      </c>
      <c r="C26" s="7">
        <v>47.5</v>
      </c>
      <c r="D26" s="7">
        <v>107.8</v>
      </c>
      <c r="E26" s="7">
        <v>25.7</v>
      </c>
      <c r="F26" s="7">
        <v>70.599999999999994</v>
      </c>
      <c r="G26" s="7">
        <v>101.8</v>
      </c>
    </row>
    <row r="27" spans="1:7" ht="13" x14ac:dyDescent="0.25">
      <c r="A27" s="11">
        <v>4</v>
      </c>
      <c r="B27" s="7">
        <v>33.5</v>
      </c>
      <c r="C27" s="7">
        <v>54.2</v>
      </c>
      <c r="D27" s="7">
        <v>89.7</v>
      </c>
      <c r="E27" s="7">
        <v>29.3</v>
      </c>
      <c r="F27" s="7">
        <v>74.400000000000006</v>
      </c>
      <c r="G27" s="7">
        <v>119.9</v>
      </c>
    </row>
    <row r="28" spans="1:7" ht="13" x14ac:dyDescent="0.25">
      <c r="A28" s="11">
        <v>5</v>
      </c>
      <c r="B28" s="7">
        <v>31.3</v>
      </c>
      <c r="C28" s="7">
        <v>60.7</v>
      </c>
      <c r="D28" s="7">
        <v>98.5</v>
      </c>
      <c r="E28" s="7">
        <v>36.4</v>
      </c>
      <c r="F28" s="7">
        <v>84.5</v>
      </c>
      <c r="G28" s="7">
        <v>111.1</v>
      </c>
    </row>
    <row r="29" spans="1:7" ht="13" x14ac:dyDescent="0.25">
      <c r="A29" s="11">
        <v>6</v>
      </c>
      <c r="B29" s="7">
        <v>36.200000000000003</v>
      </c>
      <c r="C29" s="7">
        <v>63.5</v>
      </c>
      <c r="D29" s="7">
        <v>76</v>
      </c>
      <c r="E29" s="7">
        <v>34.4</v>
      </c>
      <c r="F29" s="7">
        <v>63.4</v>
      </c>
      <c r="G29" s="7">
        <v>120</v>
      </c>
    </row>
    <row r="30" spans="1:7" ht="13" x14ac:dyDescent="0.25">
      <c r="A30" s="11">
        <v>7</v>
      </c>
      <c r="B30" s="7">
        <v>34.799999999999997</v>
      </c>
      <c r="C30" s="7">
        <v>45</v>
      </c>
      <c r="D30" s="7">
        <v>99.3</v>
      </c>
      <c r="E30" s="7">
        <v>48.5</v>
      </c>
      <c r="F30" s="7">
        <v>83.4</v>
      </c>
      <c r="G30" s="7">
        <v>90.3</v>
      </c>
    </row>
    <row r="31" spans="1:7" ht="13" x14ac:dyDescent="0.25">
      <c r="A31" s="11">
        <v>8</v>
      </c>
      <c r="B31" s="7">
        <v>25.7</v>
      </c>
      <c r="C31" s="7">
        <v>50.7</v>
      </c>
      <c r="D31" s="7">
        <v>75</v>
      </c>
      <c r="E31" s="7">
        <v>28.3</v>
      </c>
      <c r="F31" s="7">
        <v>72.599999999999994</v>
      </c>
      <c r="G31" s="7">
        <v>93.8</v>
      </c>
    </row>
    <row r="32" spans="1:7" ht="13" x14ac:dyDescent="0.25">
      <c r="A32" s="11">
        <v>9</v>
      </c>
      <c r="B32" s="7">
        <v>25.7</v>
      </c>
      <c r="C32" s="7">
        <v>48.3</v>
      </c>
      <c r="D32" s="7">
        <v>68.3</v>
      </c>
      <c r="E32" s="7">
        <v>33.4</v>
      </c>
      <c r="F32" s="7">
        <v>60.6</v>
      </c>
      <c r="G32" s="7">
        <v>114.2</v>
      </c>
    </row>
    <row r="33" spans="1:7" ht="13" x14ac:dyDescent="0.25">
      <c r="A33" s="11">
        <v>10</v>
      </c>
      <c r="B33" s="7">
        <v>33.4</v>
      </c>
      <c r="C33" s="7">
        <v>57.4</v>
      </c>
      <c r="D33" s="7">
        <v>104.6</v>
      </c>
      <c r="E33" s="7">
        <v>36.5</v>
      </c>
      <c r="F33" s="7">
        <v>66.599999999999994</v>
      </c>
      <c r="G33" s="7">
        <v>98.4</v>
      </c>
    </row>
    <row r="34" spans="1:7" ht="13" x14ac:dyDescent="0.25">
      <c r="A34" s="11">
        <v>11</v>
      </c>
      <c r="B34" s="7"/>
      <c r="C34" s="7"/>
      <c r="D34" s="7"/>
      <c r="E34" s="7">
        <v>38.799999999999997</v>
      </c>
      <c r="F34" s="7">
        <v>75.3</v>
      </c>
      <c r="G34" s="7">
        <v>113.4</v>
      </c>
    </row>
    <row r="35" spans="1:7" ht="13" x14ac:dyDescent="0.25">
      <c r="A35" s="11">
        <v>12</v>
      </c>
      <c r="B35" s="7"/>
      <c r="C35" s="7"/>
      <c r="D35" s="7"/>
      <c r="E35" s="7">
        <v>58.7</v>
      </c>
      <c r="F35" s="7">
        <v>70.900000000000006</v>
      </c>
      <c r="G35" s="7">
        <v>86.3</v>
      </c>
    </row>
    <row r="36" spans="1:7" ht="13" x14ac:dyDescent="0.25">
      <c r="A36" s="11">
        <v>13</v>
      </c>
      <c r="B36" s="7"/>
      <c r="C36" s="7"/>
      <c r="D36" s="7"/>
      <c r="E36" s="7">
        <v>25.2</v>
      </c>
      <c r="F36" s="7">
        <v>78.7</v>
      </c>
      <c r="G36" s="7">
        <v>111</v>
      </c>
    </row>
    <row r="37" spans="1:7" ht="13" x14ac:dyDescent="0.25">
      <c r="A37" s="11">
        <v>14</v>
      </c>
      <c r="B37" s="7"/>
      <c r="C37" s="7"/>
      <c r="D37" s="7"/>
      <c r="E37" s="7">
        <v>31.6</v>
      </c>
      <c r="F37" s="7">
        <v>82.9</v>
      </c>
      <c r="G37" s="7">
        <v>114.3</v>
      </c>
    </row>
    <row r="38" spans="1:7" ht="13" x14ac:dyDescent="0.25">
      <c r="A38" s="11">
        <v>15</v>
      </c>
      <c r="B38" s="7"/>
      <c r="C38" s="7"/>
      <c r="D38" s="7"/>
      <c r="E38" s="7">
        <v>48.2</v>
      </c>
      <c r="F38" s="7">
        <v>73.099999999999994</v>
      </c>
      <c r="G38" s="7">
        <v>86.5</v>
      </c>
    </row>
    <row r="39" spans="1:7" ht="13" x14ac:dyDescent="0.25">
      <c r="A39" s="11">
        <v>16</v>
      </c>
      <c r="B39" s="7"/>
      <c r="C39" s="7"/>
      <c r="D39" s="7"/>
      <c r="E39" s="7">
        <v>46.9</v>
      </c>
      <c r="F39" s="7">
        <v>84</v>
      </c>
      <c r="G39" s="7">
        <v>101.1</v>
      </c>
    </row>
    <row r="40" spans="1:7" ht="13" x14ac:dyDescent="0.25">
      <c r="A40" s="11">
        <v>17</v>
      </c>
      <c r="B40" s="7"/>
      <c r="C40" s="7"/>
      <c r="D40" s="7"/>
      <c r="E40" s="7">
        <v>27.2</v>
      </c>
      <c r="F40" s="7">
        <v>69</v>
      </c>
      <c r="G40" s="7">
        <v>93.6</v>
      </c>
    </row>
    <row r="41" spans="1:7" ht="13" x14ac:dyDescent="0.25">
      <c r="A41" s="11">
        <v>18</v>
      </c>
      <c r="B41" s="7"/>
      <c r="C41" s="7"/>
      <c r="D41" s="7"/>
      <c r="E41" s="7">
        <v>27</v>
      </c>
      <c r="F41" s="7">
        <v>69.099999999999994</v>
      </c>
      <c r="G41" s="7">
        <v>113.9</v>
      </c>
    </row>
    <row r="42" spans="1:7" ht="13" x14ac:dyDescent="0.25">
      <c r="A42" s="11">
        <v>19</v>
      </c>
      <c r="B42" s="7"/>
      <c r="C42" s="7"/>
      <c r="D42" s="7"/>
      <c r="E42" s="7">
        <v>33.6</v>
      </c>
      <c r="F42" s="7">
        <v>65.5</v>
      </c>
      <c r="G42" s="7">
        <v>118.8</v>
      </c>
    </row>
    <row r="43" spans="1:7" ht="13" x14ac:dyDescent="0.25">
      <c r="A43" s="11">
        <v>20</v>
      </c>
      <c r="B43" s="7"/>
      <c r="C43" s="7"/>
      <c r="D43" s="7"/>
      <c r="E43" s="7">
        <v>33.700000000000003</v>
      </c>
      <c r="F43" s="7">
        <v>62.3</v>
      </c>
      <c r="G43" s="7">
        <v>88.1</v>
      </c>
    </row>
    <row r="44" spans="1:7" ht="13" x14ac:dyDescent="0.25">
      <c r="A44" s="11">
        <v>21</v>
      </c>
      <c r="B44" s="7"/>
      <c r="C44" s="7"/>
      <c r="D44" s="7"/>
      <c r="E44" s="7">
        <v>43.8</v>
      </c>
      <c r="F44" s="7">
        <v>74.400000000000006</v>
      </c>
      <c r="G44" s="7">
        <v>88</v>
      </c>
    </row>
    <row r="45" spans="1:7" ht="13" x14ac:dyDescent="0.25">
      <c r="A45" s="11">
        <v>22</v>
      </c>
      <c r="B45" s="7"/>
      <c r="C45" s="7"/>
      <c r="D45" s="7"/>
      <c r="E45" s="7">
        <v>42.1</v>
      </c>
      <c r="F45" s="7">
        <v>75.599999999999994</v>
      </c>
      <c r="G45" s="7">
        <v>102.6</v>
      </c>
    </row>
    <row r="46" spans="1:7" ht="13" x14ac:dyDescent="0.25">
      <c r="A46" s="11">
        <v>23</v>
      </c>
      <c r="B46" s="7"/>
      <c r="C46" s="7"/>
      <c r="D46" s="7"/>
      <c r="E46" s="7">
        <v>45.1</v>
      </c>
      <c r="F46" s="7">
        <v>62.8</v>
      </c>
      <c r="G46" s="7">
        <v>118.1</v>
      </c>
    </row>
    <row r="47" spans="1:7" ht="13" x14ac:dyDescent="0.25">
      <c r="A47" s="11">
        <v>24</v>
      </c>
      <c r="B47" s="7"/>
      <c r="C47" s="7"/>
      <c r="D47" s="7"/>
      <c r="E47" s="7">
        <v>54.3</v>
      </c>
      <c r="F47" s="7">
        <v>71.400000000000006</v>
      </c>
      <c r="G47" s="7">
        <v>114.1</v>
      </c>
    </row>
    <row r="48" spans="1:7" ht="13" x14ac:dyDescent="0.25">
      <c r="A48" s="11">
        <v>25</v>
      </c>
      <c r="B48" s="7"/>
      <c r="C48" s="7"/>
      <c r="D48" s="7"/>
      <c r="E48" s="7">
        <v>53.3</v>
      </c>
      <c r="F48" s="7">
        <v>62.6</v>
      </c>
      <c r="G48" s="7">
        <v>92.7</v>
      </c>
    </row>
    <row r="49" spans="1:7" ht="13" x14ac:dyDescent="0.25">
      <c r="A49" s="11">
        <v>26</v>
      </c>
      <c r="B49" s="7"/>
      <c r="C49" s="16"/>
      <c r="D49" s="7"/>
      <c r="E49" s="7">
        <v>40.4</v>
      </c>
      <c r="F49" s="7">
        <v>67.2</v>
      </c>
      <c r="G49" s="7">
        <v>106.4</v>
      </c>
    </row>
    <row r="50" spans="1:7" ht="13" x14ac:dyDescent="0.25">
      <c r="A50" s="11">
        <v>27</v>
      </c>
      <c r="B50" s="7"/>
      <c r="C50" s="16"/>
      <c r="D50" s="7"/>
      <c r="E50" s="7">
        <v>47.9</v>
      </c>
      <c r="F50" s="7">
        <v>70.8</v>
      </c>
      <c r="G50" s="7">
        <v>113</v>
      </c>
    </row>
    <row r="51" spans="1:7" ht="13" x14ac:dyDescent="0.25">
      <c r="A51" s="11">
        <v>28</v>
      </c>
      <c r="B51" s="7"/>
      <c r="C51" s="17"/>
      <c r="D51" s="7"/>
      <c r="E51" s="7">
        <v>37.799999999999997</v>
      </c>
      <c r="F51" s="7">
        <v>78.599999999999994</v>
      </c>
      <c r="G51" s="7">
        <v>93.5</v>
      </c>
    </row>
    <row r="52" spans="1:7" ht="13.5" thickBot="1" x14ac:dyDescent="0.3">
      <c r="A52" s="14">
        <v>29</v>
      </c>
      <c r="B52" s="18"/>
      <c r="C52" s="18"/>
      <c r="D52" s="15"/>
      <c r="E52" s="7">
        <v>27.4</v>
      </c>
      <c r="F52" s="7">
        <v>69.400000000000006</v>
      </c>
      <c r="G52" s="7">
        <v>86.1</v>
      </c>
    </row>
    <row r="53" spans="1:7" ht="13.5" thickTop="1" x14ac:dyDescent="0.25">
      <c r="A53" s="612" t="str">
        <f>'2020.6'!A53:G53</f>
        <v>Sheyang Linhai Farm</v>
      </c>
      <c r="B53" s="612"/>
      <c r="C53" s="612"/>
      <c r="D53" s="612"/>
      <c r="E53" s="612"/>
      <c r="F53" s="612"/>
      <c r="G53" s="612"/>
    </row>
    <row r="54" spans="1:7" ht="13" x14ac:dyDescent="0.3">
      <c r="A54" s="5"/>
      <c r="B54" s="605" t="s">
        <v>139</v>
      </c>
      <c r="C54" s="605"/>
      <c r="D54" s="605"/>
      <c r="E54" s="605" t="s">
        <v>140</v>
      </c>
      <c r="F54" s="605"/>
      <c r="G54" s="605"/>
    </row>
    <row r="55" spans="1:7" ht="13" x14ac:dyDescent="0.25">
      <c r="A55" s="11" t="s">
        <v>141</v>
      </c>
      <c r="B55" s="6" t="s">
        <v>142</v>
      </c>
      <c r="C55" s="6" t="s">
        <v>143</v>
      </c>
      <c r="D55" s="6" t="s">
        <v>144</v>
      </c>
      <c r="E55" s="6" t="s">
        <v>145</v>
      </c>
      <c r="F55" s="6" t="s">
        <v>146</v>
      </c>
      <c r="G55" s="6" t="s">
        <v>147</v>
      </c>
    </row>
    <row r="56" spans="1:7" ht="13" x14ac:dyDescent="0.25">
      <c r="A56" s="11">
        <v>1</v>
      </c>
      <c r="B56" s="7">
        <v>23.2</v>
      </c>
      <c r="C56" s="7">
        <v>52</v>
      </c>
      <c r="D56" s="7">
        <v>73.2</v>
      </c>
      <c r="E56" s="7">
        <v>57.4</v>
      </c>
      <c r="F56" s="7">
        <v>61.9</v>
      </c>
      <c r="G56" s="7">
        <v>87.6</v>
      </c>
    </row>
    <row r="57" spans="1:7" ht="13" x14ac:dyDescent="0.25">
      <c r="A57" s="11">
        <v>2</v>
      </c>
      <c r="B57" s="7">
        <v>23.3</v>
      </c>
      <c r="C57" s="7">
        <v>62.4</v>
      </c>
      <c r="D57" s="7">
        <v>103.8</v>
      </c>
      <c r="E57" s="7">
        <v>37.299999999999997</v>
      </c>
      <c r="F57" s="7">
        <v>63</v>
      </c>
      <c r="G57" s="7">
        <v>118.3</v>
      </c>
    </row>
    <row r="58" spans="1:7" ht="13" x14ac:dyDescent="0.25">
      <c r="A58" s="11">
        <v>3</v>
      </c>
      <c r="B58" s="7">
        <v>37.4</v>
      </c>
      <c r="C58" s="7">
        <v>60.5</v>
      </c>
      <c r="D58" s="7">
        <v>104.2</v>
      </c>
      <c r="E58" s="7">
        <v>52.4</v>
      </c>
      <c r="F58" s="7">
        <v>65.900000000000006</v>
      </c>
      <c r="G58" s="7">
        <v>112</v>
      </c>
    </row>
    <row r="59" spans="1:7" ht="13" x14ac:dyDescent="0.25">
      <c r="A59" s="11">
        <v>4</v>
      </c>
      <c r="B59" s="7">
        <v>24</v>
      </c>
      <c r="C59" s="7">
        <v>55.8</v>
      </c>
      <c r="D59" s="7">
        <v>103.3</v>
      </c>
      <c r="E59" s="7">
        <v>52.8</v>
      </c>
      <c r="F59" s="7">
        <v>61.2</v>
      </c>
      <c r="G59" s="7">
        <v>116.8</v>
      </c>
    </row>
    <row r="60" spans="1:7" ht="13" x14ac:dyDescent="0.25">
      <c r="A60" s="11">
        <v>5</v>
      </c>
      <c r="B60" s="7">
        <v>23</v>
      </c>
      <c r="C60" s="7">
        <v>62.7</v>
      </c>
      <c r="D60" s="7">
        <v>87.7</v>
      </c>
      <c r="E60" s="7">
        <v>41.2</v>
      </c>
      <c r="F60" s="7">
        <v>68.8</v>
      </c>
      <c r="G60" s="7">
        <v>97.6</v>
      </c>
    </row>
    <row r="61" spans="1:7" ht="13" x14ac:dyDescent="0.25">
      <c r="A61" s="11">
        <v>6</v>
      </c>
      <c r="B61" s="7">
        <v>22.8</v>
      </c>
      <c r="C61" s="7">
        <v>57</v>
      </c>
      <c r="D61" s="7">
        <v>95</v>
      </c>
      <c r="E61" s="7">
        <v>55.9</v>
      </c>
      <c r="F61" s="7">
        <v>61.6</v>
      </c>
      <c r="G61" s="7">
        <v>96.4</v>
      </c>
    </row>
    <row r="62" spans="1:7" ht="13" x14ac:dyDescent="0.25">
      <c r="A62" s="11">
        <v>7</v>
      </c>
      <c r="B62" s="7">
        <v>35.299999999999997</v>
      </c>
      <c r="C62" s="7">
        <v>61.4</v>
      </c>
      <c r="D62" s="7">
        <v>65.3</v>
      </c>
      <c r="E62" s="7">
        <v>47.1</v>
      </c>
      <c r="F62" s="7">
        <v>63.1</v>
      </c>
      <c r="G62" s="7">
        <v>92.5</v>
      </c>
    </row>
    <row r="63" spans="1:7" ht="13" x14ac:dyDescent="0.25">
      <c r="A63" s="11">
        <v>8</v>
      </c>
      <c r="B63" s="7">
        <v>21.1</v>
      </c>
      <c r="C63" s="7">
        <v>48.3</v>
      </c>
      <c r="D63" s="7">
        <v>105.8</v>
      </c>
      <c r="E63" s="7"/>
      <c r="F63" s="7"/>
      <c r="G63" s="7"/>
    </row>
    <row r="64" spans="1:7" ht="13" x14ac:dyDescent="0.25">
      <c r="A64" s="11">
        <v>9</v>
      </c>
      <c r="B64" s="7">
        <v>36.1</v>
      </c>
      <c r="C64" s="7">
        <v>51.7</v>
      </c>
      <c r="D64" s="7">
        <v>103.7</v>
      </c>
      <c r="E64" s="7"/>
      <c r="F64" s="7"/>
      <c r="G64" s="7"/>
    </row>
    <row r="65" spans="1:7" ht="13" x14ac:dyDescent="0.25">
      <c r="A65" s="11">
        <v>10</v>
      </c>
      <c r="B65" s="7">
        <v>29.5</v>
      </c>
      <c r="C65" s="7">
        <v>48.9</v>
      </c>
      <c r="D65" s="7">
        <v>89.3</v>
      </c>
      <c r="E65" s="7"/>
      <c r="F65" s="7"/>
      <c r="G65" s="7"/>
    </row>
    <row r="66" spans="1:7" ht="13" x14ac:dyDescent="0.25">
      <c r="A66" s="11">
        <v>11</v>
      </c>
      <c r="B66" s="7">
        <v>40.299999999999997</v>
      </c>
      <c r="C66" s="7">
        <v>63.1</v>
      </c>
      <c r="D66" s="7">
        <v>67.900000000000006</v>
      </c>
      <c r="E66" s="7"/>
      <c r="F66" s="7"/>
      <c r="G66" s="7"/>
    </row>
    <row r="67" spans="1:7" ht="13.5" thickBot="1" x14ac:dyDescent="0.3">
      <c r="A67" s="14">
        <v>12</v>
      </c>
      <c r="B67" s="7">
        <v>23.2</v>
      </c>
      <c r="C67" s="7">
        <v>50.3</v>
      </c>
      <c r="D67" s="7">
        <v>71.5</v>
      </c>
      <c r="E67" s="15"/>
      <c r="F67" s="15"/>
      <c r="G67" s="15"/>
    </row>
    <row r="68" spans="1:7" ht="13.5" thickTop="1" x14ac:dyDescent="0.25">
      <c r="A68" s="612" t="str">
        <f>'2020.6'!A68:G68</f>
        <v>Siyang Nanliuji</v>
      </c>
      <c r="B68" s="612"/>
      <c r="C68" s="612"/>
      <c r="D68" s="612"/>
      <c r="E68" s="612"/>
      <c r="F68" s="612"/>
      <c r="G68" s="612"/>
    </row>
    <row r="69" spans="1:7" ht="13" x14ac:dyDescent="0.3">
      <c r="A69" s="5"/>
      <c r="B69" s="605" t="s">
        <v>139</v>
      </c>
      <c r="C69" s="605"/>
      <c r="D69" s="605"/>
      <c r="E69" s="605" t="s">
        <v>140</v>
      </c>
      <c r="F69" s="605"/>
      <c r="G69" s="605"/>
    </row>
    <row r="70" spans="1:7" ht="13" x14ac:dyDescent="0.25">
      <c r="A70" s="11" t="s">
        <v>141</v>
      </c>
      <c r="B70" s="6" t="s">
        <v>142</v>
      </c>
      <c r="C70" s="6" t="s">
        <v>143</v>
      </c>
      <c r="D70" s="6" t="s">
        <v>144</v>
      </c>
      <c r="E70" s="6" t="s">
        <v>145</v>
      </c>
      <c r="F70" s="6" t="s">
        <v>146</v>
      </c>
      <c r="G70" s="6" t="s">
        <v>147</v>
      </c>
    </row>
    <row r="71" spans="1:7" ht="13" x14ac:dyDescent="0.25">
      <c r="A71" s="11">
        <v>1</v>
      </c>
      <c r="B71" s="7">
        <v>32.799999999999997</v>
      </c>
      <c r="C71" s="7">
        <v>50.5</v>
      </c>
      <c r="D71" s="7">
        <v>87.9</v>
      </c>
      <c r="E71" s="7"/>
      <c r="F71" s="7"/>
      <c r="G71" s="7"/>
    </row>
    <row r="72" spans="1:7" ht="13" x14ac:dyDescent="0.25">
      <c r="A72" s="11">
        <v>2</v>
      </c>
      <c r="B72" s="7">
        <v>31.9</v>
      </c>
      <c r="C72" s="7">
        <v>50.2</v>
      </c>
      <c r="D72" s="7">
        <v>102</v>
      </c>
      <c r="E72" s="6"/>
      <c r="F72" s="6"/>
      <c r="G72" s="7"/>
    </row>
    <row r="73" spans="1:7" ht="13" x14ac:dyDescent="0.25">
      <c r="A73" s="11">
        <v>3</v>
      </c>
      <c r="B73" s="7">
        <v>38.700000000000003</v>
      </c>
      <c r="C73" s="7">
        <v>46.9</v>
      </c>
      <c r="D73" s="7">
        <v>94</v>
      </c>
      <c r="E73" s="6"/>
      <c r="F73" s="6"/>
      <c r="G73" s="6"/>
    </row>
    <row r="74" spans="1:7" ht="13" x14ac:dyDescent="0.25">
      <c r="A74" s="11">
        <v>4</v>
      </c>
      <c r="B74" s="7">
        <v>40.6</v>
      </c>
      <c r="C74" s="7">
        <v>51.9</v>
      </c>
      <c r="D74" s="7">
        <v>76.7</v>
      </c>
      <c r="E74" s="6"/>
      <c r="F74" s="6"/>
      <c r="G74" s="6"/>
    </row>
    <row r="75" spans="1:7" ht="13" x14ac:dyDescent="0.25">
      <c r="A75" s="11">
        <v>5</v>
      </c>
      <c r="B75" s="7">
        <v>20.8</v>
      </c>
      <c r="C75" s="7">
        <v>51.9</v>
      </c>
      <c r="D75" s="7">
        <v>68.400000000000006</v>
      </c>
      <c r="E75" s="6"/>
      <c r="F75" s="6"/>
      <c r="G75" s="6"/>
    </row>
    <row r="76" spans="1:7" ht="13" x14ac:dyDescent="0.25">
      <c r="A76" s="11">
        <v>6</v>
      </c>
      <c r="B76" s="7">
        <v>34.299999999999997</v>
      </c>
      <c r="C76" s="7">
        <v>52.2</v>
      </c>
      <c r="D76" s="7">
        <v>70.900000000000006</v>
      </c>
      <c r="E76" s="6"/>
      <c r="F76" s="6"/>
      <c r="G76" s="6"/>
    </row>
    <row r="77" spans="1:7" ht="13" x14ac:dyDescent="0.25">
      <c r="A77" s="11">
        <v>7</v>
      </c>
      <c r="B77" s="7">
        <v>28.8</v>
      </c>
      <c r="C77" s="7">
        <v>59</v>
      </c>
      <c r="D77" s="7">
        <v>104.2</v>
      </c>
      <c r="E77" s="6"/>
      <c r="F77" s="6"/>
      <c r="G77" s="6"/>
    </row>
    <row r="78" spans="1:7" ht="13" x14ac:dyDescent="0.25">
      <c r="A78" s="11">
        <v>8</v>
      </c>
      <c r="B78" s="7">
        <v>42</v>
      </c>
      <c r="C78" s="7">
        <v>48.1</v>
      </c>
      <c r="D78" s="7">
        <v>77.400000000000006</v>
      </c>
      <c r="E78" s="6"/>
      <c r="F78" s="6"/>
      <c r="G78" s="6"/>
    </row>
    <row r="79" spans="1:7" ht="13" x14ac:dyDescent="0.25">
      <c r="A79" s="11">
        <v>9</v>
      </c>
      <c r="B79" s="7">
        <v>29.3</v>
      </c>
      <c r="C79" s="7">
        <v>63.4</v>
      </c>
      <c r="D79" s="7">
        <v>83</v>
      </c>
      <c r="E79" s="6"/>
      <c r="F79" s="6"/>
      <c r="G79" s="6"/>
    </row>
    <row r="80" spans="1:7" ht="13" x14ac:dyDescent="0.25">
      <c r="A80" s="11">
        <v>10</v>
      </c>
      <c r="B80" s="7">
        <v>42</v>
      </c>
      <c r="C80" s="7">
        <v>63</v>
      </c>
      <c r="D80" s="7">
        <v>71</v>
      </c>
      <c r="E80" s="6"/>
      <c r="F80" s="6"/>
      <c r="G80" s="6"/>
    </row>
    <row r="81" spans="1:7" ht="13" x14ac:dyDescent="0.25">
      <c r="A81" s="11">
        <v>11</v>
      </c>
      <c r="B81" s="7">
        <v>37.799999999999997</v>
      </c>
      <c r="C81" s="7">
        <v>59.9</v>
      </c>
      <c r="D81" s="7">
        <v>71.099999999999994</v>
      </c>
      <c r="E81" s="6"/>
      <c r="F81" s="6"/>
      <c r="G81" s="6"/>
    </row>
    <row r="82" spans="1:7" ht="13" x14ac:dyDescent="0.25">
      <c r="A82" s="11">
        <v>12</v>
      </c>
      <c r="B82" s="7">
        <v>39.1</v>
      </c>
      <c r="C82" s="7">
        <v>55.8</v>
      </c>
      <c r="D82" s="7">
        <v>83.1</v>
      </c>
      <c r="E82" s="6"/>
      <c r="F82" s="6"/>
      <c r="G82" s="6"/>
    </row>
    <row r="83" spans="1:7" ht="13" x14ac:dyDescent="0.25">
      <c r="A83" s="11">
        <v>13</v>
      </c>
      <c r="B83" s="7">
        <v>31.2</v>
      </c>
      <c r="C83" s="7">
        <v>53.9</v>
      </c>
      <c r="D83" s="7">
        <v>74.5</v>
      </c>
      <c r="E83" s="6"/>
      <c r="F83" s="6"/>
      <c r="G83" s="6"/>
    </row>
    <row r="84" spans="1:7" ht="13" x14ac:dyDescent="0.25">
      <c r="A84" s="11">
        <v>14</v>
      </c>
      <c r="B84" s="7">
        <v>32.200000000000003</v>
      </c>
      <c r="C84" s="7">
        <v>57.1</v>
      </c>
      <c r="D84" s="7">
        <v>70.5</v>
      </c>
      <c r="E84" s="6"/>
      <c r="F84" s="6"/>
      <c r="G84" s="6"/>
    </row>
    <row r="85" spans="1:7" ht="13" x14ac:dyDescent="0.25">
      <c r="A85" s="11">
        <v>15</v>
      </c>
      <c r="B85" s="7">
        <v>24</v>
      </c>
      <c r="C85" s="7">
        <v>59</v>
      </c>
      <c r="D85" s="7">
        <v>78.900000000000006</v>
      </c>
      <c r="E85" s="6"/>
      <c r="F85" s="6"/>
      <c r="G85" s="6"/>
    </row>
    <row r="86" spans="1:7" ht="13" x14ac:dyDescent="0.25">
      <c r="A86" s="11">
        <v>16</v>
      </c>
      <c r="B86" s="7">
        <v>21.2</v>
      </c>
      <c r="C86" s="7">
        <v>57.7</v>
      </c>
      <c r="D86" s="7">
        <v>80.8</v>
      </c>
      <c r="E86" s="6"/>
      <c r="F86" s="6"/>
      <c r="G86" s="6"/>
    </row>
    <row r="87" spans="1:7" ht="13" x14ac:dyDescent="0.25">
      <c r="A87" s="11">
        <v>17</v>
      </c>
      <c r="B87" s="7">
        <v>23.6</v>
      </c>
      <c r="C87" s="7">
        <v>49.8</v>
      </c>
      <c r="D87" s="7">
        <v>84.8</v>
      </c>
      <c r="E87" s="6"/>
      <c r="F87" s="6"/>
      <c r="G87" s="6"/>
    </row>
    <row r="88" spans="1:7" ht="13" x14ac:dyDescent="0.25">
      <c r="A88" s="11">
        <v>18</v>
      </c>
      <c r="B88" s="7">
        <v>39.1</v>
      </c>
      <c r="C88" s="7">
        <v>53</v>
      </c>
      <c r="D88" s="7">
        <v>84.9</v>
      </c>
      <c r="E88" s="6"/>
      <c r="F88" s="6"/>
      <c r="G88" s="6"/>
    </row>
    <row r="89" spans="1:7" ht="13" x14ac:dyDescent="0.25">
      <c r="A89" s="11">
        <v>19</v>
      </c>
      <c r="B89" s="7">
        <v>40.9</v>
      </c>
      <c r="C89" s="7">
        <v>46.9</v>
      </c>
      <c r="D89" s="7">
        <v>82.2</v>
      </c>
      <c r="E89" s="6"/>
      <c r="F89" s="6"/>
      <c r="G89" s="6"/>
    </row>
    <row r="90" spans="1:7" ht="13" x14ac:dyDescent="0.25">
      <c r="A90" s="11">
        <v>20</v>
      </c>
      <c r="B90" s="7">
        <v>39.1</v>
      </c>
      <c r="C90" s="7">
        <v>62.7</v>
      </c>
      <c r="D90" s="7">
        <v>97.5</v>
      </c>
      <c r="E90" s="6"/>
      <c r="F90" s="6"/>
      <c r="G90" s="6"/>
    </row>
    <row r="91" spans="1:7" ht="13" x14ac:dyDescent="0.25">
      <c r="A91" s="11">
        <v>21</v>
      </c>
      <c r="B91" s="7">
        <v>24.9</v>
      </c>
      <c r="C91" s="7">
        <v>45.9</v>
      </c>
      <c r="D91" s="7">
        <v>69</v>
      </c>
      <c r="E91" s="6"/>
      <c r="F91" s="6"/>
      <c r="G91" s="6"/>
    </row>
    <row r="92" spans="1:7" ht="13" x14ac:dyDescent="0.25">
      <c r="A92" s="11">
        <v>22</v>
      </c>
      <c r="B92" s="7">
        <v>30.7</v>
      </c>
      <c r="C92" s="7">
        <v>49.5</v>
      </c>
      <c r="D92" s="7">
        <v>96</v>
      </c>
      <c r="E92" s="6"/>
      <c r="F92" s="6"/>
      <c r="G92" s="6"/>
    </row>
    <row r="93" spans="1:7" ht="13" x14ac:dyDescent="0.25">
      <c r="A93" s="11">
        <v>23</v>
      </c>
      <c r="B93" s="7">
        <v>43.1</v>
      </c>
      <c r="C93" s="7">
        <v>64.400000000000006</v>
      </c>
      <c r="D93" s="7">
        <v>78.3</v>
      </c>
      <c r="E93" s="6"/>
      <c r="F93" s="6"/>
      <c r="G93" s="6"/>
    </row>
    <row r="94" spans="1:7" ht="13" x14ac:dyDescent="0.25">
      <c r="A94" s="11">
        <v>24</v>
      </c>
      <c r="B94" s="7">
        <v>34.4</v>
      </c>
      <c r="C94" s="7">
        <v>56.1</v>
      </c>
      <c r="D94" s="7">
        <v>65.3</v>
      </c>
      <c r="E94" s="6"/>
      <c r="F94" s="6"/>
      <c r="G94" s="6"/>
    </row>
    <row r="95" spans="1:7" ht="13" x14ac:dyDescent="0.25">
      <c r="A95" s="11">
        <v>25</v>
      </c>
      <c r="B95" s="7">
        <v>20.3</v>
      </c>
      <c r="C95" s="7">
        <v>45.2</v>
      </c>
      <c r="D95" s="7">
        <v>69.400000000000006</v>
      </c>
      <c r="E95" s="6"/>
      <c r="F95" s="6"/>
      <c r="G95" s="6"/>
    </row>
    <row r="96" spans="1:7" ht="13" x14ac:dyDescent="0.25">
      <c r="A96" s="11">
        <v>26</v>
      </c>
      <c r="B96" s="7">
        <v>25.5</v>
      </c>
      <c r="C96" s="7">
        <v>54</v>
      </c>
      <c r="D96" s="7">
        <v>69.7</v>
      </c>
      <c r="E96" s="17"/>
      <c r="F96" s="17"/>
      <c r="G96" s="17"/>
    </row>
    <row r="97" spans="1:7" ht="13" x14ac:dyDescent="0.25">
      <c r="A97" s="11">
        <v>27</v>
      </c>
      <c r="B97" s="7">
        <v>30</v>
      </c>
      <c r="C97" s="7">
        <v>62.8</v>
      </c>
      <c r="D97" s="7">
        <v>106.5</v>
      </c>
      <c r="E97" s="17"/>
      <c r="F97" s="17"/>
      <c r="G97" s="17"/>
    </row>
    <row r="98" spans="1:7" ht="13" x14ac:dyDescent="0.25">
      <c r="A98" s="11">
        <v>28</v>
      </c>
      <c r="B98" s="7">
        <v>27.4</v>
      </c>
      <c r="C98" s="7">
        <v>48.7</v>
      </c>
      <c r="D98" s="7">
        <v>95</v>
      </c>
      <c r="E98" s="17"/>
      <c r="F98" s="17"/>
      <c r="G98" s="17"/>
    </row>
    <row r="99" spans="1:7" ht="13" x14ac:dyDescent="0.25">
      <c r="A99" s="11">
        <v>29</v>
      </c>
      <c r="B99" s="7">
        <v>43.6</v>
      </c>
      <c r="C99" s="7">
        <v>61.6</v>
      </c>
      <c r="D99" s="7">
        <v>89.6</v>
      </c>
      <c r="E99" s="6"/>
      <c r="F99" s="6"/>
      <c r="G99" s="6"/>
    </row>
    <row r="100" spans="1:7" ht="13" x14ac:dyDescent="0.25">
      <c r="A100" s="11">
        <v>30</v>
      </c>
      <c r="B100" s="7">
        <v>37.9</v>
      </c>
      <c r="C100" s="7">
        <v>60.2</v>
      </c>
      <c r="D100" s="7">
        <v>65.7</v>
      </c>
      <c r="E100" s="2"/>
      <c r="F100" s="2"/>
      <c r="G100" s="2"/>
    </row>
    <row r="101" spans="1:7" ht="13" x14ac:dyDescent="0.25">
      <c r="A101" s="11">
        <v>31</v>
      </c>
      <c r="B101" s="7">
        <v>32.9</v>
      </c>
      <c r="C101" s="7">
        <v>52.7</v>
      </c>
      <c r="D101" s="7">
        <v>88.7</v>
      </c>
      <c r="E101" s="2"/>
      <c r="F101" s="2"/>
      <c r="G101" s="2"/>
    </row>
    <row r="102" spans="1:7" ht="13" x14ac:dyDescent="0.25">
      <c r="A102" s="11">
        <v>32</v>
      </c>
      <c r="B102" s="7">
        <v>28.6</v>
      </c>
      <c r="C102" s="7">
        <v>49.5</v>
      </c>
      <c r="D102" s="7">
        <v>66.2</v>
      </c>
      <c r="E102" s="2"/>
      <c r="F102" s="2"/>
      <c r="G102" s="2"/>
    </row>
    <row r="103" spans="1:7" ht="13" x14ac:dyDescent="0.25">
      <c r="A103" s="11">
        <v>33</v>
      </c>
      <c r="B103" s="7">
        <v>30.5</v>
      </c>
      <c r="C103" s="7">
        <v>59.3</v>
      </c>
      <c r="D103" s="7">
        <v>92.1</v>
      </c>
      <c r="E103" s="2"/>
      <c r="F103" s="2"/>
      <c r="G103" s="2"/>
    </row>
    <row r="104" spans="1:7" ht="13" x14ac:dyDescent="0.25">
      <c r="A104" s="11">
        <v>34</v>
      </c>
      <c r="B104" s="7">
        <v>21.9</v>
      </c>
      <c r="C104" s="7">
        <v>49.9</v>
      </c>
      <c r="D104" s="7">
        <v>82.6</v>
      </c>
      <c r="E104" s="2"/>
      <c r="F104" s="2"/>
      <c r="G104" s="2"/>
    </row>
    <row r="105" spans="1:7" ht="13" x14ac:dyDescent="0.25">
      <c r="A105" s="11">
        <v>35</v>
      </c>
      <c r="B105" s="7">
        <v>44.2</v>
      </c>
      <c r="C105" s="7">
        <v>56.7</v>
      </c>
      <c r="D105" s="7">
        <v>98.8</v>
      </c>
      <c r="E105" s="2"/>
      <c r="F105" s="2"/>
      <c r="G105" s="2"/>
    </row>
    <row r="106" spans="1:7" ht="13" x14ac:dyDescent="0.25">
      <c r="A106" s="11">
        <v>36</v>
      </c>
      <c r="B106" s="7">
        <v>38.6</v>
      </c>
      <c r="C106" s="7">
        <v>59.2</v>
      </c>
      <c r="D106" s="7">
        <v>105.1</v>
      </c>
      <c r="E106" s="2"/>
      <c r="F106" s="2"/>
      <c r="G106" s="2"/>
    </row>
    <row r="107" spans="1:7" ht="13" x14ac:dyDescent="0.25">
      <c r="A107" s="11">
        <v>37</v>
      </c>
      <c r="B107" s="7">
        <v>36</v>
      </c>
      <c r="C107" s="7">
        <v>60.8</v>
      </c>
      <c r="D107" s="7">
        <v>99.9</v>
      </c>
      <c r="E107" s="2"/>
      <c r="F107" s="2"/>
      <c r="G107" s="2"/>
    </row>
    <row r="108" spans="1:7" ht="13" x14ac:dyDescent="0.25">
      <c r="A108" s="11">
        <v>38</v>
      </c>
      <c r="B108" s="7">
        <v>29.4</v>
      </c>
      <c r="C108" s="7">
        <v>52.9</v>
      </c>
      <c r="D108" s="7">
        <v>94.2</v>
      </c>
      <c r="E108" s="2"/>
      <c r="F108" s="2"/>
      <c r="G108" s="2"/>
    </row>
    <row r="109" spans="1:7" ht="13" x14ac:dyDescent="0.25">
      <c r="A109" s="11">
        <v>39</v>
      </c>
      <c r="B109" s="7">
        <v>20.8</v>
      </c>
      <c r="C109" s="7">
        <v>50.7</v>
      </c>
      <c r="D109" s="7">
        <v>68</v>
      </c>
      <c r="E109" s="2"/>
      <c r="F109" s="2"/>
      <c r="G109" s="2"/>
    </row>
    <row r="110" spans="1:7" ht="13" x14ac:dyDescent="0.25">
      <c r="A110" s="11">
        <v>40</v>
      </c>
      <c r="B110" s="7">
        <v>27</v>
      </c>
      <c r="C110" s="7">
        <v>64.900000000000006</v>
      </c>
      <c r="D110" s="7">
        <v>106.9</v>
      </c>
      <c r="E110" s="2"/>
      <c r="F110" s="2"/>
      <c r="G110" s="2"/>
    </row>
    <row r="111" spans="1:7" ht="13" x14ac:dyDescent="0.25">
      <c r="A111" s="11">
        <v>41</v>
      </c>
      <c r="B111" s="7">
        <v>40</v>
      </c>
      <c r="C111" s="7">
        <v>45.6</v>
      </c>
      <c r="D111" s="7">
        <v>99.4</v>
      </c>
      <c r="E111" s="2"/>
      <c r="F111" s="2"/>
      <c r="G111" s="2"/>
    </row>
    <row r="112" spans="1:7" ht="13" x14ac:dyDescent="0.25">
      <c r="A112" s="11">
        <v>42</v>
      </c>
      <c r="B112" s="7">
        <v>42.3</v>
      </c>
      <c r="C112" s="7">
        <v>49.4</v>
      </c>
      <c r="D112" s="7">
        <v>96</v>
      </c>
      <c r="E112" s="2"/>
      <c r="F112" s="2"/>
      <c r="G112" s="2"/>
    </row>
    <row r="113" spans="1:7" ht="13" x14ac:dyDescent="0.25">
      <c r="A113" s="11">
        <v>43</v>
      </c>
      <c r="B113" s="7">
        <v>22.1</v>
      </c>
      <c r="C113" s="7">
        <v>47.1</v>
      </c>
      <c r="D113" s="7">
        <v>78.3</v>
      </c>
      <c r="E113" s="2"/>
      <c r="F113" s="2"/>
      <c r="G113" s="2"/>
    </row>
    <row r="114" spans="1:7" ht="13" x14ac:dyDescent="0.25">
      <c r="A114" s="11">
        <v>44</v>
      </c>
      <c r="B114" s="7">
        <v>44.3</v>
      </c>
      <c r="C114" s="7">
        <v>61.9</v>
      </c>
      <c r="D114" s="7">
        <v>86.4</v>
      </c>
      <c r="E114" s="2"/>
      <c r="F114" s="2"/>
      <c r="G114" s="2"/>
    </row>
    <row r="115" spans="1:7" ht="13" x14ac:dyDescent="0.25">
      <c r="A115" s="11">
        <v>45</v>
      </c>
      <c r="B115" s="7">
        <v>23.5</v>
      </c>
      <c r="C115" s="7">
        <v>60.3</v>
      </c>
      <c r="D115" s="7">
        <v>69.2</v>
      </c>
      <c r="E115" s="2"/>
      <c r="F115" s="2"/>
      <c r="G115" s="2"/>
    </row>
    <row r="116" spans="1:7" ht="13" x14ac:dyDescent="0.25">
      <c r="A116" s="11">
        <v>46</v>
      </c>
      <c r="B116" s="7">
        <v>34.200000000000003</v>
      </c>
      <c r="C116" s="7">
        <v>51.4</v>
      </c>
      <c r="D116" s="7">
        <v>76.900000000000006</v>
      </c>
      <c r="E116" s="2"/>
      <c r="F116" s="2"/>
      <c r="G116" s="2"/>
    </row>
    <row r="117" spans="1:7" ht="13" x14ac:dyDescent="0.25">
      <c r="A117" s="11">
        <v>47</v>
      </c>
      <c r="B117" s="7">
        <v>29.2</v>
      </c>
      <c r="C117" s="7">
        <v>52.5</v>
      </c>
      <c r="D117" s="7">
        <v>73.5</v>
      </c>
      <c r="E117" s="2"/>
      <c r="F117" s="2"/>
      <c r="G117" s="2"/>
    </row>
    <row r="118" spans="1:7" ht="13" x14ac:dyDescent="0.25">
      <c r="A118" s="11">
        <v>48</v>
      </c>
      <c r="B118" s="7">
        <v>27.7</v>
      </c>
      <c r="C118" s="7">
        <v>60.9</v>
      </c>
      <c r="D118" s="7">
        <v>89.3</v>
      </c>
      <c r="E118" s="2"/>
      <c r="F118" s="2"/>
      <c r="G118" s="2"/>
    </row>
    <row r="119" spans="1:7" ht="13" x14ac:dyDescent="0.25">
      <c r="A119" s="11">
        <v>49</v>
      </c>
      <c r="B119" s="7">
        <v>42.1</v>
      </c>
      <c r="C119" s="7">
        <v>64.900000000000006</v>
      </c>
      <c r="D119" s="7">
        <v>80.099999999999994</v>
      </c>
      <c r="E119" s="2"/>
      <c r="F119" s="2"/>
      <c r="G119" s="2"/>
    </row>
    <row r="120" spans="1:7" ht="13" x14ac:dyDescent="0.25">
      <c r="A120" s="11">
        <v>50</v>
      </c>
      <c r="B120" s="7">
        <v>41</v>
      </c>
      <c r="C120" s="7">
        <v>64</v>
      </c>
      <c r="D120" s="7">
        <v>100.4</v>
      </c>
      <c r="E120" s="2"/>
      <c r="F120" s="2"/>
      <c r="G120" s="2"/>
    </row>
    <row r="121" spans="1:7" ht="13" x14ac:dyDescent="0.25">
      <c r="A121" s="11">
        <v>51</v>
      </c>
      <c r="B121" s="7">
        <v>31.6</v>
      </c>
      <c r="C121" s="7">
        <v>55.9</v>
      </c>
      <c r="D121" s="7">
        <v>88.9</v>
      </c>
      <c r="E121" s="2"/>
      <c r="F121" s="2"/>
      <c r="G121" s="2"/>
    </row>
    <row r="122" spans="1:7" ht="13" x14ac:dyDescent="0.25">
      <c r="A122" s="11">
        <v>52</v>
      </c>
      <c r="B122" s="7">
        <v>40.9</v>
      </c>
      <c r="C122" s="7">
        <v>50</v>
      </c>
      <c r="D122" s="7">
        <v>89</v>
      </c>
      <c r="E122" s="2"/>
      <c r="F122" s="2"/>
      <c r="G122" s="2"/>
    </row>
    <row r="123" spans="1:7" ht="13" x14ac:dyDescent="0.25">
      <c r="A123" s="11">
        <v>53</v>
      </c>
      <c r="B123" s="7">
        <v>43.4</v>
      </c>
      <c r="C123" s="7">
        <v>56.9</v>
      </c>
      <c r="D123" s="7">
        <v>91.2</v>
      </c>
      <c r="E123" s="2"/>
      <c r="F123" s="2"/>
      <c r="G123" s="2"/>
    </row>
    <row r="124" spans="1:7" ht="13" x14ac:dyDescent="0.25">
      <c r="A124" s="11">
        <v>54</v>
      </c>
      <c r="B124" s="7">
        <v>28.8</v>
      </c>
      <c r="C124" s="7">
        <v>58.7</v>
      </c>
      <c r="D124" s="7">
        <v>102.1</v>
      </c>
      <c r="E124" s="2"/>
      <c r="F124" s="2"/>
      <c r="G124" s="2"/>
    </row>
    <row r="125" spans="1:7" ht="13" x14ac:dyDescent="0.25">
      <c r="A125" s="11">
        <v>55</v>
      </c>
      <c r="B125" s="7">
        <v>35.9</v>
      </c>
      <c r="C125" s="7">
        <v>63.6</v>
      </c>
      <c r="D125" s="7">
        <v>79.7</v>
      </c>
      <c r="E125" s="2"/>
      <c r="F125" s="2"/>
      <c r="G125" s="2"/>
    </row>
    <row r="126" spans="1:7" ht="13" x14ac:dyDescent="0.25">
      <c r="A126" s="11">
        <v>56</v>
      </c>
      <c r="B126" s="7">
        <v>33.700000000000003</v>
      </c>
      <c r="C126" s="7">
        <v>50.9</v>
      </c>
      <c r="D126" s="7">
        <v>108.4</v>
      </c>
      <c r="E126" s="2"/>
      <c r="F126" s="2"/>
      <c r="G126" s="2"/>
    </row>
    <row r="127" spans="1:7" ht="13" x14ac:dyDescent="0.25">
      <c r="A127" s="11">
        <v>57</v>
      </c>
      <c r="B127" s="7">
        <v>41.7</v>
      </c>
      <c r="C127" s="7">
        <v>63.8</v>
      </c>
      <c r="D127" s="7">
        <v>85.4</v>
      </c>
      <c r="E127" s="2"/>
      <c r="F127" s="2"/>
      <c r="G127" s="2"/>
    </row>
    <row r="128" spans="1:7" ht="13" x14ac:dyDescent="0.25">
      <c r="A128" s="11">
        <v>58</v>
      </c>
      <c r="B128" s="7">
        <v>28.5</v>
      </c>
      <c r="C128" s="7">
        <v>58.4</v>
      </c>
      <c r="D128" s="7">
        <v>98.7</v>
      </c>
      <c r="E128" s="2"/>
      <c r="F128" s="2"/>
      <c r="G128" s="2"/>
    </row>
    <row r="129" spans="1:7" ht="13" x14ac:dyDescent="0.25">
      <c r="A129" s="11">
        <v>59</v>
      </c>
      <c r="B129" s="7">
        <v>44.1</v>
      </c>
      <c r="C129" s="7">
        <v>63.8</v>
      </c>
      <c r="D129" s="7">
        <v>105.8</v>
      </c>
      <c r="E129" s="2"/>
      <c r="F129" s="2"/>
      <c r="G129" s="2"/>
    </row>
    <row r="130" spans="1:7" ht="13" x14ac:dyDescent="0.25">
      <c r="A130" s="11">
        <v>60</v>
      </c>
      <c r="B130" s="7">
        <v>20.100000000000001</v>
      </c>
      <c r="C130" s="7">
        <v>59.8</v>
      </c>
      <c r="D130" s="7">
        <v>79.3</v>
      </c>
      <c r="E130" s="2"/>
      <c r="F130" s="2"/>
      <c r="G130" s="2"/>
    </row>
    <row r="131" spans="1:7" ht="13" x14ac:dyDescent="0.25">
      <c r="A131" s="11">
        <v>61</v>
      </c>
      <c r="B131" s="7">
        <v>24</v>
      </c>
      <c r="C131" s="7">
        <v>50.2</v>
      </c>
      <c r="D131" s="7">
        <v>77.8</v>
      </c>
      <c r="E131" s="2"/>
      <c r="F131" s="2"/>
      <c r="G131" s="2"/>
    </row>
    <row r="132" spans="1:7" ht="13" x14ac:dyDescent="0.25">
      <c r="A132" s="11">
        <v>62</v>
      </c>
      <c r="B132" s="7">
        <v>24</v>
      </c>
      <c r="C132" s="7">
        <v>45.1</v>
      </c>
      <c r="D132" s="7">
        <v>80</v>
      </c>
      <c r="E132" s="2"/>
      <c r="F132" s="2"/>
      <c r="G132" s="2"/>
    </row>
    <row r="133" spans="1:7" ht="13.5" thickBot="1" x14ac:dyDescent="0.3">
      <c r="A133" s="14">
        <v>63</v>
      </c>
      <c r="B133" s="7">
        <v>27.7</v>
      </c>
      <c r="C133" s="15"/>
      <c r="D133" s="15"/>
      <c r="E133" s="19"/>
      <c r="F133" s="19"/>
      <c r="G133" s="19"/>
    </row>
    <row r="134" spans="1:7" ht="13" thickTop="1" x14ac:dyDescent="0.25"/>
    <row r="136" spans="1:7" ht="13" x14ac:dyDescent="0.25">
      <c r="A136" s="615" t="s">
        <v>148</v>
      </c>
      <c r="B136" s="613" t="s">
        <v>149</v>
      </c>
      <c r="C136" s="614"/>
      <c r="D136" s="613" t="s">
        <v>150</v>
      </c>
      <c r="E136" s="614"/>
      <c r="F136" s="613" t="s">
        <v>151</v>
      </c>
      <c r="G136" s="614"/>
    </row>
    <row r="137" spans="1:7" ht="13" x14ac:dyDescent="0.25">
      <c r="A137" s="616"/>
      <c r="B137" s="11" t="s">
        <v>152</v>
      </c>
      <c r="C137" s="11" t="s">
        <v>153</v>
      </c>
      <c r="D137" s="11" t="s">
        <v>152</v>
      </c>
      <c r="E137" s="11" t="s">
        <v>153</v>
      </c>
      <c r="F137" s="11" t="s">
        <v>152</v>
      </c>
      <c r="G137" s="11" t="s">
        <v>153</v>
      </c>
    </row>
    <row r="138" spans="1:7" ht="13" x14ac:dyDescent="0.25">
      <c r="A138" s="11" t="str">
        <f>A2</f>
        <v>Siyang Aiyuan Farm</v>
      </c>
      <c r="B138" s="13">
        <f>ROUNDDOWN(AVERAGE(B5:D13),1)</f>
        <v>57.9</v>
      </c>
      <c r="C138" s="13">
        <f>ROUNDDOWN(AVERAGE(E5:G20),1)</f>
        <v>72.3</v>
      </c>
      <c r="D138" s="11">
        <f>'2020.6'!D138</f>
        <v>8438</v>
      </c>
      <c r="E138" s="11">
        <v>15956</v>
      </c>
      <c r="F138" s="11">
        <f>B138*D138</f>
        <v>488560.2</v>
      </c>
      <c r="G138" s="11">
        <f>C138*E138</f>
        <v>1153618.8</v>
      </c>
    </row>
    <row r="139" spans="1:7" ht="13" x14ac:dyDescent="0.25">
      <c r="A139" s="11" t="str">
        <f>A21</f>
        <v>Dongtai Jianggang Farm</v>
      </c>
      <c r="B139" s="13">
        <f>ROUNDDOWN(AVERAGE(B24:D33),1)</f>
        <v>58.1</v>
      </c>
      <c r="C139" s="13">
        <f>ROUNDDOWN(AVERAGE(E24:G52),1)</f>
        <v>70.900000000000006</v>
      </c>
      <c r="D139" s="11">
        <f>'2020.6'!D139</f>
        <v>9440</v>
      </c>
      <c r="E139" s="11">
        <v>29473</v>
      </c>
      <c r="F139" s="11">
        <f t="shared" ref="F139:G141" si="0">B139*D139</f>
        <v>548464</v>
      </c>
      <c r="G139" s="11">
        <f t="shared" si="0"/>
        <v>2089635.7000000002</v>
      </c>
    </row>
    <row r="140" spans="1:7" ht="13" x14ac:dyDescent="0.25">
      <c r="A140" s="11" t="str">
        <f>A53</f>
        <v>Sheyang Linhai Farm</v>
      </c>
      <c r="B140" s="13">
        <f>ROUNDDOWN(AVERAGE(B56:D67),1)</f>
        <v>57.8</v>
      </c>
      <c r="C140" s="13">
        <f>ROUNDDOWN(AVERAGE(E56:G62),1)</f>
        <v>71.900000000000006</v>
      </c>
      <c r="D140" s="11">
        <f>'2020.6'!D140</f>
        <v>11825</v>
      </c>
      <c r="E140" s="11">
        <v>6416</v>
      </c>
      <c r="F140" s="11">
        <f t="shared" si="0"/>
        <v>683485</v>
      </c>
      <c r="G140" s="11">
        <f t="shared" si="0"/>
        <v>461310.4</v>
      </c>
    </row>
    <row r="141" spans="1:7" ht="13" x14ac:dyDescent="0.25">
      <c r="A141" s="11" t="str">
        <f>A68</f>
        <v>Siyang Nanliuji</v>
      </c>
      <c r="B141" s="13">
        <f>ROUNDDOWN(AVERAGE(B71:D133),1)</f>
        <v>57.6</v>
      </c>
      <c r="C141" s="11">
        <f>ROUNDDOWN(AVERAGE(0),1)</f>
        <v>0</v>
      </c>
      <c r="D141" s="11">
        <f>'2020.6'!D141</f>
        <v>65005</v>
      </c>
      <c r="E141" s="11">
        <v>0</v>
      </c>
      <c r="F141" s="11">
        <f t="shared" si="0"/>
        <v>3744288</v>
      </c>
      <c r="G141" s="11">
        <f t="shared" si="0"/>
        <v>0</v>
      </c>
    </row>
    <row r="142" spans="1:7" ht="13" x14ac:dyDescent="0.25">
      <c r="A142" s="613" t="s">
        <v>154</v>
      </c>
      <c r="B142" s="617"/>
      <c r="C142" s="614"/>
      <c r="D142" s="11">
        <f>SUM(D138:D141)</f>
        <v>94708</v>
      </c>
      <c r="E142" s="11">
        <f>SUM(E138:E141)</f>
        <v>51845</v>
      </c>
      <c r="F142" s="11">
        <f>SUM(F138:F141)</f>
        <v>5464797.2000000002</v>
      </c>
      <c r="G142" s="11">
        <f>SUM(G138:G141)</f>
        <v>3704564.9</v>
      </c>
    </row>
    <row r="144" spans="1:7" ht="13" x14ac:dyDescent="0.25">
      <c r="C144" s="613" t="s">
        <v>155</v>
      </c>
      <c r="D144" s="614"/>
    </row>
    <row r="145" spans="3:4" ht="13" x14ac:dyDescent="0.25">
      <c r="C145" s="11" t="s">
        <v>152</v>
      </c>
      <c r="D145" s="11" t="s">
        <v>153</v>
      </c>
    </row>
    <row r="146" spans="3:4" ht="13" x14ac:dyDescent="0.25">
      <c r="C146" s="12">
        <f>ROUNDDOWN(F142/D142,1)</f>
        <v>57.7</v>
      </c>
      <c r="D146" s="12">
        <f>ROUNDDOWN(G142/E142,1)</f>
        <v>71.400000000000006</v>
      </c>
    </row>
  </sheetData>
  <mergeCells count="19">
    <mergeCell ref="C144:D144"/>
    <mergeCell ref="A53:G53"/>
    <mergeCell ref="B54:D54"/>
    <mergeCell ref="E54:G54"/>
    <mergeCell ref="A68:G68"/>
    <mergeCell ref="B69:D69"/>
    <mergeCell ref="E69:G69"/>
    <mergeCell ref="A136:A137"/>
    <mergeCell ref="B136:C136"/>
    <mergeCell ref="D136:E136"/>
    <mergeCell ref="F136:G136"/>
    <mergeCell ref="A142:C142"/>
    <mergeCell ref="B22:D22"/>
    <mergeCell ref="E22:G22"/>
    <mergeCell ref="A1:G1"/>
    <mergeCell ref="A2:G2"/>
    <mergeCell ref="B3:D3"/>
    <mergeCell ref="E3:G3"/>
    <mergeCell ref="A21:G21"/>
  </mergeCells>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26</vt:i4>
      </vt:variant>
    </vt:vector>
  </HeadingPairs>
  <TitlesOfParts>
    <vt:vector size="26" baseType="lpstr">
      <vt:lpstr>Cover Page</vt:lpstr>
      <vt:lpstr>Baseline Emission</vt:lpstr>
      <vt:lpstr>Project Emission</vt:lpstr>
      <vt:lpstr>Leakage Emission</vt:lpstr>
      <vt:lpstr>Emassion Reductions</vt:lpstr>
      <vt:lpstr>monitoring results</vt:lpstr>
      <vt:lpstr>Reliability Check</vt:lpstr>
      <vt:lpstr>2020.6</vt:lpstr>
      <vt:lpstr>2020.7</vt:lpstr>
      <vt:lpstr>2020.8</vt:lpstr>
      <vt:lpstr>2020.9</vt:lpstr>
      <vt:lpstr>2020.10</vt:lpstr>
      <vt:lpstr>2020.11</vt:lpstr>
      <vt:lpstr>2020.12</vt:lpstr>
      <vt:lpstr>2021.1</vt:lpstr>
      <vt:lpstr>2021.2</vt:lpstr>
      <vt:lpstr>2021.3</vt:lpstr>
      <vt:lpstr>2021.4</vt:lpstr>
      <vt:lpstr>2021.5</vt:lpstr>
      <vt:lpstr>2021.6</vt:lpstr>
      <vt:lpstr>2021.7</vt:lpstr>
      <vt:lpstr>2021.8</vt:lpstr>
      <vt:lpstr>2021.9</vt:lpstr>
      <vt:lpstr>2021.10</vt:lpstr>
      <vt:lpstr>2021.11</vt:lpstr>
      <vt:lpstr>2021.12</vt:lpstr>
    </vt:vector>
  </TitlesOfParts>
  <Manager>ywert.visser@carbonvietnam.com</Manager>
  <Company>INTRACO Co., Ltd Carbon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dc:creator>
  <cp:lastModifiedBy>PCBDM-1</cp:lastModifiedBy>
  <cp:lastPrinted>2011-01-07T02:59:39Z</cp:lastPrinted>
  <dcterms:created xsi:type="dcterms:W3CDTF">2006-12-11T01:48:55Z</dcterms:created>
  <dcterms:modified xsi:type="dcterms:W3CDTF">2022-10-09T09:24:39Z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Ywert Visser</vt:lpwstr>
  </property>
</Properties>
</file>