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D:\FangcloudV2\personal_space\3. VCS项目\01. 养殖场粪便处理项目-ACM0010\双胞胎集团\VCS 2706+江苏\4. MP2\4. Feedback Round I\"/>
    </mc:Choice>
  </mc:AlternateContent>
  <xr:revisionPtr revIDLastSave="0" documentId="13_ncr:1_{A8512F9C-8BEE-437E-AB8D-8021FA3EA58C}" xr6:coauthVersionLast="47" xr6:coauthVersionMax="47" xr10:uidLastSave="{00000000-0000-0000-0000-000000000000}"/>
  <bookViews>
    <workbookView xWindow="-28920" yWindow="-120" windowWidth="29040" windowHeight="16440" tabRatio="840" activeTab="5" xr2:uid="{00000000-000D-0000-FFFF-FFFF00000000}"/>
  </bookViews>
  <sheets>
    <sheet name="Cover Page" sheetId="6" r:id="rId1"/>
    <sheet name="Baseline Emission" sheetId="1" r:id="rId2"/>
    <sheet name="Project Emission" sheetId="2" r:id="rId3"/>
    <sheet name="Leakage Emission" sheetId="3" r:id="rId4"/>
    <sheet name="Reliability Check" sheetId="20" r:id="rId5"/>
    <sheet name="Emission Reductions" sheetId="43" r:id="rId6"/>
    <sheet name="monitoring results" sheetId="8" r:id="rId7"/>
    <sheet name="2022.01" sheetId="63" r:id="rId8"/>
    <sheet name="2022.02" sheetId="64" r:id="rId9"/>
    <sheet name="2022.03" sheetId="65" r:id="rId10"/>
    <sheet name="2022.04" sheetId="66" r:id="rId11"/>
    <sheet name="2022.05" sheetId="67" r:id="rId12"/>
    <sheet name="2022.06" sheetId="68" r:id="rId13"/>
    <sheet name="2022.07" sheetId="69" r:id="rId14"/>
    <sheet name="2022.08" sheetId="70" r:id="rId15"/>
    <sheet name="2022.09" sheetId="71" r:id="rId16"/>
    <sheet name="2022.10" sheetId="72" r:id="rId17"/>
    <sheet name="2022.11" sheetId="73" r:id="rId18"/>
    <sheet name="2022.12" sheetId="74" r:id="rId19"/>
  </sheets>
  <externalReferences>
    <externalReference r:id="rId20"/>
    <externalReference r:id="rId21"/>
    <externalReference r:id="rId22"/>
  </externalReferences>
  <definedNames>
    <definedName name="_Toc147547213" localSheetId="2">'Project Emission'!#REF!</definedName>
    <definedName name="BE_">[1]ER!$B$2</definedName>
    <definedName name="ER">[1]ER!$B$1</definedName>
    <definedName name="LE">[1]ER!$B$17</definedName>
    <definedName name="PE">[1]ER!$B$8</definedName>
    <definedName name="Z_2C071143_29D6_4036_A926_BF7E54293313_.wvu.Rows" localSheetId="3" hidden="1">'Leakage Emission'!#REF!,'Leakage Emission'!#REF!,'Leakage Emission'!#REF!,'Leakage Emission'!#REF!,'Leakage Emission'!#REF!,'Leakage Emission'!#REF!,'Leakage Emission'!#REF!</definedName>
    <definedName name="Z_2C071143_29D6_4036_A926_BF7E54293313_.wvu.Rows" localSheetId="2" hidden="1">'Project Emission'!#REF!,'Project Emission'!#REF!</definedName>
  </definedNames>
  <calcPr calcId="191029"/>
  <customWorkbookViews>
    <customWorkbookView name="HIEU - Personal View" guid="{2C071143-29D6-4036-A926-BF7E54293313}" mergeInterval="0" personalView="1" maximized="1" windowWidth="1020" windowHeight="57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9" i="8" l="1"/>
  <c r="L41" i="8" s="1"/>
  <c r="L30" i="8"/>
  <c r="L31" i="8"/>
  <c r="L32" i="8"/>
  <c r="L33" i="8"/>
  <c r="L34" i="8"/>
  <c r="L35" i="8"/>
  <c r="L36" i="8"/>
  <c r="L37" i="8"/>
  <c r="L38" i="8"/>
  <c r="L39" i="8"/>
  <c r="L40" i="8"/>
  <c r="F29" i="8" l="1"/>
  <c r="AF15" i="20"/>
  <c r="AF14" i="20"/>
  <c r="AF13" i="20"/>
  <c r="AF12" i="20"/>
  <c r="AF11" i="20"/>
  <c r="AF10" i="20"/>
  <c r="AF9" i="20"/>
  <c r="AF8" i="20"/>
  <c r="AF6" i="20"/>
  <c r="AF7" i="20"/>
  <c r="AF5" i="20"/>
  <c r="AF4" i="20"/>
  <c r="AE15" i="20"/>
  <c r="AE14" i="20"/>
  <c r="AE13" i="20"/>
  <c r="AE12" i="20"/>
  <c r="AE11" i="20"/>
  <c r="AE10" i="20"/>
  <c r="AE9" i="20"/>
  <c r="AE8" i="20"/>
  <c r="AE7" i="20"/>
  <c r="AE6" i="20"/>
  <c r="AE5" i="20"/>
  <c r="AE4" i="20"/>
  <c r="AD15" i="20"/>
  <c r="AD14" i="20"/>
  <c r="AD13" i="20"/>
  <c r="AD12" i="20"/>
  <c r="AD11" i="20"/>
  <c r="AD10" i="20"/>
  <c r="AD9" i="20"/>
  <c r="AD8" i="20"/>
  <c r="AD7" i="20"/>
  <c r="AD6" i="20"/>
  <c r="AD5" i="20"/>
  <c r="AD4" i="20"/>
  <c r="W15" i="20"/>
  <c r="W14" i="20"/>
  <c r="W13" i="20"/>
  <c r="W12" i="20"/>
  <c r="W11" i="20"/>
  <c r="W10" i="20"/>
  <c r="W9" i="20"/>
  <c r="W8" i="20"/>
  <c r="W7" i="20"/>
  <c r="W6" i="20"/>
  <c r="W5" i="20"/>
  <c r="W4" i="20"/>
  <c r="V15" i="20"/>
  <c r="V14" i="20"/>
  <c r="V13" i="20"/>
  <c r="V12" i="20"/>
  <c r="V11" i="20"/>
  <c r="V10" i="20"/>
  <c r="V8" i="20"/>
  <c r="V7" i="20"/>
  <c r="V6" i="20"/>
  <c r="V5" i="20"/>
  <c r="V4" i="20"/>
  <c r="U15" i="20"/>
  <c r="U14" i="20"/>
  <c r="U13" i="20"/>
  <c r="U12" i="20"/>
  <c r="U11" i="20"/>
  <c r="U10" i="20"/>
  <c r="U9" i="20"/>
  <c r="U8" i="20"/>
  <c r="U7" i="20"/>
  <c r="U6" i="20"/>
  <c r="U5" i="20"/>
  <c r="U4" i="20"/>
  <c r="N15" i="20"/>
  <c r="N14" i="20"/>
  <c r="N13" i="20"/>
  <c r="N12" i="20"/>
  <c r="N11" i="20"/>
  <c r="N10" i="20"/>
  <c r="N9" i="20"/>
  <c r="N8" i="20"/>
  <c r="N7" i="20"/>
  <c r="N6" i="20"/>
  <c r="N5" i="20"/>
  <c r="N4" i="20"/>
  <c r="M15" i="20"/>
  <c r="M14" i="20"/>
  <c r="M13" i="20"/>
  <c r="M12" i="20"/>
  <c r="M11" i="20"/>
  <c r="M10" i="20"/>
  <c r="M9" i="20"/>
  <c r="M8" i="20"/>
  <c r="M7" i="20"/>
  <c r="M6" i="20"/>
  <c r="M5" i="20"/>
  <c r="M4" i="20"/>
  <c r="L15" i="20"/>
  <c r="L14" i="20"/>
  <c r="L13" i="20"/>
  <c r="L12" i="20"/>
  <c r="L11" i="20"/>
  <c r="L10" i="20"/>
  <c r="L9" i="20"/>
  <c r="L8" i="20"/>
  <c r="L7" i="20"/>
  <c r="L6" i="20"/>
  <c r="L5" i="20"/>
  <c r="L4" i="20"/>
  <c r="E15" i="20"/>
  <c r="E14" i="20"/>
  <c r="E13" i="20"/>
  <c r="E12" i="20"/>
  <c r="E11" i="20"/>
  <c r="E10" i="20"/>
  <c r="E9" i="20"/>
  <c r="E8" i="20"/>
  <c r="E7" i="20"/>
  <c r="E6" i="20"/>
  <c r="E5" i="20"/>
  <c r="E4" i="20"/>
  <c r="D15" i="20"/>
  <c r="D14" i="20"/>
  <c r="D13" i="20"/>
  <c r="D12" i="20"/>
  <c r="D11" i="20"/>
  <c r="D10" i="20"/>
  <c r="D9" i="20"/>
  <c r="D8" i="20"/>
  <c r="D7" i="20"/>
  <c r="D6" i="20"/>
  <c r="D5" i="20"/>
  <c r="D4" i="20"/>
  <c r="C15" i="20"/>
  <c r="C14" i="20"/>
  <c r="C13" i="20"/>
  <c r="C12" i="20"/>
  <c r="C11" i="20"/>
  <c r="C10" i="20"/>
  <c r="C9" i="20"/>
  <c r="C8" i="20"/>
  <c r="C7" i="20"/>
  <c r="C6" i="20"/>
  <c r="C5" i="20"/>
  <c r="C4" i="20"/>
  <c r="A14" i="20"/>
  <c r="A15" i="20"/>
  <c r="A5" i="20"/>
  <c r="A6" i="20"/>
  <c r="A7" i="20"/>
  <c r="A8" i="20"/>
  <c r="A9" i="20"/>
  <c r="A10" i="20"/>
  <c r="A11" i="20"/>
  <c r="A12" i="20"/>
  <c r="A13" i="20"/>
  <c r="A4" i="20"/>
  <c r="J4" i="20" l="1"/>
  <c r="C103" i="1"/>
  <c r="C104" i="1"/>
  <c r="C105" i="1"/>
  <c r="C106" i="1"/>
  <c r="C107" i="1"/>
  <c r="C108" i="1"/>
  <c r="C109" i="1"/>
  <c r="C110" i="1"/>
  <c r="C111" i="1"/>
  <c r="C112" i="1"/>
  <c r="C113" i="1"/>
  <c r="C102" i="1"/>
  <c r="A233" i="1"/>
  <c r="A30" i="8"/>
  <c r="A31" i="8"/>
  <c r="A32" i="8"/>
  <c r="A33" i="8"/>
  <c r="A34" i="8"/>
  <c r="A35" i="8"/>
  <c r="A36" i="8"/>
  <c r="A37" i="8"/>
  <c r="A38" i="8"/>
  <c r="A39" i="8"/>
  <c r="A40" i="8"/>
  <c r="A29" i="8"/>
  <c r="H16" i="8"/>
  <c r="G5" i="8"/>
  <c r="G6" i="8"/>
  <c r="G7" i="8"/>
  <c r="G8" i="8"/>
  <c r="G9" i="8"/>
  <c r="G10" i="8"/>
  <c r="G11" i="8"/>
  <c r="G12" i="8"/>
  <c r="G13" i="8"/>
  <c r="G14" i="8"/>
  <c r="G15" i="8"/>
  <c r="G4" i="8"/>
  <c r="E141" i="74"/>
  <c r="C141" i="74"/>
  <c r="B141" i="74"/>
  <c r="A141" i="74"/>
  <c r="E140" i="74"/>
  <c r="C140" i="74"/>
  <c r="B140" i="74"/>
  <c r="A140" i="74"/>
  <c r="E139" i="74"/>
  <c r="C139" i="74"/>
  <c r="B139" i="74"/>
  <c r="A139" i="74"/>
  <c r="E138" i="74"/>
  <c r="C138" i="74"/>
  <c r="B138" i="74"/>
  <c r="A138" i="74"/>
  <c r="E141" i="73"/>
  <c r="C141" i="73"/>
  <c r="B141" i="73"/>
  <c r="A141" i="73"/>
  <c r="E140" i="73"/>
  <c r="C140" i="73"/>
  <c r="B140" i="73"/>
  <c r="A140" i="73"/>
  <c r="E139" i="73"/>
  <c r="C139" i="73"/>
  <c r="B139" i="73"/>
  <c r="A139" i="73"/>
  <c r="E138" i="73"/>
  <c r="C138" i="73"/>
  <c r="B138" i="73"/>
  <c r="A138" i="73"/>
  <c r="E141" i="72"/>
  <c r="C141" i="72"/>
  <c r="B141" i="72"/>
  <c r="A141" i="72"/>
  <c r="E140" i="72"/>
  <c r="C140" i="72"/>
  <c r="B140" i="72"/>
  <c r="A140" i="72"/>
  <c r="E139" i="72"/>
  <c r="C139" i="72"/>
  <c r="B139" i="72"/>
  <c r="A139" i="72"/>
  <c r="E138" i="72"/>
  <c r="C138" i="72"/>
  <c r="B138" i="72"/>
  <c r="A138" i="72"/>
  <c r="G141" i="71"/>
  <c r="E141" i="71"/>
  <c r="C141" i="71"/>
  <c r="B141" i="71"/>
  <c r="A141" i="71"/>
  <c r="E140" i="71"/>
  <c r="C140" i="71"/>
  <c r="B140" i="71"/>
  <c r="A140" i="71"/>
  <c r="E139" i="71"/>
  <c r="C139" i="71"/>
  <c r="B139" i="71"/>
  <c r="A139" i="71"/>
  <c r="E138" i="71"/>
  <c r="E142" i="71" s="1"/>
  <c r="C14" i="8" s="1"/>
  <c r="C138" i="71"/>
  <c r="B138" i="71"/>
  <c r="A138" i="71"/>
  <c r="E141" i="70"/>
  <c r="C141" i="70"/>
  <c r="B141" i="70"/>
  <c r="A141" i="70"/>
  <c r="E140" i="70"/>
  <c r="C140" i="70"/>
  <c r="B140" i="70"/>
  <c r="A140" i="70"/>
  <c r="E139" i="70"/>
  <c r="C139" i="70"/>
  <c r="B139" i="70"/>
  <c r="A139" i="70"/>
  <c r="E138" i="70"/>
  <c r="C138" i="70"/>
  <c r="B138" i="70"/>
  <c r="A138" i="70"/>
  <c r="E141" i="69"/>
  <c r="C141" i="69"/>
  <c r="B141" i="69"/>
  <c r="A141" i="69"/>
  <c r="E140" i="69"/>
  <c r="C140" i="69"/>
  <c r="B140" i="69"/>
  <c r="A140" i="69"/>
  <c r="E139" i="69"/>
  <c r="C139" i="69"/>
  <c r="B139" i="69"/>
  <c r="A139" i="69"/>
  <c r="E138" i="69"/>
  <c r="C138" i="69"/>
  <c r="B138" i="69"/>
  <c r="A138" i="69"/>
  <c r="E141" i="68"/>
  <c r="C141" i="68"/>
  <c r="B141" i="68"/>
  <c r="A141" i="68"/>
  <c r="E140" i="68"/>
  <c r="C140" i="68"/>
  <c r="B140" i="68"/>
  <c r="A140" i="68"/>
  <c r="E139" i="68"/>
  <c r="C139" i="68"/>
  <c r="B139" i="68"/>
  <c r="A139" i="68"/>
  <c r="E138" i="68"/>
  <c r="C138" i="68"/>
  <c r="B138" i="68"/>
  <c r="A138" i="68"/>
  <c r="E141" i="67"/>
  <c r="C141" i="67"/>
  <c r="B141" i="67"/>
  <c r="A141" i="67"/>
  <c r="E140" i="67"/>
  <c r="C140" i="67"/>
  <c r="B140" i="67"/>
  <c r="A140" i="67"/>
  <c r="E139" i="67"/>
  <c r="C139" i="67"/>
  <c r="B139" i="67"/>
  <c r="A139" i="67"/>
  <c r="E138" i="67"/>
  <c r="G138" i="67" s="1"/>
  <c r="C138" i="67"/>
  <c r="B138" i="67"/>
  <c r="A138" i="67"/>
  <c r="E141" i="66"/>
  <c r="G141" i="66" s="1"/>
  <c r="C141" i="66"/>
  <c r="B141" i="66"/>
  <c r="A141" i="66"/>
  <c r="E140" i="66"/>
  <c r="C140" i="66"/>
  <c r="B140" i="66"/>
  <c r="A140" i="66"/>
  <c r="E139" i="66"/>
  <c r="C139" i="66"/>
  <c r="B139" i="66"/>
  <c r="A139" i="66"/>
  <c r="E138" i="66"/>
  <c r="C138" i="66"/>
  <c r="B138" i="66"/>
  <c r="A138" i="66"/>
  <c r="E141" i="65"/>
  <c r="C141" i="65"/>
  <c r="B141" i="65"/>
  <c r="A141" i="65"/>
  <c r="E140" i="65"/>
  <c r="C140" i="65"/>
  <c r="B140" i="65"/>
  <c r="A140" i="65"/>
  <c r="E139" i="65"/>
  <c r="C139" i="65"/>
  <c r="B139" i="65"/>
  <c r="A139" i="65"/>
  <c r="E138" i="65"/>
  <c r="C138" i="65"/>
  <c r="B138" i="65"/>
  <c r="A138" i="65"/>
  <c r="E141" i="64"/>
  <c r="C141" i="64"/>
  <c r="B141" i="64"/>
  <c r="A141" i="64"/>
  <c r="E140" i="64"/>
  <c r="C140" i="64"/>
  <c r="B140" i="64"/>
  <c r="A140" i="64"/>
  <c r="E139" i="64"/>
  <c r="C139" i="64"/>
  <c r="B139" i="64"/>
  <c r="A139" i="64"/>
  <c r="E138" i="64"/>
  <c r="C138" i="64"/>
  <c r="B138" i="64"/>
  <c r="A138" i="64"/>
  <c r="E141" i="63"/>
  <c r="AG4" i="20" s="1"/>
  <c r="D141" i="63"/>
  <c r="D141" i="74" s="1"/>
  <c r="C141" i="63"/>
  <c r="B141" i="63"/>
  <c r="A141" i="63"/>
  <c r="E140" i="63"/>
  <c r="D140" i="63"/>
  <c r="C140" i="63"/>
  <c r="B140" i="63"/>
  <c r="F140" i="63" s="1"/>
  <c r="A140" i="63"/>
  <c r="E139" i="63"/>
  <c r="D139" i="63"/>
  <c r="D139" i="70" s="1"/>
  <c r="O11" i="20" s="1"/>
  <c r="C139" i="63"/>
  <c r="B139" i="63"/>
  <c r="A139" i="63"/>
  <c r="E138" i="63"/>
  <c r="D138" i="63"/>
  <c r="C138" i="63"/>
  <c r="B138" i="63"/>
  <c r="A138" i="63"/>
  <c r="G138" i="72" l="1"/>
  <c r="G140" i="72"/>
  <c r="G138" i="73"/>
  <c r="G140" i="73"/>
  <c r="G138" i="74"/>
  <c r="F138" i="63"/>
  <c r="G139" i="68"/>
  <c r="D139" i="66"/>
  <c r="O7" i="20" s="1"/>
  <c r="G139" i="69"/>
  <c r="G140" i="63"/>
  <c r="D139" i="74"/>
  <c r="O15" i="20" s="1"/>
  <c r="F139" i="63"/>
  <c r="G138" i="64"/>
  <c r="G140" i="64"/>
  <c r="G138" i="65"/>
  <c r="G140" i="65"/>
  <c r="G138" i="66"/>
  <c r="G140" i="67"/>
  <c r="G138" i="68"/>
  <c r="G140" i="68"/>
  <c r="G138" i="69"/>
  <c r="G140" i="69"/>
  <c r="G140" i="70"/>
  <c r="G138" i="71"/>
  <c r="G140" i="71"/>
  <c r="G138" i="63"/>
  <c r="G139" i="64"/>
  <c r="G139" i="65"/>
  <c r="G139" i="66"/>
  <c r="G138" i="70"/>
  <c r="AG15" i="20"/>
  <c r="D140" i="74"/>
  <c r="X15" i="20" s="1"/>
  <c r="X4" i="20"/>
  <c r="G139" i="67"/>
  <c r="F139" i="70"/>
  <c r="E142" i="72"/>
  <c r="C15" i="8" s="1"/>
  <c r="E142" i="74"/>
  <c r="C17" i="8" s="1"/>
  <c r="G140" i="74"/>
  <c r="G139" i="70"/>
  <c r="G139" i="63"/>
  <c r="E142" i="65"/>
  <c r="C8" i="8" s="1"/>
  <c r="G140" i="66"/>
  <c r="G141" i="69"/>
  <c r="G139" i="71"/>
  <c r="F139" i="74"/>
  <c r="D138" i="73"/>
  <c r="F14" i="20" s="1"/>
  <c r="F4" i="20"/>
  <c r="I4" i="20" s="1"/>
  <c r="D139" i="73"/>
  <c r="O14" i="20" s="1"/>
  <c r="O4" i="20"/>
  <c r="F141" i="63"/>
  <c r="G139" i="72"/>
  <c r="G139" i="73"/>
  <c r="G139" i="74"/>
  <c r="G141" i="70"/>
  <c r="E142" i="68"/>
  <c r="C11" i="8" s="1"/>
  <c r="E142" i="69"/>
  <c r="C12" i="8" s="1"/>
  <c r="G141" i="74"/>
  <c r="E142" i="70"/>
  <c r="C13" i="8" s="1"/>
  <c r="G141" i="63"/>
  <c r="F141" i="74"/>
  <c r="E142" i="66"/>
  <c r="C9" i="8" s="1"/>
  <c r="G141" i="67"/>
  <c r="G142" i="67" s="1"/>
  <c r="E142" i="73"/>
  <c r="C16" i="8" s="1"/>
  <c r="G141" i="64"/>
  <c r="E142" i="67"/>
  <c r="C10" i="8" s="1"/>
  <c r="E142" i="64"/>
  <c r="C7" i="8" s="1"/>
  <c r="G141" i="68"/>
  <c r="G141" i="65"/>
  <c r="G141" i="72"/>
  <c r="G141" i="73"/>
  <c r="E142" i="63"/>
  <c r="C6" i="8" s="1"/>
  <c r="D141" i="71"/>
  <c r="F141" i="71" s="1"/>
  <c r="D138" i="66"/>
  <c r="F7" i="20" s="1"/>
  <c r="D140" i="67"/>
  <c r="D138" i="70"/>
  <c r="F11" i="20" s="1"/>
  <c r="D140" i="71"/>
  <c r="D138" i="74"/>
  <c r="D141" i="64"/>
  <c r="AG5" i="20" s="1"/>
  <c r="D139" i="67"/>
  <c r="O8" i="20" s="1"/>
  <c r="D141" i="68"/>
  <c r="F141" i="68" s="1"/>
  <c r="D139" i="71"/>
  <c r="D141" i="72"/>
  <c r="F141" i="72" s="1"/>
  <c r="D141" i="67"/>
  <c r="F141" i="67" s="1"/>
  <c r="D140" i="64"/>
  <c r="D138" i="67"/>
  <c r="F8" i="20" s="1"/>
  <c r="D140" i="68"/>
  <c r="D138" i="71"/>
  <c r="F12" i="20" s="1"/>
  <c r="D140" i="72"/>
  <c r="D142" i="63"/>
  <c r="D139" i="64"/>
  <c r="D141" i="65"/>
  <c r="F141" i="65" s="1"/>
  <c r="D139" i="68"/>
  <c r="D141" i="69"/>
  <c r="F141" i="69" s="1"/>
  <c r="D139" i="72"/>
  <c r="D141" i="73"/>
  <c r="F141" i="73" s="1"/>
  <c r="D138" i="64"/>
  <c r="D140" i="65"/>
  <c r="D138" i="68"/>
  <c r="D140" i="69"/>
  <c r="D138" i="72"/>
  <c r="D140" i="73"/>
  <c r="D139" i="65"/>
  <c r="D141" i="66"/>
  <c r="F141" i="66" s="1"/>
  <c r="D139" i="69"/>
  <c r="D141" i="70"/>
  <c r="F141" i="70" s="1"/>
  <c r="D138" i="65"/>
  <c r="D140" i="66"/>
  <c r="D138" i="69"/>
  <c r="D140" i="70"/>
  <c r="G142" i="66" l="1"/>
  <c r="G142" i="74"/>
  <c r="D146" i="74" s="1"/>
  <c r="E17" i="8" s="1"/>
  <c r="G142" i="69"/>
  <c r="D146" i="69" s="1"/>
  <c r="E12" i="8" s="1"/>
  <c r="G142" i="64"/>
  <c r="D146" i="64" s="1"/>
  <c r="E7" i="8" s="1"/>
  <c r="F139" i="73"/>
  <c r="G142" i="71"/>
  <c r="D146" i="71" s="1"/>
  <c r="E14" i="8" s="1"/>
  <c r="G142" i="63"/>
  <c r="D146" i="63" s="1"/>
  <c r="E6" i="8" s="1"/>
  <c r="F138" i="73"/>
  <c r="F140" i="74"/>
  <c r="G142" i="65"/>
  <c r="D146" i="65" s="1"/>
  <c r="E8" i="8" s="1"/>
  <c r="F142" i="63"/>
  <c r="G142" i="70"/>
  <c r="D146" i="70" s="1"/>
  <c r="E13" i="8" s="1"/>
  <c r="F139" i="67"/>
  <c r="G142" i="72"/>
  <c r="D146" i="72" s="1"/>
  <c r="E15" i="8" s="1"/>
  <c r="AG6" i="20"/>
  <c r="AG7" i="20"/>
  <c r="G142" i="68"/>
  <c r="D146" i="68" s="1"/>
  <c r="E11" i="8" s="1"/>
  <c r="F139" i="66"/>
  <c r="F139" i="69"/>
  <c r="O10" i="20"/>
  <c r="F138" i="64"/>
  <c r="F5" i="20"/>
  <c r="F140" i="72"/>
  <c r="X13" i="20"/>
  <c r="F141" i="64"/>
  <c r="F139" i="65"/>
  <c r="O6" i="20"/>
  <c r="F140" i="70"/>
  <c r="X11" i="20"/>
  <c r="D142" i="73"/>
  <c r="B16" i="8" s="1"/>
  <c r="X14" i="20"/>
  <c r="D142" i="74"/>
  <c r="B17" i="8" s="1"/>
  <c r="F15" i="20"/>
  <c r="AG12" i="20"/>
  <c r="AG10" i="20"/>
  <c r="F140" i="68"/>
  <c r="X9" i="20"/>
  <c r="F138" i="72"/>
  <c r="F13" i="20"/>
  <c r="F140" i="69"/>
  <c r="X10" i="20"/>
  <c r="F140" i="67"/>
  <c r="X8" i="20"/>
  <c r="G142" i="73"/>
  <c r="D146" i="73" s="1"/>
  <c r="E16" i="8" s="1"/>
  <c r="AG11" i="20"/>
  <c r="AG9" i="20"/>
  <c r="AG14" i="20"/>
  <c r="F139" i="72"/>
  <c r="O13" i="20"/>
  <c r="F138" i="69"/>
  <c r="F10" i="20"/>
  <c r="F139" i="68"/>
  <c r="O9" i="20"/>
  <c r="F140" i="64"/>
  <c r="X5" i="20"/>
  <c r="F140" i="71"/>
  <c r="X12" i="20"/>
  <c r="F140" i="66"/>
  <c r="X7" i="20"/>
  <c r="D142" i="65"/>
  <c r="B8" i="8" s="1"/>
  <c r="F6" i="20"/>
  <c r="D142" i="68"/>
  <c r="B11" i="8" s="1"/>
  <c r="F9" i="20"/>
  <c r="F139" i="64"/>
  <c r="O5" i="20"/>
  <c r="F140" i="65"/>
  <c r="X6" i="20"/>
  <c r="C146" i="63"/>
  <c r="D6" i="8" s="1"/>
  <c r="B6" i="8"/>
  <c r="F139" i="71"/>
  <c r="O12" i="20"/>
  <c r="AG8" i="20"/>
  <c r="AG13" i="20"/>
  <c r="D146" i="66"/>
  <c r="E9" i="8" s="1"/>
  <c r="D146" i="67"/>
  <c r="E10" i="8" s="1"/>
  <c r="D142" i="66"/>
  <c r="B9" i="8" s="1"/>
  <c r="F138" i="66"/>
  <c r="F142" i="66" s="1"/>
  <c r="D142" i="71"/>
  <c r="B14" i="8" s="1"/>
  <c r="F140" i="73"/>
  <c r="F142" i="73" s="1"/>
  <c r="D142" i="64"/>
  <c r="B7" i="8" s="1"/>
  <c r="F138" i="65"/>
  <c r="F138" i="68"/>
  <c r="D142" i="67"/>
  <c r="B10" i="8" s="1"/>
  <c r="D142" i="69"/>
  <c r="F138" i="67"/>
  <c r="F142" i="67" s="1"/>
  <c r="D142" i="72"/>
  <c r="D142" i="70"/>
  <c r="B13" i="8" s="1"/>
  <c r="F138" i="71"/>
  <c r="F138" i="70"/>
  <c r="F138" i="74"/>
  <c r="F142" i="68" l="1"/>
  <c r="F142" i="70"/>
  <c r="C146" i="68"/>
  <c r="D11" i="8" s="1"/>
  <c r="C146" i="66"/>
  <c r="D9" i="8" s="1"/>
  <c r="F142" i="64"/>
  <c r="F142" i="72"/>
  <c r="C146" i="72" s="1"/>
  <c r="D15" i="8" s="1"/>
  <c r="F142" i="74"/>
  <c r="C146" i="74"/>
  <c r="D17" i="8" s="1"/>
  <c r="F142" i="71"/>
  <c r="C146" i="71" s="1"/>
  <c r="D14" i="8" s="1"/>
  <c r="F142" i="69"/>
  <c r="C146" i="69" s="1"/>
  <c r="D12" i="8" s="1"/>
  <c r="F142" i="65"/>
  <c r="C146" i="65" s="1"/>
  <c r="D8" i="8" s="1"/>
  <c r="C146" i="73"/>
  <c r="D16" i="8" s="1"/>
  <c r="B15" i="8"/>
  <c r="C146" i="67"/>
  <c r="D10" i="8" s="1"/>
  <c r="B12" i="8"/>
  <c r="C146" i="64"/>
  <c r="D7" i="8" s="1"/>
  <c r="B30" i="1" s="1"/>
  <c r="C146" i="70"/>
  <c r="D13" i="8" s="1"/>
  <c r="B13" i="1"/>
  <c r="A45" i="20"/>
  <c r="A46" i="20"/>
  <c r="A47" i="20"/>
  <c r="A48" i="20"/>
  <c r="A49" i="20"/>
  <c r="A53" i="20"/>
  <c r="A42" i="20"/>
  <c r="E232" i="3"/>
  <c r="E283" i="3" s="1"/>
  <c r="E122" i="3"/>
  <c r="A24" i="1"/>
  <c r="A37" i="1" s="1"/>
  <c r="A52" i="1" s="1"/>
  <c r="A66" i="1" s="1"/>
  <c r="A79" i="1" s="1"/>
  <c r="A110" i="1" s="1"/>
  <c r="A123" i="1" s="1"/>
  <c r="A138" i="1" s="1"/>
  <c r="A151" i="1" s="1"/>
  <c r="A165" i="1" s="1"/>
  <c r="A190" i="1" s="1"/>
  <c r="A203" i="1" s="1"/>
  <c r="A219" i="1" s="1"/>
  <c r="A23" i="2" s="1"/>
  <c r="A16" i="1"/>
  <c r="A29" i="1" s="1"/>
  <c r="A44" i="1" s="1"/>
  <c r="A58" i="1" s="1"/>
  <c r="A71" i="1" s="1"/>
  <c r="A102" i="1" s="1"/>
  <c r="A115" i="1" s="1"/>
  <c r="A130" i="1" s="1"/>
  <c r="A143" i="1" s="1"/>
  <c r="A157" i="1" s="1"/>
  <c r="A182" i="1" s="1"/>
  <c r="A195" i="1" s="1"/>
  <c r="A211" i="1" s="1"/>
  <c r="A15" i="2" s="1"/>
  <c r="A35" i="20"/>
  <c r="B42" i="20" s="1"/>
  <c r="AB10" i="20"/>
  <c r="S6" i="20"/>
  <c r="J8" i="20"/>
  <c r="C39" i="1"/>
  <c r="C33" i="1"/>
  <c r="B101" i="2"/>
  <c r="B167" i="2" s="1"/>
  <c r="B196" i="2" s="1"/>
  <c r="B246" i="2" s="1"/>
  <c r="B294" i="2" s="1"/>
  <c r="C29" i="1"/>
  <c r="K41" i="8"/>
  <c r="E41" i="8"/>
  <c r="AK9" i="20"/>
  <c r="B27" i="2"/>
  <c r="C94" i="2"/>
  <c r="C97" i="2"/>
  <c r="C98" i="2"/>
  <c r="B19" i="2"/>
  <c r="A43" i="20"/>
  <c r="A44" i="20"/>
  <c r="A50" i="20"/>
  <c r="A51" i="20"/>
  <c r="A52" i="20"/>
  <c r="C148" i="3"/>
  <c r="B97" i="2"/>
  <c r="C41" i="8"/>
  <c r="B41" i="8"/>
  <c r="G40" i="8"/>
  <c r="G39" i="8"/>
  <c r="G38" i="8"/>
  <c r="G37" i="8"/>
  <c r="G32" i="8"/>
  <c r="G31" i="8"/>
  <c r="G30" i="8"/>
  <c r="G29" i="8"/>
  <c r="J29" i="8" s="1"/>
  <c r="M29" i="8" s="1"/>
  <c r="F37" i="8"/>
  <c r="F38" i="8"/>
  <c r="J38" i="8" s="1"/>
  <c r="M38" i="8" s="1"/>
  <c r="F39" i="8"/>
  <c r="J39" i="8" s="1"/>
  <c r="M39" i="8" s="1"/>
  <c r="F40" i="8"/>
  <c r="F32" i="8"/>
  <c r="J32" i="8" s="1"/>
  <c r="M32" i="8" s="1"/>
  <c r="F33" i="8"/>
  <c r="F34" i="8"/>
  <c r="F35" i="8"/>
  <c r="F36" i="8"/>
  <c r="F30" i="8"/>
  <c r="F31" i="8"/>
  <c r="D41" i="8"/>
  <c r="A18" i="1"/>
  <c r="A31" i="1" s="1"/>
  <c r="A46" i="1" s="1"/>
  <c r="A60" i="1" s="1"/>
  <c r="A73" i="1" s="1"/>
  <c r="A104" i="1" s="1"/>
  <c r="A117" i="1" s="1"/>
  <c r="A132" i="1" s="1"/>
  <c r="A145" i="1" s="1"/>
  <c r="A159" i="1" s="1"/>
  <c r="A184" i="1" s="1"/>
  <c r="A197" i="1" s="1"/>
  <c r="A213" i="1" s="1"/>
  <c r="A27" i="3" s="1"/>
  <c r="A40" i="3" s="1"/>
  <c r="A60" i="3" s="1"/>
  <c r="A75" i="3" s="1"/>
  <c r="A90" i="3" s="1"/>
  <c r="A124" i="3" s="1"/>
  <c r="A137" i="3" s="1"/>
  <c r="A157" i="3" s="1"/>
  <c r="A172" i="3" s="1"/>
  <c r="A187" i="3" s="1"/>
  <c r="A222" i="3" s="1"/>
  <c r="A19" i="1"/>
  <c r="A32" i="1" s="1"/>
  <c r="A47" i="1" s="1"/>
  <c r="A61" i="1" s="1"/>
  <c r="A74" i="1" s="1"/>
  <c r="A105" i="1" s="1"/>
  <c r="A118" i="1" s="1"/>
  <c r="A133" i="1" s="1"/>
  <c r="A146" i="1" s="1"/>
  <c r="A160" i="1" s="1"/>
  <c r="A185" i="1" s="1"/>
  <c r="A198" i="1" s="1"/>
  <c r="A214" i="1" s="1"/>
  <c r="A18" i="2" s="1"/>
  <c r="A33" i="2" s="1"/>
  <c r="A20" i="1"/>
  <c r="A33" i="1" s="1"/>
  <c r="A48" i="1" s="1"/>
  <c r="A62" i="1" s="1"/>
  <c r="A75" i="1" s="1"/>
  <c r="A106" i="1" s="1"/>
  <c r="A119" i="1" s="1"/>
  <c r="A134" i="1" s="1"/>
  <c r="A147" i="1" s="1"/>
  <c r="A161" i="1" s="1"/>
  <c r="A186" i="1" s="1"/>
  <c r="A199" i="1" s="1"/>
  <c r="A215" i="1" s="1"/>
  <c r="A29" i="3" s="1"/>
  <c r="A42" i="3" s="1"/>
  <c r="A62" i="3" s="1"/>
  <c r="A77" i="3" s="1"/>
  <c r="A92" i="3" s="1"/>
  <c r="A126" i="3" s="1"/>
  <c r="A139" i="3" s="1"/>
  <c r="A159" i="3" s="1"/>
  <c r="A174" i="3" s="1"/>
  <c r="A189" i="3" s="1"/>
  <c r="A224" i="3" s="1"/>
  <c r="A21" i="1"/>
  <c r="A34" i="1" s="1"/>
  <c r="A49" i="1" s="1"/>
  <c r="A63" i="1" s="1"/>
  <c r="A76" i="1" s="1"/>
  <c r="A107" i="1" s="1"/>
  <c r="A120" i="1" s="1"/>
  <c r="A135" i="1" s="1"/>
  <c r="A148" i="1" s="1"/>
  <c r="A162" i="1" s="1"/>
  <c r="A187" i="1" s="1"/>
  <c r="A200" i="1" s="1"/>
  <c r="A216" i="1" s="1"/>
  <c r="A30" i="3" s="1"/>
  <c r="A43" i="3" s="1"/>
  <c r="A63" i="3" s="1"/>
  <c r="A78" i="3" s="1"/>
  <c r="A93" i="3" s="1"/>
  <c r="A127" i="3" s="1"/>
  <c r="A140" i="3" s="1"/>
  <c r="A160" i="3" s="1"/>
  <c r="A175" i="3" s="1"/>
  <c r="A190" i="3" s="1"/>
  <c r="A225" i="3" s="1"/>
  <c r="A276" i="3" s="1"/>
  <c r="A289" i="3" s="1"/>
  <c r="A306" i="3" s="1"/>
  <c r="A22" i="1"/>
  <c r="A35" i="1" s="1"/>
  <c r="A50" i="1" s="1"/>
  <c r="A64" i="1" s="1"/>
  <c r="A77" i="1" s="1"/>
  <c r="A108" i="1" s="1"/>
  <c r="A121" i="1" s="1"/>
  <c r="A136" i="1" s="1"/>
  <c r="A149" i="1" s="1"/>
  <c r="A163" i="1" s="1"/>
  <c r="A188" i="1" s="1"/>
  <c r="A201" i="1" s="1"/>
  <c r="A217" i="1" s="1"/>
  <c r="A31" i="3" s="1"/>
  <c r="A44" i="3" s="1"/>
  <c r="A64" i="3" s="1"/>
  <c r="A79" i="3" s="1"/>
  <c r="A94" i="3" s="1"/>
  <c r="A128" i="3" s="1"/>
  <c r="A141" i="3" s="1"/>
  <c r="A161" i="3" s="1"/>
  <c r="A176" i="3" s="1"/>
  <c r="A191" i="3" s="1"/>
  <c r="A226" i="3" s="1"/>
  <c r="A23" i="1"/>
  <c r="A36" i="1" s="1"/>
  <c r="A51" i="1" s="1"/>
  <c r="A65" i="1" s="1"/>
  <c r="A78" i="1" s="1"/>
  <c r="A109" i="1" s="1"/>
  <c r="A122" i="1" s="1"/>
  <c r="A137" i="1" s="1"/>
  <c r="A150" i="1" s="1"/>
  <c r="A164" i="1" s="1"/>
  <c r="A189" i="1" s="1"/>
  <c r="A202" i="1" s="1"/>
  <c r="A218" i="1" s="1"/>
  <c r="A32" i="3" s="1"/>
  <c r="A45" i="3" s="1"/>
  <c r="A65" i="3" s="1"/>
  <c r="A80" i="3" s="1"/>
  <c r="A95" i="3" s="1"/>
  <c r="A129" i="3" s="1"/>
  <c r="A142" i="3" s="1"/>
  <c r="A162" i="3" s="1"/>
  <c r="A177" i="3" s="1"/>
  <c r="A192" i="3" s="1"/>
  <c r="A227" i="3" s="1"/>
  <c r="A26" i="1"/>
  <c r="A39" i="1" s="1"/>
  <c r="A54" i="1" s="1"/>
  <c r="A68" i="1" s="1"/>
  <c r="A81" i="1" s="1"/>
  <c r="A112" i="1" s="1"/>
  <c r="A125" i="1" s="1"/>
  <c r="A140" i="1" s="1"/>
  <c r="A153" i="1" s="1"/>
  <c r="A167" i="1" s="1"/>
  <c r="A192" i="1" s="1"/>
  <c r="A205" i="1" s="1"/>
  <c r="A221" i="1" s="1"/>
  <c r="A25" i="2" s="1"/>
  <c r="A27" i="1"/>
  <c r="A40" i="1" s="1"/>
  <c r="A55" i="1" s="1"/>
  <c r="A69" i="1" s="1"/>
  <c r="A82" i="1" s="1"/>
  <c r="A113" i="1" s="1"/>
  <c r="A126" i="1" s="1"/>
  <c r="A141" i="1" s="1"/>
  <c r="A154" i="1" s="1"/>
  <c r="A168" i="1" s="1"/>
  <c r="A193" i="1" s="1"/>
  <c r="A206" i="1" s="1"/>
  <c r="A222" i="1" s="1"/>
  <c r="A36" i="3" s="1"/>
  <c r="A49" i="3" s="1"/>
  <c r="A69" i="3" s="1"/>
  <c r="A84" i="3" s="1"/>
  <c r="A99" i="3" s="1"/>
  <c r="A133" i="3" s="1"/>
  <c r="A146" i="3" s="1"/>
  <c r="A166" i="3" s="1"/>
  <c r="A181" i="3" s="1"/>
  <c r="A196" i="3" s="1"/>
  <c r="A231" i="3" s="1"/>
  <c r="A244" i="3" s="1"/>
  <c r="A260" i="3" s="1"/>
  <c r="B18" i="2"/>
  <c r="B20" i="2"/>
  <c r="B21" i="2"/>
  <c r="B22" i="2"/>
  <c r="B23" i="2"/>
  <c r="B24" i="2"/>
  <c r="B25" i="2"/>
  <c r="B40" i="2" s="1"/>
  <c r="B26" i="2"/>
  <c r="B15" i="2"/>
  <c r="B16" i="2"/>
  <c r="B17" i="2"/>
  <c r="C59" i="1"/>
  <c r="C60" i="1"/>
  <c r="C61" i="1"/>
  <c r="C62" i="1"/>
  <c r="C63" i="1"/>
  <c r="C65" i="1"/>
  <c r="C66" i="1"/>
  <c r="C67" i="1"/>
  <c r="C68" i="1"/>
  <c r="C69" i="1"/>
  <c r="G33" i="8"/>
  <c r="G34" i="8"/>
  <c r="G35" i="8"/>
  <c r="G36" i="8"/>
  <c r="B56" i="3"/>
  <c r="C56" i="3"/>
  <c r="C147" i="3"/>
  <c r="B216" i="3"/>
  <c r="B267" i="3" s="1"/>
  <c r="C216" i="3"/>
  <c r="B217" i="3"/>
  <c r="C217" i="3"/>
  <c r="C247" i="3"/>
  <c r="B268" i="3"/>
  <c r="C268" i="3"/>
  <c r="B346" i="3"/>
  <c r="B23" i="3" s="1"/>
  <c r="C346" i="3"/>
  <c r="C23" i="3" s="1"/>
  <c r="B348" i="3"/>
  <c r="B352" i="3" s="1"/>
  <c r="C348" i="3"/>
  <c r="C352" i="3" s="1"/>
  <c r="B50" i="2"/>
  <c r="B93" i="2"/>
  <c r="B94" i="2"/>
  <c r="B98" i="2"/>
  <c r="D99" i="2"/>
  <c r="E165" i="2"/>
  <c r="E194" i="2" s="1"/>
  <c r="E244" i="2" s="1"/>
  <c r="E292" i="2" s="1"/>
  <c r="B228" i="2"/>
  <c r="B121" i="3" s="1"/>
  <c r="B215" i="3" s="1"/>
  <c r="B266" i="3" s="1"/>
  <c r="C228" i="2"/>
  <c r="C121" i="3" s="1"/>
  <c r="C215" i="3" s="1"/>
  <c r="C266" i="3" s="1"/>
  <c r="C229" i="2"/>
  <c r="B258" i="2"/>
  <c r="C258" i="2"/>
  <c r="C277" i="2"/>
  <c r="B306" i="2"/>
  <c r="C306" i="2"/>
  <c r="C13" i="1"/>
  <c r="B41" i="1"/>
  <c r="C41" i="1"/>
  <c r="E42" i="1"/>
  <c r="B64" i="1"/>
  <c r="B98" i="1"/>
  <c r="B178" i="1" s="1"/>
  <c r="C98" i="1"/>
  <c r="C178" i="1" s="1"/>
  <c r="B100" i="1"/>
  <c r="B103" i="1" s="1"/>
  <c r="E114" i="1"/>
  <c r="D142" i="1"/>
  <c r="D194" i="1" s="1"/>
  <c r="E142" i="1"/>
  <c r="E194" i="1" s="1"/>
  <c r="B155" i="1"/>
  <c r="B207" i="1" s="1"/>
  <c r="C155" i="1"/>
  <c r="C207" i="1" s="1"/>
  <c r="D155" i="1"/>
  <c r="D207" i="1" s="1"/>
  <c r="B209" i="1"/>
  <c r="C209" i="1"/>
  <c r="C40" i="1"/>
  <c r="AA8" i="20"/>
  <c r="C104" i="2"/>
  <c r="C170" i="2" s="1"/>
  <c r="C199" i="2" s="1"/>
  <c r="C249" i="2" s="1"/>
  <c r="C297" i="2" s="1"/>
  <c r="A25" i="1"/>
  <c r="A38" i="1" s="1"/>
  <c r="A53" i="1" s="1"/>
  <c r="A67" i="1" s="1"/>
  <c r="A80" i="1" s="1"/>
  <c r="A111" i="1" s="1"/>
  <c r="A124" i="1" s="1"/>
  <c r="A139" i="1" s="1"/>
  <c r="A152" i="1" s="1"/>
  <c r="A166" i="1" s="1"/>
  <c r="A191" i="1" s="1"/>
  <c r="A204" i="1" s="1"/>
  <c r="A220" i="1" s="1"/>
  <c r="A17" i="1"/>
  <c r="A30" i="1" s="1"/>
  <c r="A45" i="1" s="1"/>
  <c r="A59" i="1" s="1"/>
  <c r="A72" i="1" s="1"/>
  <c r="A103" i="1" s="1"/>
  <c r="A116" i="1" s="1"/>
  <c r="A131" i="1" s="1"/>
  <c r="A144" i="1" s="1"/>
  <c r="A158" i="1" s="1"/>
  <c r="A183" i="1" s="1"/>
  <c r="A196" i="1" s="1"/>
  <c r="A212" i="1" s="1"/>
  <c r="A26" i="3" s="1"/>
  <c r="A39" i="3" s="1"/>
  <c r="A59" i="3" s="1"/>
  <c r="A74" i="3" s="1"/>
  <c r="A89" i="3" s="1"/>
  <c r="A123" i="3" s="1"/>
  <c r="A136" i="3" s="1"/>
  <c r="A156" i="3" s="1"/>
  <c r="A171" i="3" s="1"/>
  <c r="A186" i="3" s="1"/>
  <c r="A221" i="3" s="1"/>
  <c r="AJ4" i="20"/>
  <c r="AJ7" i="20"/>
  <c r="C23" i="1"/>
  <c r="C150" i="1" s="1"/>
  <c r="C202" i="1" s="1"/>
  <c r="C32" i="3" s="1"/>
  <c r="C129" i="3" s="1"/>
  <c r="C240" i="3" s="1"/>
  <c r="C291" i="3" s="1"/>
  <c r="C109" i="2"/>
  <c r="C175" i="2" s="1"/>
  <c r="C204" i="2" s="1"/>
  <c r="C254" i="2" s="1"/>
  <c r="C302" i="2" s="1"/>
  <c r="C101" i="2"/>
  <c r="C167" i="2" s="1"/>
  <c r="C196" i="2" s="1"/>
  <c r="C246" i="2" s="1"/>
  <c r="C294" i="2" s="1"/>
  <c r="C105" i="2"/>
  <c r="C171" i="2" s="1"/>
  <c r="C200" i="2" s="1"/>
  <c r="C250" i="2" s="1"/>
  <c r="C298" i="2" s="1"/>
  <c r="C21" i="1"/>
  <c r="C148" i="1" s="1"/>
  <c r="C200" i="1" s="1"/>
  <c r="C30" i="3" s="1"/>
  <c r="C127" i="3" s="1"/>
  <c r="C238" i="3" s="1"/>
  <c r="C289" i="3" s="1"/>
  <c r="B17" i="1"/>
  <c r="B144" i="1" s="1"/>
  <c r="B16" i="1"/>
  <c r="B143" i="1" s="1"/>
  <c r="B195" i="1" s="1"/>
  <c r="B25" i="3" s="1"/>
  <c r="B122" i="3" s="1"/>
  <c r="B233" i="3" s="1"/>
  <c r="C16" i="1"/>
  <c r="C143" i="1" s="1"/>
  <c r="C195" i="1" s="1"/>
  <c r="C25" i="3" s="1"/>
  <c r="C122" i="3" s="1"/>
  <c r="C233" i="3" s="1"/>
  <c r="C18" i="1"/>
  <c r="C145" i="1" s="1"/>
  <c r="C197" i="1" s="1"/>
  <c r="C27" i="3" s="1"/>
  <c r="C124" i="3" s="1"/>
  <c r="C235" i="3" s="1"/>
  <c r="C286" i="3" s="1"/>
  <c r="C26" i="1"/>
  <c r="C153" i="1" s="1"/>
  <c r="C205" i="1" s="1"/>
  <c r="C35" i="3" s="1"/>
  <c r="C132" i="3" s="1"/>
  <c r="C243" i="3" s="1"/>
  <c r="C22" i="1"/>
  <c r="C149" i="1" s="1"/>
  <c r="C201" i="1" s="1"/>
  <c r="C31" i="3" s="1"/>
  <c r="C128" i="3" s="1"/>
  <c r="C239" i="3" s="1"/>
  <c r="C290" i="3" s="1"/>
  <c r="C106" i="2"/>
  <c r="J40" i="8" l="1"/>
  <c r="M40" i="8" s="1"/>
  <c r="F41" i="8"/>
  <c r="B62" i="2"/>
  <c r="B64" i="2"/>
  <c r="A28" i="3"/>
  <c r="A41" i="3" s="1"/>
  <c r="A61" i="3" s="1"/>
  <c r="A76" i="3" s="1"/>
  <c r="A91" i="3" s="1"/>
  <c r="A125" i="3" s="1"/>
  <c r="A138" i="3" s="1"/>
  <c r="A158" i="3" s="1"/>
  <c r="A173" i="3" s="1"/>
  <c r="A188" i="3" s="1"/>
  <c r="A223" i="3" s="1"/>
  <c r="A274" i="3" s="1"/>
  <c r="A287" i="3" s="1"/>
  <c r="A304" i="3" s="1"/>
  <c r="J36" i="8"/>
  <c r="M36" i="8" s="1"/>
  <c r="B60" i="2" s="1"/>
  <c r="B73" i="2" s="1"/>
  <c r="J35" i="8"/>
  <c r="B4" i="20"/>
  <c r="G4" i="20" s="1"/>
  <c r="AJ6" i="20"/>
  <c r="S11" i="20"/>
  <c r="B48" i="20"/>
  <c r="B52" i="20"/>
  <c r="B46" i="20"/>
  <c r="B45" i="20"/>
  <c r="J12" i="20"/>
  <c r="AB8" i="20"/>
  <c r="B53" i="20"/>
  <c r="B51" i="20"/>
  <c r="B43" i="20"/>
  <c r="B50" i="20"/>
  <c r="B44" i="20"/>
  <c r="B49" i="20"/>
  <c r="B47" i="20"/>
  <c r="C267" i="3"/>
  <c r="C93" i="2"/>
  <c r="B32" i="2"/>
  <c r="B36" i="2"/>
  <c r="B34" i="2"/>
  <c r="B31" i="2"/>
  <c r="B37" i="2"/>
  <c r="B35" i="2"/>
  <c r="B41" i="2"/>
  <c r="B30" i="2"/>
  <c r="B33" i="2"/>
  <c r="B39" i="2"/>
  <c r="B38" i="2"/>
  <c r="C55" i="1"/>
  <c r="C48" i="1"/>
  <c r="A20" i="2"/>
  <c r="A35" i="2" s="1"/>
  <c r="A238" i="3"/>
  <c r="A254" i="3" s="1"/>
  <c r="B113" i="1"/>
  <c r="C115" i="1"/>
  <c r="C130" i="1" s="1"/>
  <c r="C182" i="1" s="1"/>
  <c r="C54" i="1"/>
  <c r="C81" i="1" s="1"/>
  <c r="C164" i="1"/>
  <c r="B106" i="1"/>
  <c r="C162" i="1"/>
  <c r="B105" i="1"/>
  <c r="B158" i="1"/>
  <c r="B104" i="1"/>
  <c r="A21" i="2"/>
  <c r="A36" i="2" s="1"/>
  <c r="B75" i="2"/>
  <c r="C159" i="1"/>
  <c r="B111" i="1"/>
  <c r="B109" i="1"/>
  <c r="J6" i="20"/>
  <c r="S8" i="20"/>
  <c r="AB7" i="20"/>
  <c r="AB15" i="20"/>
  <c r="AK6" i="20"/>
  <c r="AK14" i="20"/>
  <c r="J5" i="20"/>
  <c r="J15" i="20"/>
  <c r="S9" i="20"/>
  <c r="S14" i="20"/>
  <c r="AB5" i="20"/>
  <c r="AB13" i="20"/>
  <c r="AK15" i="20"/>
  <c r="AK4" i="20"/>
  <c r="AK12" i="20"/>
  <c r="B56" i="2"/>
  <c r="B69" i="2" s="1"/>
  <c r="B63" i="2"/>
  <c r="B76" i="2" s="1"/>
  <c r="J33" i="8"/>
  <c r="J37" i="8"/>
  <c r="B53" i="2"/>
  <c r="B66" i="2" s="1"/>
  <c r="J30" i="8"/>
  <c r="J34" i="8"/>
  <c r="A19" i="2"/>
  <c r="A34" i="2" s="1"/>
  <c r="AA5" i="20"/>
  <c r="R5" i="20"/>
  <c r="AB6" i="20"/>
  <c r="R6" i="20"/>
  <c r="J7" i="20"/>
  <c r="J11" i="20"/>
  <c r="B6" i="20"/>
  <c r="AI6" i="20" s="1"/>
  <c r="AA6" i="20"/>
  <c r="S10" i="20"/>
  <c r="AB9" i="20"/>
  <c r="AK11" i="20"/>
  <c r="AK8" i="20"/>
  <c r="R7" i="20"/>
  <c r="S7" i="20"/>
  <c r="S15" i="20"/>
  <c r="AB14" i="20"/>
  <c r="AK5" i="20"/>
  <c r="AK13" i="20"/>
  <c r="B5" i="20"/>
  <c r="Y5" i="20" s="1"/>
  <c r="I6" i="20"/>
  <c r="C100" i="2"/>
  <c r="C166" i="2" s="1"/>
  <c r="C195" i="2" s="1"/>
  <c r="C245" i="2" s="1"/>
  <c r="C293" i="2" s="1"/>
  <c r="AK7" i="20"/>
  <c r="AJ5" i="20"/>
  <c r="B100" i="2"/>
  <c r="B166" i="2" s="1"/>
  <c r="B195" i="2" s="1"/>
  <c r="B245" i="2" s="1"/>
  <c r="J9" i="20"/>
  <c r="I5" i="20"/>
  <c r="J13" i="20"/>
  <c r="R4" i="20"/>
  <c r="S5" i="20"/>
  <c r="S13" i="20"/>
  <c r="AB12" i="20"/>
  <c r="AA7" i="20"/>
  <c r="AB4" i="20"/>
  <c r="A282" i="3"/>
  <c r="A295" i="3" s="1"/>
  <c r="A312" i="3" s="1"/>
  <c r="A26" i="2"/>
  <c r="C125" i="1"/>
  <c r="A63" i="2"/>
  <c r="A110" i="2" s="1"/>
  <c r="A123" i="2" s="1"/>
  <c r="A137" i="2" s="1"/>
  <c r="A163" i="2" s="1"/>
  <c r="A176" i="2" s="1"/>
  <c r="A189" i="2" s="1"/>
  <c r="A205" i="2" s="1"/>
  <c r="A219" i="2" s="1"/>
  <c r="A242" i="2" s="1"/>
  <c r="A255" i="2" s="1"/>
  <c r="A270" i="2" s="1"/>
  <c r="A290" i="2" s="1"/>
  <c r="A303" i="2" s="1"/>
  <c r="A318" i="2" s="1"/>
  <c r="A40" i="2"/>
  <c r="C111" i="2"/>
  <c r="C177" i="2" s="1"/>
  <c r="C206" i="2" s="1"/>
  <c r="C256" i="2" s="1"/>
  <c r="C27" i="1"/>
  <c r="C154" i="1" s="1"/>
  <c r="C206" i="1" s="1"/>
  <c r="C36" i="3" s="1"/>
  <c r="C133" i="3" s="1"/>
  <c r="C244" i="3" s="1"/>
  <c r="C295" i="3" s="1"/>
  <c r="C37" i="1"/>
  <c r="C52" i="1" s="1"/>
  <c r="B45" i="1"/>
  <c r="B72" i="1" s="1"/>
  <c r="B116" i="1"/>
  <c r="B131" i="1" s="1"/>
  <c r="B29" i="1"/>
  <c r="B44" i="1" s="1"/>
  <c r="C32" i="1"/>
  <c r="AA4" i="20"/>
  <c r="C20" i="1"/>
  <c r="C147" i="1" s="1"/>
  <c r="A35" i="3"/>
  <c r="A48" i="3" s="1"/>
  <c r="A68" i="3" s="1"/>
  <c r="A83" i="3" s="1"/>
  <c r="A98" i="3" s="1"/>
  <c r="A132" i="3" s="1"/>
  <c r="A145" i="3" s="1"/>
  <c r="A165" i="3" s="1"/>
  <c r="A180" i="3" s="1"/>
  <c r="A195" i="3" s="1"/>
  <c r="A230" i="3" s="1"/>
  <c r="A281" i="3" s="1"/>
  <c r="A294" i="3" s="1"/>
  <c r="A311" i="3" s="1"/>
  <c r="A22" i="2"/>
  <c r="C110" i="2"/>
  <c r="C176" i="2" s="1"/>
  <c r="C205" i="2" s="1"/>
  <c r="C255" i="2" s="1"/>
  <c r="C303" i="2" s="1"/>
  <c r="C102" i="2"/>
  <c r="C168" i="2" s="1"/>
  <c r="C197" i="2" s="1"/>
  <c r="C247" i="2" s="1"/>
  <c r="C295" i="2" s="1"/>
  <c r="C38" i="1"/>
  <c r="B353" i="3"/>
  <c r="C34" i="1"/>
  <c r="C17" i="1"/>
  <c r="C144" i="1" s="1"/>
  <c r="C196" i="1" s="1"/>
  <c r="C26" i="3" s="1"/>
  <c r="C123" i="3" s="1"/>
  <c r="C234" i="3" s="1"/>
  <c r="C285" i="3" s="1"/>
  <c r="J14" i="20"/>
  <c r="J10" i="20"/>
  <c r="S4" i="20"/>
  <c r="S12" i="20"/>
  <c r="AB11" i="20"/>
  <c r="AK10" i="20"/>
  <c r="B196" i="1"/>
  <c r="B26" i="3" s="1"/>
  <c r="B123" i="3" s="1"/>
  <c r="B234" i="3" s="1"/>
  <c r="B285" i="3" s="1"/>
  <c r="C30" i="1"/>
  <c r="C36" i="1"/>
  <c r="C51" i="1" s="1"/>
  <c r="C78" i="1" s="1"/>
  <c r="A38" i="2"/>
  <c r="A61" i="2"/>
  <c r="A53" i="2"/>
  <c r="A30" i="2"/>
  <c r="A33" i="3"/>
  <c r="A46" i="3" s="1"/>
  <c r="A66" i="3" s="1"/>
  <c r="A81" i="3" s="1"/>
  <c r="A96" i="3" s="1"/>
  <c r="A130" i="3" s="1"/>
  <c r="A143" i="3" s="1"/>
  <c r="A163" i="3" s="1"/>
  <c r="A178" i="3" s="1"/>
  <c r="A193" i="3" s="1"/>
  <c r="A228" i="3" s="1"/>
  <c r="A279" i="3" s="1"/>
  <c r="A292" i="3" s="1"/>
  <c r="A309" i="3" s="1"/>
  <c r="A17" i="2"/>
  <c r="A25" i="3"/>
  <c r="A38" i="3" s="1"/>
  <c r="A58" i="3" s="1"/>
  <c r="A73" i="3" s="1"/>
  <c r="A88" i="3" s="1"/>
  <c r="A122" i="3" s="1"/>
  <c r="A135" i="3" s="1"/>
  <c r="A155" i="3" s="1"/>
  <c r="A170" i="3" s="1"/>
  <c r="A185" i="3" s="1"/>
  <c r="A220" i="3" s="1"/>
  <c r="A233" i="3" s="1"/>
  <c r="A249" i="3" s="1"/>
  <c r="C284" i="3"/>
  <c r="C294" i="3"/>
  <c r="B284" i="3"/>
  <c r="C172" i="2"/>
  <c r="C201" i="2" s="1"/>
  <c r="C251" i="2" s="1"/>
  <c r="C31" i="1"/>
  <c r="C46" i="1" s="1"/>
  <c r="C73" i="1" s="1"/>
  <c r="C126" i="1"/>
  <c r="A272" i="3"/>
  <c r="A285" i="3" s="1"/>
  <c r="A302" i="3" s="1"/>
  <c r="A234" i="3"/>
  <c r="A250" i="3" s="1"/>
  <c r="A235" i="3"/>
  <c r="A251" i="3" s="1"/>
  <c r="A273" i="3"/>
  <c r="A286" i="3" s="1"/>
  <c r="A303" i="3" s="1"/>
  <c r="A34" i="3"/>
  <c r="A47" i="3" s="1"/>
  <c r="A67" i="3" s="1"/>
  <c r="A82" i="3" s="1"/>
  <c r="A97" i="3" s="1"/>
  <c r="A131" i="3" s="1"/>
  <c r="A144" i="3" s="1"/>
  <c r="A164" i="3" s="1"/>
  <c r="A179" i="3" s="1"/>
  <c r="A194" i="3" s="1"/>
  <c r="A229" i="3" s="1"/>
  <c r="A24" i="2"/>
  <c r="A240" i="3"/>
  <c r="A256" i="3" s="1"/>
  <c r="A278" i="3"/>
  <c r="A291" i="3" s="1"/>
  <c r="A308" i="3" s="1"/>
  <c r="C108" i="2"/>
  <c r="C24" i="1"/>
  <c r="C35" i="1"/>
  <c r="C119" i="1"/>
  <c r="C134" i="1" s="1"/>
  <c r="A239" i="3"/>
  <c r="A255" i="3" s="1"/>
  <c r="A277" i="3"/>
  <c r="A290" i="3" s="1"/>
  <c r="A307" i="3" s="1"/>
  <c r="C107" i="2"/>
  <c r="C25" i="1"/>
  <c r="A275" i="3"/>
  <c r="A288" i="3" s="1"/>
  <c r="A305" i="3" s="1"/>
  <c r="A237" i="3"/>
  <c r="A253" i="3" s="1"/>
  <c r="C64" i="1"/>
  <c r="C163" i="1" s="1"/>
  <c r="B108" i="1"/>
  <c r="A16" i="2"/>
  <c r="J31" i="8"/>
  <c r="M31" i="8" s="1"/>
  <c r="A56" i="2"/>
  <c r="B77" i="2"/>
  <c r="B102" i="1"/>
  <c r="B157" i="1" s="1"/>
  <c r="C58" i="1"/>
  <c r="C44" i="1" s="1"/>
  <c r="C71" i="1" s="1"/>
  <c r="C167" i="1"/>
  <c r="B107" i="1"/>
  <c r="B110" i="1"/>
  <c r="B112" i="1"/>
  <c r="M35" i="8" l="1"/>
  <c r="B59" i="2" s="1"/>
  <c r="B72" i="2" s="1"/>
  <c r="M33" i="8"/>
  <c r="B57" i="2" s="1"/>
  <c r="B70" i="2" s="1"/>
  <c r="M34" i="8"/>
  <c r="B58" i="2" s="1"/>
  <c r="B71" i="2" s="1"/>
  <c r="M30" i="8"/>
  <c r="B54" i="2" s="1"/>
  <c r="B67" i="2" s="1"/>
  <c r="M37" i="8"/>
  <c r="B61" i="2" s="1"/>
  <c r="B74" i="2" s="1"/>
  <c r="A236" i="3"/>
  <c r="A252" i="3" s="1"/>
  <c r="C168" i="1"/>
  <c r="B71" i="1"/>
  <c r="B113" i="2"/>
  <c r="B127" i="2" s="1"/>
  <c r="Z6" i="20"/>
  <c r="H6" i="20"/>
  <c r="AH6" i="20"/>
  <c r="AL6" i="20" s="1"/>
  <c r="Z5" i="20"/>
  <c r="P6" i="20"/>
  <c r="T6" i="20" s="1"/>
  <c r="Q6" i="20"/>
  <c r="Q5" i="20"/>
  <c r="G5" i="20"/>
  <c r="K5" i="20" s="1"/>
  <c r="P5" i="20"/>
  <c r="T5" i="20" s="1"/>
  <c r="AI5" i="20"/>
  <c r="H5" i="20"/>
  <c r="AH5" i="20"/>
  <c r="AL5" i="20" s="1"/>
  <c r="K4" i="20"/>
  <c r="Z4" i="20"/>
  <c r="AC5" i="20"/>
  <c r="B293" i="2"/>
  <c r="B42" i="2"/>
  <c r="C158" i="1"/>
  <c r="C161" i="1"/>
  <c r="C140" i="1"/>
  <c r="C141" i="1"/>
  <c r="C193" i="1" s="1"/>
  <c r="C222" i="1" s="1"/>
  <c r="A57" i="2"/>
  <c r="A70" i="2" s="1"/>
  <c r="C79" i="1"/>
  <c r="C230" i="3"/>
  <c r="A243" i="3"/>
  <c r="A259" i="3" s="1"/>
  <c r="C82" i="1"/>
  <c r="A76" i="2"/>
  <c r="A58" i="2"/>
  <c r="A71" i="2" s="1"/>
  <c r="C75" i="1"/>
  <c r="A59" i="2"/>
  <c r="C116" i="1"/>
  <c r="C131" i="1" s="1"/>
  <c r="C183" i="1" s="1"/>
  <c r="C212" i="1" s="1"/>
  <c r="C45" i="1"/>
  <c r="C72" i="1" s="1"/>
  <c r="C118" i="1"/>
  <c r="C47" i="1"/>
  <c r="C116" i="2" s="1"/>
  <c r="C124" i="1"/>
  <c r="C53" i="1"/>
  <c r="C80" i="1" s="1"/>
  <c r="C50" i="1"/>
  <c r="C77" i="1" s="1"/>
  <c r="C120" i="1"/>
  <c r="C135" i="1" s="1"/>
  <c r="C158" i="2" s="1"/>
  <c r="C49" i="1"/>
  <c r="C76" i="1" s="1"/>
  <c r="C157" i="2"/>
  <c r="G6" i="20"/>
  <c r="K6" i="20" s="1"/>
  <c r="Y6" i="20"/>
  <c r="AC6" i="20" s="1"/>
  <c r="H4" i="20"/>
  <c r="Q4" i="20"/>
  <c r="P4" i="20"/>
  <c r="T4" i="20" s="1"/>
  <c r="AI4" i="20"/>
  <c r="Y4" i="20"/>
  <c r="AC4" i="20" s="1"/>
  <c r="AH4" i="20"/>
  <c r="AL4" i="20" s="1"/>
  <c r="C123" i="2"/>
  <c r="C137" i="2" s="1"/>
  <c r="A41" i="2"/>
  <c r="A64" i="2"/>
  <c r="A271" i="3"/>
  <c r="A284" i="3" s="1"/>
  <c r="A301" i="3" s="1"/>
  <c r="A37" i="2"/>
  <c r="A60" i="2"/>
  <c r="B183" i="1"/>
  <c r="B154" i="2"/>
  <c r="C122" i="1"/>
  <c r="B221" i="3"/>
  <c r="B114" i="2"/>
  <c r="B128" i="2" s="1"/>
  <c r="C123" i="1"/>
  <c r="C138" i="1" s="1"/>
  <c r="C199" i="1"/>
  <c r="C29" i="3" s="1"/>
  <c r="C126" i="3" s="1"/>
  <c r="C237" i="3" s="1"/>
  <c r="B115" i="1"/>
  <c r="B130" i="1" s="1"/>
  <c r="A32" i="2"/>
  <c r="A55" i="2"/>
  <c r="A108" i="2"/>
  <c r="A121" i="2" s="1"/>
  <c r="A135" i="2" s="1"/>
  <c r="A161" i="2" s="1"/>
  <c r="A174" i="2" s="1"/>
  <c r="A187" i="2" s="1"/>
  <c r="A203" i="2" s="1"/>
  <c r="A217" i="2" s="1"/>
  <c r="A240" i="2" s="1"/>
  <c r="A253" i="2" s="1"/>
  <c r="A268" i="2" s="1"/>
  <c r="A288" i="2" s="1"/>
  <c r="A301" i="2" s="1"/>
  <c r="A316" i="2" s="1"/>
  <c r="A74" i="2"/>
  <c r="A241" i="3"/>
  <c r="A257" i="3" s="1"/>
  <c r="A66" i="2"/>
  <c r="A100" i="2"/>
  <c r="A113" i="2" s="1"/>
  <c r="A127" i="2" s="1"/>
  <c r="A153" i="2" s="1"/>
  <c r="A166" i="2" s="1"/>
  <c r="A179" i="2" s="1"/>
  <c r="A195" i="2" s="1"/>
  <c r="A209" i="2" s="1"/>
  <c r="A232" i="2" s="1"/>
  <c r="A245" i="2" s="1"/>
  <c r="A260" i="2" s="1"/>
  <c r="A280" i="2" s="1"/>
  <c r="A293" i="2" s="1"/>
  <c r="A308" i="2" s="1"/>
  <c r="C174" i="2"/>
  <c r="C224" i="3"/>
  <c r="C117" i="2"/>
  <c r="C131" i="2" s="1"/>
  <c r="B55" i="2"/>
  <c r="B68" i="2" s="1"/>
  <c r="M41" i="8"/>
  <c r="B102" i="2"/>
  <c r="B18" i="1"/>
  <c r="C152" i="1"/>
  <c r="C166" i="1" s="1"/>
  <c r="E18" i="8"/>
  <c r="B32" i="1"/>
  <c r="R8" i="20"/>
  <c r="A31" i="2"/>
  <c r="A54" i="2"/>
  <c r="C121" i="1"/>
  <c r="C136" i="1" s="1"/>
  <c r="C117" i="1"/>
  <c r="C132" i="1" s="1"/>
  <c r="B31" i="1"/>
  <c r="AJ8" i="20"/>
  <c r="C103" i="2"/>
  <c r="C19" i="1"/>
  <c r="C18" i="8"/>
  <c r="B19" i="1"/>
  <c r="B103" i="2"/>
  <c r="AA9" i="20"/>
  <c r="C173" i="2"/>
  <c r="A62" i="2"/>
  <c r="A39" i="2"/>
  <c r="C304" i="2"/>
  <c r="A69" i="2"/>
  <c r="A103" i="2"/>
  <c r="A116" i="2" s="1"/>
  <c r="A130" i="2" s="1"/>
  <c r="A156" i="2" s="1"/>
  <c r="A169" i="2" s="1"/>
  <c r="A182" i="2" s="1"/>
  <c r="A198" i="2" s="1"/>
  <c r="A212" i="2" s="1"/>
  <c r="A235" i="2" s="1"/>
  <c r="A248" i="2" s="1"/>
  <c r="A263" i="2" s="1"/>
  <c r="A283" i="2" s="1"/>
  <c r="A296" i="2" s="1"/>
  <c r="A311" i="2" s="1"/>
  <c r="B7" i="20"/>
  <c r="H7" i="20" s="1"/>
  <c r="I7" i="20"/>
  <c r="C151" i="1"/>
  <c r="C165" i="1" s="1"/>
  <c r="A242" i="3"/>
  <c r="A258" i="3" s="1"/>
  <c r="A280" i="3"/>
  <c r="A293" i="3" s="1"/>
  <c r="A310" i="3" s="1"/>
  <c r="C124" i="2"/>
  <c r="C138" i="2" s="1"/>
  <c r="C231" i="3"/>
  <c r="C260" i="3" s="1"/>
  <c r="C299" i="2"/>
  <c r="B78" i="2" l="1"/>
  <c r="C74" i="1"/>
  <c r="C130" i="2"/>
  <c r="AM6" i="20"/>
  <c r="C44" i="20" s="1"/>
  <c r="AM5" i="20"/>
  <c r="C43" i="20" s="1"/>
  <c r="AM4" i="20"/>
  <c r="C42" i="20" s="1"/>
  <c r="AN6" i="20"/>
  <c r="D44" i="20" s="1"/>
  <c r="E44" i="20" s="1"/>
  <c r="G7" i="20"/>
  <c r="K7" i="20" s="1"/>
  <c r="C288" i="3"/>
  <c r="C253" i="3"/>
  <c r="C281" i="3"/>
  <c r="C311" i="3" s="1"/>
  <c r="C259" i="3"/>
  <c r="C184" i="2"/>
  <c r="C214" i="2"/>
  <c r="C183" i="2"/>
  <c r="C213" i="2"/>
  <c r="B79" i="2"/>
  <c r="B81" i="2" s="1"/>
  <c r="B329" i="2" s="1"/>
  <c r="A104" i="2"/>
  <c r="A117" i="2" s="1"/>
  <c r="A131" i="2" s="1"/>
  <c r="A157" i="2" s="1"/>
  <c r="A170" i="2" s="1"/>
  <c r="A183" i="2" s="1"/>
  <c r="A199" i="2" s="1"/>
  <c r="A213" i="2" s="1"/>
  <c r="A236" i="2" s="1"/>
  <c r="A249" i="2" s="1"/>
  <c r="A264" i="2" s="1"/>
  <c r="A284" i="2" s="1"/>
  <c r="A297" i="2" s="1"/>
  <c r="A312" i="2" s="1"/>
  <c r="C154" i="2"/>
  <c r="C157" i="1"/>
  <c r="C187" i="1"/>
  <c r="C216" i="1" s="1"/>
  <c r="C139" i="1"/>
  <c r="C191" i="1" s="1"/>
  <c r="C137" i="1"/>
  <c r="C189" i="1" s="1"/>
  <c r="C218" i="1" s="1"/>
  <c r="C133" i="1"/>
  <c r="C185" i="1" s="1"/>
  <c r="C186" i="1"/>
  <c r="C215" i="1" s="1"/>
  <c r="A105" i="2"/>
  <c r="A118" i="2" s="1"/>
  <c r="A132" i="2" s="1"/>
  <c r="A158" i="2" s="1"/>
  <c r="A171" i="2" s="1"/>
  <c r="A184" i="2" s="1"/>
  <c r="A200" i="2" s="1"/>
  <c r="A214" i="2" s="1"/>
  <c r="A237" i="2" s="1"/>
  <c r="A250" i="2" s="1"/>
  <c r="A265" i="2" s="1"/>
  <c r="A285" i="2" s="1"/>
  <c r="A298" i="2" s="1"/>
  <c r="A313" i="2" s="1"/>
  <c r="A72" i="2"/>
  <c r="A106" i="2"/>
  <c r="A119" i="2" s="1"/>
  <c r="A133" i="2" s="1"/>
  <c r="A159" i="2" s="1"/>
  <c r="A172" i="2" s="1"/>
  <c r="A185" i="2" s="1"/>
  <c r="A201" i="2" s="1"/>
  <c r="A215" i="2" s="1"/>
  <c r="A238" i="2" s="1"/>
  <c r="A251" i="2" s="1"/>
  <c r="A266" i="2" s="1"/>
  <c r="A286" i="2" s="1"/>
  <c r="A299" i="2" s="1"/>
  <c r="A314" i="2" s="1"/>
  <c r="C225" i="3"/>
  <c r="C254" i="3" s="1"/>
  <c r="C229" i="3"/>
  <c r="C280" i="3" s="1"/>
  <c r="C122" i="2"/>
  <c r="C136" i="2" s="1"/>
  <c r="C118" i="2"/>
  <c r="C132" i="2" s="1"/>
  <c r="AN5" i="20"/>
  <c r="D43" i="20" s="1"/>
  <c r="E43" i="20" s="1"/>
  <c r="C223" i="3"/>
  <c r="C274" i="3" s="1"/>
  <c r="C164" i="2"/>
  <c r="AN4" i="20"/>
  <c r="D42" i="20" s="1"/>
  <c r="E42" i="20" s="1"/>
  <c r="C221" i="3"/>
  <c r="C250" i="3" s="1"/>
  <c r="C114" i="2"/>
  <c r="C128" i="2" s="1"/>
  <c r="A111" i="2"/>
  <c r="A124" i="2" s="1"/>
  <c r="A138" i="2" s="1"/>
  <c r="A164" i="2" s="1"/>
  <c r="A177" i="2" s="1"/>
  <c r="A190" i="2" s="1"/>
  <c r="A206" i="2" s="1"/>
  <c r="A220" i="2" s="1"/>
  <c r="A243" i="2" s="1"/>
  <c r="A256" i="2" s="1"/>
  <c r="A271" i="2" s="1"/>
  <c r="A291" i="2" s="1"/>
  <c r="A304" i="2" s="1"/>
  <c r="A319" i="2" s="1"/>
  <c r="A77" i="2"/>
  <c r="B233" i="2"/>
  <c r="B210" i="2"/>
  <c r="B180" i="2"/>
  <c r="B39" i="3"/>
  <c r="B212" i="1"/>
  <c r="C120" i="2"/>
  <c r="C134" i="2" s="1"/>
  <c r="C227" i="3"/>
  <c r="C256" i="3" s="1"/>
  <c r="B220" i="3"/>
  <c r="C190" i="1"/>
  <c r="C161" i="2"/>
  <c r="B272" i="3"/>
  <c r="B302" i="3" s="1"/>
  <c r="B250" i="3"/>
  <c r="C121" i="2"/>
  <c r="C135" i="2" s="1"/>
  <c r="C228" i="3"/>
  <c r="C279" i="3" s="1"/>
  <c r="A107" i="2"/>
  <c r="A120" i="2" s="1"/>
  <c r="A134" i="2" s="1"/>
  <c r="A160" i="2" s="1"/>
  <c r="A173" i="2" s="1"/>
  <c r="A186" i="2" s="1"/>
  <c r="A202" i="2" s="1"/>
  <c r="A216" i="2" s="1"/>
  <c r="A239" i="2" s="1"/>
  <c r="A252" i="2" s="1"/>
  <c r="A267" i="2" s="1"/>
  <c r="A287" i="2" s="1"/>
  <c r="A300" i="2" s="1"/>
  <c r="A315" i="2" s="1"/>
  <c r="A73" i="2"/>
  <c r="A68" i="2"/>
  <c r="A102" i="2"/>
  <c r="A115" i="2" s="1"/>
  <c r="A129" i="2" s="1"/>
  <c r="A155" i="2" s="1"/>
  <c r="A168" i="2" s="1"/>
  <c r="A181" i="2" s="1"/>
  <c r="A197" i="2" s="1"/>
  <c r="A211" i="2" s="1"/>
  <c r="A234" i="2" s="1"/>
  <c r="A247" i="2" s="1"/>
  <c r="A262" i="2" s="1"/>
  <c r="A282" i="2" s="1"/>
  <c r="A295" i="2" s="1"/>
  <c r="A310" i="2" s="1"/>
  <c r="C237" i="2"/>
  <c r="C265" i="2" s="1"/>
  <c r="C163" i="2"/>
  <c r="C192" i="1"/>
  <c r="C221" i="1" s="1"/>
  <c r="C222" i="3"/>
  <c r="C251" i="3" s="1"/>
  <c r="C115" i="2"/>
  <c r="C129" i="2" s="1"/>
  <c r="B104" i="2"/>
  <c r="B20" i="1"/>
  <c r="C113" i="2"/>
  <c r="C127" i="2" s="1"/>
  <c r="C220" i="3"/>
  <c r="C249" i="3" s="1"/>
  <c r="B169" i="2"/>
  <c r="B198" i="2" s="1"/>
  <c r="B248" i="2" s="1"/>
  <c r="B117" i="1"/>
  <c r="B132" i="1" s="1"/>
  <c r="B46" i="1"/>
  <c r="B73" i="1" s="1"/>
  <c r="C184" i="1"/>
  <c r="C213" i="1" s="1"/>
  <c r="C155" i="2"/>
  <c r="A67" i="2"/>
  <c r="A101" i="2"/>
  <c r="A114" i="2" s="1"/>
  <c r="A128" i="2" s="1"/>
  <c r="A154" i="2" s="1"/>
  <c r="A167" i="2" s="1"/>
  <c r="A180" i="2" s="1"/>
  <c r="A196" i="2" s="1"/>
  <c r="A210" i="2" s="1"/>
  <c r="A233" i="2" s="1"/>
  <c r="A246" i="2" s="1"/>
  <c r="A261" i="2" s="1"/>
  <c r="A281" i="2" s="1"/>
  <c r="A294" i="2" s="1"/>
  <c r="A309" i="2" s="1"/>
  <c r="B153" i="2"/>
  <c r="B182" i="1"/>
  <c r="B211" i="1" s="1"/>
  <c r="C275" i="3"/>
  <c r="B146" i="1"/>
  <c r="C146" i="1"/>
  <c r="C160" i="1" s="1"/>
  <c r="R9" i="20"/>
  <c r="C169" i="2"/>
  <c r="AJ9" i="20"/>
  <c r="C236" i="2"/>
  <c r="C264" i="2" s="1"/>
  <c r="B168" i="2"/>
  <c r="B197" i="2" s="1"/>
  <c r="B247" i="2" s="1"/>
  <c r="C39" i="3"/>
  <c r="C282" i="3"/>
  <c r="C312" i="3" s="1"/>
  <c r="C202" i="2"/>
  <c r="C204" i="1"/>
  <c r="AA10" i="20"/>
  <c r="C203" i="1"/>
  <c r="A75" i="2"/>
  <c r="A109" i="2"/>
  <c r="A122" i="2" s="1"/>
  <c r="A136" i="2" s="1"/>
  <c r="A162" i="2" s="1"/>
  <c r="A175" i="2" s="1"/>
  <c r="A188" i="2" s="1"/>
  <c r="A204" i="2" s="1"/>
  <c r="A218" i="2" s="1"/>
  <c r="A241" i="2" s="1"/>
  <c r="A254" i="2" s="1"/>
  <c r="A269" i="2" s="1"/>
  <c r="A289" i="2" s="1"/>
  <c r="A302" i="2" s="1"/>
  <c r="A317" i="2" s="1"/>
  <c r="I8" i="20"/>
  <c r="B8" i="20"/>
  <c r="H8" i="20" s="1"/>
  <c r="C49" i="3"/>
  <c r="C226" i="3"/>
  <c r="C255" i="3" s="1"/>
  <c r="C119" i="2"/>
  <c r="C133" i="2" s="1"/>
  <c r="C203" i="2"/>
  <c r="AI7" i="20"/>
  <c r="AH7" i="20"/>
  <c r="AL7" i="20" s="1"/>
  <c r="P7" i="20"/>
  <c r="T7" i="20" s="1"/>
  <c r="Z7" i="20"/>
  <c r="Q7" i="20"/>
  <c r="Y7" i="20"/>
  <c r="AC7" i="20" s="1"/>
  <c r="C159" i="2"/>
  <c r="C188" i="1"/>
  <c r="C217" i="1" s="1"/>
  <c r="B118" i="1"/>
  <c r="B133" i="1" s="1"/>
  <c r="B47" i="1"/>
  <c r="B74" i="1" s="1"/>
  <c r="B145" i="1"/>
  <c r="F44" i="20" l="1"/>
  <c r="F43" i="20"/>
  <c r="F42" i="20"/>
  <c r="C305" i="3"/>
  <c r="C59" i="3"/>
  <c r="C74" i="3"/>
  <c r="C89" i="3"/>
  <c r="C69" i="3"/>
  <c r="C99" i="3"/>
  <c r="C84" i="3"/>
  <c r="C217" i="2"/>
  <c r="C181" i="2"/>
  <c r="C211" i="2"/>
  <c r="C189" i="2"/>
  <c r="C219" i="2"/>
  <c r="C185" i="2"/>
  <c r="C215" i="2"/>
  <c r="C190" i="2"/>
  <c r="C220" i="2"/>
  <c r="C180" i="2"/>
  <c r="C210" i="2"/>
  <c r="C233" i="2"/>
  <c r="C240" i="2"/>
  <c r="C288" i="2" s="1"/>
  <c r="C187" i="2"/>
  <c r="C47" i="3"/>
  <c r="C220" i="1"/>
  <c r="C46" i="3"/>
  <c r="C219" i="1"/>
  <c r="C43" i="3"/>
  <c r="C140" i="3" s="1"/>
  <c r="C190" i="3" s="1"/>
  <c r="C41" i="3"/>
  <c r="C160" i="2"/>
  <c r="C216" i="2" s="1"/>
  <c r="C162" i="2"/>
  <c r="C45" i="3"/>
  <c r="C42" i="3"/>
  <c r="C243" i="2"/>
  <c r="C271" i="2" s="1"/>
  <c r="C156" i="2"/>
  <c r="C276" i="3"/>
  <c r="C306" i="3" s="1"/>
  <c r="C272" i="3"/>
  <c r="C302" i="3" s="1"/>
  <c r="AM7" i="20"/>
  <c r="C45" i="20" s="1"/>
  <c r="G8" i="20"/>
  <c r="K8" i="20" s="1"/>
  <c r="C278" i="3"/>
  <c r="C308" i="3" s="1"/>
  <c r="B271" i="3"/>
  <c r="B301" i="3" s="1"/>
  <c r="B249" i="3"/>
  <c r="B74" i="3"/>
  <c r="B59" i="3"/>
  <c r="B136" i="3"/>
  <c r="B89" i="3"/>
  <c r="AN7" i="20"/>
  <c r="D45" i="20" s="1"/>
  <c r="E45" i="20" s="1"/>
  <c r="B34" i="1"/>
  <c r="B120" i="1" s="1"/>
  <c r="B135" i="1" s="1"/>
  <c r="B261" i="2"/>
  <c r="B281" i="2"/>
  <c r="B309" i="2" s="1"/>
  <c r="C285" i="2"/>
  <c r="C313" i="2" s="1"/>
  <c r="B116" i="2"/>
  <c r="B130" i="2" s="1"/>
  <c r="B223" i="3"/>
  <c r="B274" i="3" s="1"/>
  <c r="I9" i="20"/>
  <c r="B9" i="20"/>
  <c r="G9" i="20" s="1"/>
  <c r="C198" i="1"/>
  <c r="C214" i="1" s="1"/>
  <c r="B38" i="3"/>
  <c r="B58" i="3" s="1"/>
  <c r="B156" i="2"/>
  <c r="B185" i="1"/>
  <c r="B105" i="2"/>
  <c r="B21" i="1"/>
  <c r="Z8" i="20"/>
  <c r="Y8" i="20"/>
  <c r="AC8" i="20" s="1"/>
  <c r="AH8" i="20"/>
  <c r="AL8" i="20" s="1"/>
  <c r="AI8" i="20"/>
  <c r="Q8" i="20"/>
  <c r="P8" i="20"/>
  <c r="T8" i="20" s="1"/>
  <c r="B179" i="2"/>
  <c r="B232" i="2"/>
  <c r="B260" i="2" s="1"/>
  <c r="B209" i="2"/>
  <c r="C40" i="3"/>
  <c r="AA11" i="20"/>
  <c r="C136" i="3"/>
  <c r="C186" i="3" s="1"/>
  <c r="C234" i="2"/>
  <c r="C262" i="2" s="1"/>
  <c r="C44" i="3"/>
  <c r="C284" i="2"/>
  <c r="C312" i="2" s="1"/>
  <c r="B160" i="1"/>
  <c r="B198" i="1"/>
  <c r="B28" i="3" s="1"/>
  <c r="B125" i="3" s="1"/>
  <c r="B236" i="3" s="1"/>
  <c r="B115" i="2"/>
  <c r="B129" i="2" s="1"/>
  <c r="B222" i="3"/>
  <c r="B273" i="3" s="1"/>
  <c r="AJ10" i="20"/>
  <c r="B35" i="1"/>
  <c r="C252" i="2"/>
  <c r="C153" i="2"/>
  <c r="C211" i="1"/>
  <c r="C198" i="2"/>
  <c r="C271" i="3"/>
  <c r="C301" i="3" s="1"/>
  <c r="B147" i="1"/>
  <c r="C273" i="3"/>
  <c r="C303" i="3" s="1"/>
  <c r="C238" i="2"/>
  <c r="C266" i="2" s="1"/>
  <c r="C277" i="3"/>
  <c r="C307" i="3" s="1"/>
  <c r="C34" i="3"/>
  <c r="B296" i="2"/>
  <c r="B170" i="2"/>
  <c r="B199" i="2" s="1"/>
  <c r="B249" i="2" s="1"/>
  <c r="B155" i="2"/>
  <c r="B184" i="1"/>
  <c r="R10" i="20"/>
  <c r="C48" i="3"/>
  <c r="B33" i="1"/>
  <c r="C253" i="2"/>
  <c r="B197" i="1"/>
  <c r="B27" i="3" s="1"/>
  <c r="B124" i="3" s="1"/>
  <c r="B235" i="3" s="1"/>
  <c r="B159" i="1"/>
  <c r="C146" i="3"/>
  <c r="C196" i="3" s="1"/>
  <c r="C33" i="3"/>
  <c r="B295" i="2"/>
  <c r="C242" i="2"/>
  <c r="C270" i="2" s="1"/>
  <c r="F45" i="20" l="1"/>
  <c r="C166" i="3"/>
  <c r="C181" i="3"/>
  <c r="C156" i="3"/>
  <c r="C171" i="3"/>
  <c r="C160" i="3"/>
  <c r="C175" i="3"/>
  <c r="C68" i="3"/>
  <c r="C98" i="3"/>
  <c r="C83" i="3"/>
  <c r="C77" i="3"/>
  <c r="C92" i="3"/>
  <c r="C80" i="3"/>
  <c r="C95" i="3"/>
  <c r="C97" i="3"/>
  <c r="C82" i="3"/>
  <c r="C81" i="3"/>
  <c r="C96" i="3"/>
  <c r="C60" i="3"/>
  <c r="C90" i="3"/>
  <c r="C75" i="3"/>
  <c r="C64" i="3"/>
  <c r="C79" i="3"/>
  <c r="C94" i="3"/>
  <c r="C63" i="3"/>
  <c r="C78" i="3"/>
  <c r="C93" i="3"/>
  <c r="C62" i="3"/>
  <c r="C65" i="3"/>
  <c r="C144" i="3"/>
  <c r="C67" i="3"/>
  <c r="C138" i="3"/>
  <c r="C143" i="3"/>
  <c r="C66" i="3"/>
  <c r="C142" i="3"/>
  <c r="C268" i="2"/>
  <c r="C281" i="2"/>
  <c r="C309" i="2" s="1"/>
  <c r="C261" i="2"/>
  <c r="C179" i="2"/>
  <c r="C209" i="2"/>
  <c r="C188" i="2"/>
  <c r="C218" i="2"/>
  <c r="C212" i="2"/>
  <c r="C235" i="2"/>
  <c r="C283" i="2" s="1"/>
  <c r="C182" i="2"/>
  <c r="C239" i="2"/>
  <c r="C287" i="2" s="1"/>
  <c r="C186" i="2"/>
  <c r="C241" i="2"/>
  <c r="C139" i="3"/>
  <c r="C189" i="3" s="1"/>
  <c r="C291" i="2"/>
  <c r="C319" i="2" s="1"/>
  <c r="AN8" i="20"/>
  <c r="D46" i="20" s="1"/>
  <c r="E46" i="20" s="1"/>
  <c r="K9" i="20"/>
  <c r="B49" i="1"/>
  <c r="B118" i="2" s="1"/>
  <c r="B132" i="2" s="1"/>
  <c r="AM8" i="20"/>
  <c r="C46" i="20" s="1"/>
  <c r="B156" i="3"/>
  <c r="B186" i="3"/>
  <c r="B171" i="3"/>
  <c r="AA12" i="20"/>
  <c r="B235" i="2"/>
  <c r="B212" i="2"/>
  <c r="B182" i="2"/>
  <c r="B41" i="3"/>
  <c r="B214" i="1"/>
  <c r="C28" i="3"/>
  <c r="C61" i="3" s="1"/>
  <c r="B40" i="3"/>
  <c r="B213" i="1"/>
  <c r="B161" i="1"/>
  <c r="B199" i="1"/>
  <c r="B29" i="3" s="1"/>
  <c r="B126" i="3" s="1"/>
  <c r="B237" i="3" s="1"/>
  <c r="B158" i="2"/>
  <c r="B187" i="1"/>
  <c r="H9" i="20"/>
  <c r="C145" i="3"/>
  <c r="C195" i="3" s="1"/>
  <c r="C137" i="3"/>
  <c r="C187" i="3" s="1"/>
  <c r="B148" i="1"/>
  <c r="C286" i="2"/>
  <c r="C314" i="2" s="1"/>
  <c r="C248" i="2"/>
  <c r="B106" i="2"/>
  <c r="B22" i="1"/>
  <c r="C141" i="3"/>
  <c r="C191" i="3" s="1"/>
  <c r="B171" i="2"/>
  <c r="B200" i="2" s="1"/>
  <c r="B250" i="2" s="1"/>
  <c r="C300" i="2"/>
  <c r="R11" i="20"/>
  <c r="C131" i="3"/>
  <c r="C38" i="3"/>
  <c r="C282" i="2"/>
  <c r="C310" i="2" s="1"/>
  <c r="B280" i="2"/>
  <c r="B308" i="2" s="1"/>
  <c r="B73" i="3"/>
  <c r="B135" i="3"/>
  <c r="B88" i="3"/>
  <c r="I10" i="20"/>
  <c r="B10" i="20"/>
  <c r="H10" i="20" s="1"/>
  <c r="Z9" i="20"/>
  <c r="Y9" i="20"/>
  <c r="AC9" i="20" s="1"/>
  <c r="Q9" i="20"/>
  <c r="AH9" i="20"/>
  <c r="AL9" i="20" s="1"/>
  <c r="AI9" i="20"/>
  <c r="P9" i="20"/>
  <c r="T9" i="20" s="1"/>
  <c r="B297" i="2"/>
  <c r="C232" i="2"/>
  <c r="C260" i="2" s="1"/>
  <c r="B121" i="1"/>
  <c r="B136" i="1" s="1"/>
  <c r="B50" i="1"/>
  <c r="B287" i="3"/>
  <c r="B304" i="3" s="1"/>
  <c r="B252" i="3"/>
  <c r="C130" i="3"/>
  <c r="C301" i="2"/>
  <c r="C316" i="2" s="1"/>
  <c r="AJ11" i="20"/>
  <c r="B181" i="2"/>
  <c r="B234" i="2"/>
  <c r="B211" i="2"/>
  <c r="C290" i="2"/>
  <c r="C318" i="2" s="1"/>
  <c r="B286" i="3"/>
  <c r="B303" i="3" s="1"/>
  <c r="B251" i="3"/>
  <c r="B119" i="1"/>
  <c r="B134" i="1" s="1"/>
  <c r="B48" i="1"/>
  <c r="B75" i="1" s="1"/>
  <c r="F46" i="20" l="1"/>
  <c r="C193" i="3"/>
  <c r="C194" i="3"/>
  <c r="C177" i="3"/>
  <c r="C192" i="3"/>
  <c r="C157" i="3"/>
  <c r="C172" i="3"/>
  <c r="C165" i="3"/>
  <c r="C180" i="3"/>
  <c r="C161" i="3"/>
  <c r="C176" i="3"/>
  <c r="C164" i="3"/>
  <c r="C179" i="3"/>
  <c r="C159" i="3"/>
  <c r="C174" i="3"/>
  <c r="C178" i="3"/>
  <c r="C162" i="3"/>
  <c r="C163" i="3"/>
  <c r="C58" i="3"/>
  <c r="C73" i="3"/>
  <c r="C88" i="3"/>
  <c r="C91" i="3"/>
  <c r="C76" i="3"/>
  <c r="C315" i="2"/>
  <c r="C263" i="2"/>
  <c r="C289" i="2"/>
  <c r="C317" i="2" s="1"/>
  <c r="C269" i="2"/>
  <c r="C267" i="2"/>
  <c r="B225" i="3"/>
  <c r="B276" i="3" s="1"/>
  <c r="AN9" i="20"/>
  <c r="D47" i="20" s="1"/>
  <c r="E47" i="20" s="1"/>
  <c r="G10" i="20"/>
  <c r="K10" i="20" s="1"/>
  <c r="B76" i="1"/>
  <c r="B77" i="1"/>
  <c r="B157" i="2"/>
  <c r="B186" i="1"/>
  <c r="B298" i="2"/>
  <c r="B149" i="1"/>
  <c r="B200" i="1"/>
  <c r="B30" i="3" s="1"/>
  <c r="B127" i="3" s="1"/>
  <c r="B238" i="3" s="1"/>
  <c r="B162" i="1"/>
  <c r="B226" i="3"/>
  <c r="B277" i="3" s="1"/>
  <c r="B119" i="2"/>
  <c r="B133" i="2" s="1"/>
  <c r="C135" i="3"/>
  <c r="C185" i="3" s="1"/>
  <c r="B172" i="2"/>
  <c r="B201" i="2" s="1"/>
  <c r="B251" i="2" s="1"/>
  <c r="AA13" i="20"/>
  <c r="B282" i="2"/>
  <c r="B310" i="2" s="1"/>
  <c r="B262" i="2"/>
  <c r="B188" i="1"/>
  <c r="B159" i="2"/>
  <c r="C296" i="2"/>
  <c r="C311" i="2" s="1"/>
  <c r="B137" i="3"/>
  <c r="B90" i="3"/>
  <c r="B60" i="3"/>
  <c r="B75" i="3"/>
  <c r="C125" i="3"/>
  <c r="C158" i="3" s="1"/>
  <c r="B117" i="2"/>
  <c r="B131" i="2" s="1"/>
  <c r="B224" i="3"/>
  <c r="B275" i="3" s="1"/>
  <c r="AJ12" i="20"/>
  <c r="C241" i="3"/>
  <c r="C257" i="3" s="1"/>
  <c r="B155" i="3"/>
  <c r="B170" i="3"/>
  <c r="B185" i="3"/>
  <c r="B23" i="1"/>
  <c r="B107" i="2"/>
  <c r="B61" i="3"/>
  <c r="B138" i="3"/>
  <c r="B76" i="3"/>
  <c r="B91" i="3"/>
  <c r="B283" i="2"/>
  <c r="B311" i="2" s="1"/>
  <c r="B263" i="2"/>
  <c r="C280" i="2"/>
  <c r="C308" i="2" s="1"/>
  <c r="C242" i="3"/>
  <c r="C258" i="3" s="1"/>
  <c r="R12" i="20"/>
  <c r="B43" i="3"/>
  <c r="B288" i="3"/>
  <c r="Z10" i="20"/>
  <c r="Y10" i="20"/>
  <c r="AC10" i="20" s="1"/>
  <c r="Q10" i="20"/>
  <c r="AH10" i="20"/>
  <c r="AL10" i="20" s="1"/>
  <c r="P10" i="20"/>
  <c r="T10" i="20" s="1"/>
  <c r="AI10" i="20"/>
  <c r="I11" i="20"/>
  <c r="B11" i="20"/>
  <c r="H11" i="20" s="1"/>
  <c r="AM9" i="20"/>
  <c r="C47" i="20" s="1"/>
  <c r="B214" i="2"/>
  <c r="B184" i="2"/>
  <c r="B237" i="2"/>
  <c r="B285" i="2" s="1"/>
  <c r="F47" i="20" l="1"/>
  <c r="C188" i="3"/>
  <c r="C170" i="3"/>
  <c r="C155" i="3"/>
  <c r="C173" i="3"/>
  <c r="B216" i="1"/>
  <c r="G11" i="20"/>
  <c r="K11" i="20" s="1"/>
  <c r="B253" i="3"/>
  <c r="AM10" i="20"/>
  <c r="C48" i="20" s="1"/>
  <c r="B313" i="2"/>
  <c r="Y11" i="20"/>
  <c r="AC11" i="20" s="1"/>
  <c r="Z11" i="20"/>
  <c r="P11" i="20"/>
  <c r="T11" i="20" s="1"/>
  <c r="AH11" i="20"/>
  <c r="AL11" i="20" s="1"/>
  <c r="AI11" i="20"/>
  <c r="Q11" i="20"/>
  <c r="C293" i="3"/>
  <c r="C310" i="3" s="1"/>
  <c r="B24" i="1"/>
  <c r="B108" i="2"/>
  <c r="AA14" i="20"/>
  <c r="R13" i="20"/>
  <c r="B140" i="3"/>
  <c r="B93" i="3"/>
  <c r="B63" i="3"/>
  <c r="B78" i="3"/>
  <c r="B36" i="1"/>
  <c r="B12" i="20"/>
  <c r="G12" i="20" s="1"/>
  <c r="I12" i="20"/>
  <c r="AN10" i="20"/>
  <c r="D48" i="20" s="1"/>
  <c r="E48" i="20" s="1"/>
  <c r="B305" i="3"/>
  <c r="B37" i="1"/>
  <c r="B173" i="2"/>
  <c r="B202" i="2" s="1"/>
  <c r="B252" i="2" s="1"/>
  <c r="C292" i="3"/>
  <c r="C309" i="3" s="1"/>
  <c r="B215" i="2"/>
  <c r="B238" i="2"/>
  <c r="B286" i="2" s="1"/>
  <c r="B185" i="2"/>
  <c r="B299" i="2"/>
  <c r="B254" i="3"/>
  <c r="B289" i="3"/>
  <c r="B306" i="3" s="1"/>
  <c r="B236" i="2"/>
  <c r="B213" i="2"/>
  <c r="B183" i="2"/>
  <c r="B215" i="1"/>
  <c r="B42" i="3"/>
  <c r="B150" i="1"/>
  <c r="B44" i="3"/>
  <c r="B187" i="3"/>
  <c r="B172" i="3"/>
  <c r="B157" i="3"/>
  <c r="B201" i="1"/>
  <c r="B31" i="3" s="1"/>
  <c r="B128" i="3" s="1"/>
  <c r="B239" i="3" s="1"/>
  <c r="B163" i="1"/>
  <c r="AJ13" i="20"/>
  <c r="B173" i="3"/>
  <c r="B158" i="3"/>
  <c r="B188" i="3"/>
  <c r="C236" i="3"/>
  <c r="C252" i="3" s="1"/>
  <c r="B265" i="2"/>
  <c r="F48" i="20" l="1"/>
  <c r="K12" i="20"/>
  <c r="AM11" i="20"/>
  <c r="C49" i="20" s="1"/>
  <c r="H12" i="20"/>
  <c r="B38" i="1"/>
  <c r="B124" i="1" s="1"/>
  <c r="B139" i="1" s="1"/>
  <c r="AA15" i="20"/>
  <c r="B123" i="1"/>
  <c r="B138" i="1" s="1"/>
  <c r="B52" i="1"/>
  <c r="B79" i="1" s="1"/>
  <c r="B51" i="1"/>
  <c r="B78" i="1" s="1"/>
  <c r="B122" i="1"/>
  <c r="B137" i="1" s="1"/>
  <c r="B174" i="2"/>
  <c r="B203" i="2" s="1"/>
  <c r="B253" i="2" s="1"/>
  <c r="B314" i="2"/>
  <c r="B151" i="1"/>
  <c r="B62" i="3"/>
  <c r="B92" i="3"/>
  <c r="B139" i="3"/>
  <c r="B77" i="3"/>
  <c r="I13" i="20"/>
  <c r="B13" i="20"/>
  <c r="G13" i="20" s="1"/>
  <c r="AJ14" i="20"/>
  <c r="B217" i="1"/>
  <c r="B284" i="2"/>
  <c r="B312" i="2" s="1"/>
  <c r="B264" i="2"/>
  <c r="B290" i="3"/>
  <c r="B307" i="3" s="1"/>
  <c r="B255" i="3"/>
  <c r="C287" i="3"/>
  <c r="C304" i="3" s="1"/>
  <c r="B94" i="3"/>
  <c r="B64" i="3"/>
  <c r="B141" i="3"/>
  <c r="B79" i="3"/>
  <c r="B160" i="3"/>
  <c r="B190" i="3"/>
  <c r="B175" i="3"/>
  <c r="B300" i="2"/>
  <c r="B25" i="1"/>
  <c r="B109" i="2"/>
  <c r="AN11" i="20"/>
  <c r="D49" i="20" s="1"/>
  <c r="E49" i="20" s="1"/>
  <c r="R14" i="20"/>
  <c r="B202" i="1"/>
  <c r="B32" i="3" s="1"/>
  <c r="B129" i="3" s="1"/>
  <c r="B240" i="3" s="1"/>
  <c r="B164" i="1"/>
  <c r="B266" i="2"/>
  <c r="Z12" i="20"/>
  <c r="Y12" i="20"/>
  <c r="AC12" i="20" s="1"/>
  <c r="AI12" i="20"/>
  <c r="P12" i="20"/>
  <c r="T12" i="20" s="1"/>
  <c r="Q12" i="20"/>
  <c r="AH12" i="20"/>
  <c r="AL12" i="20" s="1"/>
  <c r="K13" i="20" l="1"/>
  <c r="F49" i="20"/>
  <c r="B53" i="1"/>
  <c r="B229" i="3" s="1"/>
  <c r="B280" i="3" s="1"/>
  <c r="AN12" i="20"/>
  <c r="D50" i="20" s="1"/>
  <c r="E50" i="20" s="1"/>
  <c r="AM12" i="20"/>
  <c r="C50" i="20" s="1"/>
  <c r="B291" i="3"/>
  <c r="Y13" i="20"/>
  <c r="AC13" i="20" s="1"/>
  <c r="Z13" i="20"/>
  <c r="AH13" i="20"/>
  <c r="AL13" i="20" s="1"/>
  <c r="AI13" i="20"/>
  <c r="Q13" i="20"/>
  <c r="P13" i="20"/>
  <c r="T13" i="20" s="1"/>
  <c r="B176" i="3"/>
  <c r="B191" i="3"/>
  <c r="B161" i="3"/>
  <c r="H13" i="20"/>
  <c r="B203" i="1"/>
  <c r="B33" i="3" s="1"/>
  <c r="B130" i="3" s="1"/>
  <c r="B241" i="3" s="1"/>
  <c r="B165" i="1"/>
  <c r="B26" i="1"/>
  <c r="B110" i="2"/>
  <c r="B301" i="2"/>
  <c r="B160" i="2"/>
  <c r="B189" i="1"/>
  <c r="B191" i="1"/>
  <c r="B162" i="2"/>
  <c r="B227" i="3"/>
  <c r="B278" i="3" s="1"/>
  <c r="B120" i="2"/>
  <c r="B134" i="2" s="1"/>
  <c r="AJ15" i="20"/>
  <c r="B175" i="2"/>
  <c r="B204" i="2" s="1"/>
  <c r="B254" i="2" s="1"/>
  <c r="I14" i="20"/>
  <c r="B14" i="20"/>
  <c r="G14" i="20" s="1"/>
  <c r="B174" i="3"/>
  <c r="B159" i="3"/>
  <c r="B189" i="3"/>
  <c r="B121" i="2"/>
  <c r="B135" i="2" s="1"/>
  <c r="B228" i="3"/>
  <c r="B279" i="3" s="1"/>
  <c r="R15" i="20"/>
  <c r="B152" i="1"/>
  <c r="B40" i="1"/>
  <c r="B190" i="1"/>
  <c r="B161" i="2"/>
  <c r="B122" i="2" l="1"/>
  <c r="B136" i="2" s="1"/>
  <c r="AN13" i="20"/>
  <c r="D51" i="20" s="1"/>
  <c r="E51" i="20" s="1"/>
  <c r="B80" i="1"/>
  <c r="H14" i="20"/>
  <c r="AM13" i="20"/>
  <c r="C51" i="20" s="1"/>
  <c r="K14" i="20"/>
  <c r="F50" i="20"/>
  <c r="B47" i="3"/>
  <c r="B241" i="2"/>
  <c r="B289" i="2" s="1"/>
  <c r="B188" i="2"/>
  <c r="B218" i="2"/>
  <c r="B256" i="3"/>
  <c r="B126" i="1"/>
  <c r="B141" i="1" s="1"/>
  <c r="B55" i="1"/>
  <c r="B27" i="1"/>
  <c r="B111" i="2"/>
  <c r="B308" i="3"/>
  <c r="B302" i="2"/>
  <c r="B39" i="1"/>
  <c r="B45" i="3"/>
  <c r="B218" i="1"/>
  <c r="B176" i="2"/>
  <c r="B205" i="2" s="1"/>
  <c r="B255" i="2" s="1"/>
  <c r="Z14" i="20"/>
  <c r="Y14" i="20"/>
  <c r="AC14" i="20" s="1"/>
  <c r="AH14" i="20"/>
  <c r="AL14" i="20" s="1"/>
  <c r="AI14" i="20"/>
  <c r="P14" i="20"/>
  <c r="T14" i="20" s="1"/>
  <c r="Q14" i="20"/>
  <c r="B239" i="2"/>
  <c r="B186" i="2"/>
  <c r="B216" i="2"/>
  <c r="B153" i="1"/>
  <c r="I15" i="20"/>
  <c r="B15" i="20"/>
  <c r="B217" i="2"/>
  <c r="B187" i="2"/>
  <c r="B240" i="2"/>
  <c r="B204" i="1"/>
  <c r="B34" i="3" s="1"/>
  <c r="B131" i="3" s="1"/>
  <c r="B242" i="3" s="1"/>
  <c r="B166" i="1"/>
  <c r="B219" i="1"/>
  <c r="B46" i="3"/>
  <c r="B292" i="3"/>
  <c r="B309" i="3" s="1"/>
  <c r="B257" i="3"/>
  <c r="F51" i="20" l="1"/>
  <c r="B82" i="1"/>
  <c r="AM14" i="20"/>
  <c r="C52" i="20" s="1"/>
  <c r="AN14" i="20"/>
  <c r="D52" i="20" s="1"/>
  <c r="E52" i="20" s="1"/>
  <c r="B269" i="2"/>
  <c r="B220" i="1"/>
  <c r="B143" i="3"/>
  <c r="B66" i="3"/>
  <c r="B96" i="3"/>
  <c r="B81" i="3"/>
  <c r="B303" i="2"/>
  <c r="B97" i="3"/>
  <c r="B82" i="3"/>
  <c r="B67" i="3"/>
  <c r="B144" i="3"/>
  <c r="Z15" i="20"/>
  <c r="Y15" i="20"/>
  <c r="AC15" i="20" s="1"/>
  <c r="AH15" i="20"/>
  <c r="AL15" i="20" s="1"/>
  <c r="AI15" i="20"/>
  <c r="Q15" i="20"/>
  <c r="P15" i="20"/>
  <c r="T15" i="20" s="1"/>
  <c r="B177" i="2"/>
  <c r="B206" i="2" s="1"/>
  <c r="B256" i="2" s="1"/>
  <c r="G15" i="20"/>
  <c r="K15" i="20" s="1"/>
  <c r="B258" i="3"/>
  <c r="B293" i="3"/>
  <c r="B310" i="3" s="1"/>
  <c r="B287" i="2"/>
  <c r="B315" i="2" s="1"/>
  <c r="B267" i="2"/>
  <c r="B142" i="3"/>
  <c r="B80" i="3"/>
  <c r="B65" i="3"/>
  <c r="B95" i="3"/>
  <c r="B154" i="1"/>
  <c r="B317" i="2"/>
  <c r="B288" i="2"/>
  <c r="B316" i="2" s="1"/>
  <c r="B268" i="2"/>
  <c r="B124" i="2"/>
  <c r="B138" i="2" s="1"/>
  <c r="B231" i="3"/>
  <c r="B282" i="3" s="1"/>
  <c r="B205" i="1"/>
  <c r="B35" i="3" s="1"/>
  <c r="B132" i="3" s="1"/>
  <c r="B243" i="3" s="1"/>
  <c r="B167" i="1"/>
  <c r="H15" i="20"/>
  <c r="B54" i="1"/>
  <c r="B81" i="1" s="1"/>
  <c r="B125" i="1"/>
  <c r="B140" i="1" s="1"/>
  <c r="B164" i="2"/>
  <c r="B193" i="1"/>
  <c r="F52" i="20" l="1"/>
  <c r="B83" i="1"/>
  <c r="B84" i="1" s="1"/>
  <c r="B233" i="1" s="1"/>
  <c r="B220" i="2"/>
  <c r="B190" i="2"/>
  <c r="B243" i="2"/>
  <c r="B291" i="2" s="1"/>
  <c r="B168" i="1"/>
  <c r="B169" i="1" s="1"/>
  <c r="B170" i="1" s="1"/>
  <c r="B206" i="1"/>
  <c r="B36" i="3" s="1"/>
  <c r="B133" i="3" s="1"/>
  <c r="B244" i="3" s="1"/>
  <c r="B178" i="3"/>
  <c r="B193" i="3"/>
  <c r="B163" i="3"/>
  <c r="B294" i="3"/>
  <c r="B49" i="3"/>
  <c r="B194" i="3"/>
  <c r="B179" i="3"/>
  <c r="B164" i="3"/>
  <c r="AM15" i="20"/>
  <c r="C53" i="20" s="1"/>
  <c r="AN15" i="20"/>
  <c r="D53" i="20" s="1"/>
  <c r="E53" i="20" s="1"/>
  <c r="B163" i="2"/>
  <c r="B192" i="1"/>
  <c r="B230" i="3"/>
  <c r="B281" i="3" s="1"/>
  <c r="B123" i="2"/>
  <c r="B162" i="3"/>
  <c r="B192" i="3"/>
  <c r="B177" i="3"/>
  <c r="B304" i="2"/>
  <c r="B137" i="2" l="1"/>
  <c r="B139" i="2" s="1"/>
  <c r="B140" i="2" s="1"/>
  <c r="C329" i="2" s="1"/>
  <c r="F53" i="20"/>
  <c r="B271" i="2"/>
  <c r="B222" i="1"/>
  <c r="B221" i="1"/>
  <c r="B48" i="3"/>
  <c r="B99" i="3"/>
  <c r="B69" i="3"/>
  <c r="B146" i="3"/>
  <c r="B84" i="3"/>
  <c r="B259" i="3"/>
  <c r="B219" i="2"/>
  <c r="B221" i="2" s="1"/>
  <c r="B222" i="2" s="1"/>
  <c r="B242" i="2"/>
  <c r="B189" i="2"/>
  <c r="B191" i="2" s="1"/>
  <c r="B311" i="3"/>
  <c r="B260" i="3"/>
  <c r="B295" i="3"/>
  <c r="B312" i="3" s="1"/>
  <c r="B319" i="2"/>
  <c r="B313" i="3" l="1"/>
  <c r="B314" i="3" s="1"/>
  <c r="C318" i="3" s="1"/>
  <c r="B261" i="3"/>
  <c r="B262" i="3" s="1"/>
  <c r="B318" i="3" s="1"/>
  <c r="B192" i="2"/>
  <c r="B223" i="1"/>
  <c r="B166" i="3"/>
  <c r="B181" i="3"/>
  <c r="B196" i="3"/>
  <c r="B290" i="2"/>
  <c r="B318" i="2" s="1"/>
  <c r="B320" i="2" s="1"/>
  <c r="B321" i="2" s="1"/>
  <c r="B270" i="2"/>
  <c r="B272" i="2" s="1"/>
  <c r="B273" i="2" s="1"/>
  <c r="B145" i="3"/>
  <c r="B98" i="3"/>
  <c r="B100" i="3" s="1"/>
  <c r="B101" i="3" s="1"/>
  <c r="B83" i="3"/>
  <c r="B85" i="3" s="1"/>
  <c r="B86" i="3" s="1"/>
  <c r="B68" i="3"/>
  <c r="B70" i="3" l="1"/>
  <c r="B102" i="3" s="1"/>
  <c r="B324" i="2"/>
  <c r="D329" i="2" s="1"/>
  <c r="E329" i="2" s="1"/>
  <c r="E6" i="43" s="1"/>
  <c r="B224" i="1"/>
  <c r="B227" i="1"/>
  <c r="C233" i="1" s="1"/>
  <c r="D233" i="1" s="1"/>
  <c r="D6" i="43" s="1"/>
  <c r="B165" i="3"/>
  <c r="B167" i="3" s="1"/>
  <c r="B180" i="3"/>
  <c r="B182" i="3" s="1"/>
  <c r="B183" i="3" s="1"/>
  <c r="B195" i="3"/>
  <c r="B197" i="3" s="1"/>
  <c r="B198" i="3" s="1"/>
  <c r="B168" i="3" l="1"/>
  <c r="B199" i="3"/>
  <c r="B200" i="3" s="1"/>
  <c r="E318" i="3" s="1"/>
  <c r="B71" i="3"/>
  <c r="B103" i="3"/>
  <c r="D318" i="3" s="1"/>
  <c r="F318" i="3" l="1"/>
  <c r="F6" i="43" s="1"/>
  <c r="D18" i="8"/>
  <c r="B18" i="8"/>
  <c r="E7" i="43" l="1"/>
  <c r="D7" i="43"/>
  <c r="F7" i="43" l="1"/>
  <c r="G6" i="43"/>
  <c r="G7" i="43" s="1"/>
</calcChain>
</file>

<file path=xl/sharedStrings.xml><?xml version="1.0" encoding="utf-8"?>
<sst xmlns="http://schemas.openxmlformats.org/spreadsheetml/2006/main" count="1320" uniqueCount="390">
  <si>
    <t>-</t>
  </si>
  <si>
    <t>%</t>
  </si>
  <si>
    <t>Unit</t>
  </si>
  <si>
    <t>Parameter</t>
  </si>
  <si>
    <t>Source</t>
  </si>
  <si>
    <t>kg</t>
  </si>
  <si>
    <t>kg-dm/day</t>
  </si>
  <si>
    <t xml:space="preserve">2006 IPCC guideline, volume 4, chapter 10 </t>
  </si>
  <si>
    <t>Direct N2O Emissions</t>
  </si>
  <si>
    <t xml:space="preserve">                               Value</t>
  </si>
  <si>
    <t xml:space="preserve">                              Value </t>
  </si>
  <si>
    <t>Indirect N2O Emissions</t>
  </si>
  <si>
    <t>Fgasm</t>
  </si>
  <si>
    <t>EF4</t>
  </si>
  <si>
    <t>EF1</t>
  </si>
  <si>
    <t>EF5</t>
  </si>
  <si>
    <t>Fleach</t>
  </si>
  <si>
    <t>kg/animal/day</t>
  </si>
  <si>
    <t>numbers</t>
  </si>
  <si>
    <t>m3 CH4/kg-VS</t>
  </si>
  <si>
    <t xml:space="preserve">                                      Value </t>
  </si>
  <si>
    <t xml:space="preserve">A) Phase I: Anaerobic digester </t>
  </si>
  <si>
    <t xml:space="preserve">Total CH4 emissions </t>
  </si>
  <si>
    <t>B) PHASE II: Aerobic treatment</t>
  </si>
  <si>
    <t>kg N2O-N/kg N</t>
  </si>
  <si>
    <t>LEAKEAGE</t>
  </si>
  <si>
    <t>MCFd</t>
  </si>
  <si>
    <t>Rvs,n</t>
  </si>
  <si>
    <t>from Land Application(tCO2e)</t>
  </si>
  <si>
    <t>at the project site</t>
  </si>
  <si>
    <t>Fraction of manure handled in system j</t>
  </si>
  <si>
    <t>calculated</t>
  </si>
  <si>
    <t xml:space="preserve">calculated </t>
  </si>
  <si>
    <t>Annex 1, ACM0010</t>
  </si>
  <si>
    <t>table 11.3, chapter 11, volume 4, 2006 IPCC</t>
  </si>
  <si>
    <t>Market Swine</t>
  </si>
  <si>
    <t>Breeding Swine</t>
  </si>
  <si>
    <t xml:space="preserve">BASELINE EMISSIONS </t>
  </si>
  <si>
    <t>i) CH4 emissions</t>
  </si>
  <si>
    <t>ii) N2O emissions</t>
  </si>
  <si>
    <t>2006 IPCC default value, vol. 4, ch. 10, tbl. 10.21</t>
  </si>
  <si>
    <t>2006 IPCC default value, vol. 4, ch. 10, tbl. 11.3</t>
  </si>
  <si>
    <t xml:space="preserve">i) Methane emissions from AWMS where gas is captured (PEAD, y): </t>
  </si>
  <si>
    <t>ii) Methane emissions from aerobic AWMS treatment (PEAer, y):</t>
  </si>
  <si>
    <t>iii) N2O emissions from manure management</t>
  </si>
  <si>
    <t>MS%j</t>
  </si>
  <si>
    <t xml:space="preserve">PROJECT EMISSION </t>
  </si>
  <si>
    <t xml:space="preserve">i) Estimation of N2O emissions: </t>
  </si>
  <si>
    <t>ii)Methane emissions from disposal of treated manure</t>
  </si>
  <si>
    <t>table 11.1, chapter 11, volume 4, 2006 IPCC</t>
  </si>
  <si>
    <t>2006 IPCC default value, vol. 4, ch. 10, tbl. 10A-7,8</t>
  </si>
  <si>
    <t>kg/animal-yr</t>
  </si>
  <si>
    <t>Calulated</t>
  </si>
  <si>
    <t>kg N/1000kg animal mass/day</t>
  </si>
  <si>
    <t>2006 IPCC guideline, volume 4, chapter 10, tbl. 10A-7</t>
  </si>
  <si>
    <t>Calculated</t>
  </si>
  <si>
    <t>days</t>
  </si>
  <si>
    <t>2006 IPCC Guidelines, volume 4, chapter 11, table 11.3</t>
  </si>
  <si>
    <t>2006 IPCC default value, vol. 4, ch. 10, tbl.10.22 (According to Chapter 8.2 in US-EPA (2001), "a covered lagoon will not lose NH3-N to the atmosphere")</t>
  </si>
  <si>
    <t>2006 IPCC default value, vol. 4, ch. 11, tbl.11.3 (According to Chapter 8.2 in US-EPA (2001), "a covered lagoon will not lose NH3-N to the atmosphere")</t>
    <phoneticPr fontId="0" type="noConversion"/>
  </si>
  <si>
    <t xml:space="preserve">                                      Value </t>
    <phoneticPr fontId="0" type="noConversion"/>
  </si>
  <si>
    <t>Unit</t>
    <phoneticPr fontId="0" type="noConversion"/>
  </si>
  <si>
    <t>Source</t>
    <phoneticPr fontId="0" type="noConversion"/>
  </si>
  <si>
    <t xml:space="preserve">Value </t>
    <phoneticPr fontId="0" type="noConversion"/>
  </si>
  <si>
    <t>Parameter</t>
    <phoneticPr fontId="0" type="noConversion"/>
  </si>
  <si>
    <t>Composting -In-Vessel</t>
    <phoneticPr fontId="0" type="noConversion"/>
  </si>
  <si>
    <t>2006 IPCC default value, vol. 4, ch. 10, tbl. 10.21 Anaerobic digester</t>
    <phoneticPr fontId="0" type="noConversion"/>
  </si>
  <si>
    <t xml:space="preserve">2006 IPCC default value, vol. 4, ch. 11, tbl.11.3 </t>
    <phoneticPr fontId="0" type="noConversion"/>
  </si>
  <si>
    <t>TAM</t>
  </si>
  <si>
    <t>2006 IPCC default value, vol. 4, ch. 10, tbl. 10.19</t>
    <phoneticPr fontId="0" type="noConversion"/>
  </si>
  <si>
    <t xml:space="preserve">2006 IPCC default value, vol. 4, ch. 10, tbl.10.22 </t>
    <phoneticPr fontId="0" type="noConversion"/>
  </si>
  <si>
    <t>kg N/animal/year</t>
    <phoneticPr fontId="0" type="noConversion"/>
  </si>
  <si>
    <t>No of heads</t>
    <phoneticPr fontId="0" type="noConversion"/>
  </si>
  <si>
    <t>Period</t>
  </si>
  <si>
    <t>total</t>
  </si>
  <si>
    <t>Title of the project activity</t>
  </si>
  <si>
    <t>Version number of this calculation sheet</t>
    <phoneticPr fontId="9" type="noConversion"/>
  </si>
  <si>
    <t>Date</t>
    <phoneticPr fontId="9" type="noConversion"/>
  </si>
  <si>
    <t>Duration of this monitoring period</t>
  </si>
  <si>
    <t>Market Swine</t>
    <phoneticPr fontId="0" type="noConversion"/>
  </si>
  <si>
    <t>Breeding Swine</t>
    <phoneticPr fontId="0" type="noConversion"/>
  </si>
  <si>
    <t>-</t>
    <phoneticPr fontId="0" type="noConversion"/>
  </si>
  <si>
    <t>kg N2O-N/kg NH3-N and NOX-N</t>
    <phoneticPr fontId="0" type="noConversion"/>
  </si>
  <si>
    <t>kg-dm/ animal/year</t>
    <phoneticPr fontId="0" type="noConversion"/>
  </si>
  <si>
    <t>Page 12 of tool 14: Project and leakage emissions from anaerobic digesters</t>
    <phoneticPr fontId="0" type="noConversion"/>
  </si>
  <si>
    <t>2006 IPCC guideline, volume 4, chapter 10, tbl. 10A-7</t>
    <phoneticPr fontId="0" type="noConversion"/>
  </si>
  <si>
    <t>kg N2O-N/year</t>
    <phoneticPr fontId="0" type="noConversion"/>
  </si>
  <si>
    <t>Tt(k)</t>
    <phoneticPr fontId="9" type="noConversion"/>
  </si>
  <si>
    <t>MMi(kg/kmol)</t>
    <phoneticPr fontId="9" type="noConversion"/>
  </si>
  <si>
    <t>Ru(Pa.m3/kmol.K))</t>
    <phoneticPr fontId="9" type="noConversion"/>
  </si>
  <si>
    <t>t CH4</t>
    <phoneticPr fontId="0" type="noConversion"/>
  </si>
  <si>
    <t>Vf3(m3)</t>
    <phoneticPr fontId="9" type="noConversion"/>
  </si>
  <si>
    <t>tCO2e</t>
    <phoneticPr fontId="0" type="noConversion"/>
  </si>
  <si>
    <t>Breeding Swine</t>
    <phoneticPr fontId="9" type="noConversion"/>
  </si>
  <si>
    <t>average</t>
    <phoneticPr fontId="9" type="noConversion"/>
  </si>
  <si>
    <t>there was no Project emissions from flaring of biogas since all biogas was used for electricity generaion.</t>
    <phoneticPr fontId="0" type="noConversion"/>
  </si>
  <si>
    <t>Weight record table</t>
  </si>
  <si>
    <t>kg</t>
    <phoneticPr fontId="0" type="noConversion"/>
  </si>
  <si>
    <t>Calculated</t>
    <phoneticPr fontId="0" type="noConversion"/>
  </si>
  <si>
    <t>Fraction of manure handled in system j</t>
    <phoneticPr fontId="0" type="noConversion"/>
  </si>
  <si>
    <t>MWh</t>
    <phoneticPr fontId="0" type="noConversion"/>
  </si>
  <si>
    <t>calculated</t>
    <phoneticPr fontId="0" type="noConversion"/>
  </si>
  <si>
    <t>%</t>
    <phoneticPr fontId="0" type="noConversion"/>
  </si>
  <si>
    <t>1. Mean value and standard deviations for strata</t>
    <phoneticPr fontId="9" type="noConversion"/>
  </si>
  <si>
    <t xml:space="preserve"> </t>
  </si>
  <si>
    <t xml:space="preserve"> Population total</t>
    <phoneticPr fontId="9" type="noConversion"/>
  </si>
  <si>
    <t xml:space="preserve">(N)  </t>
    <phoneticPr fontId="9" type="noConversion"/>
  </si>
  <si>
    <t>2. The stratified estimated overall mean:</t>
    <phoneticPr fontId="9" type="noConversion"/>
  </si>
  <si>
    <t xml:space="preserve"> The stratified estimated overall mean  </t>
  </si>
  <si>
    <t xml:space="preserve"> N  </t>
  </si>
  <si>
    <t>3. The standard error of the stratified estimated overall mean:</t>
    <phoneticPr fontId="9" type="noConversion"/>
  </si>
  <si>
    <t xml:space="preserve"> Standard error of the stratified estimated overall mean</t>
    <phoneticPr fontId="9" type="noConversion"/>
  </si>
  <si>
    <t>4. t-value</t>
    <phoneticPr fontId="9" type="noConversion"/>
  </si>
  <si>
    <t>5. Precision</t>
    <phoneticPr fontId="9" type="noConversion"/>
  </si>
  <si>
    <t xml:space="preserve">Precision   </t>
    <phoneticPr fontId="9" type="noConversion"/>
  </si>
  <si>
    <t>6. Calculation results</t>
    <phoneticPr fontId="9" type="noConversion"/>
  </si>
  <si>
    <t>t-value</t>
    <phoneticPr fontId="9" type="noConversion"/>
  </si>
  <si>
    <t>Relative Precision</t>
    <phoneticPr fontId="9" type="noConversion"/>
  </si>
  <si>
    <t>IPCC AR5</t>
  </si>
  <si>
    <t>kgN/animal/yr</t>
    <phoneticPr fontId="0" type="noConversion"/>
  </si>
  <si>
    <t>No fossil fuel comsumed during this MP, therefore,Project emissions from fossil fuel consumption associated with the anaerobic digester is not be taken into account</t>
    <phoneticPr fontId="0" type="noConversion"/>
  </si>
  <si>
    <t>IPCC AR5</t>
    <phoneticPr fontId="0" type="noConversion"/>
  </si>
  <si>
    <t>KgN-N2O-N/kg NH3-N+NOX-N</t>
    <phoneticPr fontId="0" type="noConversion"/>
  </si>
  <si>
    <t>kg/animal/yr</t>
    <phoneticPr fontId="0" type="noConversion"/>
  </si>
  <si>
    <t>Most of the electricity consumed by the project came from the electricity generated by the biogas generated from the anaerobic fermentation process of the project, which is belongs to self-generated and self-consumed.  The electricity consumption of AWMSs were sourced from the grid company when the biogas generators were not operation.</t>
    <phoneticPr fontId="9" type="noConversion"/>
  </si>
  <si>
    <t>VCS ID of the project activity</t>
    <phoneticPr fontId="9" type="noConversion"/>
  </si>
  <si>
    <t>2006 IPCC guideline, volume 4, chapter 10, Tbl. 10.17</t>
    <phoneticPr fontId="0" type="noConversion"/>
  </si>
  <si>
    <t>Note</t>
    <phoneticPr fontId="9" type="noConversion"/>
  </si>
  <si>
    <t>monthly electricity consumption from grid company</t>
    <phoneticPr fontId="9" type="noConversion"/>
  </si>
  <si>
    <t>Time</t>
    <phoneticPr fontId="9" type="noConversion"/>
  </si>
  <si>
    <t>Total</t>
    <phoneticPr fontId="9" type="noConversion"/>
  </si>
  <si>
    <t>time</t>
    <phoneticPr fontId="10" type="noConversion"/>
  </si>
  <si>
    <t>Tool 05:Baseline, project and/or leakage emissions from electricity consumption and monitoring of electricity generation (version 03.0)</t>
    <phoneticPr fontId="0" type="noConversion"/>
  </si>
  <si>
    <t>Shuangbaotai AWMS GHG Mitigation Project in Jiangsu Province</t>
  </si>
  <si>
    <t>VCS 2706</t>
    <phoneticPr fontId="9" type="noConversion"/>
  </si>
  <si>
    <t>Nursery phase 0-60</t>
    <phoneticPr fontId="15" type="noConversion"/>
  </si>
  <si>
    <t xml:space="preserve">Growing phase 60-130days </t>
    <phoneticPr fontId="15" type="noConversion"/>
  </si>
  <si>
    <t>Mature phase 130-180days</t>
    <phoneticPr fontId="15" type="noConversion"/>
  </si>
  <si>
    <t>Nursery phase  30-70days</t>
    <phoneticPr fontId="15" type="noConversion"/>
  </si>
  <si>
    <t xml:space="preserve">Growing phase  70-220days </t>
    <phoneticPr fontId="15" type="noConversion"/>
  </si>
  <si>
    <t>Mature phase  220-310days</t>
    <phoneticPr fontId="15" type="noConversion"/>
  </si>
  <si>
    <t>Siyang Aiyuan Farm</t>
    <phoneticPr fontId="10" type="noConversion"/>
  </si>
  <si>
    <t>Dongtai Jianggang Farm</t>
    <phoneticPr fontId="10" type="noConversion"/>
  </si>
  <si>
    <t>Sheyang Linhai Farm</t>
    <phoneticPr fontId="10" type="noConversion"/>
  </si>
  <si>
    <t>Siyang Nanliuji</t>
    <phoneticPr fontId="10" type="noConversion"/>
  </si>
  <si>
    <r>
      <t>GWP</t>
    </r>
    <r>
      <rPr>
        <i/>
        <vertAlign val="subscript"/>
        <sz val="10"/>
        <color indexed="8"/>
        <rFont val="Franklin Gothic Book"/>
        <family val="2"/>
      </rPr>
      <t>CH4</t>
    </r>
  </si>
  <si>
    <r>
      <t>tCO2/tCH</t>
    </r>
    <r>
      <rPr>
        <vertAlign val="subscript"/>
        <sz val="10"/>
        <color indexed="8"/>
        <rFont val="Franklin Gothic Book"/>
        <family val="2"/>
      </rPr>
      <t>4</t>
    </r>
    <phoneticPr fontId="0" type="noConversion"/>
  </si>
  <si>
    <r>
      <t>D</t>
    </r>
    <r>
      <rPr>
        <i/>
        <vertAlign val="subscript"/>
        <sz val="10"/>
        <color indexed="8"/>
        <rFont val="Franklin Gothic Book"/>
        <family val="2"/>
      </rPr>
      <t>CH4</t>
    </r>
  </si>
  <si>
    <r>
      <t>t/m</t>
    </r>
    <r>
      <rPr>
        <vertAlign val="superscript"/>
        <sz val="10"/>
        <color indexed="8"/>
        <rFont val="Franklin Gothic Book"/>
        <family val="2"/>
      </rPr>
      <t>3</t>
    </r>
    <phoneticPr fontId="0" type="noConversion"/>
  </si>
  <si>
    <r>
      <t>MCF</t>
    </r>
    <r>
      <rPr>
        <vertAlign val="subscript"/>
        <sz val="10"/>
        <color indexed="8"/>
        <rFont val="Franklin Gothic Book"/>
        <family val="2"/>
      </rPr>
      <t>j</t>
    </r>
    <phoneticPr fontId="0" type="noConversion"/>
  </si>
  <si>
    <r>
      <t>B</t>
    </r>
    <r>
      <rPr>
        <i/>
        <vertAlign val="subscript"/>
        <sz val="8"/>
        <color indexed="8"/>
        <rFont val="Franklin Gothic Book"/>
        <family val="2"/>
      </rPr>
      <t>o,LT</t>
    </r>
    <phoneticPr fontId="0" type="noConversion"/>
  </si>
  <si>
    <r>
      <t>m</t>
    </r>
    <r>
      <rPr>
        <vertAlign val="superscript"/>
        <sz val="10"/>
        <color indexed="8"/>
        <rFont val="Franklin Gothic Book"/>
        <family val="2"/>
      </rPr>
      <t>3</t>
    </r>
    <r>
      <rPr>
        <sz val="10"/>
        <color indexed="8"/>
        <rFont val="Franklin Gothic Book"/>
        <family val="2"/>
      </rPr>
      <t xml:space="preserve"> CH</t>
    </r>
    <r>
      <rPr>
        <vertAlign val="subscript"/>
        <sz val="10"/>
        <color indexed="8"/>
        <rFont val="Franklin Gothic Book"/>
        <family val="2"/>
      </rPr>
      <t>4</t>
    </r>
    <r>
      <rPr>
        <sz val="10"/>
        <color indexed="8"/>
        <rFont val="Franklin Gothic Book"/>
        <family val="2"/>
      </rPr>
      <t xml:space="preserve"> /kg_dm</t>
    </r>
    <phoneticPr fontId="0" type="noConversion"/>
  </si>
  <si>
    <r>
      <t>N</t>
    </r>
    <r>
      <rPr>
        <vertAlign val="subscript"/>
        <sz val="8"/>
        <color indexed="8"/>
        <rFont val="Franklin Gothic Book"/>
        <family val="2"/>
      </rPr>
      <t>LT</t>
    </r>
    <phoneticPr fontId="0" type="noConversion"/>
  </si>
  <si>
    <r>
      <t>W</t>
    </r>
    <r>
      <rPr>
        <i/>
        <vertAlign val="subscript"/>
        <sz val="8"/>
        <rFont val="Franklin Gothic Book"/>
        <family val="2"/>
      </rPr>
      <t>site</t>
    </r>
    <phoneticPr fontId="0" type="noConversion"/>
  </si>
  <si>
    <r>
      <t>W</t>
    </r>
    <r>
      <rPr>
        <vertAlign val="subscript"/>
        <sz val="10"/>
        <color indexed="8"/>
        <rFont val="Franklin Gothic Book"/>
        <family val="2"/>
      </rPr>
      <t>default</t>
    </r>
    <phoneticPr fontId="0" type="noConversion"/>
  </si>
  <si>
    <r>
      <t>VS</t>
    </r>
    <r>
      <rPr>
        <sz val="8"/>
        <color indexed="8"/>
        <rFont val="Franklin Gothic Book"/>
        <family val="2"/>
      </rPr>
      <t>default</t>
    </r>
  </si>
  <si>
    <r>
      <t>VS</t>
    </r>
    <r>
      <rPr>
        <vertAlign val="subscript"/>
        <sz val="8"/>
        <color indexed="8"/>
        <rFont val="Franklin Gothic Book"/>
        <family val="2"/>
      </rPr>
      <t>LT,y</t>
    </r>
    <phoneticPr fontId="0" type="noConversion"/>
  </si>
  <si>
    <r>
      <t>MS%</t>
    </r>
    <r>
      <rPr>
        <vertAlign val="subscript"/>
        <sz val="8"/>
        <color indexed="8"/>
        <rFont val="Franklin Gothic Book"/>
        <family val="2"/>
      </rPr>
      <t>Bl,j</t>
    </r>
    <phoneticPr fontId="0" type="noConversion"/>
  </si>
  <si>
    <r>
      <t>n</t>
    </r>
    <r>
      <rPr>
        <vertAlign val="subscript"/>
        <sz val="10"/>
        <color indexed="8"/>
        <rFont val="Franklin Gothic Book"/>
        <family val="2"/>
      </rPr>
      <t>dy</t>
    </r>
    <phoneticPr fontId="0" type="noConversion"/>
  </si>
  <si>
    <r>
      <t>BE</t>
    </r>
    <r>
      <rPr>
        <vertAlign val="subscript"/>
        <sz val="10"/>
        <color indexed="8"/>
        <rFont val="Franklin Gothic Book"/>
        <family val="2"/>
      </rPr>
      <t xml:space="preserve">CH4,y </t>
    </r>
    <r>
      <rPr>
        <sz val="10"/>
        <color indexed="8"/>
        <rFont val="Franklin Gothic Book"/>
        <family val="2"/>
      </rPr>
      <t>-monthly</t>
    </r>
    <phoneticPr fontId="0" type="noConversion"/>
  </si>
  <si>
    <r>
      <t>tCO</t>
    </r>
    <r>
      <rPr>
        <vertAlign val="subscript"/>
        <sz val="10"/>
        <color indexed="8"/>
        <rFont val="Franklin Gothic Book"/>
        <family val="2"/>
      </rPr>
      <t>2</t>
    </r>
    <r>
      <rPr>
        <sz val="10"/>
        <color indexed="8"/>
        <rFont val="Franklin Gothic Book"/>
        <family val="2"/>
      </rPr>
      <t>e</t>
    </r>
    <phoneticPr fontId="0" type="noConversion"/>
  </si>
  <si>
    <r>
      <t>BE</t>
    </r>
    <r>
      <rPr>
        <vertAlign val="subscript"/>
        <sz val="10"/>
        <color indexed="8"/>
        <rFont val="Franklin Gothic Book"/>
        <family val="2"/>
      </rPr>
      <t>CH4,y</t>
    </r>
    <r>
      <rPr>
        <sz val="10"/>
        <color indexed="8"/>
        <rFont val="Franklin Gothic Book"/>
        <family val="2"/>
      </rPr>
      <t xml:space="preserve"> in this monitoring period</t>
    </r>
    <phoneticPr fontId="0" type="noConversion"/>
  </si>
  <si>
    <r>
      <t>GWP</t>
    </r>
    <r>
      <rPr>
        <i/>
        <vertAlign val="subscript"/>
        <sz val="10"/>
        <color indexed="8"/>
        <rFont val="Franklin Gothic Book"/>
        <family val="2"/>
      </rPr>
      <t>CH4</t>
    </r>
    <phoneticPr fontId="0" type="noConversion"/>
  </si>
  <si>
    <r>
      <t>tCO</t>
    </r>
    <r>
      <rPr>
        <vertAlign val="subscript"/>
        <sz val="10"/>
        <rFont val="Franklin Gothic Book"/>
        <family val="2"/>
      </rPr>
      <t>2</t>
    </r>
    <r>
      <rPr>
        <sz val="10"/>
        <rFont val="Franklin Gothic Book"/>
        <family val="2"/>
      </rPr>
      <t>/tCH</t>
    </r>
    <r>
      <rPr>
        <vertAlign val="subscript"/>
        <sz val="10"/>
        <rFont val="Franklin Gothic Book"/>
        <family val="2"/>
      </rPr>
      <t>4</t>
    </r>
    <phoneticPr fontId="0" type="noConversion"/>
  </si>
  <si>
    <r>
      <t>EF</t>
    </r>
    <r>
      <rPr>
        <i/>
        <vertAlign val="subscript"/>
        <sz val="10"/>
        <color indexed="8"/>
        <rFont val="Franklin Gothic Book"/>
        <family val="2"/>
      </rPr>
      <t>CH4,default</t>
    </r>
    <phoneticPr fontId="0" type="noConversion"/>
  </si>
  <si>
    <r>
      <t>tCH</t>
    </r>
    <r>
      <rPr>
        <vertAlign val="subscript"/>
        <sz val="10"/>
        <rFont val="Franklin Gothic Book"/>
        <family val="2"/>
      </rPr>
      <t>4</t>
    </r>
    <r>
      <rPr>
        <sz val="10"/>
        <rFont val="Franklin Gothic Book"/>
        <family val="2"/>
      </rPr>
      <t xml:space="preserve"> leaked / tCH</t>
    </r>
    <r>
      <rPr>
        <vertAlign val="subscript"/>
        <sz val="10"/>
        <rFont val="Franklin Gothic Book"/>
        <family val="2"/>
      </rPr>
      <t>4</t>
    </r>
    <r>
      <rPr>
        <sz val="10"/>
        <rFont val="Franklin Gothic Book"/>
        <family val="2"/>
      </rPr>
      <t xml:space="preserve"> produced</t>
    </r>
    <phoneticPr fontId="0" type="noConversion"/>
  </si>
  <si>
    <r>
      <t>Q</t>
    </r>
    <r>
      <rPr>
        <vertAlign val="subscript"/>
        <sz val="10"/>
        <rFont val="Franklin Gothic Book"/>
        <family val="2"/>
      </rPr>
      <t>CH4,y</t>
    </r>
    <phoneticPr fontId="0" type="noConversion"/>
  </si>
  <si>
    <r>
      <t>PE</t>
    </r>
    <r>
      <rPr>
        <b/>
        <vertAlign val="subscript"/>
        <sz val="10"/>
        <rFont val="Franklin Gothic Book"/>
        <family val="2"/>
      </rPr>
      <t>CH4,y</t>
    </r>
    <r>
      <rPr>
        <b/>
        <sz val="10"/>
        <rFont val="Franklin Gothic Book"/>
        <family val="2"/>
      </rPr>
      <t>-monthly</t>
    </r>
    <phoneticPr fontId="0" type="noConversion"/>
  </si>
  <si>
    <r>
      <t>tCO</t>
    </r>
    <r>
      <rPr>
        <vertAlign val="subscript"/>
        <sz val="10"/>
        <rFont val="Franklin Gothic Book"/>
        <family val="2"/>
      </rPr>
      <t>2</t>
    </r>
    <r>
      <rPr>
        <sz val="10"/>
        <rFont val="Franklin Gothic Book"/>
        <family val="2"/>
      </rPr>
      <t>e</t>
    </r>
    <phoneticPr fontId="0" type="noConversion"/>
  </si>
  <si>
    <r>
      <t>PE</t>
    </r>
    <r>
      <rPr>
        <b/>
        <vertAlign val="subscript"/>
        <sz val="10"/>
        <color indexed="8"/>
        <rFont val="Franklin Gothic Book"/>
        <family val="2"/>
      </rPr>
      <t>CH4,y</t>
    </r>
    <r>
      <rPr>
        <b/>
        <sz val="10"/>
        <color indexed="8"/>
        <rFont val="Franklin Gothic Book"/>
        <family val="2"/>
      </rPr>
      <t xml:space="preserve"> in this monitoring period</t>
    </r>
    <phoneticPr fontId="0" type="noConversion"/>
  </si>
  <si>
    <r>
      <t>PE</t>
    </r>
    <r>
      <rPr>
        <b/>
        <vertAlign val="subscript"/>
        <sz val="10"/>
        <rFont val="Franklin Gothic Book"/>
        <family val="2"/>
      </rPr>
      <t>flare,y</t>
    </r>
    <phoneticPr fontId="0" type="noConversion"/>
  </si>
  <si>
    <r>
      <t>GWP</t>
    </r>
    <r>
      <rPr>
        <sz val="8"/>
        <rFont val="Franklin Gothic Book"/>
        <family val="2"/>
      </rPr>
      <t>CH4</t>
    </r>
  </si>
  <si>
    <r>
      <t>D</t>
    </r>
    <r>
      <rPr>
        <sz val="8"/>
        <rFont val="Franklin Gothic Book"/>
        <family val="2"/>
      </rPr>
      <t>CH4</t>
    </r>
  </si>
  <si>
    <r>
      <t>VS</t>
    </r>
    <r>
      <rPr>
        <sz val="8"/>
        <rFont val="Franklin Gothic Book"/>
        <family val="2"/>
      </rPr>
      <t>LT,y</t>
    </r>
  </si>
  <si>
    <r>
      <t>N</t>
    </r>
    <r>
      <rPr>
        <sz val="8"/>
        <rFont val="Franklin Gothic Book"/>
        <family val="2"/>
      </rPr>
      <t>LT</t>
    </r>
  </si>
  <si>
    <r>
      <t>tCO</t>
    </r>
    <r>
      <rPr>
        <vertAlign val="subscript"/>
        <sz val="10"/>
        <rFont val="Franklin Gothic Book"/>
        <family val="2"/>
      </rPr>
      <t>2</t>
    </r>
    <r>
      <rPr>
        <sz val="10"/>
        <rFont val="Franklin Gothic Book"/>
        <family val="2"/>
      </rPr>
      <t>/t CH</t>
    </r>
    <r>
      <rPr>
        <vertAlign val="subscript"/>
        <sz val="10"/>
        <rFont val="Franklin Gothic Book"/>
        <family val="2"/>
      </rPr>
      <t>4</t>
    </r>
    <phoneticPr fontId="0" type="noConversion"/>
  </si>
  <si>
    <r>
      <t>B</t>
    </r>
    <r>
      <rPr>
        <vertAlign val="subscript"/>
        <sz val="10"/>
        <rFont val="Franklin Gothic Book"/>
        <family val="2"/>
      </rPr>
      <t>0</t>
    </r>
    <r>
      <rPr>
        <sz val="10"/>
        <rFont val="Arial"/>
        <family val="2"/>
      </rPr>
      <t/>
    </r>
  </si>
  <si>
    <r>
      <t>R</t>
    </r>
    <r>
      <rPr>
        <vertAlign val="subscript"/>
        <sz val="10"/>
        <rFont val="Franklin Gothic Book"/>
        <family val="2"/>
      </rPr>
      <t xml:space="preserve">VS </t>
    </r>
    <phoneticPr fontId="0" type="noConversion"/>
  </si>
  <si>
    <r>
      <t>LE</t>
    </r>
    <r>
      <rPr>
        <b/>
        <vertAlign val="subscript"/>
        <sz val="10"/>
        <rFont val="Franklin Gothic Book"/>
        <family val="2"/>
      </rPr>
      <t>BL,CH4,y</t>
    </r>
    <r>
      <rPr>
        <b/>
        <sz val="10"/>
        <rFont val="Franklin Gothic Book"/>
        <family val="2"/>
      </rPr>
      <t>-month</t>
    </r>
    <phoneticPr fontId="0" type="noConversion"/>
  </si>
  <si>
    <r>
      <t>LE</t>
    </r>
    <r>
      <rPr>
        <b/>
        <vertAlign val="subscript"/>
        <sz val="10"/>
        <rFont val="Franklin Gothic Book"/>
        <family val="2"/>
      </rPr>
      <t>BL,CH4,y</t>
    </r>
    <r>
      <rPr>
        <b/>
        <sz val="10"/>
        <rFont val="Franklin Gothic Book"/>
        <family val="2"/>
      </rPr>
      <t xml:space="preserve"> in thia monitoring period</t>
    </r>
    <phoneticPr fontId="0" type="noConversion"/>
  </si>
  <si>
    <r>
      <t>Baseline Emission (tCO</t>
    </r>
    <r>
      <rPr>
        <b/>
        <vertAlign val="subscript"/>
        <sz val="12"/>
        <rFont val="Franklin Gothic Book"/>
        <family val="2"/>
      </rPr>
      <t>2</t>
    </r>
    <r>
      <rPr>
        <b/>
        <sz val="12"/>
        <rFont val="Franklin Gothic Book"/>
        <family val="2"/>
      </rPr>
      <t>e)</t>
    </r>
    <phoneticPr fontId="9" type="noConversion"/>
  </si>
  <si>
    <r>
      <t>Project Emisson (tCO</t>
    </r>
    <r>
      <rPr>
        <b/>
        <vertAlign val="subscript"/>
        <sz val="12"/>
        <rFont val="Franklin Gothic Book"/>
        <family val="2"/>
      </rPr>
      <t>2</t>
    </r>
    <r>
      <rPr>
        <b/>
        <sz val="12"/>
        <rFont val="Franklin Gothic Book"/>
        <family val="2"/>
      </rPr>
      <t>e)</t>
    </r>
    <phoneticPr fontId="9" type="noConversion"/>
  </si>
  <si>
    <r>
      <t>Leakage Emisson (tCO</t>
    </r>
    <r>
      <rPr>
        <b/>
        <vertAlign val="subscript"/>
        <sz val="12"/>
        <rFont val="Franklin Gothic Book"/>
        <family val="2"/>
      </rPr>
      <t>2</t>
    </r>
    <r>
      <rPr>
        <b/>
        <sz val="12"/>
        <rFont val="Franklin Gothic Book"/>
        <family val="2"/>
      </rPr>
      <t>e)</t>
    </r>
    <phoneticPr fontId="9" type="noConversion"/>
  </si>
  <si>
    <r>
      <t>Emission Reductions(tCO</t>
    </r>
    <r>
      <rPr>
        <b/>
        <vertAlign val="subscript"/>
        <sz val="12"/>
        <rFont val="Franklin Gothic Book"/>
        <family val="2"/>
      </rPr>
      <t>2</t>
    </r>
    <r>
      <rPr>
        <b/>
        <sz val="12"/>
        <rFont val="Franklin Gothic Book"/>
        <family val="2"/>
      </rPr>
      <t>e)</t>
    </r>
    <phoneticPr fontId="9" type="noConversion"/>
  </si>
  <si>
    <r>
      <t>N</t>
    </r>
    <r>
      <rPr>
        <vertAlign val="subscript"/>
        <sz val="10"/>
        <rFont val="Franklin Gothic Book"/>
        <family val="2"/>
      </rPr>
      <t>LT</t>
    </r>
    <phoneticPr fontId="9" type="noConversion"/>
  </si>
  <si>
    <r>
      <t>w</t>
    </r>
    <r>
      <rPr>
        <vertAlign val="subscript"/>
        <sz val="10"/>
        <rFont val="Franklin Gothic Book"/>
        <family val="2"/>
      </rPr>
      <t>site</t>
    </r>
    <phoneticPr fontId="9" type="noConversion"/>
  </si>
  <si>
    <r>
      <t>EC</t>
    </r>
    <r>
      <rPr>
        <vertAlign val="subscript"/>
        <sz val="10"/>
        <rFont val="Franklin Gothic Book"/>
        <family val="2"/>
      </rPr>
      <t>PJ,y</t>
    </r>
    <r>
      <rPr>
        <sz val="10"/>
        <rFont val="Franklin Gothic Book"/>
        <family val="2"/>
      </rPr>
      <t>(MWh)-grid company</t>
    </r>
    <phoneticPr fontId="9" type="noConversion"/>
  </si>
  <si>
    <r>
      <t>Vf1(m</t>
    </r>
    <r>
      <rPr>
        <vertAlign val="superscript"/>
        <sz val="10"/>
        <rFont val="Franklin Gothic Book"/>
        <family val="2"/>
      </rPr>
      <t>3</t>
    </r>
    <r>
      <rPr>
        <sz val="10"/>
        <rFont val="Franklin Gothic Book"/>
        <family val="2"/>
      </rPr>
      <t>)</t>
    </r>
    <phoneticPr fontId="9" type="noConversion"/>
  </si>
  <si>
    <r>
      <t>Vf2(m</t>
    </r>
    <r>
      <rPr>
        <vertAlign val="superscript"/>
        <sz val="10"/>
        <rFont val="Franklin Gothic Book"/>
        <family val="2"/>
      </rPr>
      <t>3</t>
    </r>
    <r>
      <rPr>
        <sz val="10"/>
        <rFont val="Franklin Gothic Book"/>
        <family val="2"/>
      </rPr>
      <t>)</t>
    </r>
    <phoneticPr fontId="9" type="noConversion"/>
  </si>
  <si>
    <r>
      <t>T</t>
    </r>
    <r>
      <rPr>
        <vertAlign val="subscript"/>
        <sz val="10"/>
        <rFont val="Franklin Gothic Book"/>
        <family val="2"/>
      </rPr>
      <t>t</t>
    </r>
    <r>
      <rPr>
        <sz val="10"/>
        <rFont val="Franklin Gothic Book"/>
        <family val="2"/>
      </rPr>
      <t>(°C)</t>
    </r>
    <phoneticPr fontId="9" type="noConversion"/>
  </si>
  <si>
    <r>
      <t>P</t>
    </r>
    <r>
      <rPr>
        <vertAlign val="subscript"/>
        <sz val="10"/>
        <rFont val="Franklin Gothic Book"/>
        <family val="2"/>
      </rPr>
      <t>t</t>
    </r>
    <r>
      <rPr>
        <sz val="10"/>
        <rFont val="Franklin Gothic Book"/>
        <family val="2"/>
      </rPr>
      <t>(pa)</t>
    </r>
    <phoneticPr fontId="9" type="noConversion"/>
  </si>
  <si>
    <r>
      <t>ρ</t>
    </r>
    <r>
      <rPr>
        <vertAlign val="subscript"/>
        <sz val="10"/>
        <rFont val="Franklin Gothic Book"/>
        <family val="2"/>
      </rPr>
      <t>i,n</t>
    </r>
    <r>
      <rPr>
        <sz val="10"/>
        <rFont val="Franklin Gothic Book"/>
        <family val="2"/>
      </rPr>
      <t>(t/m3)</t>
    </r>
    <phoneticPr fontId="9" type="noConversion"/>
  </si>
  <si>
    <r>
      <t>V</t>
    </r>
    <r>
      <rPr>
        <vertAlign val="subscript"/>
        <sz val="10"/>
        <rFont val="Franklin Gothic Book"/>
        <family val="2"/>
      </rPr>
      <t>i,t,db</t>
    </r>
    <r>
      <rPr>
        <sz val="10"/>
        <rFont val="Franklin Gothic Book"/>
        <family val="2"/>
      </rPr>
      <t>(%)</t>
    </r>
    <phoneticPr fontId="9" type="noConversion"/>
  </si>
  <si>
    <r>
      <t>Fi,t(t CH</t>
    </r>
    <r>
      <rPr>
        <vertAlign val="subscript"/>
        <sz val="10"/>
        <rFont val="Franklin Gothic Book"/>
        <family val="2"/>
      </rPr>
      <t>4</t>
    </r>
    <r>
      <rPr>
        <sz val="10"/>
        <rFont val="Franklin Gothic Book"/>
        <family val="2"/>
      </rPr>
      <t>/month)</t>
    </r>
    <phoneticPr fontId="9" type="noConversion"/>
  </si>
  <si>
    <r>
      <t xml:space="preserve"> </t>
    </r>
    <r>
      <rPr>
        <b/>
        <sz val="12"/>
        <color indexed="8"/>
        <rFont val="Franklin Gothic Book"/>
        <family val="2"/>
      </rPr>
      <t>m</t>
    </r>
    <r>
      <rPr>
        <b/>
        <vertAlign val="subscript"/>
        <sz val="12"/>
        <color indexed="8"/>
        <rFont val="Franklin Gothic Book"/>
        <family val="2"/>
      </rPr>
      <t>Strat</t>
    </r>
    <phoneticPr fontId="9" type="noConversion"/>
  </si>
  <si>
    <r>
      <t>s.e. (m</t>
    </r>
    <r>
      <rPr>
        <b/>
        <vertAlign val="subscript"/>
        <sz val="12"/>
        <rFont val="Franklin Gothic Book"/>
        <family val="2"/>
      </rPr>
      <t>Strat</t>
    </r>
    <r>
      <rPr>
        <b/>
        <sz val="12"/>
        <rFont val="Franklin Gothic Book"/>
        <family val="2"/>
      </rPr>
      <t>)</t>
    </r>
    <phoneticPr fontId="9" type="noConversion"/>
  </si>
  <si>
    <r>
      <t>m</t>
    </r>
    <r>
      <rPr>
        <vertAlign val="subscript"/>
        <sz val="11"/>
        <rFont val="Franklin Gothic Book"/>
        <family val="2"/>
      </rPr>
      <t>i</t>
    </r>
    <phoneticPr fontId="9" type="noConversion"/>
  </si>
  <si>
    <r>
      <t xml:space="preserve"> </t>
    </r>
    <r>
      <rPr>
        <sz val="10.5"/>
        <color indexed="8"/>
        <rFont val="Franklin Gothic Book"/>
        <family val="2"/>
      </rPr>
      <t>SD</t>
    </r>
    <r>
      <rPr>
        <vertAlign val="subscript"/>
        <sz val="10.5"/>
        <color indexed="8"/>
        <rFont val="Franklin Gothic Book"/>
        <family val="2"/>
      </rPr>
      <t>i</t>
    </r>
    <phoneticPr fontId="9" type="noConversion"/>
  </si>
  <si>
    <r>
      <t>n</t>
    </r>
    <r>
      <rPr>
        <vertAlign val="subscript"/>
        <sz val="11"/>
        <rFont val="Franklin Gothic Book"/>
        <family val="2"/>
      </rPr>
      <t>i</t>
    </r>
    <phoneticPr fontId="9" type="noConversion"/>
  </si>
  <si>
    <r>
      <t>g</t>
    </r>
    <r>
      <rPr>
        <vertAlign val="subscript"/>
        <sz val="11"/>
        <rFont val="Franklin Gothic Book"/>
        <family val="2"/>
      </rPr>
      <t>i</t>
    </r>
    <phoneticPr fontId="9" type="noConversion"/>
  </si>
  <si>
    <r>
      <t>g</t>
    </r>
    <r>
      <rPr>
        <vertAlign val="subscript"/>
        <sz val="11"/>
        <rFont val="Franklin Gothic Book"/>
        <family val="2"/>
      </rPr>
      <t>i</t>
    </r>
    <r>
      <rPr>
        <sz val="11"/>
        <rFont val="Franklin Gothic Book"/>
        <family val="2"/>
      </rPr>
      <t>/N</t>
    </r>
    <phoneticPr fontId="9" type="noConversion"/>
  </si>
  <si>
    <r>
      <t>g</t>
    </r>
    <r>
      <rPr>
        <vertAlign val="subscript"/>
        <sz val="11"/>
        <rFont val="Franklin Gothic Book"/>
        <family val="2"/>
      </rPr>
      <t>i</t>
    </r>
    <r>
      <rPr>
        <sz val="11"/>
        <rFont val="Franklin Gothic Book"/>
        <family val="2"/>
      </rPr>
      <t>*m</t>
    </r>
    <r>
      <rPr>
        <vertAlign val="subscript"/>
        <sz val="11"/>
        <rFont val="Franklin Gothic Book"/>
        <family val="2"/>
      </rPr>
      <t>i</t>
    </r>
    <r>
      <rPr>
        <sz val="11"/>
        <rFont val="Franklin Gothic Book"/>
        <family val="2"/>
      </rPr>
      <t>/N</t>
    </r>
    <phoneticPr fontId="9" type="noConversion"/>
  </si>
  <si>
    <r>
      <t>1-(n</t>
    </r>
    <r>
      <rPr>
        <vertAlign val="subscript"/>
        <sz val="11"/>
        <rFont val="Franklin Gothic Book"/>
        <family val="2"/>
      </rPr>
      <t>i</t>
    </r>
    <r>
      <rPr>
        <sz val="11"/>
        <rFont val="Franklin Gothic Book"/>
        <family val="2"/>
      </rPr>
      <t>/g</t>
    </r>
    <r>
      <rPr>
        <vertAlign val="subscript"/>
        <sz val="11"/>
        <rFont val="Franklin Gothic Book"/>
        <family val="2"/>
      </rPr>
      <t>i</t>
    </r>
    <r>
      <rPr>
        <sz val="11"/>
        <rFont val="Franklin Gothic Book"/>
        <family val="2"/>
      </rPr>
      <t>)</t>
    </r>
    <phoneticPr fontId="9" type="noConversion"/>
  </si>
  <si>
    <r>
      <t>SD</t>
    </r>
    <r>
      <rPr>
        <vertAlign val="subscript"/>
        <sz val="11"/>
        <rFont val="Franklin Gothic Book"/>
        <family val="2"/>
      </rPr>
      <t>i</t>
    </r>
    <r>
      <rPr>
        <vertAlign val="superscript"/>
        <sz val="11"/>
        <rFont val="Franklin Gothic Book"/>
        <family val="2"/>
      </rPr>
      <t>2</t>
    </r>
    <r>
      <rPr>
        <sz val="11"/>
        <rFont val="Franklin Gothic Book"/>
        <family val="2"/>
      </rPr>
      <t>/n</t>
    </r>
    <r>
      <rPr>
        <vertAlign val="subscript"/>
        <sz val="11"/>
        <rFont val="Franklin Gothic Book"/>
        <family val="2"/>
      </rPr>
      <t>i</t>
    </r>
    <phoneticPr fontId="9" type="noConversion"/>
  </si>
  <si>
    <r>
      <t xml:space="preserve"> m</t>
    </r>
    <r>
      <rPr>
        <b/>
        <vertAlign val="subscript"/>
        <sz val="11"/>
        <rFont val="Franklin Gothic Book"/>
        <family val="2"/>
      </rPr>
      <t xml:space="preserve">Strat </t>
    </r>
    <r>
      <rPr>
        <b/>
        <sz val="11"/>
        <rFont val="Franklin Gothic Book"/>
        <family val="2"/>
      </rPr>
      <t xml:space="preserve"> </t>
    </r>
    <phoneticPr fontId="9" type="noConversion"/>
  </si>
  <si>
    <r>
      <t xml:space="preserve"> g</t>
    </r>
    <r>
      <rPr>
        <b/>
        <vertAlign val="subscript"/>
        <sz val="11"/>
        <rFont val="Franklin Gothic Book"/>
        <family val="2"/>
      </rPr>
      <t xml:space="preserve">i  </t>
    </r>
    <phoneticPr fontId="9" type="noConversion"/>
  </si>
  <si>
    <r>
      <t xml:space="preserve"> Size of the i</t>
    </r>
    <r>
      <rPr>
        <vertAlign val="superscript"/>
        <sz val="11"/>
        <rFont val="Franklin Gothic Book"/>
        <family val="2"/>
      </rPr>
      <t>th</t>
    </r>
    <r>
      <rPr>
        <sz val="11"/>
        <rFont val="Franklin Gothic Book"/>
        <family val="2"/>
      </rPr>
      <t xml:space="preserve"> district where i=a,…,k  </t>
    </r>
    <phoneticPr fontId="9" type="noConversion"/>
  </si>
  <si>
    <r>
      <t xml:space="preserve"> m</t>
    </r>
    <r>
      <rPr>
        <b/>
        <vertAlign val="subscript"/>
        <sz val="11"/>
        <rFont val="Franklin Gothic Book"/>
        <family val="2"/>
      </rPr>
      <t xml:space="preserve">i  </t>
    </r>
    <phoneticPr fontId="9" type="noConversion"/>
  </si>
  <si>
    <r>
      <t xml:space="preserve"> Mean of the i</t>
    </r>
    <r>
      <rPr>
        <vertAlign val="superscript"/>
        <sz val="11"/>
        <rFont val="Franklin Gothic Book"/>
        <family val="2"/>
      </rPr>
      <t>th</t>
    </r>
    <r>
      <rPr>
        <sz val="11"/>
        <rFont val="Franklin Gothic Book"/>
        <family val="2"/>
      </rPr>
      <t xml:space="preserve"> district where i= a,…,k  </t>
    </r>
    <phoneticPr fontId="9" type="noConversion"/>
  </si>
  <si>
    <r>
      <t>s.e. (m</t>
    </r>
    <r>
      <rPr>
        <b/>
        <vertAlign val="subscript"/>
        <sz val="11"/>
        <rFont val="Franklin Gothic Book"/>
        <family val="2"/>
      </rPr>
      <t>Strat</t>
    </r>
    <r>
      <rPr>
        <b/>
        <sz val="11"/>
        <rFont val="Franklin Gothic Book"/>
        <family val="2"/>
      </rPr>
      <t xml:space="preserve">)   </t>
    </r>
    <phoneticPr fontId="9" type="noConversion"/>
  </si>
  <si>
    <r>
      <t xml:space="preserve"> n</t>
    </r>
    <r>
      <rPr>
        <b/>
        <vertAlign val="subscript"/>
        <sz val="11"/>
        <rFont val="Franklin Gothic Book"/>
        <family val="2"/>
      </rPr>
      <t xml:space="preserve">i </t>
    </r>
    <r>
      <rPr>
        <b/>
        <sz val="11"/>
        <rFont val="Franklin Gothic Book"/>
        <family val="2"/>
      </rPr>
      <t xml:space="preserve"> </t>
    </r>
    <phoneticPr fontId="9" type="noConversion"/>
  </si>
  <si>
    <r>
      <t xml:space="preserve"> Number of sampled units the i</t>
    </r>
    <r>
      <rPr>
        <vertAlign val="superscript"/>
        <sz val="11"/>
        <rFont val="Franklin Gothic Book"/>
        <family val="2"/>
      </rPr>
      <t>th</t>
    </r>
    <r>
      <rPr>
        <sz val="11"/>
        <rFont val="Franklin Gothic Book"/>
        <family val="2"/>
      </rPr>
      <t xml:space="preserve"> district where i=a,…,k  </t>
    </r>
    <phoneticPr fontId="9" type="noConversion"/>
  </si>
  <si>
    <r>
      <t xml:space="preserve"> SD</t>
    </r>
    <r>
      <rPr>
        <b/>
        <vertAlign val="subscript"/>
        <sz val="11"/>
        <rFont val="Franklin Gothic Book"/>
        <family val="2"/>
      </rPr>
      <t>i</t>
    </r>
    <r>
      <rPr>
        <b/>
        <vertAlign val="superscript"/>
        <sz val="11"/>
        <rFont val="Franklin Gothic Book"/>
        <family val="2"/>
      </rPr>
      <t>2</t>
    </r>
    <r>
      <rPr>
        <b/>
        <sz val="11"/>
        <rFont val="Franklin Gothic Book"/>
        <family val="2"/>
      </rPr>
      <t xml:space="preserve">  </t>
    </r>
    <phoneticPr fontId="9" type="noConversion"/>
  </si>
  <si>
    <r>
      <t xml:space="preserve"> Variance of the i</t>
    </r>
    <r>
      <rPr>
        <vertAlign val="superscript"/>
        <sz val="11"/>
        <rFont val="Franklin Gothic Book"/>
        <family val="2"/>
      </rPr>
      <t>th</t>
    </r>
    <r>
      <rPr>
        <sz val="11"/>
        <rFont val="Franklin Gothic Book"/>
        <family val="2"/>
      </rPr>
      <t xml:space="preserve"> district where i=a,…,k </t>
    </r>
    <phoneticPr fontId="9" type="noConversion"/>
  </si>
  <si>
    <r>
      <t xml:space="preserve">The precision associated with an estimate is: 
</t>
    </r>
    <r>
      <rPr>
        <b/>
        <sz val="12"/>
        <rFont val="Franklin Gothic Book"/>
        <family val="2"/>
      </rPr>
      <t>t-value × standard error of the mean</t>
    </r>
    <phoneticPr fontId="9" type="noConversion"/>
  </si>
  <si>
    <r>
      <t xml:space="preserve">Precision </t>
    </r>
    <r>
      <rPr>
        <b/>
        <sz val="12"/>
        <color indexed="8"/>
        <rFont val="Franklin Gothic Book"/>
        <family val="2"/>
      </rPr>
      <t xml:space="preserve"> </t>
    </r>
    <r>
      <rPr>
        <b/>
        <sz val="12"/>
        <rFont val="Franklin Gothic Book"/>
        <family val="2"/>
      </rPr>
      <t xml:space="preserve"> </t>
    </r>
    <phoneticPr fontId="9" type="noConversion"/>
  </si>
  <si>
    <r>
      <t>EF</t>
    </r>
    <r>
      <rPr>
        <i/>
        <vertAlign val="subscript"/>
        <sz val="10"/>
        <rFont val="Franklin Gothic Book"/>
        <family val="2"/>
      </rPr>
      <t>N2O,D,j</t>
    </r>
  </si>
  <si>
    <r>
      <t>kg N</t>
    </r>
    <r>
      <rPr>
        <vertAlign val="subscript"/>
        <sz val="10"/>
        <rFont val="Franklin Gothic Book"/>
        <family val="2"/>
      </rPr>
      <t>2</t>
    </r>
    <r>
      <rPr>
        <sz val="10"/>
        <rFont val="Franklin Gothic Book"/>
        <family val="2"/>
      </rPr>
      <t>O-N/kg N</t>
    </r>
    <phoneticPr fontId="0" type="noConversion"/>
  </si>
  <si>
    <r>
      <t>N</t>
    </r>
    <r>
      <rPr>
        <i/>
        <vertAlign val="subscript"/>
        <sz val="10"/>
        <rFont val="Franklin Gothic Book"/>
        <family val="2"/>
      </rPr>
      <t>rate(T)</t>
    </r>
    <phoneticPr fontId="0" type="noConversion"/>
  </si>
  <si>
    <r>
      <t>NEX</t>
    </r>
    <r>
      <rPr>
        <i/>
        <vertAlign val="subscript"/>
        <sz val="8"/>
        <rFont val="Franklin Gothic Book"/>
        <family val="2"/>
      </rPr>
      <t>IPCCdefault</t>
    </r>
    <phoneticPr fontId="0" type="noConversion"/>
  </si>
  <si>
    <r>
      <t>W</t>
    </r>
    <r>
      <rPr>
        <i/>
        <vertAlign val="subscript"/>
        <sz val="8"/>
        <rFont val="Franklin Gothic Book"/>
        <family val="2"/>
      </rPr>
      <t>default</t>
    </r>
    <phoneticPr fontId="0" type="noConversion"/>
  </si>
  <si>
    <r>
      <t>NEX</t>
    </r>
    <r>
      <rPr>
        <i/>
        <vertAlign val="subscript"/>
        <sz val="10"/>
        <rFont val="Franklin Gothic Book"/>
        <family val="2"/>
      </rPr>
      <t>LT,y</t>
    </r>
    <phoneticPr fontId="0" type="noConversion"/>
  </si>
  <si>
    <r>
      <t>N</t>
    </r>
    <r>
      <rPr>
        <i/>
        <vertAlign val="subscript"/>
        <sz val="8"/>
        <rFont val="Franklin Gothic Book"/>
        <family val="2"/>
      </rPr>
      <t>LT</t>
    </r>
    <phoneticPr fontId="0" type="noConversion"/>
  </si>
  <si>
    <r>
      <t>E</t>
    </r>
    <r>
      <rPr>
        <vertAlign val="subscript"/>
        <sz val="10"/>
        <rFont val="Franklin Gothic Book"/>
        <family val="2"/>
      </rPr>
      <t>N2O,D,y</t>
    </r>
    <r>
      <rPr>
        <sz val="10"/>
        <rFont val="Franklin Gothic Book"/>
        <family val="2"/>
      </rPr>
      <t>-monthly</t>
    </r>
    <phoneticPr fontId="0" type="noConversion"/>
  </si>
  <si>
    <r>
      <t>kg N</t>
    </r>
    <r>
      <rPr>
        <vertAlign val="subscript"/>
        <sz val="10"/>
        <rFont val="Franklin Gothic Book"/>
        <family val="2"/>
      </rPr>
      <t>2</t>
    </r>
    <r>
      <rPr>
        <sz val="10"/>
        <rFont val="Franklin Gothic Book"/>
        <family val="2"/>
      </rPr>
      <t>O-N/year</t>
    </r>
    <phoneticPr fontId="0" type="noConversion"/>
  </si>
  <si>
    <r>
      <t>E</t>
    </r>
    <r>
      <rPr>
        <b/>
        <vertAlign val="subscript"/>
        <sz val="10"/>
        <rFont val="Franklin Gothic Book"/>
        <family val="2"/>
      </rPr>
      <t xml:space="preserve">N2O,D,y </t>
    </r>
    <r>
      <rPr>
        <b/>
        <sz val="10"/>
        <rFont val="Franklin Gothic Book"/>
        <family val="2"/>
      </rPr>
      <t>in this monitoring period</t>
    </r>
    <phoneticPr fontId="0" type="noConversion"/>
  </si>
  <si>
    <r>
      <t>EF</t>
    </r>
    <r>
      <rPr>
        <i/>
        <vertAlign val="subscript"/>
        <sz val="10"/>
        <rFont val="Franklin Gothic Book"/>
        <family val="2"/>
      </rPr>
      <t>N2O,ID,j</t>
    </r>
    <phoneticPr fontId="0" type="noConversion"/>
  </si>
  <si>
    <r>
      <t>kg N</t>
    </r>
    <r>
      <rPr>
        <vertAlign val="subscript"/>
        <sz val="10"/>
        <rFont val="Franklin Gothic Book"/>
        <family val="2"/>
      </rPr>
      <t>2</t>
    </r>
    <r>
      <rPr>
        <sz val="10"/>
        <rFont val="Franklin Gothic Book"/>
        <family val="2"/>
      </rPr>
      <t>O/kg N</t>
    </r>
    <phoneticPr fontId="0" type="noConversion"/>
  </si>
  <si>
    <r>
      <t>F</t>
    </r>
    <r>
      <rPr>
        <i/>
        <vertAlign val="subscript"/>
        <sz val="10"/>
        <rFont val="Franklin Gothic Book"/>
        <family val="2"/>
      </rPr>
      <t>gasMS,j,LT</t>
    </r>
    <phoneticPr fontId="0" type="noConversion"/>
  </si>
  <si>
    <r>
      <t>NEX</t>
    </r>
    <r>
      <rPr>
        <vertAlign val="subscript"/>
        <sz val="8"/>
        <rFont val="Franklin Gothic Book"/>
        <family val="2"/>
      </rPr>
      <t>LT</t>
    </r>
    <r>
      <rPr>
        <vertAlign val="subscript"/>
        <sz val="10"/>
        <rFont val="Franklin Gothic Book"/>
        <family val="2"/>
      </rPr>
      <t>,y</t>
    </r>
    <phoneticPr fontId="0" type="noConversion"/>
  </si>
  <si>
    <r>
      <t>GWP</t>
    </r>
    <r>
      <rPr>
        <vertAlign val="subscript"/>
        <sz val="10"/>
        <rFont val="Franklin Gothic Book"/>
        <family val="2"/>
      </rPr>
      <t>N2O</t>
    </r>
    <phoneticPr fontId="0" type="noConversion"/>
  </si>
  <si>
    <r>
      <t>tCO</t>
    </r>
    <r>
      <rPr>
        <vertAlign val="subscript"/>
        <sz val="10"/>
        <rFont val="Franklin Gothic Book"/>
        <family val="2"/>
      </rPr>
      <t>2</t>
    </r>
    <r>
      <rPr>
        <sz val="10"/>
        <rFont val="Franklin Gothic Book"/>
        <family val="2"/>
      </rPr>
      <t>/t N</t>
    </r>
    <r>
      <rPr>
        <vertAlign val="subscript"/>
        <sz val="10"/>
        <rFont val="Franklin Gothic Book"/>
        <family val="2"/>
      </rPr>
      <t>2</t>
    </r>
    <r>
      <rPr>
        <sz val="10"/>
        <rFont val="Franklin Gothic Book"/>
        <family val="2"/>
      </rPr>
      <t>O</t>
    </r>
    <phoneticPr fontId="0" type="noConversion"/>
  </si>
  <si>
    <r>
      <t>CF</t>
    </r>
    <r>
      <rPr>
        <vertAlign val="subscript"/>
        <sz val="10"/>
        <rFont val="Franklin Gothic Book"/>
        <family val="2"/>
      </rPr>
      <t>N20,N-N</t>
    </r>
    <phoneticPr fontId="0" type="noConversion"/>
  </si>
  <si>
    <r>
      <t>Conversion Factor N</t>
    </r>
    <r>
      <rPr>
        <vertAlign val="subscript"/>
        <sz val="10"/>
        <rFont val="Franklin Gothic Book"/>
        <family val="2"/>
      </rPr>
      <t>2</t>
    </r>
    <r>
      <rPr>
        <sz val="10"/>
        <rFont val="Franklin Gothic Book"/>
        <family val="2"/>
      </rPr>
      <t>O-N to N</t>
    </r>
    <r>
      <rPr>
        <vertAlign val="subscript"/>
        <sz val="10"/>
        <rFont val="Franklin Gothic Book"/>
        <family val="2"/>
      </rPr>
      <t>2</t>
    </r>
    <r>
      <rPr>
        <sz val="10"/>
        <rFont val="Franklin Gothic Book"/>
        <family val="2"/>
      </rPr>
      <t>O</t>
    </r>
    <phoneticPr fontId="0" type="noConversion"/>
  </si>
  <si>
    <r>
      <t>E</t>
    </r>
    <r>
      <rPr>
        <b/>
        <vertAlign val="subscript"/>
        <sz val="10"/>
        <rFont val="Franklin Gothic Book"/>
        <family val="2"/>
      </rPr>
      <t>N2O,ID,y</t>
    </r>
    <r>
      <rPr>
        <b/>
        <sz val="10"/>
        <rFont val="Franklin Gothic Book"/>
        <family val="2"/>
      </rPr>
      <t>-monthly</t>
    </r>
    <phoneticPr fontId="0" type="noConversion"/>
  </si>
  <si>
    <r>
      <t>E</t>
    </r>
    <r>
      <rPr>
        <b/>
        <vertAlign val="subscript"/>
        <sz val="10"/>
        <rFont val="Franklin Gothic Book"/>
        <family val="2"/>
      </rPr>
      <t xml:space="preserve">N2O,ID,y </t>
    </r>
    <r>
      <rPr>
        <b/>
        <sz val="10"/>
        <rFont val="Franklin Gothic Book"/>
        <family val="2"/>
      </rPr>
      <t>in this monitoring period</t>
    </r>
    <phoneticPr fontId="0" type="noConversion"/>
  </si>
  <si>
    <r>
      <t>BE</t>
    </r>
    <r>
      <rPr>
        <i/>
        <sz val="8"/>
        <rFont val="Franklin Gothic Book"/>
        <family val="2"/>
      </rPr>
      <t xml:space="preserve">N2O,y </t>
    </r>
    <r>
      <rPr>
        <b/>
        <sz val="10"/>
        <rFont val="Franklin Gothic Book"/>
        <family val="2"/>
      </rPr>
      <t>= GWP</t>
    </r>
    <r>
      <rPr>
        <b/>
        <sz val="8"/>
        <rFont val="Franklin Gothic Book"/>
        <family val="2"/>
      </rPr>
      <t>N2O</t>
    </r>
    <r>
      <rPr>
        <b/>
        <sz val="10"/>
        <rFont val="Franklin Gothic Book"/>
        <family val="2"/>
      </rPr>
      <t>*CF</t>
    </r>
    <r>
      <rPr>
        <b/>
        <sz val="8"/>
        <rFont val="Franklin Gothic Book"/>
        <family val="2"/>
      </rPr>
      <t>N2O-N,N</t>
    </r>
    <r>
      <rPr>
        <b/>
        <sz val="10"/>
        <rFont val="Franklin Gothic Book"/>
        <family val="2"/>
      </rPr>
      <t>* 1/1000*(E</t>
    </r>
    <r>
      <rPr>
        <b/>
        <sz val="8"/>
        <rFont val="Franklin Gothic Book"/>
        <family val="2"/>
      </rPr>
      <t>N2O,D,y</t>
    </r>
    <r>
      <rPr>
        <b/>
        <sz val="10"/>
        <rFont val="Franklin Gothic Book"/>
        <family val="2"/>
      </rPr>
      <t xml:space="preserve"> + E</t>
    </r>
    <r>
      <rPr>
        <b/>
        <sz val="8"/>
        <rFont val="Franklin Gothic Book"/>
        <family val="2"/>
      </rPr>
      <t>N2O,ID,y</t>
    </r>
    <r>
      <rPr>
        <b/>
        <sz val="10"/>
        <rFont val="Franklin Gothic Book"/>
        <family val="2"/>
      </rPr>
      <t>) =</t>
    </r>
    <phoneticPr fontId="0" type="noConversion"/>
  </si>
  <si>
    <r>
      <t>EC</t>
    </r>
    <r>
      <rPr>
        <vertAlign val="subscript"/>
        <sz val="10"/>
        <rFont val="Franklin Gothic Book"/>
        <family val="2"/>
      </rPr>
      <t>PJ,j,y</t>
    </r>
    <phoneticPr fontId="0" type="noConversion"/>
  </si>
  <si>
    <r>
      <t>EF</t>
    </r>
    <r>
      <rPr>
        <vertAlign val="subscript"/>
        <sz val="10"/>
        <rFont val="Franklin Gothic Book"/>
        <family val="2"/>
      </rPr>
      <t>EF,j,y</t>
    </r>
    <phoneticPr fontId="0" type="noConversion"/>
  </si>
  <si>
    <r>
      <t>tCO</t>
    </r>
    <r>
      <rPr>
        <vertAlign val="subscript"/>
        <sz val="10"/>
        <rFont val="Franklin Gothic Book"/>
        <family val="2"/>
      </rPr>
      <t>2</t>
    </r>
    <r>
      <rPr>
        <sz val="10"/>
        <rFont val="Franklin Gothic Book"/>
        <family val="2"/>
      </rPr>
      <t>/MWh</t>
    </r>
    <phoneticPr fontId="0" type="noConversion"/>
  </si>
  <si>
    <r>
      <t>TDL</t>
    </r>
    <r>
      <rPr>
        <vertAlign val="subscript"/>
        <sz val="10"/>
        <rFont val="Franklin Gothic Book"/>
        <family val="2"/>
      </rPr>
      <t>j,y</t>
    </r>
    <phoneticPr fontId="0" type="noConversion"/>
  </si>
  <si>
    <r>
      <t>PE</t>
    </r>
    <r>
      <rPr>
        <b/>
        <vertAlign val="subscript"/>
        <sz val="10"/>
        <rFont val="Franklin Gothic Book"/>
        <family val="2"/>
      </rPr>
      <t>EC,y</t>
    </r>
    <r>
      <rPr>
        <b/>
        <sz val="10"/>
        <rFont val="Franklin Gothic Book"/>
        <family val="2"/>
      </rPr>
      <t>-monthly</t>
    </r>
    <phoneticPr fontId="0" type="noConversion"/>
  </si>
  <si>
    <r>
      <t>PE</t>
    </r>
    <r>
      <rPr>
        <b/>
        <vertAlign val="subscript"/>
        <sz val="10"/>
        <rFont val="Franklin Gothic Book"/>
        <family val="2"/>
      </rPr>
      <t>FC,y</t>
    </r>
    <r>
      <rPr>
        <b/>
        <sz val="10"/>
        <rFont val="Franklin Gothic Book"/>
        <family val="2"/>
      </rPr>
      <t xml:space="preserve"> in this monitoring period</t>
    </r>
    <phoneticPr fontId="0" type="noConversion"/>
  </si>
  <si>
    <r>
      <t>GWP</t>
    </r>
    <r>
      <rPr>
        <vertAlign val="subscript"/>
        <sz val="10"/>
        <rFont val="Franklin Gothic Book"/>
        <family val="2"/>
      </rPr>
      <t>CH4</t>
    </r>
    <phoneticPr fontId="0" type="noConversion"/>
  </si>
  <si>
    <r>
      <t>D</t>
    </r>
    <r>
      <rPr>
        <vertAlign val="subscript"/>
        <sz val="10"/>
        <rFont val="Franklin Gothic Book"/>
        <family val="2"/>
      </rPr>
      <t>CH4</t>
    </r>
    <phoneticPr fontId="0" type="noConversion"/>
  </si>
  <si>
    <r>
      <t>t/m</t>
    </r>
    <r>
      <rPr>
        <vertAlign val="superscript"/>
        <sz val="10"/>
        <rFont val="Franklin Gothic Book"/>
        <family val="2"/>
      </rPr>
      <t>3</t>
    </r>
    <phoneticPr fontId="0" type="noConversion"/>
  </si>
  <si>
    <r>
      <t>F</t>
    </r>
    <r>
      <rPr>
        <vertAlign val="subscript"/>
        <sz val="10"/>
        <rFont val="Franklin Gothic Book"/>
        <family val="2"/>
      </rPr>
      <t>Aer</t>
    </r>
    <phoneticPr fontId="0" type="noConversion"/>
  </si>
  <si>
    <r>
      <t>1-R</t>
    </r>
    <r>
      <rPr>
        <vertAlign val="subscript"/>
        <sz val="10"/>
        <rFont val="Franklin Gothic Book"/>
        <family val="2"/>
      </rPr>
      <t>vs,n</t>
    </r>
    <phoneticPr fontId="0" type="noConversion"/>
  </si>
  <si>
    <r>
      <t>B</t>
    </r>
    <r>
      <rPr>
        <vertAlign val="subscript"/>
        <sz val="10"/>
        <rFont val="Franklin Gothic Book"/>
        <family val="2"/>
      </rPr>
      <t>0,LT</t>
    </r>
    <phoneticPr fontId="0" type="noConversion"/>
  </si>
  <si>
    <r>
      <t>m</t>
    </r>
    <r>
      <rPr>
        <vertAlign val="superscript"/>
        <sz val="10"/>
        <rFont val="Franklin Gothic Book"/>
        <family val="2"/>
      </rPr>
      <t>3</t>
    </r>
    <r>
      <rPr>
        <sz val="10"/>
        <rFont val="Franklin Gothic Book"/>
        <family val="2"/>
      </rPr>
      <t xml:space="preserve"> CH4 /kg_dm</t>
    </r>
    <phoneticPr fontId="0" type="noConversion"/>
  </si>
  <si>
    <r>
      <t>N</t>
    </r>
    <r>
      <rPr>
        <vertAlign val="subscript"/>
        <sz val="10"/>
        <rFont val="Franklin Gothic Book"/>
        <family val="2"/>
      </rPr>
      <t>LT</t>
    </r>
    <phoneticPr fontId="0" type="noConversion"/>
  </si>
  <si>
    <r>
      <t>VS</t>
    </r>
    <r>
      <rPr>
        <vertAlign val="subscript"/>
        <sz val="10"/>
        <rFont val="Franklin Gothic Book"/>
        <family val="2"/>
      </rPr>
      <t>LT,y</t>
    </r>
    <phoneticPr fontId="0" type="noConversion"/>
  </si>
  <si>
    <r>
      <t>MS%</t>
    </r>
    <r>
      <rPr>
        <vertAlign val="subscript"/>
        <sz val="10"/>
        <rFont val="Franklin Gothic Book"/>
        <family val="2"/>
      </rPr>
      <t>j</t>
    </r>
    <phoneticPr fontId="0" type="noConversion"/>
  </si>
  <si>
    <r>
      <t>PE</t>
    </r>
    <r>
      <rPr>
        <b/>
        <vertAlign val="subscript"/>
        <sz val="10"/>
        <rFont val="Franklin Gothic Book"/>
        <family val="2"/>
      </rPr>
      <t>Aer,y</t>
    </r>
    <r>
      <rPr>
        <b/>
        <sz val="10"/>
        <rFont val="Franklin Gothic Book"/>
        <family val="2"/>
      </rPr>
      <t>-monthly</t>
    </r>
    <phoneticPr fontId="0" type="noConversion"/>
  </si>
  <si>
    <r>
      <t>PE</t>
    </r>
    <r>
      <rPr>
        <b/>
        <vertAlign val="subscript"/>
        <sz val="10"/>
        <rFont val="Franklin Gothic Book"/>
        <family val="2"/>
      </rPr>
      <t xml:space="preserve">Aer,y </t>
    </r>
    <r>
      <rPr>
        <b/>
        <sz val="10"/>
        <rFont val="Franklin Gothic Book"/>
        <family val="2"/>
      </rPr>
      <t>in this monitoring period</t>
    </r>
    <phoneticPr fontId="0" type="noConversion"/>
  </si>
  <si>
    <r>
      <t>EF</t>
    </r>
    <r>
      <rPr>
        <sz val="8"/>
        <rFont val="Franklin Gothic Book"/>
        <family val="2"/>
      </rPr>
      <t xml:space="preserve">N2O,D,j </t>
    </r>
  </si>
  <si>
    <r>
      <t>NEX</t>
    </r>
    <r>
      <rPr>
        <sz val="7"/>
        <rFont val="Franklin Gothic Book"/>
        <family val="2"/>
      </rPr>
      <t>LT,y</t>
    </r>
  </si>
  <si>
    <r>
      <t>N</t>
    </r>
    <r>
      <rPr>
        <sz val="7"/>
        <rFont val="Franklin Gothic Book"/>
        <family val="2"/>
      </rPr>
      <t>LT</t>
    </r>
  </si>
  <si>
    <r>
      <t>EF</t>
    </r>
    <r>
      <rPr>
        <sz val="8"/>
        <rFont val="Franklin Gothic Book"/>
        <family val="2"/>
      </rPr>
      <t xml:space="preserve">N2O,D,j </t>
    </r>
    <phoneticPr fontId="0" type="noConversion"/>
  </si>
  <si>
    <r>
      <t>E</t>
    </r>
    <r>
      <rPr>
        <b/>
        <sz val="7"/>
        <rFont val="Franklin Gothic Book"/>
        <family val="2"/>
      </rPr>
      <t>N2O,D,y</t>
    </r>
    <r>
      <rPr>
        <b/>
        <sz val="10"/>
        <rFont val="Franklin Gothic Book"/>
        <family val="2"/>
      </rPr>
      <t>-monthlyh</t>
    </r>
    <phoneticPr fontId="0" type="noConversion"/>
  </si>
  <si>
    <r>
      <t>E</t>
    </r>
    <r>
      <rPr>
        <b/>
        <vertAlign val="subscript"/>
        <sz val="10"/>
        <rFont val="Franklin Gothic Book"/>
        <family val="2"/>
      </rPr>
      <t>N2O,D,y</t>
    </r>
    <r>
      <rPr>
        <b/>
        <sz val="10"/>
        <rFont val="Franklin Gothic Book"/>
        <family val="2"/>
      </rPr>
      <t xml:space="preserve"> in this monitoring period</t>
    </r>
    <phoneticPr fontId="0" type="noConversion"/>
  </si>
  <si>
    <r>
      <t>a) CH4 emissions: PE</t>
    </r>
    <r>
      <rPr>
        <i/>
        <sz val="8"/>
        <color indexed="9"/>
        <rFont val="Franklin Gothic Book"/>
        <family val="2"/>
      </rPr>
      <t>Aer,y</t>
    </r>
  </si>
  <si>
    <r>
      <t>EF</t>
    </r>
    <r>
      <rPr>
        <vertAlign val="subscript"/>
        <sz val="8"/>
        <rFont val="Franklin Gothic Book"/>
        <family val="2"/>
      </rPr>
      <t>N2O,ID</t>
    </r>
    <phoneticPr fontId="0" type="noConversion"/>
  </si>
  <si>
    <r>
      <t>F</t>
    </r>
    <r>
      <rPr>
        <vertAlign val="subscript"/>
        <sz val="10"/>
        <rFont val="Franklin Gothic Book"/>
        <family val="2"/>
      </rPr>
      <t>gasMS,j,LT</t>
    </r>
    <phoneticPr fontId="0" type="noConversion"/>
  </si>
  <si>
    <r>
      <t>NEX</t>
    </r>
    <r>
      <rPr>
        <vertAlign val="subscript"/>
        <sz val="10"/>
        <rFont val="Franklin Gothic Book"/>
        <family val="2"/>
      </rPr>
      <t>LT,y</t>
    </r>
    <phoneticPr fontId="0" type="noConversion"/>
  </si>
  <si>
    <r>
      <t>E</t>
    </r>
    <r>
      <rPr>
        <vertAlign val="subscript"/>
        <sz val="10"/>
        <rFont val="Franklin Gothic Book"/>
        <family val="2"/>
      </rPr>
      <t>N2O,ID,j</t>
    </r>
    <r>
      <rPr>
        <sz val="10"/>
        <rFont val="Franklin Gothic Book"/>
        <family val="2"/>
      </rPr>
      <t>-monthy</t>
    </r>
    <phoneticPr fontId="0" type="noConversion"/>
  </si>
  <si>
    <r>
      <t>E</t>
    </r>
    <r>
      <rPr>
        <b/>
        <vertAlign val="subscript"/>
        <sz val="10"/>
        <rFont val="Franklin Gothic Book"/>
        <family val="2"/>
      </rPr>
      <t xml:space="preserve">N2O,ID,j </t>
    </r>
    <r>
      <rPr>
        <b/>
        <sz val="10"/>
        <rFont val="Franklin Gothic Book"/>
        <family val="2"/>
      </rPr>
      <t>in this monitoring period</t>
    </r>
    <phoneticPr fontId="0" type="noConversion"/>
  </si>
  <si>
    <r>
      <t>E</t>
    </r>
    <r>
      <rPr>
        <b/>
        <vertAlign val="subscript"/>
        <sz val="10"/>
        <rFont val="Franklin Gothic Book"/>
        <family val="2"/>
      </rPr>
      <t>N2O,ID,j</t>
    </r>
    <r>
      <rPr>
        <sz val="10"/>
        <rFont val="Franklin Gothic Book"/>
        <family val="2"/>
      </rPr>
      <t>-monthly</t>
    </r>
    <phoneticPr fontId="0" type="noConversion"/>
  </si>
  <si>
    <r>
      <t>E</t>
    </r>
    <r>
      <rPr>
        <b/>
        <vertAlign val="subscript"/>
        <sz val="10"/>
        <rFont val="Franklin Gothic Book"/>
        <family val="2"/>
      </rPr>
      <t>N2O,ID,j</t>
    </r>
    <r>
      <rPr>
        <sz val="10"/>
        <rFont val="Franklin Gothic Book"/>
        <family val="2"/>
      </rPr>
      <t xml:space="preserve"> in this monitoring period</t>
    </r>
    <phoneticPr fontId="0" type="noConversion"/>
  </si>
  <si>
    <r>
      <t>N</t>
    </r>
    <r>
      <rPr>
        <vertAlign val="subscript"/>
        <sz val="8"/>
        <rFont val="Franklin Gothic Book"/>
        <family val="2"/>
      </rPr>
      <t>LT</t>
    </r>
    <phoneticPr fontId="0" type="noConversion"/>
  </si>
  <si>
    <r>
      <t>NEX</t>
    </r>
    <r>
      <rPr>
        <vertAlign val="subscript"/>
        <sz val="8"/>
        <rFont val="Franklin Gothic Book"/>
        <family val="2"/>
      </rPr>
      <t>LT,y</t>
    </r>
    <phoneticPr fontId="0" type="noConversion"/>
  </si>
  <si>
    <r>
      <t>R</t>
    </r>
    <r>
      <rPr>
        <i/>
        <sz val="8"/>
        <rFont val="Franklin Gothic Book"/>
        <family val="2"/>
      </rPr>
      <t>N,n</t>
    </r>
  </si>
  <si>
    <r>
      <t>KgN-N</t>
    </r>
    <r>
      <rPr>
        <vertAlign val="subscript"/>
        <sz val="10"/>
        <rFont val="Franklin Gothic Book"/>
        <family val="2"/>
      </rPr>
      <t>2</t>
    </r>
    <r>
      <rPr>
        <sz val="10"/>
        <rFont val="Franklin Gothic Book"/>
        <family val="2"/>
      </rPr>
      <t>O-N/kg NH</t>
    </r>
    <r>
      <rPr>
        <vertAlign val="subscript"/>
        <sz val="10"/>
        <rFont val="Franklin Gothic Book"/>
        <family val="2"/>
      </rPr>
      <t>3</t>
    </r>
    <r>
      <rPr>
        <sz val="10"/>
        <rFont val="Franklin Gothic Book"/>
        <family val="2"/>
      </rPr>
      <t>-N+NO</t>
    </r>
    <r>
      <rPr>
        <vertAlign val="subscript"/>
        <sz val="10"/>
        <rFont val="Franklin Gothic Book"/>
        <family val="2"/>
      </rPr>
      <t>X</t>
    </r>
    <r>
      <rPr>
        <sz val="10"/>
        <rFont val="Franklin Gothic Book"/>
        <family val="2"/>
      </rPr>
      <t>-N</t>
    </r>
    <phoneticPr fontId="0" type="noConversion"/>
  </si>
  <si>
    <r>
      <t>tCO</t>
    </r>
    <r>
      <rPr>
        <vertAlign val="subscript"/>
        <sz val="10"/>
        <rFont val="Franklin Gothic Book"/>
        <family val="2"/>
      </rPr>
      <t>2</t>
    </r>
    <r>
      <rPr>
        <sz val="10"/>
        <rFont val="Franklin Gothic Book"/>
        <family val="2"/>
      </rPr>
      <t>/tN</t>
    </r>
    <r>
      <rPr>
        <vertAlign val="subscript"/>
        <sz val="10"/>
        <rFont val="Franklin Gothic Book"/>
        <family val="2"/>
      </rPr>
      <t>2</t>
    </r>
    <r>
      <rPr>
        <sz val="10"/>
        <rFont val="Franklin Gothic Book"/>
        <family val="2"/>
      </rPr>
      <t>O</t>
    </r>
    <phoneticPr fontId="0" type="noConversion"/>
  </si>
  <si>
    <r>
      <t>LE</t>
    </r>
    <r>
      <rPr>
        <vertAlign val="subscript"/>
        <sz val="8"/>
        <rFont val="Franklin Gothic Book"/>
        <family val="2"/>
      </rPr>
      <t>N2O,land</t>
    </r>
    <r>
      <rPr>
        <vertAlign val="subscript"/>
        <sz val="10"/>
        <rFont val="Franklin Gothic Book"/>
        <family val="2"/>
      </rPr>
      <t>,y</t>
    </r>
    <r>
      <rPr>
        <b/>
        <sz val="10"/>
        <rFont val="Franklin Gothic Book"/>
        <family val="2"/>
      </rPr>
      <t>-monthly</t>
    </r>
    <phoneticPr fontId="0" type="noConversion"/>
  </si>
  <si>
    <r>
      <t xml:space="preserve"> kg N</t>
    </r>
    <r>
      <rPr>
        <vertAlign val="subscript"/>
        <sz val="10"/>
        <rFont val="Franklin Gothic Book"/>
        <family val="2"/>
      </rPr>
      <t>2</t>
    </r>
    <r>
      <rPr>
        <sz val="10"/>
        <rFont val="Franklin Gothic Book"/>
        <family val="2"/>
      </rPr>
      <t xml:space="preserve">O-N/year </t>
    </r>
    <phoneticPr fontId="0" type="noConversion"/>
  </si>
  <si>
    <r>
      <t>LE</t>
    </r>
    <r>
      <rPr>
        <b/>
        <vertAlign val="subscript"/>
        <sz val="10"/>
        <rFont val="Franklin Gothic Book"/>
        <family val="2"/>
      </rPr>
      <t>N2O,land,y</t>
    </r>
    <r>
      <rPr>
        <b/>
        <sz val="10"/>
        <rFont val="Franklin Gothic Book"/>
        <family val="2"/>
      </rPr>
      <t xml:space="preserve"> in this montioring period</t>
    </r>
    <phoneticPr fontId="0" type="noConversion"/>
  </si>
  <si>
    <r>
      <t>LE</t>
    </r>
    <r>
      <rPr>
        <vertAlign val="subscript"/>
        <sz val="8"/>
        <rFont val="Franklin Gothic Book"/>
        <family val="2"/>
      </rPr>
      <t>N2O,runoff</t>
    </r>
    <r>
      <rPr>
        <vertAlign val="subscript"/>
        <sz val="10"/>
        <rFont val="Franklin Gothic Book"/>
        <family val="2"/>
      </rPr>
      <t>,y</t>
    </r>
    <r>
      <rPr>
        <sz val="10"/>
        <rFont val="Franklin Gothic Book"/>
        <family val="2"/>
      </rPr>
      <t>-monthly</t>
    </r>
    <phoneticPr fontId="0" type="noConversion"/>
  </si>
  <si>
    <r>
      <t>kg N</t>
    </r>
    <r>
      <rPr>
        <vertAlign val="subscript"/>
        <sz val="10"/>
        <rFont val="Franklin Gothic Book"/>
        <family val="2"/>
      </rPr>
      <t>2</t>
    </r>
    <r>
      <rPr>
        <sz val="10"/>
        <rFont val="Franklin Gothic Book"/>
        <family val="2"/>
      </rPr>
      <t xml:space="preserve">O-N/year </t>
    </r>
    <phoneticPr fontId="0" type="noConversion"/>
  </si>
  <si>
    <r>
      <t>LE</t>
    </r>
    <r>
      <rPr>
        <b/>
        <vertAlign val="subscript"/>
        <sz val="10"/>
        <color indexed="8"/>
        <rFont val="Franklin Gothic Book"/>
        <family val="2"/>
      </rPr>
      <t>N2O,runoff,y</t>
    </r>
    <r>
      <rPr>
        <b/>
        <sz val="10"/>
        <color indexed="8"/>
        <rFont val="Franklin Gothic Book"/>
        <family val="2"/>
      </rPr>
      <t xml:space="preserve"> in this monitoring period</t>
    </r>
    <phoneticPr fontId="0" type="noConversion"/>
  </si>
  <si>
    <r>
      <t>LE</t>
    </r>
    <r>
      <rPr>
        <vertAlign val="subscript"/>
        <sz val="8"/>
        <rFont val="Franklin Gothic Book"/>
        <family val="2"/>
      </rPr>
      <t>N2O,vol</t>
    </r>
    <r>
      <rPr>
        <vertAlign val="subscript"/>
        <sz val="10"/>
        <rFont val="Franklin Gothic Book"/>
        <family val="2"/>
      </rPr>
      <t>,y</t>
    </r>
    <r>
      <rPr>
        <b/>
        <sz val="10"/>
        <rFont val="Franklin Gothic Book"/>
        <family val="2"/>
      </rPr>
      <t>-monthly</t>
    </r>
    <phoneticPr fontId="0" type="noConversion"/>
  </si>
  <si>
    <r>
      <t>LE</t>
    </r>
    <r>
      <rPr>
        <vertAlign val="subscript"/>
        <sz val="10"/>
        <rFont val="Franklin Gothic Book"/>
        <family val="2"/>
      </rPr>
      <t>N2O,vol,y</t>
    </r>
    <r>
      <rPr>
        <sz val="10"/>
        <rFont val="Franklin Gothic Book"/>
        <family val="2"/>
      </rPr>
      <t xml:space="preserve"> in this monitoring period</t>
    </r>
    <phoneticPr fontId="0" type="noConversion"/>
  </si>
  <si>
    <r>
      <t>LE</t>
    </r>
    <r>
      <rPr>
        <b/>
        <vertAlign val="subscript"/>
        <sz val="10"/>
        <rFont val="Franklin Gothic Book"/>
        <family val="2"/>
      </rPr>
      <t>BL,N2O,y</t>
    </r>
    <r>
      <rPr>
        <b/>
        <sz val="10"/>
        <rFont val="Franklin Gothic Book"/>
        <family val="2"/>
      </rPr>
      <t xml:space="preserve"> in this monitoring period</t>
    </r>
    <phoneticPr fontId="0" type="noConversion"/>
  </si>
  <si>
    <r>
      <t>N</t>
    </r>
    <r>
      <rPr>
        <b/>
        <vertAlign val="subscript"/>
        <sz val="10"/>
        <rFont val="Franklin Gothic Book"/>
        <family val="2"/>
      </rPr>
      <t>LT</t>
    </r>
    <phoneticPr fontId="0" type="noConversion"/>
  </si>
  <si>
    <r>
      <t>R</t>
    </r>
    <r>
      <rPr>
        <i/>
        <sz val="8"/>
        <rFont val="Franklin Gothic Book"/>
        <family val="2"/>
      </rPr>
      <t>N</t>
    </r>
  </si>
  <si>
    <r>
      <t>LE</t>
    </r>
    <r>
      <rPr>
        <b/>
        <vertAlign val="subscript"/>
        <sz val="10"/>
        <rFont val="Franklin Gothic Book"/>
        <family val="2"/>
      </rPr>
      <t>N2O,land,y</t>
    </r>
    <r>
      <rPr>
        <b/>
        <sz val="10"/>
        <rFont val="Franklin Gothic Book"/>
        <family val="2"/>
      </rPr>
      <t>-monthly</t>
    </r>
    <phoneticPr fontId="0" type="noConversion"/>
  </si>
  <si>
    <r>
      <t>LE</t>
    </r>
    <r>
      <rPr>
        <b/>
        <vertAlign val="subscript"/>
        <sz val="10"/>
        <rFont val="Franklin Gothic Book"/>
        <family val="2"/>
      </rPr>
      <t>N2O,land,y</t>
    </r>
    <r>
      <rPr>
        <b/>
        <sz val="10"/>
        <rFont val="Franklin Gothic Book"/>
        <family val="2"/>
      </rPr>
      <t xml:space="preserve"> in this monitoring period</t>
    </r>
    <phoneticPr fontId="0" type="noConversion"/>
  </si>
  <si>
    <r>
      <t>LE</t>
    </r>
    <r>
      <rPr>
        <b/>
        <vertAlign val="subscript"/>
        <sz val="10"/>
        <rFont val="Franklin Gothic Book"/>
        <family val="2"/>
      </rPr>
      <t>N2O,runoff,y</t>
    </r>
    <r>
      <rPr>
        <b/>
        <sz val="10"/>
        <rFont val="Franklin Gothic Book"/>
        <family val="2"/>
      </rPr>
      <t>-month</t>
    </r>
    <phoneticPr fontId="0" type="noConversion"/>
  </si>
  <si>
    <r>
      <t>LE</t>
    </r>
    <r>
      <rPr>
        <b/>
        <vertAlign val="subscript"/>
        <sz val="10"/>
        <rFont val="Franklin Gothic Book"/>
        <family val="2"/>
      </rPr>
      <t>N2O,runoff,y</t>
    </r>
    <r>
      <rPr>
        <b/>
        <sz val="10"/>
        <rFont val="Franklin Gothic Book"/>
        <family val="2"/>
      </rPr>
      <t xml:space="preserve"> in this monitoring period</t>
    </r>
    <phoneticPr fontId="0" type="noConversion"/>
  </si>
  <si>
    <r>
      <t>LE</t>
    </r>
    <r>
      <rPr>
        <b/>
        <vertAlign val="subscript"/>
        <sz val="10"/>
        <rFont val="Franklin Gothic Book"/>
        <family val="2"/>
      </rPr>
      <t>N2O,vol,y</t>
    </r>
    <r>
      <rPr>
        <b/>
        <sz val="10"/>
        <rFont val="Franklin Gothic Book"/>
        <family val="2"/>
      </rPr>
      <t>-month</t>
    </r>
    <phoneticPr fontId="0" type="noConversion"/>
  </si>
  <si>
    <r>
      <t>LE</t>
    </r>
    <r>
      <rPr>
        <b/>
        <vertAlign val="subscript"/>
        <sz val="10"/>
        <rFont val="Franklin Gothic Book"/>
        <family val="2"/>
      </rPr>
      <t>PJ,N2O</t>
    </r>
    <r>
      <rPr>
        <b/>
        <sz val="10"/>
        <rFont val="Franklin Gothic Book"/>
        <family val="2"/>
      </rPr>
      <t xml:space="preserve"> in this monitoring period</t>
    </r>
    <phoneticPr fontId="0" type="noConversion"/>
  </si>
  <si>
    <r>
      <t>B</t>
    </r>
    <r>
      <rPr>
        <vertAlign val="subscript"/>
        <sz val="10"/>
        <rFont val="Franklin Gothic Book"/>
        <family val="2"/>
      </rPr>
      <t>o,LT</t>
    </r>
    <phoneticPr fontId="0" type="noConversion"/>
  </si>
  <si>
    <r>
      <t>R</t>
    </r>
    <r>
      <rPr>
        <sz val="8"/>
        <rFont val="Franklin Gothic Book"/>
        <family val="2"/>
      </rPr>
      <t>VS</t>
    </r>
  </si>
  <si>
    <r>
      <t xml:space="preserve">LE </t>
    </r>
    <r>
      <rPr>
        <b/>
        <vertAlign val="subscript"/>
        <sz val="10"/>
        <rFont val="Franklin Gothic Book"/>
        <family val="2"/>
      </rPr>
      <t>PJ,CH4 ,y</t>
    </r>
    <r>
      <rPr>
        <b/>
        <sz val="10"/>
        <rFont val="Franklin Gothic Book"/>
        <family val="2"/>
      </rPr>
      <t>-monthly</t>
    </r>
    <phoneticPr fontId="0" type="noConversion"/>
  </si>
  <si>
    <r>
      <t xml:space="preserve">LE </t>
    </r>
    <r>
      <rPr>
        <b/>
        <vertAlign val="subscript"/>
        <sz val="10"/>
        <rFont val="Franklin Gothic Book"/>
        <family val="2"/>
      </rPr>
      <t>PJ,CH4 ,y</t>
    </r>
    <r>
      <rPr>
        <b/>
        <sz val="10"/>
        <rFont val="Franklin Gothic Book"/>
        <family val="2"/>
      </rPr>
      <t xml:space="preserve"> in this monitoring period</t>
    </r>
    <phoneticPr fontId="0" type="noConversion"/>
  </si>
  <si>
    <r>
      <t>a. LE</t>
    </r>
    <r>
      <rPr>
        <i/>
        <sz val="8"/>
        <color indexed="9"/>
        <rFont val="Franklin Gothic Book"/>
        <family val="2"/>
      </rPr>
      <t xml:space="preserve">B,CH4 </t>
    </r>
    <r>
      <rPr>
        <b/>
        <sz val="10"/>
        <color indexed="9"/>
        <rFont val="Franklin Gothic Book"/>
        <family val="2"/>
      </rPr>
      <t>CH4- land application</t>
    </r>
  </si>
  <si>
    <r>
      <t>VS</t>
    </r>
    <r>
      <rPr>
        <i/>
        <sz val="8"/>
        <color indexed="9"/>
        <rFont val="Franklin Gothic Book"/>
        <family val="2"/>
      </rPr>
      <t>LT,M</t>
    </r>
  </si>
  <si>
    <r>
      <t>N</t>
    </r>
    <r>
      <rPr>
        <i/>
        <vertAlign val="subscript"/>
        <sz val="10"/>
        <color indexed="9"/>
        <rFont val="Franklin Gothic Book"/>
        <family val="2"/>
      </rPr>
      <t>population(head, animal population)</t>
    </r>
  </si>
  <si>
    <r>
      <t>B</t>
    </r>
    <r>
      <rPr>
        <i/>
        <sz val="8"/>
        <color indexed="9"/>
        <rFont val="Franklin Gothic Book"/>
        <family val="2"/>
      </rPr>
      <t>0,LT</t>
    </r>
  </si>
  <si>
    <t>ACM0010 Version 08.0, page 8</t>
    <phoneticPr fontId="0" type="noConversion"/>
  </si>
  <si>
    <t>ACM0010 Version 08.0, page 10</t>
    <phoneticPr fontId="0" type="noConversion"/>
  </si>
  <si>
    <r>
      <t>Calculated as equation 5 and 6 in JPM, of which N</t>
    </r>
    <r>
      <rPr>
        <vertAlign val="subscript"/>
        <sz val="10"/>
        <color indexed="8"/>
        <rFont val="Franklin Gothic Book"/>
        <family val="2"/>
      </rPr>
      <t>p,LT</t>
    </r>
    <r>
      <rPr>
        <sz val="10"/>
        <color indexed="8"/>
        <rFont val="Franklin Gothic Book"/>
        <family val="2"/>
      </rPr>
      <t xml:space="preserve"> and N</t>
    </r>
    <r>
      <rPr>
        <vertAlign val="subscript"/>
        <sz val="10"/>
        <color indexed="8"/>
        <rFont val="Franklin Gothic Book"/>
        <family val="2"/>
      </rPr>
      <t>da,LT</t>
    </r>
    <r>
      <rPr>
        <sz val="10"/>
        <color indexed="8"/>
        <rFont val="Franklin Gothic Book"/>
        <family val="2"/>
      </rPr>
      <t xml:space="preserve"> is  sourced from "Exported from the stock record of Market swine"
N</t>
    </r>
    <r>
      <rPr>
        <vertAlign val="subscript"/>
        <sz val="10"/>
        <color indexed="8"/>
        <rFont val="Franklin Gothic Book"/>
        <family val="2"/>
      </rPr>
      <t>LT</t>
    </r>
    <r>
      <rPr>
        <sz val="10"/>
        <color indexed="8"/>
        <rFont val="Franklin Gothic Book"/>
        <family val="2"/>
      </rPr>
      <t xml:space="preserve"> for breeding swine is sourced from "Breeding Pig stock record"</t>
    </r>
    <phoneticPr fontId="0" type="noConversion"/>
  </si>
  <si>
    <t>summary table of monthly power consumption record and cross-checked by Grid Company Electricity Statement</t>
    <phoneticPr fontId="0" type="noConversion"/>
  </si>
  <si>
    <t>Ministry of Ecology and Environment of the People's Republic of China for ECPG</t>
    <phoneticPr fontId="0" type="noConversion"/>
  </si>
  <si>
    <r>
      <t>calculated, biogas flow is sourced from Production record sheet from the DCS system , Temperature and pressure is sourced from Production record sheet from the DCS system. Q</t>
    </r>
    <r>
      <rPr>
        <vertAlign val="subscript"/>
        <sz val="10"/>
        <rFont val="Franklin Gothic Book"/>
        <family val="2"/>
      </rPr>
      <t>CH4</t>
    </r>
    <r>
      <rPr>
        <sz val="10"/>
        <rFont val="Franklin Gothic Book"/>
        <family val="2"/>
      </rPr>
      <t xml:space="preserve"> is calculated as equation 23 and 24 in JPM.</t>
    </r>
    <phoneticPr fontId="0" type="noConversion"/>
  </si>
  <si>
    <t>ACM0010 Version08.0, page 8</t>
    <phoneticPr fontId="0" type="noConversion"/>
  </si>
  <si>
    <t>During this monitoring period, there is no equip install in the project activity to monitor the influent into anaerobic digestion and aerobic system, therefore the value of FAer is applied as 100%, which is conservative</t>
    <phoneticPr fontId="0" type="noConversion"/>
  </si>
  <si>
    <t xml:space="preserve"> Fixed value in Equation (12) of ACM0010 Version08.0, page 17</t>
    <phoneticPr fontId="0" type="noConversion"/>
  </si>
  <si>
    <t>Appendix 1 of methodology ACM0010 Version08.0</t>
    <phoneticPr fontId="0" type="noConversion"/>
  </si>
  <si>
    <t>Calculated as equation 5 and 6 in JPM, of which Np,LT and Nda,LT is  sourced from "Exported from the stock record of Market swine"
NLT for breeding swine is sourced from "Breeding Pig stock record"</t>
    <phoneticPr fontId="0" type="noConversion"/>
  </si>
  <si>
    <t>Table provided in Appendix 1 (uncovered anaerobic lagoon as "one cell lagoon")  of ACM0010 Version 08.0</t>
    <phoneticPr fontId="0" type="noConversion"/>
  </si>
  <si>
    <t xml:space="preserve"> Table provided in Appendix 1 (pre-treatment belong to underfloor pit storage,anaerobic-aerobic combined treatment technology belongs to covered first cell of two cell lagoon  ) of ACM0010 Version 08.0</t>
    <phoneticPr fontId="0" type="noConversion"/>
  </si>
  <si>
    <t>Default value ACM0010 Version 08.0</t>
    <phoneticPr fontId="0" type="noConversion"/>
  </si>
  <si>
    <t xml:space="preserve">Table provided in Appendix 1 (uncovered anaerobic lagoon as "one cell lagoon") of ACM0010 </t>
    <phoneticPr fontId="0" type="noConversion"/>
  </si>
  <si>
    <t xml:space="preserve"> Table provided in Annex 1 (pre-treatment belong to underfloor pit storage, anaerobic-aerobic combined treatment technology belongs to covered first cell of two cell lagoon) of ACM0010 </t>
    <phoneticPr fontId="0" type="noConversion"/>
  </si>
  <si>
    <r>
      <t>m</t>
    </r>
    <r>
      <rPr>
        <vertAlign val="superscript"/>
        <sz val="10"/>
        <rFont val="Franklin Gothic Book"/>
        <family val="2"/>
      </rPr>
      <t>3</t>
    </r>
    <r>
      <rPr>
        <sz val="10"/>
        <rFont val="Franklin Gothic Book"/>
        <family val="2"/>
      </rPr>
      <t xml:space="preserve"> CH</t>
    </r>
    <r>
      <rPr>
        <vertAlign val="subscript"/>
        <sz val="10"/>
        <rFont val="Franklin Gothic Book"/>
        <family val="2"/>
      </rPr>
      <t>4</t>
    </r>
    <r>
      <rPr>
        <sz val="10"/>
        <rFont val="Franklin Gothic Book"/>
        <family val="2"/>
      </rPr>
      <t>/kg-VS</t>
    </r>
    <phoneticPr fontId="0" type="noConversion"/>
  </si>
  <si>
    <r>
      <t xml:space="preserve">  kg N</t>
    </r>
    <r>
      <rPr>
        <vertAlign val="subscript"/>
        <sz val="10"/>
        <rFont val="Franklin Gothic Book"/>
        <family val="2"/>
      </rPr>
      <t>2</t>
    </r>
    <r>
      <rPr>
        <sz val="10"/>
        <rFont val="Franklin Gothic Book"/>
        <family val="2"/>
      </rPr>
      <t xml:space="preserve">O-N/year </t>
    </r>
    <phoneticPr fontId="0" type="noConversion"/>
  </si>
  <si>
    <t>production record from DCS system</t>
    <phoneticPr fontId="0" type="noConversion"/>
  </si>
  <si>
    <r>
      <t>Average swine population used in both baseline and project  emission reductions (N</t>
    </r>
    <r>
      <rPr>
        <b/>
        <vertAlign val="subscript"/>
        <sz val="10"/>
        <rFont val="Franklin Gothic Book"/>
        <family val="2"/>
      </rPr>
      <t>L,T</t>
    </r>
    <r>
      <rPr>
        <b/>
        <sz val="10"/>
        <rFont val="Franklin Gothic Book"/>
        <family val="2"/>
      </rPr>
      <t>) and Weight of swine (W</t>
    </r>
    <r>
      <rPr>
        <b/>
        <vertAlign val="subscript"/>
        <sz val="10"/>
        <rFont val="Franklin Gothic Book"/>
        <family val="2"/>
      </rPr>
      <t>site</t>
    </r>
    <r>
      <rPr>
        <b/>
        <sz val="10"/>
        <rFont val="Franklin Gothic Book"/>
        <family val="2"/>
      </rPr>
      <t>)</t>
    </r>
    <phoneticPr fontId="9" type="noConversion"/>
  </si>
  <si>
    <t>tCO2e</t>
  </si>
  <si>
    <t>01-January-2022 to 31-December-2022 (both days included)</t>
    <phoneticPr fontId="14" type="noConversion"/>
  </si>
  <si>
    <t>01-January-2022 to 31-January-2022</t>
  </si>
  <si>
    <t>01-February-2022 to 28-February-2022</t>
  </si>
  <si>
    <t>01-March-2022 to 31-March-2022</t>
  </si>
  <si>
    <t>01-April-2022 to 30-April-2022</t>
  </si>
  <si>
    <t>01-May-2022 to 31-May-2022</t>
  </si>
  <si>
    <t>01-June-2022 to 30-June-2022</t>
  </si>
  <si>
    <t>01-July-2022 to 31-July-2022</t>
  </si>
  <si>
    <t>01-August-2022 to 31-August-2022</t>
  </si>
  <si>
    <t>01-September-2022 to 30-September-2022</t>
  </si>
  <si>
    <t>01-October-2022 to 31-October-2022</t>
  </si>
  <si>
    <t>01-November-2022 to 30-November-2022</t>
  </si>
  <si>
    <t>01-December-2022 to 31-December-2022</t>
  </si>
  <si>
    <t>Monthly Statistics of the average animal weight of a defined livestock population at the project site (Wsite)</t>
    <phoneticPr fontId="9" type="noConversion"/>
  </si>
  <si>
    <t>Market swine</t>
    <phoneticPr fontId="72" type="noConversion"/>
  </si>
  <si>
    <t>Breeding swine</t>
    <phoneticPr fontId="72" type="noConversion"/>
  </si>
  <si>
    <t>NO.</t>
    <phoneticPr fontId="73" type="noConversion"/>
  </si>
  <si>
    <t>Swine Farm</t>
    <phoneticPr fontId="73" type="noConversion"/>
  </si>
  <si>
    <t>Wsite-Arithmetic mean</t>
    <phoneticPr fontId="73" type="noConversion"/>
  </si>
  <si>
    <t>NLT</t>
    <phoneticPr fontId="73" type="noConversion"/>
  </si>
  <si>
    <t>Wsite-Arithmetic mean*NLT</t>
    <phoneticPr fontId="73" type="noConversion"/>
  </si>
  <si>
    <t>Market</t>
    <phoneticPr fontId="73" type="noConversion"/>
  </si>
  <si>
    <t>Breeding</t>
    <phoneticPr fontId="73" type="noConversion"/>
  </si>
  <si>
    <t>total</t>
    <phoneticPr fontId="73" type="noConversion"/>
  </si>
  <si>
    <t>Wsite-Weighted average</t>
    <phoneticPr fontId="73" type="noConversion"/>
  </si>
  <si>
    <r>
      <t>BE</t>
    </r>
    <r>
      <rPr>
        <vertAlign val="subscript"/>
        <sz val="10"/>
        <color indexed="8"/>
        <rFont val="Franklin Gothic Book"/>
        <family val="2"/>
      </rPr>
      <t>CH4,y</t>
    </r>
    <r>
      <rPr>
        <sz val="10"/>
        <color indexed="8"/>
        <rFont val="Franklin Gothic Book"/>
        <family val="2"/>
      </rPr>
      <t xml:space="preserve"> from 01-Jauary-2022 to 31-December-2022</t>
    </r>
    <phoneticPr fontId="0" type="noConversion"/>
  </si>
  <si>
    <r>
      <t>E</t>
    </r>
    <r>
      <rPr>
        <vertAlign val="subscript"/>
        <sz val="10"/>
        <color indexed="8"/>
        <rFont val="Franklin Gothic Book"/>
        <family val="2"/>
      </rPr>
      <t>N2O,D,y</t>
    </r>
    <r>
      <rPr>
        <sz val="10"/>
        <color indexed="8"/>
        <rFont val="Franklin Gothic Book"/>
        <family val="2"/>
      </rPr>
      <t xml:space="preserve"> from 01-Jauary-2022 to 31-December-2022</t>
    </r>
    <phoneticPr fontId="0" type="noConversion"/>
  </si>
  <si>
    <r>
      <t>E</t>
    </r>
    <r>
      <rPr>
        <vertAlign val="subscript"/>
        <sz val="10"/>
        <color indexed="8"/>
        <rFont val="Franklin Gothic Book"/>
        <family val="2"/>
      </rPr>
      <t>N2O,ID,y</t>
    </r>
    <r>
      <rPr>
        <sz val="10"/>
        <color indexed="8"/>
        <rFont val="Franklin Gothic Book"/>
        <family val="2"/>
      </rPr>
      <t xml:space="preserve"> from 01-January-2022 to 31-December-2022</t>
    </r>
    <phoneticPr fontId="0" type="noConversion"/>
  </si>
  <si>
    <t>01-January-2022 to 31-December-2022</t>
    <phoneticPr fontId="0" type="noConversion"/>
  </si>
  <si>
    <t>Time</t>
    <phoneticPr fontId="0" type="noConversion"/>
  </si>
  <si>
    <t xml:space="preserve">BASELINE EMISSIONS </t>
    <phoneticPr fontId="0" type="noConversion"/>
  </si>
  <si>
    <r>
      <t xml:space="preserve"> BE</t>
    </r>
    <r>
      <rPr>
        <b/>
        <sz val="8"/>
        <rFont val="Franklin Gothic Book"/>
        <family val="2"/>
      </rPr>
      <t xml:space="preserve">CH4,y </t>
    </r>
    <r>
      <rPr>
        <b/>
        <sz val="10"/>
        <color indexed="8"/>
        <rFont val="Franklin Gothic Book"/>
        <family val="2"/>
      </rPr>
      <t>(tCO</t>
    </r>
    <r>
      <rPr>
        <b/>
        <vertAlign val="subscript"/>
        <sz val="10"/>
        <color rgb="FF000000"/>
        <rFont val="Franklin Gothic Book"/>
        <family val="2"/>
      </rPr>
      <t>2</t>
    </r>
    <r>
      <rPr>
        <b/>
        <sz val="10"/>
        <color indexed="8"/>
        <rFont val="Franklin Gothic Book"/>
        <family val="2"/>
      </rPr>
      <t>e)</t>
    </r>
    <phoneticPr fontId="0" type="noConversion"/>
  </si>
  <si>
    <r>
      <t>PE</t>
    </r>
    <r>
      <rPr>
        <vertAlign val="subscript"/>
        <sz val="10"/>
        <color indexed="8"/>
        <rFont val="Franklin Gothic Book"/>
        <family val="2"/>
      </rPr>
      <t>CH4,y</t>
    </r>
    <r>
      <rPr>
        <sz val="10"/>
        <color indexed="8"/>
        <rFont val="Franklin Gothic Book"/>
        <family val="2"/>
      </rPr>
      <t xml:space="preserve"> from 01-January-2022 to 31-December-2022</t>
    </r>
    <phoneticPr fontId="0" type="noConversion"/>
  </si>
  <si>
    <r>
      <t>PE</t>
    </r>
    <r>
      <rPr>
        <b/>
        <vertAlign val="subscript"/>
        <sz val="10"/>
        <color indexed="8"/>
        <rFont val="Franklin Gothic Book"/>
        <family val="2"/>
      </rPr>
      <t>FC,y</t>
    </r>
    <r>
      <rPr>
        <b/>
        <sz val="10"/>
        <color indexed="8"/>
        <rFont val="Franklin Gothic Book"/>
        <family val="2"/>
      </rPr>
      <t xml:space="preserve"> from 01-January-2022 to 31-December-2022</t>
    </r>
    <phoneticPr fontId="0" type="noConversion"/>
  </si>
  <si>
    <r>
      <t>PE</t>
    </r>
    <r>
      <rPr>
        <vertAlign val="subscript"/>
        <sz val="10"/>
        <color indexed="8"/>
        <rFont val="Franklin Gothic Book"/>
        <family val="2"/>
      </rPr>
      <t>Aer,y</t>
    </r>
    <r>
      <rPr>
        <sz val="10"/>
        <color indexed="8"/>
        <rFont val="Franklin Gothic Book"/>
        <family val="2"/>
      </rPr>
      <t xml:space="preserve"> from 01-January-2022 to 31-December-2022</t>
    </r>
    <phoneticPr fontId="0" type="noConversion"/>
  </si>
  <si>
    <r>
      <t>E</t>
    </r>
    <r>
      <rPr>
        <vertAlign val="subscript"/>
        <sz val="10"/>
        <color indexed="8"/>
        <rFont val="Franklin Gothic Book"/>
        <family val="2"/>
      </rPr>
      <t>N2O,D,y</t>
    </r>
    <r>
      <rPr>
        <sz val="10"/>
        <color indexed="8"/>
        <rFont val="Franklin Gothic Book"/>
        <family val="2"/>
      </rPr>
      <t xml:space="preserve"> from 01-January-2022 to 31-December-2022</t>
    </r>
    <phoneticPr fontId="0" type="noConversion"/>
  </si>
  <si>
    <r>
      <t>E</t>
    </r>
    <r>
      <rPr>
        <vertAlign val="subscript"/>
        <sz val="10"/>
        <color indexed="8"/>
        <rFont val="Franklin Gothic Book"/>
        <family val="2"/>
      </rPr>
      <t>N2O,ID,j</t>
    </r>
    <r>
      <rPr>
        <sz val="10"/>
        <color indexed="8"/>
        <rFont val="Franklin Gothic Book"/>
        <family val="2"/>
      </rPr>
      <t xml:space="preserve"> from 01-January-2022 to 31-December-2022</t>
    </r>
    <phoneticPr fontId="0" type="noConversion"/>
  </si>
  <si>
    <r>
      <t>PE</t>
    </r>
    <r>
      <rPr>
        <b/>
        <vertAlign val="subscript"/>
        <sz val="10"/>
        <rFont val="Franklin Gothic Book"/>
        <family val="2"/>
      </rPr>
      <t>N2O,y</t>
    </r>
    <r>
      <rPr>
        <b/>
        <sz val="10"/>
        <rFont val="Franklin Gothic Book"/>
        <family val="2"/>
      </rPr>
      <t>=GWP</t>
    </r>
    <r>
      <rPr>
        <b/>
        <vertAlign val="subscript"/>
        <sz val="10"/>
        <rFont val="Franklin Gothic Book"/>
        <family val="2"/>
      </rPr>
      <t>N2O</t>
    </r>
    <r>
      <rPr>
        <b/>
        <sz val="10"/>
        <rFont val="Franklin Gothic Book"/>
        <family val="2"/>
      </rPr>
      <t>*(44/28)*1/1000*E</t>
    </r>
    <r>
      <rPr>
        <b/>
        <vertAlign val="subscript"/>
        <sz val="10"/>
        <rFont val="Franklin Gothic Book"/>
        <family val="2"/>
      </rPr>
      <t>N2O,ID,j</t>
    </r>
    <r>
      <rPr>
        <b/>
        <sz val="10"/>
        <rFont val="Franklin Gothic Book"/>
        <family val="2"/>
      </rPr>
      <t xml:space="preserve"> </t>
    </r>
    <r>
      <rPr>
        <b/>
        <sz val="7"/>
        <rFont val="Franklin Gothic Book"/>
        <family val="2"/>
      </rPr>
      <t xml:space="preserve"> </t>
    </r>
    <r>
      <rPr>
        <b/>
        <sz val="10"/>
        <rFont val="Franklin Gothic Book"/>
        <family val="2"/>
      </rPr>
      <t>=</t>
    </r>
    <phoneticPr fontId="0" type="noConversion"/>
  </si>
  <si>
    <r>
      <t>PE</t>
    </r>
    <r>
      <rPr>
        <vertAlign val="subscript"/>
        <sz val="10"/>
        <color rgb="FF000000"/>
        <rFont val="Franklin Gothic Book"/>
        <family val="2"/>
      </rPr>
      <t>N2O,y</t>
    </r>
    <r>
      <rPr>
        <sz val="10"/>
        <color indexed="8"/>
        <rFont val="Franklin Gothic Book"/>
        <family val="2"/>
      </rPr>
      <t xml:space="preserve"> from 01-January-2022 to 31-December-2022</t>
    </r>
    <phoneticPr fontId="0" type="noConversion"/>
  </si>
  <si>
    <t>time</t>
    <phoneticPr fontId="0" type="noConversion"/>
  </si>
  <si>
    <r>
      <t>PE</t>
    </r>
    <r>
      <rPr>
        <vertAlign val="subscript"/>
        <sz val="10"/>
        <color rgb="FF000000"/>
        <rFont val="Franklin Gothic Book"/>
        <family val="2"/>
      </rPr>
      <t>AD,y</t>
    </r>
    <r>
      <rPr>
        <sz val="10"/>
        <color indexed="8"/>
        <rFont val="Franklin Gothic Book"/>
        <family val="2"/>
      </rPr>
      <t xml:space="preserve"> from 01-January-2022 to 31-December-2022</t>
    </r>
    <phoneticPr fontId="0" type="noConversion"/>
  </si>
  <si>
    <t>project emission</t>
    <phoneticPr fontId="0" type="noConversion"/>
  </si>
  <si>
    <r>
      <t>PE</t>
    </r>
    <r>
      <rPr>
        <b/>
        <vertAlign val="subscript"/>
        <sz val="10"/>
        <rFont val="Franklin Gothic Book"/>
        <family val="2"/>
      </rPr>
      <t>AD</t>
    </r>
    <r>
      <rPr>
        <b/>
        <sz val="10"/>
        <rFont val="Franklin Gothic Book"/>
        <family val="2"/>
      </rPr>
      <t xml:space="preserve"> (tCO</t>
    </r>
    <r>
      <rPr>
        <b/>
        <vertAlign val="subscript"/>
        <sz val="10"/>
        <rFont val="Franklin Gothic Book"/>
        <family val="2"/>
      </rPr>
      <t>2</t>
    </r>
    <r>
      <rPr>
        <b/>
        <sz val="10"/>
        <rFont val="Franklin Gothic Book"/>
        <family val="2"/>
      </rPr>
      <t>e)</t>
    </r>
    <phoneticPr fontId="0" type="noConversion"/>
  </si>
  <si>
    <r>
      <t>PE</t>
    </r>
    <r>
      <rPr>
        <b/>
        <vertAlign val="subscript"/>
        <sz val="10"/>
        <rFont val="Franklin Gothic Book"/>
        <family val="2"/>
      </rPr>
      <t>Aer</t>
    </r>
    <r>
      <rPr>
        <b/>
        <sz val="10"/>
        <rFont val="Franklin Gothic Book"/>
        <family val="2"/>
      </rPr>
      <t xml:space="preserve"> (tCO</t>
    </r>
    <r>
      <rPr>
        <b/>
        <vertAlign val="subscript"/>
        <sz val="10"/>
        <rFont val="Franklin Gothic Book"/>
        <family val="2"/>
      </rPr>
      <t>2</t>
    </r>
    <r>
      <rPr>
        <b/>
        <sz val="10"/>
        <rFont val="Franklin Gothic Book"/>
        <family val="2"/>
      </rPr>
      <t>e)</t>
    </r>
    <phoneticPr fontId="0" type="noConversion"/>
  </si>
  <si>
    <r>
      <t>PE</t>
    </r>
    <r>
      <rPr>
        <b/>
        <vertAlign val="subscript"/>
        <sz val="10"/>
        <rFont val="Franklin Gothic Book"/>
        <family val="2"/>
      </rPr>
      <t>N2O</t>
    </r>
    <r>
      <rPr>
        <b/>
        <sz val="10"/>
        <rFont val="Franklin Gothic Book"/>
        <family val="2"/>
      </rPr>
      <t xml:space="preserve"> (tCO</t>
    </r>
    <r>
      <rPr>
        <b/>
        <vertAlign val="subscript"/>
        <sz val="10"/>
        <rFont val="Franklin Gothic Book"/>
        <family val="2"/>
      </rPr>
      <t>2</t>
    </r>
    <r>
      <rPr>
        <b/>
        <sz val="10"/>
        <rFont val="Franklin Gothic Book"/>
        <family val="2"/>
      </rPr>
      <t>e)</t>
    </r>
    <phoneticPr fontId="0" type="noConversion"/>
  </si>
  <si>
    <r>
      <t>PEy (tCO</t>
    </r>
    <r>
      <rPr>
        <b/>
        <vertAlign val="subscript"/>
        <sz val="10"/>
        <rFont val="Franklin Gothic Book"/>
        <family val="2"/>
      </rPr>
      <t>2</t>
    </r>
    <r>
      <rPr>
        <b/>
        <sz val="10"/>
        <rFont val="Franklin Gothic Book"/>
        <family val="2"/>
      </rPr>
      <t>e)</t>
    </r>
    <phoneticPr fontId="0" type="noConversion"/>
  </si>
  <si>
    <r>
      <t xml:space="preserve"> BE</t>
    </r>
    <r>
      <rPr>
        <b/>
        <sz val="8"/>
        <rFont val="Franklin Gothic Book"/>
        <family val="2"/>
      </rPr>
      <t xml:space="preserve">N2O,y </t>
    </r>
    <r>
      <rPr>
        <b/>
        <sz val="10"/>
        <color indexed="8"/>
        <rFont val="Franklin Gothic Book"/>
        <family val="2"/>
      </rPr>
      <t>(tCO</t>
    </r>
    <r>
      <rPr>
        <b/>
        <vertAlign val="subscript"/>
        <sz val="10"/>
        <color rgb="FF000000"/>
        <rFont val="Franklin Gothic Book"/>
        <family val="2"/>
      </rPr>
      <t>2</t>
    </r>
    <r>
      <rPr>
        <b/>
        <sz val="10"/>
        <color indexed="8"/>
        <rFont val="Franklin Gothic Book"/>
        <family val="2"/>
      </rPr>
      <t>e)</t>
    </r>
    <phoneticPr fontId="0" type="noConversion"/>
  </si>
  <si>
    <r>
      <t>BEy (tCO</t>
    </r>
    <r>
      <rPr>
        <b/>
        <vertAlign val="subscript"/>
        <sz val="10"/>
        <color rgb="FF000000"/>
        <rFont val="Franklin Gothic Book"/>
        <family val="2"/>
      </rPr>
      <t>2</t>
    </r>
    <r>
      <rPr>
        <b/>
        <sz val="10"/>
        <color indexed="8"/>
        <rFont val="Franklin Gothic Book"/>
        <family val="2"/>
      </rPr>
      <t>e)</t>
    </r>
    <phoneticPr fontId="0" type="noConversion"/>
  </si>
  <si>
    <r>
      <t>LE</t>
    </r>
    <r>
      <rPr>
        <vertAlign val="subscript"/>
        <sz val="10"/>
        <color indexed="8"/>
        <rFont val="Franklin Gothic Book"/>
        <family val="2"/>
      </rPr>
      <t>N2O,land,y</t>
    </r>
    <r>
      <rPr>
        <sz val="10"/>
        <color indexed="8"/>
        <rFont val="Franklin Gothic Book"/>
        <family val="2"/>
      </rPr>
      <t xml:space="preserve"> from 01-January-2022 to 31-December-2022</t>
    </r>
    <phoneticPr fontId="0" type="noConversion"/>
  </si>
  <si>
    <r>
      <t>LE</t>
    </r>
    <r>
      <rPr>
        <vertAlign val="subscript"/>
        <sz val="10"/>
        <color indexed="8"/>
        <rFont val="Franklin Gothic Book"/>
        <family val="2"/>
      </rPr>
      <t>N2O,runoff,y</t>
    </r>
    <r>
      <rPr>
        <sz val="10"/>
        <color indexed="8"/>
        <rFont val="Franklin Gothic Book"/>
        <family val="2"/>
      </rPr>
      <t xml:space="preserve"> from 01-January-2022 to 31-December-2022</t>
    </r>
    <phoneticPr fontId="0" type="noConversion"/>
  </si>
  <si>
    <r>
      <t>LE</t>
    </r>
    <r>
      <rPr>
        <vertAlign val="subscript"/>
        <sz val="10"/>
        <color indexed="8"/>
        <rFont val="Franklin Gothic Book"/>
        <family val="2"/>
      </rPr>
      <t>N2O,vol,y</t>
    </r>
    <r>
      <rPr>
        <sz val="10"/>
        <color indexed="8"/>
        <rFont val="Franklin Gothic Book"/>
        <family val="2"/>
      </rPr>
      <t xml:space="preserve"> from 01-January-2022 to 31-December-2022</t>
    </r>
    <phoneticPr fontId="0" type="noConversion"/>
  </si>
  <si>
    <r>
      <t>LE</t>
    </r>
    <r>
      <rPr>
        <vertAlign val="subscript"/>
        <sz val="10"/>
        <color indexed="8"/>
        <rFont val="Franklin Gothic Book"/>
        <family val="2"/>
      </rPr>
      <t>BL,N2O,y</t>
    </r>
    <r>
      <rPr>
        <sz val="10"/>
        <color indexed="8"/>
        <rFont val="Franklin Gothic Book"/>
        <family val="2"/>
      </rPr>
      <t xml:space="preserve"> from 01-January-2022 to 31-December-2022</t>
    </r>
    <phoneticPr fontId="0" type="noConversion"/>
  </si>
  <si>
    <r>
      <t>LE</t>
    </r>
    <r>
      <rPr>
        <b/>
        <vertAlign val="subscript"/>
        <sz val="10"/>
        <rFont val="Franklin Gothic Book"/>
        <family val="2"/>
      </rPr>
      <t>N2O,vol</t>
    </r>
    <r>
      <rPr>
        <b/>
        <sz val="10"/>
        <rFont val="Franklin Gothic Book"/>
        <family val="2"/>
      </rPr>
      <t xml:space="preserve"> in this monitoring period</t>
    </r>
    <phoneticPr fontId="0" type="noConversion"/>
  </si>
  <si>
    <r>
      <t>LE</t>
    </r>
    <r>
      <rPr>
        <vertAlign val="subscript"/>
        <sz val="10"/>
        <color indexed="8"/>
        <rFont val="Franklin Gothic Book"/>
        <family val="2"/>
      </rPr>
      <t>PJ,N2O</t>
    </r>
    <r>
      <rPr>
        <sz val="10"/>
        <color indexed="8"/>
        <rFont val="Franklin Gothic Book"/>
        <family val="2"/>
      </rPr>
      <t xml:space="preserve"> from 01-January-2022 to 31-December-2022</t>
    </r>
    <phoneticPr fontId="0" type="noConversion"/>
  </si>
  <si>
    <r>
      <t>LE</t>
    </r>
    <r>
      <rPr>
        <vertAlign val="subscript"/>
        <sz val="10"/>
        <color indexed="8"/>
        <rFont val="Franklin Gothic Book"/>
        <family val="2"/>
      </rPr>
      <t>BL,CH4,y</t>
    </r>
    <r>
      <rPr>
        <sz val="10"/>
        <color indexed="8"/>
        <rFont val="Franklin Gothic Book"/>
        <family val="2"/>
      </rPr>
      <t xml:space="preserve"> from 01-January-2022 to 31-December-2022</t>
    </r>
    <phoneticPr fontId="0" type="noConversion"/>
  </si>
  <si>
    <r>
      <t>LE</t>
    </r>
    <r>
      <rPr>
        <b/>
        <vertAlign val="subscript"/>
        <sz val="10"/>
        <rFont val="Franklin Gothic Book"/>
        <family val="2"/>
      </rPr>
      <t>BL,CH4,y</t>
    </r>
    <r>
      <rPr>
        <b/>
        <sz val="10"/>
        <rFont val="Franklin Gothic Book"/>
        <family val="2"/>
      </rPr>
      <t xml:space="preserve"> (tCO</t>
    </r>
    <r>
      <rPr>
        <b/>
        <vertAlign val="subscript"/>
        <sz val="10"/>
        <rFont val="Franklin Gothic Book"/>
        <family val="2"/>
      </rPr>
      <t>2</t>
    </r>
    <r>
      <rPr>
        <b/>
        <sz val="10"/>
        <rFont val="Franklin Gothic Book"/>
        <family val="2"/>
      </rPr>
      <t>e)</t>
    </r>
    <phoneticPr fontId="0" type="noConversion"/>
  </si>
  <si>
    <r>
      <t>LE</t>
    </r>
    <r>
      <rPr>
        <b/>
        <vertAlign val="subscript"/>
        <sz val="10"/>
        <rFont val="Franklin Gothic Book"/>
        <family val="2"/>
      </rPr>
      <t>PJ,CH4,y</t>
    </r>
    <r>
      <rPr>
        <b/>
        <sz val="10"/>
        <rFont val="Franklin Gothic Book"/>
        <family val="2"/>
      </rPr>
      <t xml:space="preserve"> (tCO2e)</t>
    </r>
    <phoneticPr fontId="0" type="noConversion"/>
  </si>
  <si>
    <r>
      <t>LE</t>
    </r>
    <r>
      <rPr>
        <b/>
        <vertAlign val="subscript"/>
        <sz val="10"/>
        <rFont val="Franklin Gothic Book"/>
        <family val="2"/>
      </rPr>
      <t>BL,N2O,y</t>
    </r>
    <r>
      <rPr>
        <b/>
        <sz val="10"/>
        <rFont val="Franklin Gothic Book"/>
        <family val="2"/>
      </rPr>
      <t xml:space="preserve"> (tCO2e)</t>
    </r>
    <phoneticPr fontId="0" type="noConversion"/>
  </si>
  <si>
    <r>
      <t>LE</t>
    </r>
    <r>
      <rPr>
        <b/>
        <vertAlign val="subscript"/>
        <sz val="10"/>
        <rFont val="Franklin Gothic Book"/>
        <family val="2"/>
      </rPr>
      <t>PJ,N2O</t>
    </r>
    <r>
      <rPr>
        <b/>
        <sz val="10"/>
        <rFont val="Franklin Gothic Book"/>
        <family val="2"/>
      </rPr>
      <t xml:space="preserve"> (tCO2e)</t>
    </r>
    <phoneticPr fontId="0" type="noConversion"/>
  </si>
  <si>
    <t>LEy (tCO2e)</t>
    <phoneticPr fontId="0" type="noConversion"/>
  </si>
  <si>
    <t>01-January-2022 to 31-December-2022</t>
    <phoneticPr fontId="9" type="noConversion"/>
  </si>
  <si>
    <t>t-value is depends on:
(i) the level of confidence, and
(ii) the size of the sample. 
The t-value associated with 95% confidence and the sample size of 436 is 1.9654 as derived in Microsoft Excel using the TINV
function</t>
    <phoneticPr fontId="9" type="noConversion"/>
  </si>
  <si>
    <t>Siyang Aiyuan Swine farm</t>
  </si>
  <si>
    <t>Dongtai Jianggang Swine farm</t>
  </si>
  <si>
    <t>Sheyang Linhai Swine farm</t>
  </si>
  <si>
    <t>Siyang Nanliuji Swine farm</t>
  </si>
  <si>
    <r>
      <t>LE</t>
    </r>
    <r>
      <rPr>
        <vertAlign val="subscript"/>
        <sz val="10"/>
        <color indexed="8"/>
        <rFont val="Franklin Gothic Book"/>
        <family val="2"/>
      </rPr>
      <t xml:space="preserve">N2O,land,y </t>
    </r>
    <r>
      <rPr>
        <sz val="10"/>
        <color indexed="8"/>
        <rFont val="Franklin Gothic Book"/>
        <family val="2"/>
      </rPr>
      <t>from 01-January-2022 to 31-December-2022</t>
    </r>
    <phoneticPr fontId="0" type="noConversion"/>
  </si>
  <si>
    <r>
      <t>LE</t>
    </r>
    <r>
      <rPr>
        <vertAlign val="subscript"/>
        <sz val="10"/>
        <color indexed="8"/>
        <rFont val="Franklin Gothic Book"/>
        <family val="2"/>
      </rPr>
      <t>PJ,CH4 ,y</t>
    </r>
    <r>
      <rPr>
        <sz val="10"/>
        <color indexed="8"/>
        <rFont val="Franklin Gothic Book"/>
        <family val="2"/>
      </rPr>
      <t xml:space="preserve"> from 01-January-2022 to 31-December-2022</t>
    </r>
    <phoneticPr fontId="0" type="noConversion"/>
  </si>
  <si>
    <r>
      <t>Vt,db(m</t>
    </r>
    <r>
      <rPr>
        <vertAlign val="superscript"/>
        <sz val="10"/>
        <rFont val="Franklin Gothic Book"/>
        <family val="2"/>
      </rPr>
      <t>3</t>
    </r>
    <r>
      <rPr>
        <sz val="10"/>
        <rFont val="Franklin Gothic Book"/>
        <family val="2"/>
      </rPr>
      <t>/h)</t>
    </r>
    <phoneticPr fontId="9" type="noConversion"/>
  </si>
  <si>
    <t>02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</si>
</sst>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0.00_ ;_ &quot;¥&quot;* \-#,##0.00_ ;_ &quot;¥&quot;* &quot;-&quot;??_ ;_ @_ "/>
    <numFmt numFmtId="43" formatCode="_ * #,##0.00_ ;_ * \-#,##0.00_ ;_ * &quot;-&quot;??_ ;_ @_ "/>
    <numFmt numFmtId="176" formatCode="_(* #,##0.00_);_(* \(#,##0.00\);_(* &quot;-&quot;??_);_(@_)"/>
    <numFmt numFmtId="177" formatCode="_(* #,##0_);_(* \(#,##0\);_(* &quot;-&quot;??_);_(@_)"/>
    <numFmt numFmtId="178" formatCode="0_ "/>
    <numFmt numFmtId="179" formatCode="0.00_ "/>
    <numFmt numFmtId="180" formatCode="0.0_ "/>
    <numFmt numFmtId="181" formatCode="_ * #,##0_ ;_ * \-#,##0_ ;_ * &quot;-&quot;??_ ;_ @_ "/>
    <numFmt numFmtId="182" formatCode="_-* #,##0.00\ [$€]_-;\-* #,##0.00\ [$€]_-;_-* &quot;-&quot;??\ [$€]_-;_-@_-"/>
    <numFmt numFmtId="183" formatCode="0.0"/>
    <numFmt numFmtId="184" formatCode="#,##0.000"/>
    <numFmt numFmtId="185" formatCode="0.00_);[Red]\(0.00\)"/>
    <numFmt numFmtId="186" formatCode="0.0000_ "/>
    <numFmt numFmtId="187" formatCode="#,##0.0"/>
    <numFmt numFmtId="188" formatCode="0.000_);[Red]\(0.000\)"/>
    <numFmt numFmtId="189" formatCode="0.00000_);[Red]\(0.00000\)"/>
    <numFmt numFmtId="190" formatCode="0.0_);[Red]\(0.0\)"/>
    <numFmt numFmtId="191" formatCode="0_);[Red]\(0\)"/>
    <numFmt numFmtId="192" formatCode="0.0000"/>
    <numFmt numFmtId="193" formatCode="0.00000"/>
    <numFmt numFmtId="194" formatCode="#,##0.00_);\(#,##0.00\)"/>
    <numFmt numFmtId="195" formatCode="#,##0.00_);[Red]\(#,##0.00\)"/>
    <numFmt numFmtId="196" formatCode="#,##0_);[Red]\(#,##0\)"/>
    <numFmt numFmtId="197" formatCode="#,##0.00000_);\(#,##0.00000\)"/>
    <numFmt numFmtId="198" formatCode="0.000"/>
  </numFmts>
  <fonts count="76" x14ac:knownFonts="1">
    <font>
      <sz val="10"/>
      <name val="Arial"/>
      <family val="2"/>
    </font>
    <font>
      <sz val="11"/>
      <color theme="1"/>
      <name val="宋体"/>
      <family val="2"/>
      <scheme val="minor"/>
    </font>
    <font>
      <sz val="10"/>
      <name val="Arial"/>
      <family val="2"/>
    </font>
    <font>
      <u/>
      <sz val="10"/>
      <color indexed="12"/>
      <name val="Arial"/>
      <family val="2"/>
    </font>
    <font>
      <sz val="10"/>
      <name val="Arial"/>
      <family val="2"/>
    </font>
    <font>
      <sz val="12"/>
      <name val="宋体"/>
      <family val="3"/>
      <charset val="134"/>
    </font>
    <font>
      <sz val="12"/>
      <color indexed="8"/>
      <name val="宋体"/>
      <family val="3"/>
      <charset val="134"/>
    </font>
    <font>
      <sz val="11"/>
      <name val="Times New Roman"/>
      <family val="1"/>
    </font>
    <font>
      <sz val="10"/>
      <name val="Arial"/>
      <family val="2"/>
    </font>
    <font>
      <sz val="9"/>
      <name val="宋体"/>
      <family val="3"/>
      <charset val="134"/>
    </font>
    <font>
      <sz val="9"/>
      <name val="宋体"/>
      <family val="3"/>
      <charset val="134"/>
    </font>
    <font>
      <b/>
      <sz val="10"/>
      <name val="Calibri"/>
      <family val="2"/>
    </font>
    <font>
      <sz val="10"/>
      <name val="Calibri"/>
      <family val="2"/>
    </font>
    <font>
      <sz val="10"/>
      <name val="宋体"/>
      <family val="3"/>
      <charset val="134"/>
    </font>
    <font>
      <sz val="9"/>
      <name val="宋体"/>
      <family val="3"/>
      <charset val="134"/>
    </font>
    <font>
      <sz val="9"/>
      <name val="微软雅黑"/>
      <family val="2"/>
      <charset val="134"/>
    </font>
    <font>
      <sz val="12"/>
      <name val="Franklin Gothic Book"/>
      <family val="2"/>
    </font>
    <font>
      <b/>
      <sz val="10"/>
      <color indexed="8"/>
      <name val="Franklin Gothic Book"/>
      <family val="2"/>
    </font>
    <font>
      <sz val="10"/>
      <color indexed="8"/>
      <name val="Franklin Gothic Book"/>
      <family val="2"/>
    </font>
    <font>
      <i/>
      <vertAlign val="subscript"/>
      <sz val="10"/>
      <color indexed="8"/>
      <name val="Franklin Gothic Book"/>
      <family val="2"/>
    </font>
    <font>
      <sz val="10"/>
      <name val="Franklin Gothic Book"/>
      <family val="2"/>
    </font>
    <font>
      <vertAlign val="subscript"/>
      <sz val="10"/>
      <color indexed="8"/>
      <name val="Franklin Gothic Book"/>
      <family val="2"/>
    </font>
    <font>
      <vertAlign val="superscript"/>
      <sz val="10"/>
      <color indexed="8"/>
      <name val="Franklin Gothic Book"/>
      <family val="2"/>
    </font>
    <font>
      <i/>
      <vertAlign val="subscript"/>
      <sz val="8"/>
      <color indexed="8"/>
      <name val="Franklin Gothic Book"/>
      <family val="2"/>
    </font>
    <font>
      <vertAlign val="subscript"/>
      <sz val="8"/>
      <color indexed="8"/>
      <name val="Franklin Gothic Book"/>
      <family val="2"/>
    </font>
    <font>
      <i/>
      <sz val="10"/>
      <name val="Franklin Gothic Book"/>
      <family val="2"/>
    </font>
    <font>
      <i/>
      <vertAlign val="subscript"/>
      <sz val="8"/>
      <name val="Franklin Gothic Book"/>
      <family val="2"/>
    </font>
    <font>
      <sz val="8"/>
      <color indexed="8"/>
      <name val="Franklin Gothic Book"/>
      <family val="2"/>
    </font>
    <font>
      <b/>
      <sz val="10"/>
      <name val="Franklin Gothic Book"/>
      <family val="2"/>
    </font>
    <font>
      <b/>
      <sz val="10"/>
      <color indexed="12"/>
      <name val="Franklin Gothic Book"/>
      <family val="2"/>
    </font>
    <font>
      <vertAlign val="subscript"/>
      <sz val="10"/>
      <name val="Franklin Gothic Book"/>
      <family val="2"/>
    </font>
    <font>
      <b/>
      <vertAlign val="subscript"/>
      <sz val="10"/>
      <name val="Franklin Gothic Book"/>
      <family val="2"/>
    </font>
    <font>
      <b/>
      <vertAlign val="subscript"/>
      <sz val="10"/>
      <color indexed="8"/>
      <name val="Franklin Gothic Book"/>
      <family val="2"/>
    </font>
    <font>
      <sz val="8"/>
      <name val="Franklin Gothic Book"/>
      <family val="2"/>
    </font>
    <font>
      <vertAlign val="superscript"/>
      <sz val="10"/>
      <name val="Franklin Gothic Book"/>
      <family val="2"/>
    </font>
    <font>
      <b/>
      <sz val="12"/>
      <name val="Franklin Gothic Book"/>
      <family val="2"/>
    </font>
    <font>
      <b/>
      <vertAlign val="subscript"/>
      <sz val="12"/>
      <name val="Franklin Gothic Book"/>
      <family val="2"/>
    </font>
    <font>
      <sz val="12"/>
      <color indexed="8"/>
      <name val="Franklin Gothic Book"/>
      <family val="2"/>
    </font>
    <font>
      <b/>
      <sz val="11"/>
      <name val="Franklin Gothic Book"/>
      <family val="2"/>
    </font>
    <font>
      <b/>
      <sz val="12"/>
      <color indexed="8"/>
      <name val="Franklin Gothic Book"/>
      <family val="2"/>
    </font>
    <font>
      <b/>
      <vertAlign val="subscript"/>
      <sz val="12"/>
      <color indexed="8"/>
      <name val="Franklin Gothic Book"/>
      <family val="2"/>
    </font>
    <font>
      <sz val="11"/>
      <name val="Franklin Gothic Book"/>
      <family val="2"/>
    </font>
    <font>
      <vertAlign val="subscript"/>
      <sz val="11"/>
      <name val="Franklin Gothic Book"/>
      <family val="2"/>
    </font>
    <font>
      <sz val="10.5"/>
      <color indexed="8"/>
      <name val="Franklin Gothic Book"/>
      <family val="2"/>
    </font>
    <font>
      <vertAlign val="subscript"/>
      <sz val="10.5"/>
      <color indexed="8"/>
      <name val="Franklin Gothic Book"/>
      <family val="2"/>
    </font>
    <font>
      <vertAlign val="superscript"/>
      <sz val="11"/>
      <name val="Franklin Gothic Book"/>
      <family val="2"/>
    </font>
    <font>
      <b/>
      <vertAlign val="subscript"/>
      <sz val="11"/>
      <name val="Franklin Gothic Book"/>
      <family val="2"/>
    </font>
    <font>
      <b/>
      <vertAlign val="superscript"/>
      <sz val="11"/>
      <name val="Franklin Gothic Book"/>
      <family val="2"/>
    </font>
    <font>
      <sz val="10"/>
      <color indexed="10"/>
      <name val="Franklin Gothic Book"/>
      <family val="2"/>
    </font>
    <font>
      <sz val="10"/>
      <color indexed="46"/>
      <name val="Franklin Gothic Book"/>
      <family val="2"/>
    </font>
    <font>
      <u/>
      <sz val="10"/>
      <color indexed="10"/>
      <name val="Franklin Gothic Book"/>
      <family val="2"/>
    </font>
    <font>
      <b/>
      <i/>
      <sz val="10"/>
      <name val="Franklin Gothic Book"/>
      <family val="2"/>
    </font>
    <font>
      <i/>
      <vertAlign val="subscript"/>
      <sz val="10"/>
      <name val="Franklin Gothic Book"/>
      <family val="2"/>
    </font>
    <font>
      <b/>
      <sz val="10"/>
      <color indexed="10"/>
      <name val="Franklin Gothic Book"/>
      <family val="2"/>
    </font>
    <font>
      <vertAlign val="subscript"/>
      <sz val="8"/>
      <name val="Franklin Gothic Book"/>
      <family val="2"/>
    </font>
    <font>
      <i/>
      <sz val="8"/>
      <name val="Franklin Gothic Book"/>
      <family val="2"/>
    </font>
    <font>
      <b/>
      <sz val="8"/>
      <name val="Franklin Gothic Book"/>
      <family val="2"/>
    </font>
    <font>
      <b/>
      <sz val="10"/>
      <color indexed="9"/>
      <name val="Franklin Gothic Book"/>
      <family val="2"/>
    </font>
    <font>
      <sz val="7"/>
      <name val="Franklin Gothic Book"/>
      <family val="2"/>
    </font>
    <font>
      <b/>
      <sz val="7"/>
      <name val="Franklin Gothic Book"/>
      <family val="2"/>
    </font>
    <font>
      <sz val="10"/>
      <color indexed="9"/>
      <name val="Franklin Gothic Book"/>
      <family val="2"/>
    </font>
    <font>
      <i/>
      <sz val="8"/>
      <color indexed="9"/>
      <name val="Franklin Gothic Book"/>
      <family val="2"/>
    </font>
    <font>
      <b/>
      <sz val="10"/>
      <color indexed="46"/>
      <name val="Franklin Gothic Book"/>
      <family val="2"/>
    </font>
    <font>
      <i/>
      <vertAlign val="subscript"/>
      <sz val="10"/>
      <color indexed="9"/>
      <name val="Franklin Gothic Book"/>
      <family val="2"/>
    </font>
    <font>
      <sz val="11"/>
      <color theme="1"/>
      <name val="宋体"/>
      <family val="3"/>
      <charset val="134"/>
      <scheme val="minor"/>
    </font>
    <font>
      <sz val="10"/>
      <color rgb="FF4D4D4C"/>
      <name val="Verdana"/>
      <family val="2"/>
    </font>
    <font>
      <b/>
      <sz val="10"/>
      <color rgb="FFFF0000"/>
      <name val="Calibri"/>
      <family val="2"/>
    </font>
    <font>
      <sz val="10"/>
      <color theme="1"/>
      <name val="Franklin Gothic Book"/>
      <family val="2"/>
    </font>
    <font>
      <sz val="10"/>
      <color rgb="FF222222"/>
      <name val="Franklin Gothic Book"/>
      <family val="2"/>
    </font>
    <font>
      <b/>
      <sz val="14"/>
      <color rgb="FFFF0000"/>
      <name val="Franklin Gothic Book"/>
      <family val="2"/>
    </font>
    <font>
      <sz val="10"/>
      <color rgb="FF000000"/>
      <name val="Franklin Gothic Book"/>
      <family val="2"/>
    </font>
    <font>
      <b/>
      <sz val="10"/>
      <name val="宋体"/>
      <family val="2"/>
      <charset val="134"/>
    </font>
    <font>
      <sz val="9"/>
      <name val="宋体"/>
      <family val="2"/>
      <charset val="134"/>
      <scheme val="minor"/>
    </font>
    <font>
      <sz val="9"/>
      <name val="宋体"/>
      <family val="3"/>
      <charset val="134"/>
      <scheme val="minor"/>
    </font>
    <font>
      <b/>
      <vertAlign val="subscript"/>
      <sz val="10"/>
      <color rgb="FF000000"/>
      <name val="Franklin Gothic Book"/>
      <family val="2"/>
    </font>
    <font>
      <vertAlign val="subscript"/>
      <sz val="10"/>
      <color rgb="FF000000"/>
      <name val="Franklin Gothic Book"/>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rgb="FFE0E0E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3">
    <xf numFmtId="0" fontId="0" fillId="0" borderId="0"/>
    <xf numFmtId="182" fontId="8" fillId="0" borderId="0" applyFont="0" applyFill="0" applyBorder="0" applyAlignment="0" applyProtection="0"/>
    <xf numFmtId="0" fontId="64" fillId="0" borderId="0"/>
    <xf numFmtId="0" fontId="4" fillId="0" borderId="0"/>
    <xf numFmtId="0" fontId="5" fillId="0" borderId="0">
      <alignment vertical="center"/>
    </xf>
    <xf numFmtId="0" fontId="5" fillId="0" borderId="0">
      <alignment vertical="center"/>
    </xf>
    <xf numFmtId="9" fontId="4" fillId="0" borderId="0" applyFont="0" applyFill="0" applyBorder="0" applyAlignment="0" applyProtection="0"/>
    <xf numFmtId="9" fontId="2" fillId="0" borderId="0" applyFont="0" applyFill="0" applyBorder="0" applyAlignment="0" applyProtection="0"/>
    <xf numFmtId="0" fontId="6" fillId="0" borderId="0"/>
    <xf numFmtId="0" fontId="5" fillId="0" borderId="0">
      <alignment vertical="center"/>
    </xf>
    <xf numFmtId="0" fontId="3" fillId="0" borderId="0" applyNumberFormat="0" applyFill="0" applyBorder="0" applyAlignment="0" applyProtection="0">
      <alignment vertical="top"/>
      <protection locked="0"/>
    </xf>
    <xf numFmtId="176" fontId="2" fillId="0" borderId="0" applyFont="0" applyFill="0" applyBorder="0" applyAlignment="0" applyProtection="0"/>
    <xf numFmtId="0" fontId="1" fillId="0" borderId="0"/>
  </cellStyleXfs>
  <cellXfs count="516">
    <xf numFmtId="0" fontId="0" fillId="0" borderId="0" xfId="0"/>
    <xf numFmtId="0" fontId="0" fillId="0" borderId="1" xfId="0" applyBorder="1"/>
    <xf numFmtId="0" fontId="7" fillId="0" borderId="0" xfId="0" applyFont="1" applyAlignment="1">
      <alignment vertical="center"/>
    </xf>
    <xf numFmtId="184" fontId="65" fillId="0" borderId="0" xfId="0" applyNumberFormat="1" applyFont="1"/>
    <xf numFmtId="0" fontId="12" fillId="0" borderId="1" xfId="0" applyFont="1" applyBorder="1"/>
    <xf numFmtId="0" fontId="12" fillId="0" borderId="1" xfId="0" applyFont="1" applyBorder="1" applyAlignment="1">
      <alignment vertical="center"/>
    </xf>
    <xf numFmtId="183" fontId="12" fillId="0" borderId="1" xfId="0" applyNumberFormat="1" applyFont="1" applyBorder="1" applyAlignment="1">
      <alignment vertical="center"/>
    </xf>
    <xf numFmtId="2" fontId="0" fillId="0" borderId="0" xfId="0" applyNumberFormat="1"/>
    <xf numFmtId="0" fontId="13" fillId="0" borderId="0" xfId="0" applyFont="1"/>
    <xf numFmtId="3" fontId="0" fillId="0" borderId="0" xfId="0" applyNumberFormat="1"/>
    <xf numFmtId="0" fontId="12" fillId="0" borderId="1" xfId="0" applyFont="1" applyBorder="1" applyAlignment="1">
      <alignment horizontal="center" vertical="center"/>
    </xf>
    <xf numFmtId="0" fontId="12" fillId="0" borderId="2" xfId="0" applyFont="1" applyBorder="1" applyAlignment="1">
      <alignment horizontal="center" vertical="center"/>
    </xf>
    <xf numFmtId="183" fontId="12" fillId="0" borderId="2" xfId="0" applyNumberFormat="1" applyFont="1" applyBorder="1" applyAlignment="1">
      <alignment vertical="center"/>
    </xf>
    <xf numFmtId="183" fontId="12" fillId="0" borderId="3" xfId="0" applyNumberFormat="1"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0" fillId="0" borderId="2" xfId="0" applyBorder="1"/>
    <xf numFmtId="0" fontId="16" fillId="5" borderId="4" xfId="0" applyFont="1" applyFill="1" applyBorder="1" applyAlignment="1">
      <alignment horizontal="justify" vertical="center" wrapText="1"/>
    </xf>
    <xf numFmtId="0" fontId="16" fillId="0" borderId="5" xfId="0" applyFont="1" applyBorder="1" applyAlignment="1">
      <alignment horizontal="left" vertical="center" wrapText="1"/>
    </xf>
    <xf numFmtId="0" fontId="16" fillId="5" borderId="6" xfId="0" applyFont="1" applyFill="1" applyBorder="1" applyAlignment="1">
      <alignment horizontal="justify" vertical="center" wrapText="1"/>
    </xf>
    <xf numFmtId="0" fontId="16" fillId="0" borderId="7" xfId="0" applyFont="1" applyBorder="1" applyAlignment="1">
      <alignment horizontal="left" vertical="center"/>
    </xf>
    <xf numFmtId="0" fontId="16" fillId="5" borderId="8" xfId="0" applyFont="1" applyFill="1" applyBorder="1" applyAlignment="1">
      <alignment horizontal="justify" vertical="center" wrapText="1"/>
    </xf>
    <xf numFmtId="0" fontId="16" fillId="0" borderId="9" xfId="0" applyFont="1" applyBorder="1" applyAlignment="1">
      <alignment horizontal="left" vertical="center" wrapText="1"/>
    </xf>
    <xf numFmtId="0" fontId="17" fillId="0" borderId="4" xfId="0" applyFont="1" applyBorder="1" applyAlignment="1">
      <alignment horizontal="center"/>
    </xf>
    <xf numFmtId="0" fontId="17" fillId="0" borderId="10" xfId="0" applyFont="1" applyBorder="1" applyAlignment="1">
      <alignment horizontal="center"/>
    </xf>
    <xf numFmtId="0" fontId="17" fillId="0" borderId="6" xfId="0" applyFont="1" applyBorder="1" applyAlignment="1">
      <alignment horizontal="center"/>
    </xf>
    <xf numFmtId="0" fontId="17" fillId="0" borderId="1" xfId="0" applyFont="1" applyBorder="1" applyAlignment="1">
      <alignment horizontal="center"/>
    </xf>
    <xf numFmtId="0" fontId="17" fillId="0" borderId="1" xfId="0" applyFont="1" applyBorder="1" applyAlignment="1">
      <alignment horizontal="center" wrapText="1"/>
    </xf>
    <xf numFmtId="0" fontId="18" fillId="0" borderId="6" xfId="0" applyFont="1" applyBorder="1"/>
    <xf numFmtId="0" fontId="20" fillId="0" borderId="1" xfId="0" applyFont="1" applyBorder="1" applyAlignment="1">
      <alignment horizontal="right"/>
    </xf>
    <xf numFmtId="0" fontId="18" fillId="0" borderId="1" xfId="0" applyFont="1" applyBorder="1" applyAlignment="1">
      <alignment horizontal="center"/>
    </xf>
    <xf numFmtId="0" fontId="18" fillId="0" borderId="1" xfId="0" applyFont="1" applyBorder="1" applyAlignment="1">
      <alignment horizontal="center" wrapText="1"/>
    </xf>
    <xf numFmtId="9" fontId="20" fillId="0" borderId="1" xfId="0" applyNumberFormat="1" applyFont="1" applyBorder="1" applyAlignment="1">
      <alignment horizontal="right"/>
    </xf>
    <xf numFmtId="3" fontId="20" fillId="0" borderId="1" xfId="11" applyNumberFormat="1" applyFont="1" applyFill="1" applyBorder="1" applyAlignment="1">
      <alignment horizontal="right" vertical="center"/>
    </xf>
    <xf numFmtId="17" fontId="18" fillId="0" borderId="6" xfId="0" applyNumberFormat="1" applyFont="1" applyBorder="1"/>
    <xf numFmtId="0" fontId="25" fillId="0" borderId="6" xfId="0" applyFont="1" applyBorder="1"/>
    <xf numFmtId="187" fontId="20" fillId="0" borderId="1" xfId="11" applyNumberFormat="1" applyFont="1" applyFill="1" applyBorder="1" applyAlignment="1">
      <alignment horizontal="right" vertical="center"/>
    </xf>
    <xf numFmtId="0" fontId="18" fillId="0" borderId="6" xfId="0" applyFont="1" applyBorder="1" applyAlignment="1">
      <alignment horizontal="left"/>
    </xf>
    <xf numFmtId="4" fontId="20" fillId="0" borderId="1" xfId="0" applyNumberFormat="1" applyFont="1" applyBorder="1" applyAlignment="1">
      <alignment horizontal="right"/>
    </xf>
    <xf numFmtId="0" fontId="18" fillId="0" borderId="3" xfId="0" applyFont="1" applyBorder="1" applyAlignment="1">
      <alignment horizontal="center" wrapText="1"/>
    </xf>
    <xf numFmtId="17" fontId="18" fillId="0" borderId="6" xfId="0" applyNumberFormat="1" applyFont="1" applyBorder="1" applyAlignment="1">
      <alignment horizontal="right"/>
    </xf>
    <xf numFmtId="0" fontId="18" fillId="0" borderId="11" xfId="0" applyFont="1" applyBorder="1" applyAlignment="1">
      <alignment horizontal="center"/>
    </xf>
    <xf numFmtId="0" fontId="28" fillId="0" borderId="4" xfId="0" applyFont="1" applyBorder="1" applyAlignment="1">
      <alignment horizontal="center"/>
    </xf>
    <xf numFmtId="0" fontId="28" fillId="0" borderId="10" xfId="0" applyFont="1" applyBorder="1" applyAlignment="1">
      <alignment horizontal="center"/>
    </xf>
    <xf numFmtId="0" fontId="20" fillId="0" borderId="0" xfId="0" applyFont="1"/>
    <xf numFmtId="0" fontId="20" fillId="0" borderId="1" xfId="0" applyFont="1" applyBorder="1" applyAlignment="1">
      <alignment horizontal="center"/>
    </xf>
    <xf numFmtId="0" fontId="20" fillId="0" borderId="6" xfId="4" applyFont="1" applyBorder="1">
      <alignment vertical="center"/>
    </xf>
    <xf numFmtId="185" fontId="20" fillId="0" borderId="1" xfId="4" applyNumberFormat="1" applyFont="1" applyBorder="1" applyAlignment="1">
      <alignment horizontal="right" vertical="center"/>
    </xf>
    <xf numFmtId="17" fontId="20" fillId="0" borderId="6" xfId="4" applyNumberFormat="1" applyFont="1" applyBorder="1" applyAlignment="1">
      <alignment horizontal="right" vertical="center"/>
    </xf>
    <xf numFmtId="9" fontId="20" fillId="0" borderId="12" xfId="4" applyNumberFormat="1"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85" fontId="20" fillId="0" borderId="0" xfId="0" applyNumberFormat="1" applyFont="1"/>
    <xf numFmtId="3" fontId="20" fillId="0" borderId="0" xfId="0" applyNumberFormat="1" applyFont="1"/>
    <xf numFmtId="0" fontId="28" fillId="0" borderId="6" xfId="4" applyFont="1" applyBorder="1">
      <alignment vertical="center"/>
    </xf>
    <xf numFmtId="3" fontId="20" fillId="0" borderId="1" xfId="4" applyNumberFormat="1" applyFont="1" applyBorder="1" applyAlignment="1">
      <alignment horizontal="center" vertical="center"/>
    </xf>
    <xf numFmtId="3" fontId="28" fillId="0" borderId="1" xfId="4" applyNumberFormat="1" applyFont="1" applyBorder="1" applyAlignment="1">
      <alignment horizontal="right" vertical="center"/>
    </xf>
    <xf numFmtId="17" fontId="17" fillId="0" borderId="6" xfId="0" applyNumberFormat="1" applyFont="1" applyBorder="1"/>
    <xf numFmtId="17" fontId="18" fillId="0" borderId="8" xfId="0" applyNumberFormat="1" applyFont="1" applyBorder="1"/>
    <xf numFmtId="177" fontId="28" fillId="0" borderId="11" xfId="0" applyNumberFormat="1" applyFont="1" applyBorder="1"/>
    <xf numFmtId="0" fontId="20" fillId="0" borderId="11"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1" xfId="0" applyFont="1" applyBorder="1" applyAlignment="1">
      <alignment horizontal="center"/>
    </xf>
    <xf numFmtId="0" fontId="28" fillId="0" borderId="7" xfId="0" applyFont="1" applyBorder="1" applyAlignment="1">
      <alignment horizontal="center" wrapText="1"/>
    </xf>
    <xf numFmtId="0" fontId="20" fillId="0" borderId="6" xfId="0" applyFont="1" applyBorder="1" applyAlignment="1">
      <alignment horizontal="left"/>
    </xf>
    <xf numFmtId="0" fontId="20" fillId="0" borderId="7" xfId="0" applyFont="1" applyBorder="1" applyAlignment="1">
      <alignment horizontal="center" wrapText="1"/>
    </xf>
    <xf numFmtId="0" fontId="20" fillId="0" borderId="6" xfId="9" applyFont="1" applyBorder="1">
      <alignment vertical="center"/>
    </xf>
    <xf numFmtId="0" fontId="20" fillId="0" borderId="1" xfId="5" applyFont="1" applyBorder="1" applyAlignment="1">
      <alignment horizontal="center" vertical="center"/>
    </xf>
    <xf numFmtId="0" fontId="20" fillId="0" borderId="6" xfId="5" applyFont="1" applyBorder="1">
      <alignment vertical="center"/>
    </xf>
    <xf numFmtId="4" fontId="20" fillId="0" borderId="1" xfId="8" applyNumberFormat="1" applyFont="1" applyBorder="1" applyAlignment="1">
      <alignment horizontal="center"/>
    </xf>
    <xf numFmtId="17" fontId="20" fillId="0" borderId="6" xfId="5" applyNumberFormat="1" applyFont="1" applyBorder="1" applyAlignment="1">
      <alignment horizontal="right" vertical="center"/>
    </xf>
    <xf numFmtId="3" fontId="20" fillId="0" borderId="1" xfId="11" applyNumberFormat="1" applyFont="1" applyFill="1" applyBorder="1" applyAlignment="1">
      <alignment horizontal="center" vertical="center"/>
    </xf>
    <xf numFmtId="0" fontId="20" fillId="0" borderId="1" xfId="9" applyFont="1" applyBorder="1" applyAlignment="1">
      <alignment horizontal="center" vertical="center"/>
    </xf>
    <xf numFmtId="9" fontId="20" fillId="0" borderId="1" xfId="9" applyNumberFormat="1" applyFont="1" applyBorder="1" applyAlignment="1">
      <alignment horizontal="center" vertical="center"/>
    </xf>
    <xf numFmtId="0" fontId="67" fillId="0" borderId="1" xfId="5" applyFont="1" applyBorder="1" applyAlignment="1">
      <alignment horizontal="center" vertical="center"/>
    </xf>
    <xf numFmtId="9" fontId="20" fillId="0" borderId="1" xfId="5" applyNumberFormat="1" applyFont="1" applyBorder="1" applyAlignment="1">
      <alignment horizontal="center" vertical="center"/>
    </xf>
    <xf numFmtId="0" fontId="28" fillId="0" borderId="1" xfId="0" applyFont="1" applyBorder="1"/>
    <xf numFmtId="0" fontId="18" fillId="0" borderId="7" xfId="0" applyFont="1" applyBorder="1" applyAlignment="1">
      <alignment horizontal="center" wrapText="1"/>
    </xf>
    <xf numFmtId="17" fontId="20" fillId="0" borderId="15" xfId="9" applyNumberFormat="1" applyFont="1" applyBorder="1" applyAlignment="1">
      <alignment horizontal="right" vertical="center"/>
    </xf>
    <xf numFmtId="178" fontId="20" fillId="0" borderId="1" xfId="5" applyNumberFormat="1" applyFont="1" applyBorder="1" applyAlignment="1">
      <alignment horizontal="center" vertical="center"/>
    </xf>
    <xf numFmtId="0" fontId="28" fillId="0" borderId="8" xfId="0" applyFont="1" applyBorder="1"/>
    <xf numFmtId="0" fontId="35" fillId="0" borderId="4" xfId="0" applyFont="1" applyBorder="1" applyAlignment="1">
      <alignment horizontal="center" vertical="center"/>
    </xf>
    <xf numFmtId="0" fontId="35" fillId="6" borderId="10" xfId="0" applyFont="1" applyFill="1" applyBorder="1" applyAlignment="1">
      <alignment horizontal="center" vertical="center"/>
    </xf>
    <xf numFmtId="0" fontId="35" fillId="0" borderId="5" xfId="0" applyFont="1" applyBorder="1" applyAlignment="1">
      <alignment horizontal="center" vertical="center"/>
    </xf>
    <xf numFmtId="17" fontId="37" fillId="0" borderId="6" xfId="0" applyNumberFormat="1" applyFont="1" applyBorder="1" applyAlignment="1">
      <alignment horizontal="center" vertical="center"/>
    </xf>
    <xf numFmtId="196" fontId="16" fillId="0" borderId="1" xfId="0" applyNumberFormat="1" applyFont="1" applyBorder="1" applyAlignment="1">
      <alignment horizontal="center" vertical="center"/>
    </xf>
    <xf numFmtId="196" fontId="16" fillId="6" borderId="1" xfId="0" applyNumberFormat="1" applyFont="1" applyFill="1" applyBorder="1" applyAlignment="1">
      <alignment horizontal="center" vertical="center"/>
    </xf>
    <xf numFmtId="196" fontId="16" fillId="0" borderId="1" xfId="0" applyNumberFormat="1" applyFont="1" applyBorder="1" applyAlignment="1">
      <alignment horizontal="center" vertical="center" wrapText="1"/>
    </xf>
    <xf numFmtId="196" fontId="16" fillId="0" borderId="7" xfId="0" applyNumberFormat="1" applyFont="1" applyBorder="1" applyAlignment="1">
      <alignment horizontal="center" vertical="center"/>
    </xf>
    <xf numFmtId="0" fontId="16" fillId="0" borderId="8" xfId="0" applyFont="1" applyBorder="1" applyAlignment="1">
      <alignment horizontal="center" vertical="center"/>
    </xf>
    <xf numFmtId="196" fontId="16" fillId="0" borderId="11" xfId="0" applyNumberFormat="1" applyFont="1" applyBorder="1" applyAlignment="1">
      <alignment horizontal="center" vertical="center"/>
    </xf>
    <xf numFmtId="196" fontId="16" fillId="0" borderId="9" xfId="0" applyNumberFormat="1" applyFont="1" applyBorder="1" applyAlignment="1">
      <alignment horizontal="center" vertical="center"/>
    </xf>
    <xf numFmtId="0" fontId="20" fillId="0" borderId="6" xfId="0" applyFont="1" applyBorder="1" applyAlignment="1">
      <alignment wrapText="1"/>
    </xf>
    <xf numFmtId="0" fontId="20" fillId="0" borderId="1" xfId="0" applyFont="1" applyBorder="1" applyAlignment="1">
      <alignment wrapText="1"/>
    </xf>
    <xf numFmtId="0" fontId="20" fillId="0" borderId="7" xfId="0" applyFont="1" applyBorder="1" applyAlignment="1">
      <alignment horizontal="center" vertical="center" wrapText="1"/>
    </xf>
    <xf numFmtId="0" fontId="20" fillId="0" borderId="6" xfId="0" applyFont="1" applyBorder="1"/>
    <xf numFmtId="180" fontId="20" fillId="0" borderId="0" xfId="0" applyNumberFormat="1" applyFont="1"/>
    <xf numFmtId="0" fontId="20" fillId="0" borderId="1" xfId="0" applyFont="1" applyBorder="1"/>
    <xf numFmtId="183" fontId="20" fillId="0" borderId="1" xfId="0" applyNumberFormat="1" applyFont="1" applyBorder="1" applyAlignment="1">
      <alignment horizontal="center"/>
    </xf>
    <xf numFmtId="183" fontId="20" fillId="0" borderId="7" xfId="0" applyNumberFormat="1" applyFont="1" applyBorder="1" applyAlignment="1">
      <alignment horizontal="center"/>
    </xf>
    <xf numFmtId="0" fontId="20" fillId="0" borderId="8" xfId="0" applyFont="1" applyBorder="1"/>
    <xf numFmtId="0" fontId="20" fillId="0" borderId="11" xfId="0" applyFont="1" applyBorder="1"/>
    <xf numFmtId="183" fontId="20" fillId="0" borderId="11" xfId="0" applyNumberFormat="1" applyFont="1" applyBorder="1" applyAlignment="1">
      <alignment horizontal="center"/>
    </xf>
    <xf numFmtId="183" fontId="20" fillId="0" borderId="9" xfId="0" applyNumberFormat="1" applyFont="1" applyBorder="1" applyAlignment="1">
      <alignment horizontal="center"/>
    </xf>
    <xf numFmtId="183" fontId="20" fillId="0" borderId="0" xfId="0" applyNumberFormat="1" applyFont="1" applyAlignment="1">
      <alignment horizontal="center"/>
    </xf>
    <xf numFmtId="183" fontId="20" fillId="0" borderId="0" xfId="0" applyNumberFormat="1" applyFont="1"/>
    <xf numFmtId="44" fontId="20" fillId="0" borderId="0" xfId="0" applyNumberFormat="1" applyFont="1"/>
    <xf numFmtId="14" fontId="20" fillId="0" borderId="0" xfId="0" applyNumberFormat="1" applyFont="1"/>
    <xf numFmtId="0" fontId="20" fillId="0" borderId="10" xfId="0" applyFont="1" applyBorder="1"/>
    <xf numFmtId="0" fontId="20" fillId="0" borderId="5" xfId="0" applyFont="1" applyBorder="1"/>
    <xf numFmtId="1" fontId="20" fillId="0" borderId="1" xfId="0" applyNumberFormat="1" applyFont="1" applyBorder="1" applyAlignment="1">
      <alignment horizontal="center"/>
    </xf>
    <xf numFmtId="193" fontId="20" fillId="0" borderId="1" xfId="0" applyNumberFormat="1" applyFont="1" applyBorder="1" applyAlignment="1">
      <alignment horizontal="center"/>
    </xf>
    <xf numFmtId="2" fontId="20" fillId="0" borderId="1" xfId="0" applyNumberFormat="1" applyFont="1" applyBorder="1" applyAlignment="1">
      <alignment horizontal="center"/>
    </xf>
    <xf numFmtId="2" fontId="20" fillId="0" borderId="7" xfId="0" applyNumberFormat="1" applyFont="1" applyBorder="1" applyAlignment="1">
      <alignment horizontal="center"/>
    </xf>
    <xf numFmtId="0" fontId="20" fillId="0" borderId="0" xfId="0" applyFont="1" applyAlignment="1">
      <alignment horizontal="right"/>
    </xf>
    <xf numFmtId="2" fontId="20" fillId="0" borderId="0" xfId="0" applyNumberFormat="1" applyFont="1"/>
    <xf numFmtId="0" fontId="20" fillId="0" borderId="3" xfId="0" applyFont="1" applyBorder="1" applyAlignment="1">
      <alignment horizontal="center"/>
    </xf>
    <xf numFmtId="43" fontId="20" fillId="0" borderId="0" xfId="0" applyNumberFormat="1" applyFont="1"/>
    <xf numFmtId="2" fontId="20" fillId="0" borderId="0" xfId="0" applyNumberFormat="1" applyFont="1" applyAlignment="1">
      <alignment horizontal="center"/>
    </xf>
    <xf numFmtId="190" fontId="20" fillId="0" borderId="0" xfId="0" applyNumberFormat="1" applyFont="1"/>
    <xf numFmtId="179" fontId="20" fillId="0" borderId="0" xfId="0" applyNumberFormat="1" applyFont="1"/>
    <xf numFmtId="0" fontId="68" fillId="0" borderId="0" xfId="0" applyFont="1"/>
    <xf numFmtId="181" fontId="20" fillId="0" borderId="0" xfId="0" applyNumberFormat="1" applyFont="1"/>
    <xf numFmtId="186" fontId="20" fillId="0" borderId="0" xfId="0" applyNumberFormat="1" applyFont="1"/>
    <xf numFmtId="0" fontId="69" fillId="0" borderId="19" xfId="0" applyFont="1" applyBorder="1" applyAlignment="1">
      <alignment vertical="center"/>
    </xf>
    <xf numFmtId="0" fontId="69" fillId="0" borderId="0" xfId="0" applyFont="1" applyAlignment="1">
      <alignment horizontal="left" vertical="center"/>
    </xf>
    <xf numFmtId="0" fontId="20" fillId="0" borderId="0" xfId="0" applyFont="1" applyAlignment="1">
      <alignment vertical="center"/>
    </xf>
    <xf numFmtId="0" fontId="16" fillId="0" borderId="1" xfId="0" applyFont="1" applyBorder="1" applyAlignment="1">
      <alignment vertical="center"/>
    </xf>
    <xf numFmtId="0" fontId="35" fillId="0" borderId="20" xfId="0" applyFont="1" applyBorder="1" applyAlignment="1">
      <alignment horizontal="center" vertical="center"/>
    </xf>
    <xf numFmtId="0" fontId="35" fillId="0" borderId="1" xfId="0" applyFont="1" applyBorder="1" applyAlignment="1">
      <alignment horizontal="center" vertical="center"/>
    </xf>
    <xf numFmtId="0" fontId="41" fillId="7" borderId="1" xfId="0" applyFont="1" applyFill="1" applyBorder="1" applyAlignment="1">
      <alignment horizontal="center" vertical="center"/>
    </xf>
    <xf numFmtId="0" fontId="41" fillId="7" borderId="1" xfId="0" applyFont="1" applyFill="1" applyBorder="1" applyAlignment="1">
      <alignment horizontal="center" vertical="center" wrapText="1"/>
    </xf>
    <xf numFmtId="0" fontId="41" fillId="8" borderId="1" xfId="0" applyFont="1" applyFill="1" applyBorder="1" applyAlignment="1">
      <alignment horizontal="center" vertical="center"/>
    </xf>
    <xf numFmtId="0" fontId="41" fillId="8" borderId="1" xfId="0" applyFont="1" applyFill="1" applyBorder="1" applyAlignment="1">
      <alignment horizontal="center" vertical="center" wrapText="1"/>
    </xf>
    <xf numFmtId="1" fontId="16" fillId="0" borderId="1" xfId="0" applyNumberFormat="1" applyFont="1" applyBorder="1" applyAlignment="1">
      <alignment horizontal="center" vertical="center"/>
    </xf>
    <xf numFmtId="179" fontId="41" fillId="7" borderId="1" xfId="0" applyNumberFormat="1" applyFont="1" applyFill="1" applyBorder="1" applyAlignment="1">
      <alignment horizontal="center" vertical="center"/>
    </xf>
    <xf numFmtId="192" fontId="41" fillId="7" borderId="1" xfId="0" applyNumberFormat="1" applyFont="1" applyFill="1" applyBorder="1" applyAlignment="1">
      <alignment horizontal="center" vertical="center" wrapText="1"/>
    </xf>
    <xf numFmtId="192" fontId="20" fillId="7" borderId="1" xfId="0" applyNumberFormat="1" applyFont="1" applyFill="1" applyBorder="1" applyAlignment="1">
      <alignment horizontal="center" vertical="center"/>
    </xf>
    <xf numFmtId="2" fontId="41" fillId="8" borderId="1" xfId="0" applyNumberFormat="1" applyFont="1" applyFill="1" applyBorder="1" applyAlignment="1">
      <alignment horizontal="center" vertical="center"/>
    </xf>
    <xf numFmtId="179" fontId="41" fillId="8" borderId="1" xfId="0" applyNumberFormat="1" applyFont="1" applyFill="1" applyBorder="1" applyAlignment="1">
      <alignment horizontal="center" vertical="center"/>
    </xf>
    <xf numFmtId="1" fontId="41" fillId="8" borderId="1" xfId="0" applyNumberFormat="1" applyFont="1" applyFill="1" applyBorder="1" applyAlignment="1">
      <alignment horizontal="center" vertical="center" wrapText="1"/>
    </xf>
    <xf numFmtId="2" fontId="41" fillId="8" borderId="1" xfId="0" applyNumberFormat="1" applyFont="1" applyFill="1" applyBorder="1" applyAlignment="1">
      <alignment horizontal="center" vertical="center" wrapText="1"/>
    </xf>
    <xf numFmtId="192" fontId="41" fillId="8" borderId="1" xfId="0" applyNumberFormat="1" applyFont="1" applyFill="1" applyBorder="1" applyAlignment="1">
      <alignment horizontal="center" vertical="center" wrapText="1"/>
    </xf>
    <xf numFmtId="2" fontId="41" fillId="7" borderId="1" xfId="0" applyNumberFormat="1" applyFont="1" applyFill="1" applyBorder="1" applyAlignment="1">
      <alignment horizontal="center" vertical="center"/>
    </xf>
    <xf numFmtId="192" fontId="41" fillId="8" borderId="1" xfId="0" applyNumberFormat="1" applyFont="1" applyFill="1" applyBorder="1" applyAlignment="1">
      <alignment horizontal="center" vertical="center"/>
    </xf>
    <xf numFmtId="192" fontId="20" fillId="8" borderId="1" xfId="0" applyNumberFormat="1" applyFont="1" applyFill="1" applyBorder="1" applyAlignment="1">
      <alignment horizontal="center" vertical="center"/>
    </xf>
    <xf numFmtId="179" fontId="41" fillId="9" borderId="21" xfId="0" applyNumberFormat="1" applyFont="1" applyFill="1" applyBorder="1" applyAlignment="1">
      <alignment vertical="center"/>
    </xf>
    <xf numFmtId="186" fontId="41" fillId="9" borderId="1" xfId="0" applyNumberFormat="1" applyFont="1" applyFill="1" applyBorder="1" applyAlignment="1">
      <alignment horizontal="center" vertical="center"/>
    </xf>
    <xf numFmtId="1" fontId="41" fillId="8" borderId="1" xfId="0" applyNumberFormat="1" applyFont="1" applyFill="1" applyBorder="1" applyAlignment="1">
      <alignment horizontal="center" vertical="center"/>
    </xf>
    <xf numFmtId="178" fontId="41" fillId="7" borderId="1" xfId="0" applyNumberFormat="1" applyFont="1" applyFill="1" applyBorder="1" applyAlignment="1">
      <alignment horizontal="center" vertical="center"/>
    </xf>
    <xf numFmtId="178" fontId="41" fillId="8" borderId="1" xfId="0" applyNumberFormat="1" applyFont="1" applyFill="1" applyBorder="1" applyAlignment="1">
      <alignment horizontal="center" vertical="center"/>
    </xf>
    <xf numFmtId="0" fontId="16" fillId="0" borderId="0" xfId="0" applyFont="1" applyAlignment="1">
      <alignment vertical="center"/>
    </xf>
    <xf numFmtId="0" fontId="69" fillId="0" borderId="0" xfId="0" applyFont="1" applyAlignment="1">
      <alignment vertical="center"/>
    </xf>
    <xf numFmtId="178" fontId="69" fillId="0" borderId="0" xfId="0" applyNumberFormat="1" applyFont="1" applyAlignment="1">
      <alignment vertical="center"/>
    </xf>
    <xf numFmtId="0" fontId="38" fillId="0" borderId="13" xfId="0" applyFont="1" applyBorder="1" applyAlignment="1">
      <alignment vertical="center"/>
    </xf>
    <xf numFmtId="0" fontId="38" fillId="0" borderId="0" xfId="0" applyFont="1" applyAlignment="1">
      <alignment vertical="center"/>
    </xf>
    <xf numFmtId="0" fontId="38" fillId="6" borderId="1" xfId="0" applyFont="1" applyFill="1" applyBorder="1" applyAlignment="1">
      <alignment horizontal="center" vertical="center"/>
    </xf>
    <xf numFmtId="179" fontId="41" fillId="0" borderId="13" xfId="0" applyNumberFormat="1" applyFont="1" applyBorder="1" applyAlignment="1">
      <alignment vertical="center"/>
    </xf>
    <xf numFmtId="179" fontId="41" fillId="0" borderId="0" xfId="0" applyNumberFormat="1" applyFont="1" applyAlignment="1">
      <alignment vertical="center"/>
    </xf>
    <xf numFmtId="0" fontId="38" fillId="0" borderId="0" xfId="0" applyFont="1" applyAlignment="1">
      <alignment horizontal="center" vertical="center"/>
    </xf>
    <xf numFmtId="179" fontId="41" fillId="0" borderId="0" xfId="0" applyNumberFormat="1" applyFont="1" applyAlignment="1">
      <alignment horizontal="left" vertical="center"/>
    </xf>
    <xf numFmtId="179" fontId="41" fillId="0" borderId="13" xfId="0" applyNumberFormat="1" applyFont="1" applyBorder="1" applyAlignment="1">
      <alignment horizontal="left" vertical="center"/>
    </xf>
    <xf numFmtId="0" fontId="41" fillId="0" borderId="13" xfId="0" applyFont="1" applyBorder="1" applyAlignment="1">
      <alignment vertical="center"/>
    </xf>
    <xf numFmtId="0" fontId="41" fillId="0" borderId="0" xfId="0" applyFont="1" applyAlignment="1">
      <alignment vertical="center"/>
    </xf>
    <xf numFmtId="0" fontId="41" fillId="0" borderId="0" xfId="0" applyFont="1" applyAlignment="1">
      <alignment horizontal="left" vertical="center"/>
    </xf>
    <xf numFmtId="186" fontId="35" fillId="0" borderId="1" xfId="0" applyNumberFormat="1" applyFont="1" applyBorder="1" applyAlignment="1">
      <alignment horizontal="center" vertical="center"/>
    </xf>
    <xf numFmtId="179" fontId="41" fillId="0" borderId="0" xfId="0" applyNumberFormat="1" applyFont="1" applyAlignment="1">
      <alignment vertical="center" wrapText="1"/>
    </xf>
    <xf numFmtId="179" fontId="41" fillId="0" borderId="0" xfId="0" applyNumberFormat="1"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35" fillId="6" borderId="1"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horizontal="center" vertical="center" wrapText="1"/>
    </xf>
    <xf numFmtId="186" fontId="16" fillId="6" borderId="1" xfId="0" applyNumberFormat="1" applyFont="1" applyFill="1" applyBorder="1" applyAlignment="1">
      <alignment horizontal="center" vertical="center"/>
    </xf>
    <xf numFmtId="179" fontId="16" fillId="6" borderId="1" xfId="0" applyNumberFormat="1" applyFont="1" applyFill="1" applyBorder="1" applyAlignment="1">
      <alignment horizontal="center" vertical="center"/>
    </xf>
    <xf numFmtId="186" fontId="16" fillId="0" borderId="1" xfId="0" applyNumberFormat="1" applyFont="1" applyBorder="1" applyAlignment="1">
      <alignment horizontal="center" vertical="center" wrapText="1"/>
    </xf>
    <xf numFmtId="186" fontId="16"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wrapText="1"/>
    </xf>
    <xf numFmtId="3" fontId="20" fillId="0" borderId="20" xfId="5" applyNumberFormat="1" applyFont="1" applyBorder="1" applyAlignment="1">
      <alignment horizontal="center" vertical="center"/>
    </xf>
    <xf numFmtId="0" fontId="20" fillId="0" borderId="22" xfId="0" applyFont="1" applyBorder="1" applyAlignment="1">
      <alignment horizontal="center" vertical="center"/>
    </xf>
    <xf numFmtId="17" fontId="20" fillId="0" borderId="6" xfId="0" applyNumberFormat="1" applyFont="1" applyBorder="1" applyAlignment="1">
      <alignment horizontal="right"/>
    </xf>
    <xf numFmtId="17" fontId="20" fillId="0" borderId="15" xfId="0" applyNumberFormat="1" applyFont="1" applyBorder="1" applyAlignment="1">
      <alignment horizontal="right"/>
    </xf>
    <xf numFmtId="0" fontId="35" fillId="0" borderId="0" xfId="0" applyFont="1"/>
    <xf numFmtId="0" fontId="28" fillId="0" borderId="0" xfId="0" applyFont="1"/>
    <xf numFmtId="0" fontId="49" fillId="0" borderId="0" xfId="0" applyFont="1"/>
    <xf numFmtId="0" fontId="28" fillId="3" borderId="0" xfId="0" applyFont="1" applyFill="1"/>
    <xf numFmtId="0" fontId="49" fillId="0" borderId="0" xfId="0" applyFont="1" applyAlignment="1">
      <alignment horizontal="center"/>
    </xf>
    <xf numFmtId="0" fontId="48" fillId="0" borderId="0" xfId="0" applyFont="1"/>
    <xf numFmtId="0" fontId="50" fillId="0" borderId="0" xfId="10" applyFont="1" applyAlignment="1" applyProtection="1"/>
    <xf numFmtId="0" fontId="28" fillId="0" borderId="0" xfId="0" applyFont="1" applyAlignment="1">
      <alignment wrapText="1"/>
    </xf>
    <xf numFmtId="0" fontId="49" fillId="0" borderId="0" xfId="0" applyFont="1" applyAlignment="1">
      <alignment horizontal="left"/>
    </xf>
    <xf numFmtId="0" fontId="51" fillId="0" borderId="0" xfId="0" applyFont="1"/>
    <xf numFmtId="1" fontId="20" fillId="0" borderId="1" xfId="0" applyNumberFormat="1" applyFont="1" applyBorder="1" applyAlignment="1">
      <alignment horizontal="right"/>
    </xf>
    <xf numFmtId="0" fontId="20" fillId="6" borderId="1" xfId="0" applyFont="1" applyFill="1" applyBorder="1" applyAlignment="1">
      <alignment horizontal="right"/>
    </xf>
    <xf numFmtId="2" fontId="20" fillId="6" borderId="1" xfId="0" applyNumberFormat="1" applyFont="1" applyFill="1" applyBorder="1" applyAlignment="1">
      <alignment horizontal="right"/>
    </xf>
    <xf numFmtId="4" fontId="20" fillId="6" borderId="1" xfId="11" applyNumberFormat="1" applyFont="1" applyFill="1" applyBorder="1" applyAlignment="1">
      <alignment horizontal="right" vertical="center"/>
    </xf>
    <xf numFmtId="1" fontId="20" fillId="6" borderId="1" xfId="0" applyNumberFormat="1" applyFont="1" applyFill="1" applyBorder="1" applyAlignment="1">
      <alignment horizontal="right"/>
    </xf>
    <xf numFmtId="0" fontId="20" fillId="0" borderId="1" xfId="0" applyFont="1" applyBorder="1" applyAlignment="1">
      <alignment horizontal="center" vertical="center" wrapText="1"/>
    </xf>
    <xf numFmtId="0" fontId="28" fillId="0" borderId="0" xfId="0" applyFont="1" applyAlignment="1">
      <alignment horizontal="center"/>
    </xf>
    <xf numFmtId="0" fontId="20" fillId="0" borderId="0" xfId="0" applyFont="1" applyAlignment="1">
      <alignment horizontal="center"/>
    </xf>
    <xf numFmtId="0" fontId="53" fillId="0" borderId="0" xfId="0" applyFont="1"/>
    <xf numFmtId="2" fontId="20" fillId="0" borderId="1" xfId="0" applyNumberFormat="1" applyFont="1" applyBorder="1" applyAlignment="1">
      <alignment horizontal="right"/>
    </xf>
    <xf numFmtId="2" fontId="20" fillId="0" borderId="1" xfId="11" applyNumberFormat="1" applyFont="1" applyBorder="1" applyAlignment="1">
      <alignment horizontal="right"/>
    </xf>
    <xf numFmtId="1" fontId="20" fillId="0" borderId="1" xfId="11" applyNumberFormat="1" applyFont="1" applyBorder="1" applyAlignment="1">
      <alignment horizontal="right"/>
    </xf>
    <xf numFmtId="2" fontId="20" fillId="0" borderId="1" xfId="11" applyNumberFormat="1" applyFont="1" applyFill="1" applyBorder="1" applyAlignment="1">
      <alignment horizontal="right"/>
    </xf>
    <xf numFmtId="0" fontId="28" fillId="0" borderId="21" xfId="0" applyFont="1" applyBorder="1"/>
    <xf numFmtId="177" fontId="28" fillId="0" borderId="0" xfId="0" applyNumberFormat="1" applyFont="1"/>
    <xf numFmtId="0" fontId="20" fillId="0" borderId="0" xfId="9" applyFont="1">
      <alignment vertical="center"/>
    </xf>
    <xf numFmtId="177" fontId="20" fillId="0" borderId="0" xfId="9" applyNumberFormat="1" applyFont="1">
      <alignment vertical="center"/>
    </xf>
    <xf numFmtId="178" fontId="20" fillId="0" borderId="0" xfId="9" applyNumberFormat="1" applyFont="1" applyAlignment="1">
      <alignment horizontal="center" vertical="center"/>
    </xf>
    <xf numFmtId="0" fontId="28" fillId="4" borderId="0" xfId="0" applyFont="1" applyFill="1"/>
    <xf numFmtId="176" fontId="20" fillId="0" borderId="0" xfId="0" applyNumberFormat="1" applyFont="1"/>
    <xf numFmtId="177" fontId="20" fillId="0" borderId="0" xfId="0" applyNumberFormat="1" applyFont="1" applyAlignment="1">
      <alignment horizontal="center"/>
    </xf>
    <xf numFmtId="177" fontId="20" fillId="0" borderId="0" xfId="0" applyNumberFormat="1" applyFont="1"/>
    <xf numFmtId="0" fontId="57" fillId="0" borderId="0" xfId="0" applyFont="1"/>
    <xf numFmtId="0" fontId="20" fillId="3" borderId="0" xfId="0" applyFont="1" applyFill="1"/>
    <xf numFmtId="0" fontId="28" fillId="0" borderId="0" xfId="4" applyFont="1" applyAlignment="1"/>
    <xf numFmtId="0" fontId="16" fillId="0" borderId="0" xfId="4" applyFont="1">
      <alignment vertical="center"/>
    </xf>
    <xf numFmtId="0" fontId="49" fillId="0" borderId="0" xfId="9" applyFont="1" applyAlignment="1">
      <alignment horizontal="left" vertical="center"/>
    </xf>
    <xf numFmtId="0" fontId="16" fillId="0" borderId="0" xfId="9" applyFont="1">
      <alignment vertical="center"/>
    </xf>
    <xf numFmtId="0" fontId="28" fillId="0" borderId="23" xfId="4" applyFont="1" applyBorder="1" applyAlignment="1"/>
    <xf numFmtId="0" fontId="28" fillId="0" borderId="24" xfId="0" applyFont="1" applyBorder="1" applyAlignment="1">
      <alignment horizontal="center"/>
    </xf>
    <xf numFmtId="0" fontId="20" fillId="0" borderId="6" xfId="4" applyFont="1" applyBorder="1" applyAlignment="1"/>
    <xf numFmtId="17" fontId="20" fillId="0" borderId="6" xfId="4" applyNumberFormat="1" applyFont="1" applyBorder="1" applyAlignment="1">
      <alignment horizontal="right"/>
    </xf>
    <xf numFmtId="0" fontId="20" fillId="0" borderId="1" xfId="4" applyFont="1" applyBorder="1">
      <alignment vertical="center"/>
    </xf>
    <xf numFmtId="9" fontId="20" fillId="0" borderId="1" xfId="4" applyNumberFormat="1" applyFont="1" applyBorder="1">
      <alignment vertical="center"/>
    </xf>
    <xf numFmtId="0" fontId="28" fillId="0" borderId="6" xfId="4" applyFont="1" applyBorder="1" applyAlignment="1"/>
    <xf numFmtId="1" fontId="28" fillId="0" borderId="1" xfId="4" applyNumberFormat="1" applyFont="1" applyBorder="1">
      <alignment vertical="center"/>
    </xf>
    <xf numFmtId="1" fontId="35" fillId="0" borderId="11" xfId="4" applyNumberFormat="1" applyFont="1" applyBorder="1">
      <alignment vertical="center"/>
    </xf>
    <xf numFmtId="0" fontId="20" fillId="0" borderId="11" xfId="9" applyFont="1" applyBorder="1" applyAlignment="1">
      <alignment horizontal="center" vertical="center"/>
    </xf>
    <xf numFmtId="0" fontId="35" fillId="0" borderId="0" xfId="4" applyFont="1">
      <alignment vertical="center"/>
    </xf>
    <xf numFmtId="0" fontId="20" fillId="0" borderId="0" xfId="9" applyFont="1" applyAlignment="1">
      <alignment horizontal="center" vertical="center"/>
    </xf>
    <xf numFmtId="0" fontId="20" fillId="0" borderId="0" xfId="9" applyFont="1" applyAlignment="1">
      <alignment horizontal="center" vertical="center" wrapText="1"/>
    </xf>
    <xf numFmtId="17" fontId="18" fillId="0" borderId="25" xfId="0" applyNumberFormat="1" applyFont="1" applyBorder="1"/>
    <xf numFmtId="0" fontId="28" fillId="0" borderId="25" xfId="0" applyFont="1" applyBorder="1"/>
    <xf numFmtId="0" fontId="20" fillId="3" borderId="25" xfId="4" applyFont="1" applyFill="1" applyBorder="1">
      <alignment vertical="center"/>
    </xf>
    <xf numFmtId="0" fontId="20" fillId="0" borderId="0" xfId="4" applyFont="1">
      <alignment vertical="center"/>
    </xf>
    <xf numFmtId="0" fontId="28" fillId="0" borderId="0" xfId="4" applyFont="1">
      <alignment vertical="center"/>
    </xf>
    <xf numFmtId="3" fontId="28" fillId="0" borderId="0" xfId="9" applyNumberFormat="1" applyFont="1" applyAlignment="1">
      <alignment horizontal="right" vertical="center"/>
    </xf>
    <xf numFmtId="0" fontId="28" fillId="0" borderId="4" xfId="4" applyFont="1" applyBorder="1">
      <alignment vertical="center"/>
    </xf>
    <xf numFmtId="3" fontId="28" fillId="0" borderId="10" xfId="9" applyNumberFormat="1" applyFont="1" applyBorder="1" applyAlignment="1">
      <alignment horizontal="right" vertical="center"/>
    </xf>
    <xf numFmtId="3" fontId="28" fillId="0" borderId="1" xfId="9" applyNumberFormat="1" applyFont="1" applyBorder="1" applyAlignment="1">
      <alignment horizontal="right" vertical="center"/>
    </xf>
    <xf numFmtId="0" fontId="20" fillId="0" borderId="7" xfId="0" applyFont="1" applyBorder="1"/>
    <xf numFmtId="185" fontId="20" fillId="0" borderId="1" xfId="9" applyNumberFormat="1" applyFont="1" applyBorder="1" applyAlignment="1">
      <alignment horizontal="right" vertical="center"/>
    </xf>
    <xf numFmtId="189" fontId="20" fillId="0" borderId="1" xfId="9" applyNumberFormat="1" applyFont="1" applyBorder="1" applyAlignment="1">
      <alignment horizontal="right" vertical="center"/>
    </xf>
    <xf numFmtId="188" fontId="20" fillId="0" borderId="1" xfId="9" applyNumberFormat="1" applyFont="1" applyBorder="1" applyAlignment="1">
      <alignment horizontal="right" vertical="center"/>
    </xf>
    <xf numFmtId="9" fontId="20" fillId="0" borderId="1" xfId="7" applyFont="1" applyFill="1" applyBorder="1" applyAlignment="1">
      <alignment horizontal="right" vertical="center"/>
    </xf>
    <xf numFmtId="0" fontId="20" fillId="0" borderId="7" xfId="4" applyFont="1" applyBorder="1" applyAlignment="1">
      <alignment horizontal="center" vertical="center"/>
    </xf>
    <xf numFmtId="191" fontId="20" fillId="0" borderId="1" xfId="9" applyNumberFormat="1" applyFont="1" applyBorder="1" applyAlignment="1">
      <alignment horizontal="right" vertical="center"/>
    </xf>
    <xf numFmtId="0" fontId="28" fillId="0" borderId="1" xfId="4" applyFont="1" applyBorder="1">
      <alignment vertical="center"/>
    </xf>
    <xf numFmtId="17" fontId="20" fillId="0" borderId="15" xfId="4" applyNumberFormat="1" applyFont="1" applyBorder="1" applyAlignment="1">
      <alignment horizontal="right" vertical="center"/>
    </xf>
    <xf numFmtId="179" fontId="20" fillId="0" borderId="1" xfId="7" applyNumberFormat="1" applyFont="1" applyFill="1" applyBorder="1" applyAlignment="1">
      <alignment horizontal="right" vertical="center"/>
    </xf>
    <xf numFmtId="0" fontId="20" fillId="0" borderId="7" xfId="0" applyFont="1" applyBorder="1" applyAlignment="1">
      <alignment horizontal="center"/>
    </xf>
    <xf numFmtId="0" fontId="28" fillId="0" borderId="8" xfId="4" applyFont="1" applyBorder="1">
      <alignment vertical="center"/>
    </xf>
    <xf numFmtId="0" fontId="20" fillId="0" borderId="9" xfId="0" applyFont="1" applyBorder="1" applyAlignment="1">
      <alignment horizontal="center"/>
    </xf>
    <xf numFmtId="0" fontId="20" fillId="3" borderId="0" xfId="4" applyFont="1" applyFill="1">
      <alignment vertical="center"/>
    </xf>
    <xf numFmtId="0" fontId="20" fillId="6" borderId="1" xfId="4" applyFont="1" applyFill="1" applyBorder="1" applyAlignment="1">
      <alignment horizontal="right"/>
    </xf>
    <xf numFmtId="2" fontId="20" fillId="6" borderId="1" xfId="4" applyNumberFormat="1" applyFont="1" applyFill="1" applyBorder="1" applyAlignment="1">
      <alignment horizontal="right"/>
    </xf>
    <xf numFmtId="3" fontId="20" fillId="6" borderId="1" xfId="11" applyNumberFormat="1" applyFont="1" applyFill="1" applyBorder="1" applyAlignment="1">
      <alignment horizontal="right" vertical="center"/>
    </xf>
    <xf numFmtId="9" fontId="20" fillId="6" borderId="1" xfId="0" applyNumberFormat="1" applyFont="1" applyFill="1" applyBorder="1"/>
    <xf numFmtId="178" fontId="20" fillId="6" borderId="1" xfId="0" applyNumberFormat="1" applyFont="1" applyFill="1" applyBorder="1"/>
    <xf numFmtId="184" fontId="20" fillId="0" borderId="1" xfId="9" applyNumberFormat="1" applyFont="1" applyBorder="1" applyAlignment="1">
      <alignment horizontal="right" vertical="center"/>
    </xf>
    <xf numFmtId="4" fontId="20" fillId="0" borderId="1" xfId="9" applyNumberFormat="1" applyFont="1" applyBorder="1" applyAlignment="1">
      <alignment horizontal="right" vertical="center"/>
    </xf>
    <xf numFmtId="3" fontId="20" fillId="0" borderId="1" xfId="9" applyNumberFormat="1" applyFont="1" applyBorder="1" applyAlignment="1">
      <alignment horizontal="right" vertical="center"/>
    </xf>
    <xf numFmtId="178" fontId="20" fillId="0" borderId="1" xfId="7" applyNumberFormat="1" applyFont="1" applyFill="1" applyBorder="1" applyAlignment="1">
      <alignment horizontal="right" vertical="center"/>
    </xf>
    <xf numFmtId="0" fontId="60" fillId="0" borderId="0" xfId="0" applyFont="1"/>
    <xf numFmtId="0" fontId="28" fillId="6" borderId="4" xfId="0" applyFont="1" applyFill="1" applyBorder="1" applyAlignment="1">
      <alignment horizontal="center"/>
    </xf>
    <xf numFmtId="0" fontId="20" fillId="0" borderId="1" xfId="4" applyFont="1" applyBorder="1" applyAlignment="1">
      <alignment horizontal="right"/>
    </xf>
    <xf numFmtId="0" fontId="20" fillId="0" borderId="1" xfId="4" applyFont="1" applyBorder="1" applyAlignment="1">
      <alignment horizontal="right" vertical="center"/>
    </xf>
    <xf numFmtId="4" fontId="20" fillId="0" borderId="1" xfId="4" applyNumberFormat="1" applyFont="1" applyBorder="1" applyAlignment="1">
      <alignment horizontal="right"/>
    </xf>
    <xf numFmtId="9" fontId="20" fillId="6" borderId="1" xfId="0" applyNumberFormat="1" applyFont="1" applyFill="1" applyBorder="1" applyAlignment="1">
      <alignment horizontal="right"/>
    </xf>
    <xf numFmtId="3" fontId="28" fillId="0" borderId="0" xfId="0" applyNumberFormat="1" applyFont="1" applyAlignment="1">
      <alignment horizontal="right"/>
    </xf>
    <xf numFmtId="0" fontId="57" fillId="0" borderId="0" xfId="0" applyFont="1" applyAlignment="1">
      <alignment horizontal="center"/>
    </xf>
    <xf numFmtId="177" fontId="20" fillId="0" borderId="0" xfId="0" applyNumberFormat="1" applyFont="1" applyAlignment="1">
      <alignment horizontal="left"/>
    </xf>
    <xf numFmtId="0" fontId="28" fillId="0" borderId="7" xfId="0" applyFont="1" applyBorder="1" applyAlignment="1">
      <alignment horizontal="center"/>
    </xf>
    <xf numFmtId="4" fontId="20" fillId="0" borderId="1" xfId="5" applyNumberFormat="1" applyFont="1" applyBorder="1" applyAlignment="1">
      <alignment horizontal="center" vertical="center"/>
    </xf>
    <xf numFmtId="0" fontId="20" fillId="0" borderId="26" xfId="5" applyFont="1" applyBorder="1">
      <alignment vertical="center"/>
    </xf>
    <xf numFmtId="0" fontId="28" fillId="0" borderId="6" xfId="5" applyFont="1" applyBorder="1">
      <alignment vertical="center"/>
    </xf>
    <xf numFmtId="176" fontId="20" fillId="0" borderId="1" xfId="5" applyNumberFormat="1" applyFont="1" applyBorder="1" applyAlignment="1">
      <alignment horizontal="center" vertical="center"/>
    </xf>
    <xf numFmtId="3" fontId="28" fillId="0" borderId="20" xfId="5" applyNumberFormat="1" applyFont="1" applyBorder="1" applyAlignment="1">
      <alignment horizontal="center" vertical="center"/>
    </xf>
    <xf numFmtId="3" fontId="28" fillId="0" borderId="21" xfId="5" applyNumberFormat="1" applyFont="1" applyBorder="1" applyAlignment="1">
      <alignment horizontal="center" vertical="center"/>
    </xf>
    <xf numFmtId="2" fontId="20" fillId="0" borderId="1" xfId="5" applyNumberFormat="1" applyFont="1" applyBorder="1" applyAlignment="1">
      <alignment horizontal="center" vertical="center"/>
    </xf>
    <xf numFmtId="0" fontId="20" fillId="0" borderId="0" xfId="5" applyFont="1">
      <alignment vertical="center"/>
    </xf>
    <xf numFmtId="177" fontId="29" fillId="0" borderId="0" xfId="5" applyNumberFormat="1" applyFont="1" applyAlignment="1">
      <alignment horizontal="center" vertical="center"/>
    </xf>
    <xf numFmtId="0" fontId="20" fillId="0" borderId="0" xfId="0" applyFont="1" applyAlignment="1">
      <alignment horizontal="center" wrapText="1"/>
    </xf>
    <xf numFmtId="3" fontId="20" fillId="0" borderId="1" xfId="0" applyNumberFormat="1" applyFont="1" applyBorder="1" applyAlignment="1">
      <alignment horizontal="center"/>
    </xf>
    <xf numFmtId="0" fontId="28" fillId="0" borderId="6" xfId="5" applyFont="1" applyBorder="1" applyAlignment="1"/>
    <xf numFmtId="3" fontId="28" fillId="0" borderId="27" xfId="5" applyNumberFormat="1" applyFont="1" applyBorder="1" applyAlignment="1">
      <alignment horizontal="center" vertical="center"/>
    </xf>
    <xf numFmtId="17" fontId="20" fillId="0" borderId="6" xfId="5" applyNumberFormat="1" applyFont="1" applyBorder="1" applyAlignment="1">
      <alignment horizontal="right"/>
    </xf>
    <xf numFmtId="0" fontId="28" fillId="0" borderId="8" xfId="5" applyFont="1" applyBorder="1">
      <alignment vertical="center"/>
    </xf>
    <xf numFmtId="0" fontId="28" fillId="0" borderId="6" xfId="0" applyFont="1" applyBorder="1"/>
    <xf numFmtId="178" fontId="20" fillId="0" borderId="1" xfId="9" applyNumberFormat="1" applyFont="1" applyBorder="1" applyAlignment="1">
      <alignment horizontal="center" vertical="center"/>
    </xf>
    <xf numFmtId="178" fontId="20" fillId="0" borderId="0" xfId="0" applyNumberFormat="1" applyFont="1"/>
    <xf numFmtId="177" fontId="28" fillId="0" borderId="0" xfId="0" applyNumberFormat="1" applyFont="1" applyAlignment="1">
      <alignment horizontal="center"/>
    </xf>
    <xf numFmtId="0" fontId="38" fillId="0" borderId="0" xfId="0" applyFont="1"/>
    <xf numFmtId="0" fontId="62" fillId="0" borderId="0" xfId="0" applyFont="1" applyAlignment="1">
      <alignment horizontal="center"/>
    </xf>
    <xf numFmtId="3" fontId="20" fillId="0" borderId="0" xfId="0" applyNumberFormat="1" applyFont="1" applyAlignment="1">
      <alignment horizontal="center"/>
    </xf>
    <xf numFmtId="4" fontId="28" fillId="0" borderId="0" xfId="0" applyNumberFormat="1" applyFont="1"/>
    <xf numFmtId="0" fontId="60" fillId="0" borderId="0" xfId="0" applyFont="1" applyAlignment="1">
      <alignment horizontal="center"/>
    </xf>
    <xf numFmtId="0" fontId="60" fillId="0" borderId="0" xfId="4" applyFont="1">
      <alignment vertical="center"/>
    </xf>
    <xf numFmtId="0" fontId="60" fillId="0" borderId="0" xfId="8" applyFont="1" applyAlignment="1">
      <alignment horizontal="center"/>
    </xf>
    <xf numFmtId="0" fontId="60" fillId="0" borderId="0" xfId="4" applyFont="1" applyAlignment="1">
      <alignment horizontal="center" vertical="center"/>
    </xf>
    <xf numFmtId="0" fontId="60" fillId="0" borderId="0" xfId="0" applyFont="1" applyAlignment="1">
      <alignment horizontal="left"/>
    </xf>
    <xf numFmtId="177" fontId="60" fillId="0" borderId="0" xfId="11" applyNumberFormat="1" applyFont="1" applyFill="1" applyBorder="1" applyAlignment="1">
      <alignment horizontal="center" vertical="center"/>
    </xf>
    <xf numFmtId="0" fontId="60" fillId="0" borderId="0" xfId="9" applyFont="1">
      <alignment vertical="center"/>
    </xf>
    <xf numFmtId="0" fontId="60" fillId="0" borderId="0" xfId="9" applyFont="1" applyAlignment="1">
      <alignment horizontal="center" vertical="center"/>
    </xf>
    <xf numFmtId="9" fontId="60" fillId="0" borderId="0" xfId="9" applyNumberFormat="1" applyFont="1" applyAlignment="1">
      <alignment horizontal="center" vertical="center"/>
    </xf>
    <xf numFmtId="0" fontId="57" fillId="0" borderId="0" xfId="4" applyFont="1">
      <alignment vertical="center"/>
    </xf>
    <xf numFmtId="176" fontId="57" fillId="0" borderId="0" xfId="4" applyNumberFormat="1" applyFont="1" applyAlignment="1">
      <alignment horizontal="center" vertical="center"/>
    </xf>
    <xf numFmtId="177" fontId="57" fillId="0" borderId="0" xfId="0" applyNumberFormat="1" applyFont="1" applyAlignment="1">
      <alignment horizontal="center"/>
    </xf>
    <xf numFmtId="197" fontId="20" fillId="0" borderId="21" xfId="0" applyNumberFormat="1" applyFont="1" applyBorder="1"/>
    <xf numFmtId="15" fontId="16" fillId="0" borderId="7" xfId="0" applyNumberFormat="1" applyFont="1" applyBorder="1" applyAlignment="1">
      <alignment horizontal="left" vertical="center"/>
    </xf>
    <xf numFmtId="0" fontId="20" fillId="0" borderId="7" xfId="0" applyFont="1" applyBorder="1" applyAlignment="1">
      <alignment horizontal="center" vertical="center"/>
    </xf>
    <xf numFmtId="17" fontId="41" fillId="2" borderId="19" xfId="0" applyNumberFormat="1" applyFont="1" applyFill="1" applyBorder="1" applyAlignment="1">
      <alignment horizontal="right" vertical="center"/>
    </xf>
    <xf numFmtId="3" fontId="28" fillId="0" borderId="1" xfId="0" applyNumberFormat="1" applyFont="1" applyBorder="1" applyAlignment="1">
      <alignment horizontal="center"/>
    </xf>
    <xf numFmtId="9" fontId="20" fillId="6" borderId="1" xfId="7" applyFont="1" applyFill="1" applyBorder="1" applyAlignment="1">
      <alignment horizontal="right" vertical="center"/>
    </xf>
    <xf numFmtId="17" fontId="20" fillId="0" borderId="6" xfId="0" applyNumberFormat="1" applyFont="1" applyBorder="1" applyAlignment="1">
      <alignment horizontal="left"/>
    </xf>
    <xf numFmtId="0" fontId="16" fillId="0" borderId="1" xfId="0" applyFont="1" applyBorder="1" applyAlignment="1">
      <alignment horizontal="left" vertical="center"/>
    </xf>
    <xf numFmtId="10" fontId="20" fillId="0" borderId="1" xfId="0" applyNumberFormat="1" applyFont="1" applyBorder="1" applyAlignment="1">
      <alignment horizontal="right"/>
    </xf>
    <xf numFmtId="0" fontId="1" fillId="0" borderId="0" xfId="12"/>
    <xf numFmtId="0" fontId="12" fillId="0" borderId="1" xfId="12" applyFont="1" applyBorder="1"/>
    <xf numFmtId="0" fontId="12" fillId="0" borderId="1" xfId="12" applyFont="1" applyBorder="1" applyAlignment="1">
      <alignment horizontal="center" vertical="center"/>
    </xf>
    <xf numFmtId="0" fontId="12" fillId="0" borderId="1" xfId="12" applyFont="1" applyBorder="1" applyAlignment="1">
      <alignment vertical="center"/>
    </xf>
    <xf numFmtId="183" fontId="12" fillId="0" borderId="1" xfId="12" applyNumberFormat="1" applyFont="1" applyBorder="1" applyAlignment="1">
      <alignment horizontal="center" vertical="center"/>
    </xf>
    <xf numFmtId="0" fontId="66" fillId="0" borderId="1" xfId="12" applyFont="1" applyBorder="1" applyAlignment="1">
      <alignment horizontal="center" vertical="center"/>
    </xf>
    <xf numFmtId="17" fontId="20" fillId="0" borderId="6" xfId="0" applyNumberFormat="1" applyFont="1" applyBorder="1"/>
    <xf numFmtId="193" fontId="20" fillId="0" borderId="0" xfId="0" applyNumberFormat="1" applyFont="1"/>
    <xf numFmtId="17" fontId="20" fillId="0" borderId="8" xfId="0" applyNumberFormat="1" applyFont="1" applyBorder="1"/>
    <xf numFmtId="197" fontId="20" fillId="0" borderId="30" xfId="0" applyNumberFormat="1" applyFont="1" applyBorder="1"/>
    <xf numFmtId="17" fontId="17" fillId="0" borderId="4" xfId="0" applyNumberFormat="1" applyFont="1" applyBorder="1" applyAlignment="1">
      <alignment horizontal="center"/>
    </xf>
    <xf numFmtId="17" fontId="17" fillId="0" borderId="44" xfId="0" applyNumberFormat="1" applyFont="1" applyBorder="1"/>
    <xf numFmtId="177" fontId="28" fillId="0" borderId="45" xfId="11" applyNumberFormat="1" applyFont="1" applyFill="1" applyBorder="1" applyAlignment="1">
      <alignment horizontal="right"/>
    </xf>
    <xf numFmtId="177" fontId="28" fillId="0" borderId="46" xfId="11" applyNumberFormat="1" applyFont="1" applyFill="1" applyBorder="1" applyAlignment="1">
      <alignment horizontal="right"/>
    </xf>
    <xf numFmtId="17" fontId="17" fillId="0" borderId="10" xfId="0" applyNumberFormat="1" applyFont="1" applyBorder="1" applyAlignment="1">
      <alignment horizontal="center"/>
    </xf>
    <xf numFmtId="17" fontId="17" fillId="0" borderId="5" xfId="0" applyNumberFormat="1" applyFont="1" applyBorder="1" applyAlignment="1">
      <alignment horizontal="center"/>
    </xf>
    <xf numFmtId="177" fontId="20" fillId="0" borderId="11" xfId="0" applyNumberFormat="1" applyFont="1" applyBorder="1" applyAlignment="1">
      <alignment horizontal="center"/>
    </xf>
    <xf numFmtId="177" fontId="20" fillId="0" borderId="9" xfId="0" applyNumberFormat="1" applyFont="1" applyBorder="1" applyAlignment="1">
      <alignment horizontal="center"/>
    </xf>
    <xf numFmtId="17" fontId="17" fillId="0" borderId="8" xfId="0" applyNumberFormat="1" applyFont="1" applyBorder="1" applyAlignment="1">
      <alignment horizontal="center"/>
    </xf>
    <xf numFmtId="187" fontId="20" fillId="0" borderId="0" xfId="0" applyNumberFormat="1" applyFont="1"/>
    <xf numFmtId="187" fontId="20" fillId="0" borderId="0" xfId="0" applyNumberFormat="1" applyFont="1" applyAlignment="1">
      <alignment horizontal="left"/>
    </xf>
    <xf numFmtId="0" fontId="35" fillId="0" borderId="31" xfId="0" applyFont="1" applyBorder="1"/>
    <xf numFmtId="0" fontId="35" fillId="0" borderId="19" xfId="0" applyFont="1" applyBorder="1"/>
    <xf numFmtId="17" fontId="17" fillId="0" borderId="1" xfId="0" applyNumberFormat="1" applyFont="1" applyBorder="1" applyAlignment="1">
      <alignment horizontal="center"/>
    </xf>
    <xf numFmtId="17" fontId="18" fillId="0" borderId="8" xfId="0" applyNumberFormat="1" applyFont="1" applyBorder="1" applyAlignment="1">
      <alignment horizontal="center"/>
    </xf>
    <xf numFmtId="0" fontId="28" fillId="0" borderId="10" xfId="0" applyFont="1" applyBorder="1" applyAlignment="1">
      <alignment horizontal="center" vertical="center"/>
    </xf>
    <xf numFmtId="0" fontId="28" fillId="0" borderId="5" xfId="0" applyFont="1" applyBorder="1" applyAlignment="1">
      <alignment horizontal="center" vertical="center"/>
    </xf>
    <xf numFmtId="3" fontId="20" fillId="0" borderId="11" xfId="0" applyNumberFormat="1" applyFont="1" applyBorder="1" applyAlignment="1">
      <alignment horizontal="center" vertical="center"/>
    </xf>
    <xf numFmtId="181" fontId="20" fillId="0" borderId="11" xfId="0" applyNumberFormat="1" applyFont="1" applyBorder="1" applyAlignment="1">
      <alignment horizontal="center" vertical="center"/>
    </xf>
    <xf numFmtId="181" fontId="20" fillId="0" borderId="9" xfId="0" applyNumberFormat="1" applyFont="1" applyBorder="1" applyAlignment="1">
      <alignment horizontal="center" vertical="center"/>
    </xf>
    <xf numFmtId="1" fontId="16" fillId="0" borderId="0" xfId="0" applyNumberFormat="1" applyFont="1" applyAlignment="1">
      <alignment vertical="center"/>
    </xf>
    <xf numFmtId="2" fontId="66" fillId="0" borderId="1" xfId="12" applyNumberFormat="1" applyFont="1" applyBorder="1" applyAlignment="1">
      <alignment horizontal="center" vertical="center"/>
    </xf>
    <xf numFmtId="2" fontId="20" fillId="0" borderId="11" xfId="0" applyNumberFormat="1" applyFont="1" applyBorder="1" applyAlignment="1">
      <alignment horizontal="center"/>
    </xf>
    <xf numFmtId="196" fontId="20" fillId="0" borderId="0" xfId="0" applyNumberFormat="1" applyFont="1"/>
    <xf numFmtId="185" fontId="20" fillId="0" borderId="1" xfId="0" applyNumberFormat="1" applyFont="1" applyBorder="1" applyAlignment="1">
      <alignment horizontal="center"/>
    </xf>
    <xf numFmtId="10" fontId="20" fillId="0" borderId="0" xfId="7" applyNumberFormat="1" applyFont="1"/>
    <xf numFmtId="0" fontId="20" fillId="0" borderId="4" xfId="0" applyFont="1" applyBorder="1" applyAlignment="1">
      <alignment horizontal="center"/>
    </xf>
    <xf numFmtId="0" fontId="20" fillId="0" borderId="10" xfId="0" applyFont="1" applyBorder="1" applyAlignment="1">
      <alignment horizontal="center"/>
    </xf>
    <xf numFmtId="0" fontId="20" fillId="0" borderId="5" xfId="0" applyFont="1" applyBorder="1" applyAlignment="1">
      <alignment horizontal="center"/>
    </xf>
    <xf numFmtId="195" fontId="20" fillId="0" borderId="1" xfId="11" applyNumberFormat="1" applyFont="1" applyBorder="1" applyAlignment="1">
      <alignment horizontal="center"/>
    </xf>
    <xf numFmtId="0" fontId="20" fillId="0" borderId="8" xfId="0" applyFont="1" applyBorder="1" applyAlignment="1">
      <alignment horizontal="center"/>
    </xf>
    <xf numFmtId="195" fontId="20" fillId="0" borderId="11" xfId="11" applyNumberFormat="1" applyFont="1" applyBorder="1" applyAlignment="1">
      <alignment horizontal="center"/>
    </xf>
    <xf numFmtId="2" fontId="20" fillId="0" borderId="9" xfId="0" applyNumberFormat="1" applyFont="1" applyBorder="1" applyAlignment="1">
      <alignment horizontal="center"/>
    </xf>
    <xf numFmtId="17" fontId="20" fillId="0" borderId="6" xfId="0" applyNumberFormat="1" applyFont="1" applyBorder="1" applyAlignment="1">
      <alignment horizontal="center"/>
    </xf>
    <xf numFmtId="195" fontId="20" fillId="0" borderId="1" xfId="0" applyNumberFormat="1" applyFont="1" applyBorder="1" applyAlignment="1">
      <alignment horizontal="center"/>
    </xf>
    <xf numFmtId="194" fontId="20" fillId="0" borderId="11" xfId="11" applyNumberFormat="1" applyFont="1" applyBorder="1" applyAlignment="1">
      <alignment horizontal="center"/>
    </xf>
    <xf numFmtId="198" fontId="20" fillId="0" borderId="0" xfId="0" applyNumberFormat="1" applyFont="1"/>
    <xf numFmtId="0" fontId="20" fillId="9" borderId="5" xfId="0" applyFont="1" applyFill="1" applyBorder="1" applyAlignment="1">
      <alignment horizontal="center"/>
    </xf>
    <xf numFmtId="198" fontId="20" fillId="9" borderId="7" xfId="0" applyNumberFormat="1" applyFont="1" applyFill="1" applyBorder="1" applyAlignment="1">
      <alignment horizontal="center"/>
    </xf>
    <xf numFmtId="198" fontId="20" fillId="9" borderId="9" xfId="0" applyNumberFormat="1" applyFont="1" applyFill="1" applyBorder="1" applyAlignment="1">
      <alignment horizontal="center"/>
    </xf>
    <xf numFmtId="0" fontId="16" fillId="0" borderId="7" xfId="0" quotePrefix="1" applyFont="1" applyBorder="1" applyAlignment="1">
      <alignment horizontal="left" vertical="center"/>
    </xf>
    <xf numFmtId="0" fontId="28" fillId="0" borderId="0" xfId="0" applyFont="1" applyAlignment="1">
      <alignment wrapText="1"/>
    </xf>
    <xf numFmtId="0" fontId="20" fillId="0" borderId="0" xfId="0" applyFont="1"/>
    <xf numFmtId="0" fontId="20" fillId="0" borderId="1" xfId="0" applyFont="1" applyBorder="1" applyAlignment="1">
      <alignment horizontal="center" vertical="center"/>
    </xf>
    <xf numFmtId="3" fontId="20" fillId="0" borderId="1" xfId="11" applyNumberFormat="1" applyFont="1" applyBorder="1" applyAlignment="1">
      <alignment horizontal="center"/>
    </xf>
    <xf numFmtId="0" fontId="20" fillId="0" borderId="1" xfId="0" applyFont="1" applyBorder="1" applyAlignment="1">
      <alignment horizontal="center"/>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wrapText="1"/>
    </xf>
    <xf numFmtId="0" fontId="18" fillId="0" borderId="12" xfId="0" applyFont="1" applyBorder="1" applyAlignment="1">
      <alignment horizontal="center" vertical="center" wrapText="1"/>
    </xf>
    <xf numFmtId="177" fontId="28" fillId="0" borderId="11" xfId="11" applyNumberFormat="1" applyFont="1" applyFill="1" applyBorder="1" applyAlignment="1">
      <alignment horizontal="center"/>
    </xf>
    <xf numFmtId="0" fontId="28" fillId="0" borderId="11" xfId="0" applyFont="1" applyBorder="1" applyAlignment="1">
      <alignment horizontal="center"/>
    </xf>
    <xf numFmtId="0" fontId="20"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2" xfId="0" applyFont="1" applyBorder="1" applyAlignment="1">
      <alignment horizontal="center" vertical="center"/>
    </xf>
    <xf numFmtId="3" fontId="28" fillId="0" borderId="1" xfId="0" applyNumberFormat="1" applyFont="1" applyBorder="1" applyAlignment="1">
      <alignment horizontal="center"/>
    </xf>
    <xf numFmtId="0" fontId="20" fillId="0" borderId="3" xfId="0" applyFont="1" applyBorder="1" applyAlignment="1">
      <alignment horizontal="center" vertical="center"/>
    </xf>
    <xf numFmtId="3" fontId="29" fillId="4" borderId="29" xfId="0" applyNumberFormat="1" applyFont="1" applyFill="1" applyBorder="1" applyAlignment="1">
      <alignment horizontal="center"/>
    </xf>
    <xf numFmtId="3" fontId="29" fillId="4" borderId="30" xfId="0" applyNumberFormat="1" applyFont="1" applyFill="1" applyBorder="1" applyAlignment="1">
      <alignment horizontal="center"/>
    </xf>
    <xf numFmtId="0" fontId="18" fillId="0" borderId="28" xfId="0" applyFont="1" applyBorder="1" applyAlignment="1">
      <alignment horizontal="center" vertical="center"/>
    </xf>
    <xf numFmtId="0" fontId="18" fillId="0" borderId="28" xfId="0" applyFont="1" applyBorder="1" applyAlignment="1">
      <alignment horizontal="center" vertical="center" wrapText="1"/>
    </xf>
    <xf numFmtId="0" fontId="67" fillId="0" borderId="12" xfId="0" applyFont="1" applyBorder="1" applyAlignment="1">
      <alignment horizontal="center" vertical="center"/>
    </xf>
    <xf numFmtId="0" fontId="67" fillId="0" borderId="28" xfId="0" applyFont="1" applyBorder="1" applyAlignment="1">
      <alignment horizontal="center" vertical="center"/>
    </xf>
    <xf numFmtId="0" fontId="20" fillId="0" borderId="28" xfId="0" applyFont="1" applyBorder="1" applyAlignment="1">
      <alignment horizontal="center" vertical="center"/>
    </xf>
    <xf numFmtId="0" fontId="28" fillId="0" borderId="10" xfId="0" applyFont="1" applyBorder="1" applyAlignment="1">
      <alignment horizontal="center"/>
    </xf>
    <xf numFmtId="0" fontId="28" fillId="0" borderId="5" xfId="0" applyFont="1" applyBorder="1" applyAlignment="1">
      <alignment horizontal="center"/>
    </xf>
    <xf numFmtId="0" fontId="20" fillId="0" borderId="1" xfId="9" applyFont="1" applyBorder="1" applyAlignment="1">
      <alignment horizontal="center" vertical="center" wrapText="1"/>
    </xf>
    <xf numFmtId="0" fontId="20" fillId="0" borderId="7" xfId="9" applyFont="1" applyBorder="1" applyAlignment="1">
      <alignment horizontal="center" vertical="center" wrapText="1"/>
    </xf>
    <xf numFmtId="0" fontId="20" fillId="0" borderId="1" xfId="9" applyFont="1" applyBorder="1" applyAlignment="1">
      <alignment horizontal="center" vertical="center"/>
    </xf>
    <xf numFmtId="0" fontId="20" fillId="0" borderId="7" xfId="9" applyFont="1" applyBorder="1" applyAlignment="1">
      <alignment horizontal="center" vertical="center"/>
    </xf>
    <xf numFmtId="0" fontId="18" fillId="0" borderId="1" xfId="0" applyFont="1" applyBorder="1" applyAlignment="1">
      <alignment horizontal="center" wrapText="1"/>
    </xf>
    <xf numFmtId="0" fontId="18" fillId="0" borderId="7" xfId="0" applyFont="1" applyBorder="1" applyAlignment="1">
      <alignment horizont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xf>
    <xf numFmtId="0" fontId="18"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xf>
    <xf numFmtId="0" fontId="20" fillId="0" borderId="7" xfId="0" applyFont="1" applyBorder="1" applyAlignment="1">
      <alignment horizontal="center" vertical="center" wrapText="1"/>
    </xf>
    <xf numFmtId="9" fontId="20" fillId="0" borderId="3" xfId="4" applyNumberFormat="1" applyFont="1" applyBorder="1" applyAlignment="1">
      <alignment horizontal="center" vertical="center"/>
    </xf>
    <xf numFmtId="9" fontId="20" fillId="0" borderId="12" xfId="4" applyNumberFormat="1"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3" xfId="9" applyFont="1" applyBorder="1" applyAlignment="1">
      <alignment horizontal="center" vertical="center"/>
    </xf>
    <xf numFmtId="0" fontId="20" fillId="0" borderId="14" xfId="9" applyFont="1" applyBorder="1" applyAlignment="1">
      <alignment horizontal="center" vertical="center"/>
    </xf>
    <xf numFmtId="0" fontId="20" fillId="0" borderId="31" xfId="9" applyFont="1" applyBorder="1" applyAlignment="1">
      <alignment horizontal="center" vertical="center"/>
    </xf>
    <xf numFmtId="0" fontId="20" fillId="0" borderId="32" xfId="9" applyFont="1" applyBorder="1" applyAlignment="1">
      <alignment horizontal="center" vertical="center"/>
    </xf>
    <xf numFmtId="0" fontId="20" fillId="0" borderId="11" xfId="9" applyFont="1" applyBorder="1" applyAlignment="1">
      <alignment horizontal="center" vertical="center" wrapText="1"/>
    </xf>
    <xf numFmtId="0" fontId="20" fillId="0" borderId="9" xfId="9" applyFont="1" applyBorder="1" applyAlignment="1">
      <alignment horizontal="center" vertical="center" wrapText="1"/>
    </xf>
    <xf numFmtId="185" fontId="20" fillId="0" borderId="1" xfId="0" applyNumberFormat="1" applyFont="1" applyBorder="1" applyAlignment="1">
      <alignment horizontal="center"/>
    </xf>
    <xf numFmtId="191" fontId="28" fillId="0" borderId="1" xfId="9" applyNumberFormat="1" applyFont="1" applyBorder="1" applyAlignment="1">
      <alignment horizontal="center" vertical="center"/>
    </xf>
    <xf numFmtId="191" fontId="28" fillId="0" borderId="11" xfId="9" applyNumberFormat="1" applyFont="1" applyBorder="1" applyAlignment="1">
      <alignment horizontal="center" vertical="center"/>
    </xf>
    <xf numFmtId="4" fontId="28" fillId="0" borderId="20" xfId="9" applyNumberFormat="1" applyFont="1" applyBorder="1" applyAlignment="1">
      <alignment horizontal="center" vertical="center"/>
    </xf>
    <xf numFmtId="4" fontId="28" fillId="0" borderId="21" xfId="9" applyNumberFormat="1" applyFont="1" applyBorder="1" applyAlignment="1">
      <alignment horizontal="center" vertical="center"/>
    </xf>
    <xf numFmtId="3" fontId="20" fillId="0" borderId="20" xfId="0" applyNumberFormat="1" applyFont="1" applyBorder="1" applyAlignment="1">
      <alignment horizontal="center"/>
    </xf>
    <xf numFmtId="3" fontId="20" fillId="0" borderId="21" xfId="0" applyNumberFormat="1" applyFont="1" applyBorder="1" applyAlignment="1">
      <alignment horizontal="center"/>
    </xf>
    <xf numFmtId="3" fontId="28" fillId="0" borderId="11" xfId="9" applyNumberFormat="1" applyFont="1" applyBorder="1" applyAlignment="1">
      <alignment horizontal="center" vertical="center"/>
    </xf>
    <xf numFmtId="3" fontId="20" fillId="0" borderId="1" xfId="9" applyNumberFormat="1" applyFont="1" applyBorder="1" applyAlignment="1">
      <alignment horizontal="center" vertical="center"/>
    </xf>
    <xf numFmtId="3" fontId="28" fillId="0" borderId="11" xfId="0" applyNumberFormat="1" applyFont="1" applyBorder="1" applyAlignment="1">
      <alignment horizontal="center"/>
    </xf>
    <xf numFmtId="0" fontId="20" fillId="0" borderId="28" xfId="0" applyFont="1" applyBorder="1" applyAlignment="1">
      <alignment horizontal="center" vertical="center" wrapText="1"/>
    </xf>
    <xf numFmtId="0" fontId="67" fillId="0" borderId="3" xfId="0" applyFont="1" applyBorder="1" applyAlignment="1">
      <alignment horizontal="center" vertical="center"/>
    </xf>
    <xf numFmtId="3" fontId="28" fillId="0" borderId="29" xfId="0" applyNumberFormat="1" applyFont="1" applyBorder="1" applyAlignment="1">
      <alignment horizontal="center"/>
    </xf>
    <xf numFmtId="3" fontId="28" fillId="0" borderId="38" xfId="0" applyNumberFormat="1" applyFont="1" applyBorder="1" applyAlignment="1">
      <alignment horizontal="center"/>
    </xf>
    <xf numFmtId="0" fontId="20" fillId="0" borderId="11" xfId="0" applyFont="1" applyBorder="1" applyAlignment="1">
      <alignment horizontal="center" vertical="center"/>
    </xf>
    <xf numFmtId="3" fontId="20" fillId="0" borderId="1" xfId="0" applyNumberFormat="1" applyFont="1" applyBorder="1" applyAlignment="1">
      <alignment horizont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wrapText="1"/>
    </xf>
    <xf numFmtId="0" fontId="20" fillId="0" borderId="7" xfId="0" applyFont="1" applyBorder="1" applyAlignment="1">
      <alignment horizontal="center" wrapText="1"/>
    </xf>
    <xf numFmtId="0" fontId="20" fillId="0" borderId="22" xfId="0" applyFont="1" applyBorder="1" applyAlignment="1">
      <alignment horizontal="center" vertical="center"/>
    </xf>
    <xf numFmtId="0" fontId="20" fillId="0" borderId="22" xfId="4" applyFont="1" applyBorder="1" applyAlignment="1">
      <alignment horizontal="center" vertical="center" wrapText="1"/>
    </xf>
    <xf numFmtId="0" fontId="20" fillId="0" borderId="33" xfId="4" applyFont="1" applyBorder="1" applyAlignment="1">
      <alignment horizontal="center" vertical="center" wrapText="1"/>
    </xf>
    <xf numFmtId="3" fontId="28" fillId="0" borderId="20" xfId="5" applyNumberFormat="1" applyFont="1" applyBorder="1" applyAlignment="1">
      <alignment horizontal="center" vertical="center"/>
    </xf>
    <xf numFmtId="3" fontId="28" fillId="0" borderId="21" xfId="5" applyNumberFormat="1" applyFont="1" applyBorder="1" applyAlignment="1">
      <alignment horizontal="center" vertical="center"/>
    </xf>
    <xf numFmtId="3" fontId="20" fillId="0" borderId="20" xfId="5" applyNumberFormat="1" applyFont="1" applyBorder="1" applyAlignment="1">
      <alignment horizontal="center" vertical="center"/>
    </xf>
    <xf numFmtId="3" fontId="20" fillId="0" borderId="21" xfId="5" applyNumberFormat="1" applyFont="1" applyBorder="1" applyAlignment="1">
      <alignment horizontal="center" vertical="center"/>
    </xf>
    <xf numFmtId="3" fontId="28" fillId="0" borderId="11" xfId="5" applyNumberFormat="1" applyFont="1" applyBorder="1" applyAlignment="1">
      <alignment horizontal="center" vertical="center"/>
    </xf>
    <xf numFmtId="0" fontId="20" fillId="0" borderId="3" xfId="5" applyFont="1" applyBorder="1" applyAlignment="1">
      <alignment horizontal="center" vertical="center"/>
    </xf>
    <xf numFmtId="0" fontId="20" fillId="0" borderId="12" xfId="5" applyFont="1" applyBorder="1" applyAlignment="1">
      <alignment horizontal="center" vertical="center"/>
    </xf>
    <xf numFmtId="0" fontId="20" fillId="0" borderId="28" xfId="5" applyFont="1" applyBorder="1" applyAlignment="1">
      <alignment horizontal="center" vertical="center"/>
    </xf>
    <xf numFmtId="3" fontId="28" fillId="0" borderId="29" xfId="5" applyNumberFormat="1" applyFont="1" applyBorder="1" applyAlignment="1">
      <alignment horizontal="center" vertical="center"/>
    </xf>
    <xf numFmtId="3" fontId="28" fillId="0" borderId="30" xfId="5" applyNumberFormat="1" applyFont="1" applyBorder="1" applyAlignment="1">
      <alignment horizontal="center" vertical="center"/>
    </xf>
    <xf numFmtId="3" fontId="20" fillId="0" borderId="1" xfId="5" applyNumberFormat="1" applyFont="1" applyBorder="1" applyAlignment="1">
      <alignment horizontal="center" vertical="center"/>
    </xf>
    <xf numFmtId="0" fontId="20" fillId="0" borderId="1" xfId="5" applyFont="1" applyBorder="1" applyAlignment="1">
      <alignment horizontal="center" vertical="center" wrapText="1"/>
    </xf>
    <xf numFmtId="0" fontId="20" fillId="0" borderId="2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7" xfId="5" applyFont="1" applyBorder="1" applyAlignment="1">
      <alignment horizontal="center" vertical="center" wrapText="1"/>
    </xf>
    <xf numFmtId="0" fontId="20" fillId="0" borderId="11" xfId="0" applyFont="1" applyBorder="1" applyAlignment="1">
      <alignment horizontal="center"/>
    </xf>
    <xf numFmtId="0" fontId="20" fillId="0" borderId="40" xfId="0" applyFont="1" applyBorder="1" applyAlignment="1">
      <alignment horizontal="center" vertical="center" wrapText="1"/>
    </xf>
    <xf numFmtId="0" fontId="20" fillId="0" borderId="33" xfId="5" applyFont="1" applyBorder="1" applyAlignment="1">
      <alignment horizontal="center" vertical="center"/>
    </xf>
    <xf numFmtId="0" fontId="20" fillId="0" borderId="40" xfId="5" applyFont="1" applyBorder="1" applyAlignment="1">
      <alignment horizontal="center" vertical="center"/>
    </xf>
    <xf numFmtId="0" fontId="20" fillId="0" borderId="1" xfId="5" applyFont="1" applyBorder="1" applyAlignment="1">
      <alignment horizontal="center" vertical="center"/>
    </xf>
    <xf numFmtId="0" fontId="20" fillId="0" borderId="7" xfId="5" applyFont="1" applyBorder="1" applyAlignment="1">
      <alignment horizontal="center" vertical="center"/>
    </xf>
    <xf numFmtId="0" fontId="20" fillId="0" borderId="22" xfId="5" applyFont="1" applyBorder="1" applyAlignment="1">
      <alignment horizontal="center" vertical="center" wrapText="1"/>
    </xf>
    <xf numFmtId="0" fontId="20" fillId="0" borderId="33" xfId="5" applyFont="1" applyBorder="1" applyAlignment="1">
      <alignment horizontal="center" vertical="center" wrapText="1"/>
    </xf>
    <xf numFmtId="0" fontId="20" fillId="0" borderId="40" xfId="0" applyFont="1" applyBorder="1" applyAlignment="1">
      <alignment horizontal="center" vertical="center"/>
    </xf>
    <xf numFmtId="0" fontId="20" fillId="0" borderId="22" xfId="5" applyFont="1" applyBorder="1" applyAlignment="1">
      <alignment horizontal="center" vertical="center"/>
    </xf>
    <xf numFmtId="179" fontId="41" fillId="6" borderId="1" xfId="0" applyNumberFormat="1" applyFont="1" applyFill="1" applyBorder="1" applyAlignment="1">
      <alignment horizontal="left" vertical="center"/>
    </xf>
    <xf numFmtId="0" fontId="35" fillId="9" borderId="3" xfId="0" applyFont="1" applyFill="1" applyBorder="1" applyAlignment="1">
      <alignment horizontal="center" vertical="center"/>
    </xf>
    <xf numFmtId="0" fontId="35" fillId="9" borderId="16" xfId="0" applyFont="1" applyFill="1" applyBorder="1" applyAlignment="1">
      <alignment horizontal="center" vertical="center"/>
    </xf>
    <xf numFmtId="0" fontId="35" fillId="9" borderId="3" xfId="0" applyFont="1" applyFill="1" applyBorder="1" applyAlignment="1">
      <alignment horizontal="center" vertical="center" wrapText="1"/>
    </xf>
    <xf numFmtId="0" fontId="35" fillId="9" borderId="16" xfId="0" applyFont="1" applyFill="1" applyBorder="1" applyAlignment="1">
      <alignment horizontal="center" vertical="center" wrapText="1"/>
    </xf>
    <xf numFmtId="0" fontId="69" fillId="0" borderId="19" xfId="0" applyFont="1" applyBorder="1" applyAlignment="1">
      <alignment horizontal="left" vertical="center"/>
    </xf>
    <xf numFmtId="0" fontId="38" fillId="7" borderId="20" xfId="0" applyFont="1" applyFill="1" applyBorder="1" applyAlignment="1">
      <alignment horizontal="center" vertical="center"/>
    </xf>
    <xf numFmtId="0" fontId="38" fillId="7" borderId="27" xfId="0" applyFont="1" applyFill="1" applyBorder="1" applyAlignment="1">
      <alignment horizontal="center" vertical="center"/>
    </xf>
    <xf numFmtId="0" fontId="38" fillId="7" borderId="21" xfId="0" applyFont="1" applyFill="1" applyBorder="1" applyAlignment="1">
      <alignment horizontal="center" vertical="center"/>
    </xf>
    <xf numFmtId="0" fontId="38" fillId="8" borderId="20" xfId="0" applyFont="1" applyFill="1" applyBorder="1" applyAlignment="1">
      <alignment horizontal="center" vertical="center"/>
    </xf>
    <xf numFmtId="0" fontId="38" fillId="8" borderId="27" xfId="0" applyFont="1" applyFill="1" applyBorder="1" applyAlignment="1">
      <alignment horizontal="center" vertical="center"/>
    </xf>
    <xf numFmtId="0" fontId="38" fillId="8" borderId="21" xfId="0" applyFont="1" applyFill="1" applyBorder="1" applyAlignment="1">
      <alignment horizontal="center" vertical="center"/>
    </xf>
    <xf numFmtId="0" fontId="38" fillId="10" borderId="1" xfId="0" applyFont="1" applyFill="1" applyBorder="1" applyAlignment="1">
      <alignment horizontal="center" vertical="center"/>
    </xf>
    <xf numFmtId="0" fontId="41" fillId="6" borderId="1" xfId="0" applyFont="1" applyFill="1" applyBorder="1" applyAlignment="1">
      <alignment horizontal="left" vertical="center"/>
    </xf>
    <xf numFmtId="186"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0" fontId="20" fillId="0" borderId="17" xfId="0" applyFont="1" applyBorder="1" applyAlignment="1">
      <alignment horizontal="center" vertical="center"/>
    </xf>
    <xf numFmtId="0" fontId="28" fillId="0" borderId="41" xfId="0" applyFont="1" applyBorder="1" applyAlignment="1">
      <alignment horizontal="center" wrapText="1"/>
    </xf>
    <xf numFmtId="0" fontId="28" fillId="0" borderId="42" xfId="0" applyFont="1" applyBorder="1" applyAlignment="1">
      <alignment horizontal="center" wrapText="1"/>
    </xf>
    <xf numFmtId="0" fontId="28" fillId="0" borderId="39" xfId="0" applyFont="1" applyBorder="1" applyAlignment="1">
      <alignment horizontal="center" wrapText="1"/>
    </xf>
    <xf numFmtId="0" fontId="20" fillId="0" borderId="7" xfId="0" applyFont="1" applyBorder="1" applyAlignment="1">
      <alignment horizontal="center" vertical="center"/>
    </xf>
    <xf numFmtId="0" fontId="20" fillId="0" borderId="18" xfId="0" applyFont="1" applyBorder="1" applyAlignment="1">
      <alignment horizontal="center" vertical="center"/>
    </xf>
    <xf numFmtId="0" fontId="20" fillId="0" borderId="43" xfId="0" applyFont="1" applyBorder="1" applyAlignment="1">
      <alignment horizontal="center" vertical="center"/>
    </xf>
    <xf numFmtId="0" fontId="20" fillId="0" borderId="15" xfId="0" applyFont="1" applyBorder="1" applyAlignment="1">
      <alignment horizontal="center" vertical="center"/>
    </xf>
    <xf numFmtId="0" fontId="70" fillId="0" borderId="22"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40" xfId="0" applyFont="1" applyBorder="1" applyAlignment="1">
      <alignment horizontal="center" vertical="center" wrapText="1"/>
    </xf>
    <xf numFmtId="0" fontId="12" fillId="0" borderId="20" xfId="12" applyFont="1" applyBorder="1" applyAlignment="1">
      <alignment horizontal="center" vertical="center"/>
    </xf>
    <xf numFmtId="0" fontId="12" fillId="0" borderId="21" xfId="12" applyFont="1" applyBorder="1" applyAlignment="1">
      <alignment horizontal="center" vertical="center"/>
    </xf>
    <xf numFmtId="0" fontId="71" fillId="0" borderId="16" xfId="0" applyFont="1" applyBorder="1" applyAlignment="1">
      <alignment horizontal="left"/>
    </xf>
    <xf numFmtId="0" fontId="12" fillId="0" borderId="1" xfId="0" applyFont="1" applyBorder="1" applyAlignment="1">
      <alignment horizontal="center" vertical="center"/>
    </xf>
    <xf numFmtId="0" fontId="12" fillId="0" borderId="3" xfId="12" applyFont="1" applyBorder="1" applyAlignment="1">
      <alignment horizontal="center" vertical="center"/>
    </xf>
    <xf numFmtId="0" fontId="12" fillId="0" borderId="16" xfId="12" applyFont="1" applyBorder="1" applyAlignment="1">
      <alignment horizontal="center" vertical="center"/>
    </xf>
    <xf numFmtId="0" fontId="12" fillId="0" borderId="27" xfId="12" applyFont="1" applyBorder="1" applyAlignment="1">
      <alignment horizontal="center" vertical="center"/>
    </xf>
    <xf numFmtId="0" fontId="11" fillId="0" borderId="20" xfId="12" applyFont="1" applyBorder="1" applyAlignment="1">
      <alignment horizontal="center"/>
    </xf>
    <xf numFmtId="0" fontId="11" fillId="0" borderId="27" xfId="12" applyFont="1" applyBorder="1" applyAlignment="1">
      <alignment horizontal="center"/>
    </xf>
    <xf numFmtId="0" fontId="11" fillId="0" borderId="21" xfId="12" applyFont="1" applyBorder="1" applyAlignment="1">
      <alignment horizontal="center"/>
    </xf>
    <xf numFmtId="0" fontId="71" fillId="0" borderId="1" xfId="12" applyFont="1" applyBorder="1" applyAlignment="1">
      <alignment horizontal="left"/>
    </xf>
    <xf numFmtId="0" fontId="12" fillId="0" borderId="1" xfId="12" applyFont="1" applyBorder="1" applyAlignment="1">
      <alignment horizontal="center" vertical="center"/>
    </xf>
  </cellXfs>
  <cellStyles count="13">
    <cellStyle name="Euro" xfId="1" xr:uid="{00000000-0005-0000-0000-000000000000}"/>
    <cellStyle name="Normal 2" xfId="2" xr:uid="{00000000-0005-0000-0000-000001000000}"/>
    <cellStyle name="Normal_AMIGO AGRO (HOGS INVTY 06)" xfId="3" xr:uid="{00000000-0005-0000-0000-000002000000}"/>
    <cellStyle name="Normal_Sheet2" xfId="4" xr:uid="{00000000-0005-0000-0000-000003000000}"/>
    <cellStyle name="Normal_Sheet3" xfId="5" xr:uid="{00000000-0005-0000-0000-000004000000}"/>
    <cellStyle name="Percent 2" xfId="6" xr:uid="{00000000-0005-0000-0000-000005000000}"/>
    <cellStyle name="百分比" xfId="7" builtinId="5"/>
    <cellStyle name="常规" xfId="0" builtinId="0"/>
    <cellStyle name="常规 2" xfId="12" xr:uid="{D0A61847-A55A-4FA6-A84A-42C7459ABA32}"/>
    <cellStyle name="常规_Sheet2" xfId="8" xr:uid="{00000000-0005-0000-0000-000008000000}"/>
    <cellStyle name="常规_范霍夫数－计算结果" xfId="9" xr:uid="{00000000-0005-0000-0000-000009000000}"/>
    <cellStyle name="超链接" xfId="10" builtinId="8"/>
    <cellStyle name="千位分隔" xfId="11" builtinId="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374</xdr:colOff>
      <xdr:row>2</xdr:row>
      <xdr:rowOff>47625</xdr:rowOff>
    </xdr:to>
    <xdr:pic>
      <xdr:nvPicPr>
        <xdr:cNvPr id="111243" name="Picture 3">
          <a:extLst>
            <a:ext uri="{FF2B5EF4-FFF2-40B4-BE49-F238E27FC236}">
              <a16:creationId xmlns:a16="http://schemas.microsoft.com/office/drawing/2014/main" id="{7C5854EA-536B-1C63-2627-4E43062D9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2876550" cy="25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495300</xdr:colOff>
      <xdr:row>2</xdr:row>
      <xdr:rowOff>31750</xdr:rowOff>
    </xdr:from>
    <xdr:to>
      <xdr:col>4</xdr:col>
      <xdr:colOff>847725</xdr:colOff>
      <xdr:row>6</xdr:row>
      <xdr:rowOff>9525</xdr:rowOff>
    </xdr:to>
    <xdr:pic>
      <xdr:nvPicPr>
        <xdr:cNvPr id="111244" name="Picture 4">
          <a:extLst>
            <a:ext uri="{FF2B5EF4-FFF2-40B4-BE49-F238E27FC236}">
              <a16:creationId xmlns:a16="http://schemas.microsoft.com/office/drawing/2014/main" id="{F1A377CD-E7F1-7B65-49E9-B20AC359E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2750" y="438150"/>
          <a:ext cx="25463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482600</xdr:colOff>
      <xdr:row>92</xdr:row>
      <xdr:rowOff>6350</xdr:rowOff>
    </xdr:from>
    <xdr:to>
      <xdr:col>2</xdr:col>
      <xdr:colOff>10272</xdr:colOff>
      <xdr:row>95</xdr:row>
      <xdr:rowOff>19050</xdr:rowOff>
    </xdr:to>
    <xdr:pic>
      <xdr:nvPicPr>
        <xdr:cNvPr id="111245" name="Picture 5">
          <a:extLst>
            <a:ext uri="{FF2B5EF4-FFF2-40B4-BE49-F238E27FC236}">
              <a16:creationId xmlns:a16="http://schemas.microsoft.com/office/drawing/2014/main" id="{6D59BCA3-DF4C-2D05-FE49-064D592EF3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600" y="23983950"/>
          <a:ext cx="34480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387350</xdr:colOff>
      <xdr:row>92</xdr:row>
      <xdr:rowOff>25400</xdr:rowOff>
    </xdr:from>
    <xdr:to>
      <xdr:col>4</xdr:col>
      <xdr:colOff>352425</xdr:colOff>
      <xdr:row>94</xdr:row>
      <xdr:rowOff>38100</xdr:rowOff>
    </xdr:to>
    <xdr:pic>
      <xdr:nvPicPr>
        <xdr:cNvPr id="111246" name="Picture 6">
          <a:extLst>
            <a:ext uri="{FF2B5EF4-FFF2-40B4-BE49-F238E27FC236}">
              <a16:creationId xmlns:a16="http://schemas.microsoft.com/office/drawing/2014/main" id="{315ADA21-EE37-88EE-7E89-5F1328400D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84800" y="24003000"/>
          <a:ext cx="2159000" cy="330200"/>
        </a:xfrm>
        <a:prstGeom prst="rect">
          <a:avLst/>
        </a:prstGeom>
        <a:solidFill>
          <a:srgbClr val="FF00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44450</xdr:colOff>
      <xdr:row>3</xdr:row>
      <xdr:rowOff>44450</xdr:rowOff>
    </xdr:from>
    <xdr:to>
      <xdr:col>2</xdr:col>
      <xdr:colOff>1097803</xdr:colOff>
      <xdr:row>7</xdr:row>
      <xdr:rowOff>9711</xdr:rowOff>
    </xdr:to>
    <xdr:pic>
      <xdr:nvPicPr>
        <xdr:cNvPr id="111247" name="图片 1">
          <a:extLst>
            <a:ext uri="{FF2B5EF4-FFF2-40B4-BE49-F238E27FC236}">
              <a16:creationId xmlns:a16="http://schemas.microsoft.com/office/drawing/2014/main" id="{5ED6CB4A-02B2-2878-E380-4EA36217E12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21000" y="654050"/>
          <a:ext cx="2114550" cy="64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86</xdr:row>
      <xdr:rowOff>44450</xdr:rowOff>
    </xdr:from>
    <xdr:to>
      <xdr:col>2</xdr:col>
      <xdr:colOff>10272</xdr:colOff>
      <xdr:row>89</xdr:row>
      <xdr:rowOff>9712</xdr:rowOff>
    </xdr:to>
    <xdr:pic>
      <xdr:nvPicPr>
        <xdr:cNvPr id="111248" name="图片 3">
          <a:extLst>
            <a:ext uri="{FF2B5EF4-FFF2-40B4-BE49-F238E27FC236}">
              <a16:creationId xmlns:a16="http://schemas.microsoft.com/office/drawing/2014/main" id="{49652C41-BEEF-61D5-8012-0EAB461ED25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23018750"/>
          <a:ext cx="38798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90</xdr:row>
      <xdr:rowOff>0</xdr:rowOff>
    </xdr:from>
    <xdr:to>
      <xdr:col>3</xdr:col>
      <xdr:colOff>406587</xdr:colOff>
      <xdr:row>92</xdr:row>
      <xdr:rowOff>9525</xdr:rowOff>
    </xdr:to>
    <xdr:pic>
      <xdr:nvPicPr>
        <xdr:cNvPr id="111249" name="图片 4">
          <a:extLst>
            <a:ext uri="{FF2B5EF4-FFF2-40B4-BE49-F238E27FC236}">
              <a16:creationId xmlns:a16="http://schemas.microsoft.com/office/drawing/2014/main" id="{9702C403-97F2-8BFB-2AA6-DD276F63818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76550" y="23660100"/>
          <a:ext cx="2698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520700</xdr:colOff>
      <xdr:row>172</xdr:row>
      <xdr:rowOff>44450</xdr:rowOff>
    </xdr:from>
    <xdr:to>
      <xdr:col>2</xdr:col>
      <xdr:colOff>962025</xdr:colOff>
      <xdr:row>174</xdr:row>
      <xdr:rowOff>28575</xdr:rowOff>
    </xdr:to>
    <xdr:pic>
      <xdr:nvPicPr>
        <xdr:cNvPr id="111250" name="图片 5">
          <a:extLst>
            <a:ext uri="{FF2B5EF4-FFF2-40B4-BE49-F238E27FC236}">
              <a16:creationId xmlns:a16="http://schemas.microsoft.com/office/drawing/2014/main" id="{A581EBD3-A5D6-23B7-067A-3F853D775A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20700" y="43967400"/>
          <a:ext cx="43815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84</xdr:row>
      <xdr:rowOff>6350</xdr:rowOff>
    </xdr:from>
    <xdr:to>
      <xdr:col>2</xdr:col>
      <xdr:colOff>742950</xdr:colOff>
      <xdr:row>87</xdr:row>
      <xdr:rowOff>9712</xdr:rowOff>
    </xdr:to>
    <xdr:pic>
      <xdr:nvPicPr>
        <xdr:cNvPr id="112267" name="Picture 4">
          <a:extLst>
            <a:ext uri="{FF2B5EF4-FFF2-40B4-BE49-F238E27FC236}">
              <a16:creationId xmlns:a16="http://schemas.microsoft.com/office/drawing/2014/main" id="{8A567995-9F41-B34E-BE14-DBCB859A6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771100"/>
          <a:ext cx="61087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142</xdr:row>
      <xdr:rowOff>6350</xdr:rowOff>
    </xdr:from>
    <xdr:to>
      <xdr:col>1</xdr:col>
      <xdr:colOff>238125</xdr:colOff>
      <xdr:row>145</xdr:row>
      <xdr:rowOff>9711</xdr:rowOff>
    </xdr:to>
    <xdr:pic>
      <xdr:nvPicPr>
        <xdr:cNvPr id="112268" name="Picture 5">
          <a:extLst>
            <a:ext uri="{FF2B5EF4-FFF2-40B4-BE49-F238E27FC236}">
              <a16:creationId xmlns:a16="http://schemas.microsoft.com/office/drawing/2014/main" id="{139659D9-7FCB-619B-4A1D-F91FFD4D0D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433250"/>
          <a:ext cx="41465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292100</xdr:colOff>
      <xdr:row>144</xdr:row>
      <xdr:rowOff>44450</xdr:rowOff>
    </xdr:from>
    <xdr:to>
      <xdr:col>1</xdr:col>
      <xdr:colOff>209550</xdr:colOff>
      <xdr:row>147</xdr:row>
      <xdr:rowOff>9712</xdr:rowOff>
    </xdr:to>
    <xdr:pic>
      <xdr:nvPicPr>
        <xdr:cNvPr id="112269" name="Picture 6">
          <a:extLst>
            <a:ext uri="{FF2B5EF4-FFF2-40B4-BE49-F238E27FC236}">
              <a16:creationId xmlns:a16="http://schemas.microsoft.com/office/drawing/2014/main" id="{996CAA60-288E-AD9C-FC2C-A2D871E65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2100" y="37814250"/>
          <a:ext cx="38290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152400</xdr:colOff>
      <xdr:row>222</xdr:row>
      <xdr:rowOff>142875</xdr:rowOff>
    </xdr:from>
    <xdr:to>
      <xdr:col>1</xdr:col>
      <xdr:colOff>266700</xdr:colOff>
      <xdr:row>225</xdr:row>
      <xdr:rowOff>139887</xdr:rowOff>
    </xdr:to>
    <xdr:pic>
      <xdr:nvPicPr>
        <xdr:cNvPr id="112270" name="Picture 7">
          <a:extLst>
            <a:ext uri="{FF2B5EF4-FFF2-40B4-BE49-F238E27FC236}">
              <a16:creationId xmlns:a16="http://schemas.microsoft.com/office/drawing/2014/main" id="{1BF6D0A0-3C67-2084-04D2-48B21EDCBD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0" y="42119550"/>
          <a:ext cx="4029075" cy="514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0</xdr:colOff>
      <xdr:row>4</xdr:row>
      <xdr:rowOff>9711</xdr:rowOff>
    </xdr:to>
    <xdr:pic>
      <xdr:nvPicPr>
        <xdr:cNvPr id="112271" name="图片 3">
          <a:extLst>
            <a:ext uri="{FF2B5EF4-FFF2-40B4-BE49-F238E27FC236}">
              <a16:creationId xmlns:a16="http://schemas.microsoft.com/office/drawing/2014/main" id="{258E14C5-7D85-BCC0-1BEE-BCA400B84A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3200"/>
          <a:ext cx="39116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101600</xdr:colOff>
      <xdr:row>6</xdr:row>
      <xdr:rowOff>88900</xdr:rowOff>
    </xdr:from>
    <xdr:to>
      <xdr:col>1</xdr:col>
      <xdr:colOff>323850</xdr:colOff>
      <xdr:row>9</xdr:row>
      <xdr:rowOff>19050</xdr:rowOff>
    </xdr:to>
    <xdr:pic>
      <xdr:nvPicPr>
        <xdr:cNvPr id="112272" name="图片 4">
          <a:extLst>
            <a:ext uri="{FF2B5EF4-FFF2-40B4-BE49-F238E27FC236}">
              <a16:creationId xmlns:a16="http://schemas.microsoft.com/office/drawing/2014/main" id="{E50E7355-8319-6A0C-687A-0CD23FB266A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1600" y="1149350"/>
          <a:ext cx="413385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44</xdr:row>
      <xdr:rowOff>153035</xdr:rowOff>
    </xdr:from>
    <xdr:to>
      <xdr:col>0</xdr:col>
      <xdr:colOff>3324225</xdr:colOff>
      <xdr:row>46</xdr:row>
      <xdr:rowOff>180975</xdr:rowOff>
    </xdr:to>
    <xdr:pic>
      <xdr:nvPicPr>
        <xdr:cNvPr id="112273" name="图片 5">
          <a:extLst>
            <a:ext uri="{FF2B5EF4-FFF2-40B4-BE49-F238E27FC236}">
              <a16:creationId xmlns:a16="http://schemas.microsoft.com/office/drawing/2014/main" id="{C63A3A6F-1385-385C-5414-62E8914BB9A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0975" y="9116060"/>
          <a:ext cx="3143250" cy="51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8</xdr:row>
      <xdr:rowOff>44450</xdr:rowOff>
    </xdr:from>
    <xdr:to>
      <xdr:col>1</xdr:col>
      <xdr:colOff>85725</xdr:colOff>
      <xdr:row>11</xdr:row>
      <xdr:rowOff>95250</xdr:rowOff>
    </xdr:to>
    <xdr:pic>
      <xdr:nvPicPr>
        <xdr:cNvPr id="112274" name="图片 8">
          <a:extLst>
            <a:ext uri="{FF2B5EF4-FFF2-40B4-BE49-F238E27FC236}">
              <a16:creationId xmlns:a16="http://schemas.microsoft.com/office/drawing/2014/main" id="{89BFBC37-B621-23D6-E0D7-B48E5F13CF4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2400" y="1479550"/>
          <a:ext cx="384175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3</xdr:row>
      <xdr:rowOff>0</xdr:rowOff>
    </xdr:to>
    <xdr:pic>
      <xdr:nvPicPr>
        <xdr:cNvPr id="112965" name="Picture 1">
          <a:extLst>
            <a:ext uri="{FF2B5EF4-FFF2-40B4-BE49-F238E27FC236}">
              <a16:creationId xmlns:a16="http://schemas.microsoft.com/office/drawing/2014/main" id="{99AD8243-3CD4-EB6F-57C2-FEC5AA87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3340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31750</xdr:colOff>
      <xdr:row>4</xdr:row>
      <xdr:rowOff>6350</xdr:rowOff>
    </xdr:from>
    <xdr:to>
      <xdr:col>2</xdr:col>
      <xdr:colOff>1092200</xdr:colOff>
      <xdr:row>17</xdr:row>
      <xdr:rowOff>142875</xdr:rowOff>
    </xdr:to>
    <xdr:pic>
      <xdr:nvPicPr>
        <xdr:cNvPr id="112966" name="Picture 2">
          <a:extLst>
            <a:ext uri="{FF2B5EF4-FFF2-40B4-BE49-F238E27FC236}">
              <a16:creationId xmlns:a16="http://schemas.microsoft.com/office/drawing/2014/main" id="{5C7D632A-ECC2-1648-0A74-05BA99F0ED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50" y="723900"/>
          <a:ext cx="587375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19050</xdr:colOff>
      <xdr:row>204</xdr:row>
      <xdr:rowOff>0</xdr:rowOff>
    </xdr:from>
    <xdr:to>
      <xdr:col>2</xdr:col>
      <xdr:colOff>1187450</xdr:colOff>
      <xdr:row>211</xdr:row>
      <xdr:rowOff>133350</xdr:rowOff>
    </xdr:to>
    <xdr:pic>
      <xdr:nvPicPr>
        <xdr:cNvPr id="112967" name="Picture 3">
          <a:extLst>
            <a:ext uri="{FF2B5EF4-FFF2-40B4-BE49-F238E27FC236}">
              <a16:creationId xmlns:a16="http://schemas.microsoft.com/office/drawing/2014/main" id="{B65EAC71-752E-9A9D-41D7-76B5E6594A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50145950"/>
          <a:ext cx="59817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104</xdr:row>
      <xdr:rowOff>0</xdr:rowOff>
    </xdr:from>
    <xdr:to>
      <xdr:col>2</xdr:col>
      <xdr:colOff>1092200</xdr:colOff>
      <xdr:row>118</xdr:row>
      <xdr:rowOff>123825</xdr:rowOff>
    </xdr:to>
    <xdr:pic>
      <xdr:nvPicPr>
        <xdr:cNvPr id="112968" name="Picture 4">
          <a:extLst>
            <a:ext uri="{FF2B5EF4-FFF2-40B4-BE49-F238E27FC236}">
              <a16:creationId xmlns:a16="http://schemas.microsoft.com/office/drawing/2014/main" id="{0FF4F31E-1FD4-0016-A88C-2F8E63D7E9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5209500"/>
          <a:ext cx="5905500" cy="252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279587</xdr:colOff>
      <xdr:row>2</xdr:row>
      <xdr:rowOff>47625</xdr:rowOff>
    </xdr:from>
    <xdr:to>
      <xdr:col>10</xdr:col>
      <xdr:colOff>1114612</xdr:colOff>
      <xdr:row>2</xdr:row>
      <xdr:rowOff>387350</xdr:rowOff>
    </xdr:to>
    <xdr:pic>
      <xdr:nvPicPr>
        <xdr:cNvPr id="114260" name="图片 6">
          <a:extLst>
            <a:ext uri="{FF2B5EF4-FFF2-40B4-BE49-F238E27FC236}">
              <a16:creationId xmlns:a16="http://schemas.microsoft.com/office/drawing/2014/main" id="{F8ACC3F7-F419-CD5C-3CBD-E0D476DD6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3116" y="686360"/>
          <a:ext cx="8382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254000</xdr:colOff>
      <xdr:row>2</xdr:row>
      <xdr:rowOff>38100</xdr:rowOff>
    </xdr:from>
    <xdr:to>
      <xdr:col>19</xdr:col>
      <xdr:colOff>1133475</xdr:colOff>
      <xdr:row>3</xdr:row>
      <xdr:rowOff>47625</xdr:rowOff>
    </xdr:to>
    <xdr:pic>
      <xdr:nvPicPr>
        <xdr:cNvPr id="114261" name="图片 6">
          <a:extLst>
            <a:ext uri="{FF2B5EF4-FFF2-40B4-BE49-F238E27FC236}">
              <a16:creationId xmlns:a16="http://schemas.microsoft.com/office/drawing/2014/main" id="{9959F51D-7A41-866B-DF3F-67373F27B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81550" y="679450"/>
          <a:ext cx="88265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342900</xdr:colOff>
      <xdr:row>2</xdr:row>
      <xdr:rowOff>6350</xdr:rowOff>
    </xdr:from>
    <xdr:to>
      <xdr:col>28</xdr:col>
      <xdr:colOff>1285875</xdr:colOff>
      <xdr:row>3</xdr:row>
      <xdr:rowOff>19050</xdr:rowOff>
    </xdr:to>
    <xdr:pic>
      <xdr:nvPicPr>
        <xdr:cNvPr id="114262" name="图片 6">
          <a:extLst>
            <a:ext uri="{FF2B5EF4-FFF2-40B4-BE49-F238E27FC236}">
              <a16:creationId xmlns:a16="http://schemas.microsoft.com/office/drawing/2014/main" id="{02D5B46D-BD2D-2962-EDAA-3E1C1E0B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3350" y="647700"/>
          <a:ext cx="946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400050</xdr:colOff>
      <xdr:row>2</xdr:row>
      <xdr:rowOff>107950</xdr:rowOff>
    </xdr:from>
    <xdr:to>
      <xdr:col>38</xdr:col>
      <xdr:colOff>0</xdr:colOff>
      <xdr:row>2</xdr:row>
      <xdr:rowOff>390525</xdr:rowOff>
    </xdr:to>
    <xdr:pic>
      <xdr:nvPicPr>
        <xdr:cNvPr id="114263" name="图片 6">
          <a:extLst>
            <a:ext uri="{FF2B5EF4-FFF2-40B4-BE49-F238E27FC236}">
              <a16:creationId xmlns:a16="http://schemas.microsoft.com/office/drawing/2014/main" id="{25A99BC2-ED9E-C439-FBEA-A2CCF7820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10200" y="749300"/>
          <a:ext cx="869950"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034;&#28113;&#20848;/&#21442;&#32771;&#39033;&#30446;/&#20859;&#27542;&#22330;&#39033;&#30446;/3716/ER%20Calculation_Deqingyuan_37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ngcloudV2/personal_space/16.VCS&#39033;&#30446;/01.%20&#20859;&#27542;&#22330;&#31914;&#20415;&#22788;&#29702;&#39033;&#30446;-ACM0010/&#21452;&#32990;&#32974;&#38598;&#22242;/VCS%202706+&#27743;&#33487;/4.%20MP2/1.%20Initial%20Document/&#20943;&#25490;&#37327;&#35745;&#31639;&#25152;&#29992;&#25968;&#25454;&#34920;-MP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ngcloudV2/personal_space/16.VCS&#39033;&#30446;/&#20859;&#27542;&#22330;&#31914;&#20415;&#22788;&#29702;&#39033;&#30446;-AM0010/&#21452;&#32990;&#32974;&#38598;&#22242;/VCS%202706+&#27743;&#33487;/VVB%20Document/Listing%20final/&#20943;&#25490;&#37327;&#35745;&#31639;&#25152;&#29992;&#25968;&#25454;&#34920;-Shuangbaotai%20Jiang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asic data"/>
      <sheetName val="ER"/>
      <sheetName val="Sheet1"/>
      <sheetName val="Sheet2"/>
      <sheetName val="Sheet3"/>
      <sheetName val="Sheet4"/>
      <sheetName val="Sheet5"/>
      <sheetName val="Sheet6"/>
      <sheetName val="Sheet7"/>
      <sheetName val="Wsite"/>
      <sheetName val="Electricity"/>
      <sheetName val="Biogas"/>
      <sheetName val="Temperature"/>
    </sheetNames>
    <sheetDataSet>
      <sheetData sheetId="0"/>
      <sheetData sheetId="1"/>
      <sheetData sheetId="2">
        <row r="1">
          <cell r="B1">
            <v>32861</v>
          </cell>
        </row>
        <row r="2">
          <cell r="B2">
            <v>54261</v>
          </cell>
        </row>
        <row r="8">
          <cell r="B8">
            <v>12282.917114928456</v>
          </cell>
        </row>
        <row r="17">
          <cell r="B17">
            <v>9116.4939179598041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Fj"/>
      <sheetName val="NLT-计算表"/>
      <sheetName val="NLT-applied"/>
      <sheetName val="Wsite-applied"/>
      <sheetName val="生产数据-applied"/>
      <sheetName val="不发电时间"/>
    </sheetNames>
    <sheetDataSet>
      <sheetData sheetId="0" refreshError="1"/>
      <sheetData sheetId="1" refreshError="1"/>
      <sheetData sheetId="2">
        <row r="20">
          <cell r="B20">
            <v>8254</v>
          </cell>
          <cell r="C20">
            <v>15954</v>
          </cell>
          <cell r="D20">
            <v>9392</v>
          </cell>
          <cell r="E20">
            <v>29476</v>
          </cell>
          <cell r="F20">
            <v>12135</v>
          </cell>
          <cell r="G20">
            <v>6421</v>
          </cell>
          <cell r="H20">
            <v>64445</v>
          </cell>
        </row>
        <row r="21">
          <cell r="C21">
            <v>15524</v>
          </cell>
          <cell r="E21">
            <v>29480</v>
          </cell>
          <cell r="G21">
            <v>6418</v>
          </cell>
        </row>
        <row r="22">
          <cell r="C22">
            <v>15972</v>
          </cell>
          <cell r="E22">
            <v>29477</v>
          </cell>
          <cell r="G22">
            <v>6429</v>
          </cell>
        </row>
        <row r="23">
          <cell r="C23">
            <v>15971</v>
          </cell>
          <cell r="E23">
            <v>29471</v>
          </cell>
          <cell r="G23">
            <v>6425</v>
          </cell>
        </row>
        <row r="24">
          <cell r="C24">
            <v>15939</v>
          </cell>
          <cell r="E24">
            <v>29452</v>
          </cell>
          <cell r="G24">
            <v>6416</v>
          </cell>
        </row>
        <row r="25">
          <cell r="C25">
            <v>15944</v>
          </cell>
          <cell r="E25">
            <v>29448</v>
          </cell>
          <cell r="G25">
            <v>6435</v>
          </cell>
        </row>
        <row r="26">
          <cell r="C26">
            <v>15952</v>
          </cell>
          <cell r="E26">
            <v>29457</v>
          </cell>
          <cell r="G26">
            <v>6409</v>
          </cell>
        </row>
        <row r="27">
          <cell r="C27">
            <v>15935</v>
          </cell>
          <cell r="E27">
            <v>29468</v>
          </cell>
          <cell r="G27">
            <v>6427</v>
          </cell>
        </row>
        <row r="28">
          <cell r="C28">
            <v>15428</v>
          </cell>
          <cell r="E28">
            <v>29472</v>
          </cell>
          <cell r="G28">
            <v>6118</v>
          </cell>
        </row>
        <row r="29">
          <cell r="C29">
            <v>15950</v>
          </cell>
          <cell r="E29">
            <v>29463</v>
          </cell>
          <cell r="G29">
            <v>6413</v>
          </cell>
        </row>
        <row r="30">
          <cell r="C30">
            <v>15929</v>
          </cell>
          <cell r="E30">
            <v>29465</v>
          </cell>
          <cell r="G30">
            <v>6412</v>
          </cell>
        </row>
        <row r="31">
          <cell r="C31">
            <v>15945</v>
          </cell>
          <cell r="E31">
            <v>29469</v>
          </cell>
          <cell r="G31">
            <v>6414</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Fj"/>
      <sheetName val="NLT-计算表"/>
      <sheetName val="NLT-applied"/>
      <sheetName val="Wsite-applied"/>
      <sheetName val="生产数据-applied"/>
      <sheetName val="生产数据-计算"/>
    </sheetNames>
    <sheetDataSet>
      <sheetData sheetId="0"/>
      <sheetData sheetId="1"/>
      <sheetData sheetId="2">
        <row r="27">
          <cell r="B27">
            <v>8438</v>
          </cell>
          <cell r="I27">
            <v>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3"/>
  <sheetViews>
    <sheetView zoomScale="115" zoomScaleNormal="115" workbookViewId="0">
      <selection activeCell="B24" sqref="B24"/>
    </sheetView>
  </sheetViews>
  <sheetFormatPr defaultRowHeight="12.5" x14ac:dyDescent="0.25"/>
  <cols>
    <col min="1" max="1" width="9.26953125" customWidth="1"/>
    <col min="2" max="2" width="52.1796875" customWidth="1"/>
    <col min="3" max="3" width="50.6328125" customWidth="1"/>
    <col min="4" max="4" width="10.7265625" bestFit="1" customWidth="1"/>
    <col min="5" max="5" width="11.7265625" customWidth="1"/>
    <col min="6" max="6" width="9.81640625" bestFit="1" customWidth="1"/>
    <col min="8" max="8" width="12.453125" bestFit="1" customWidth="1"/>
  </cols>
  <sheetData>
    <row r="4" spans="1:9" ht="13" thickBot="1" x14ac:dyDescent="0.3"/>
    <row r="5" spans="1:9" ht="32" x14ac:dyDescent="0.25">
      <c r="B5" s="17" t="s">
        <v>75</v>
      </c>
      <c r="C5" s="18" t="s">
        <v>133</v>
      </c>
    </row>
    <row r="6" spans="1:9" ht="16" x14ac:dyDescent="0.25">
      <c r="B6" s="19" t="s">
        <v>125</v>
      </c>
      <c r="C6" s="20" t="s">
        <v>134</v>
      </c>
    </row>
    <row r="7" spans="1:9" ht="16" x14ac:dyDescent="0.25">
      <c r="B7" s="19" t="s">
        <v>76</v>
      </c>
      <c r="C7" s="376" t="s">
        <v>389</v>
      </c>
    </row>
    <row r="8" spans="1:9" ht="16" x14ac:dyDescent="0.25">
      <c r="B8" s="19" t="s">
        <v>77</v>
      </c>
      <c r="C8" s="318">
        <v>45265</v>
      </c>
    </row>
    <row r="9" spans="1:9" ht="32.5" thickBot="1" x14ac:dyDescent="0.3">
      <c r="A9" s="2"/>
      <c r="B9" s="21" t="s">
        <v>78</v>
      </c>
      <c r="C9" s="22" t="s">
        <v>320</v>
      </c>
    </row>
    <row r="10" spans="1:9" ht="13.5" x14ac:dyDescent="0.3">
      <c r="D10" s="9"/>
      <c r="E10" s="3"/>
      <c r="F10" s="9"/>
      <c r="G10" s="3"/>
      <c r="H10" s="3"/>
      <c r="I10" s="7"/>
    </row>
    <row r="11" spans="1:9" ht="13" x14ac:dyDescent="0.25">
      <c r="C11" s="8"/>
    </row>
    <row r="13" spans="1:9" ht="13" x14ac:dyDescent="0.25">
      <c r="C13" s="8"/>
    </row>
  </sheetData>
  <phoneticPr fontId="9" type="noConversion"/>
  <pageMargins left="0.7" right="0.7" top="0.75" bottom="0.75" header="0.3" footer="0.3"/>
  <pageSetup paperSize="9" orientation="portrait" horizontalDpi="1200" verticalDpi="1200" r:id="rId1"/>
  <ignoredErrors>
    <ignoredError sqref="C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95A4-1095-446B-ABF5-8AF17BED1791}">
  <dimension ref="A1:G146"/>
  <sheetViews>
    <sheetView topLeftCell="A69" workbookViewId="0">
      <selection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23</v>
      </c>
      <c r="C5" s="6">
        <v>57.5</v>
      </c>
      <c r="D5" s="6">
        <v>82</v>
      </c>
      <c r="E5" s="6">
        <v>56.9</v>
      </c>
      <c r="F5" s="6">
        <v>83.6</v>
      </c>
      <c r="G5" s="6">
        <v>116.7</v>
      </c>
    </row>
    <row r="6" spans="1:7" x14ac:dyDescent="0.25">
      <c r="A6" s="10">
        <v>2</v>
      </c>
      <c r="B6" s="6">
        <v>32.6</v>
      </c>
      <c r="C6" s="6">
        <v>56.4</v>
      </c>
      <c r="D6" s="6">
        <v>96</v>
      </c>
      <c r="E6" s="6">
        <v>32.9</v>
      </c>
      <c r="F6" s="6">
        <v>62.1</v>
      </c>
      <c r="G6" s="6">
        <v>105.8</v>
      </c>
    </row>
    <row r="7" spans="1:7" x14ac:dyDescent="0.25">
      <c r="A7" s="10">
        <v>3</v>
      </c>
      <c r="B7" s="6">
        <v>39.6</v>
      </c>
      <c r="C7" s="6">
        <v>63.2</v>
      </c>
      <c r="D7" s="6">
        <v>108.4</v>
      </c>
      <c r="E7" s="6">
        <v>28.3</v>
      </c>
      <c r="F7" s="6">
        <v>71.400000000000006</v>
      </c>
      <c r="G7" s="6">
        <v>118.5</v>
      </c>
    </row>
    <row r="8" spans="1:7" x14ac:dyDescent="0.25">
      <c r="A8" s="10">
        <v>4</v>
      </c>
      <c r="B8" s="6">
        <v>28.1</v>
      </c>
      <c r="C8" s="6">
        <v>60.8</v>
      </c>
      <c r="D8" s="6">
        <v>95.2</v>
      </c>
      <c r="E8" s="6">
        <v>57.1</v>
      </c>
      <c r="F8" s="6">
        <v>84.4</v>
      </c>
      <c r="G8" s="6">
        <v>95.2</v>
      </c>
    </row>
    <row r="9" spans="1:7" x14ac:dyDescent="0.25">
      <c r="A9" s="10">
        <v>5</v>
      </c>
      <c r="B9" s="6">
        <v>37</v>
      </c>
      <c r="C9" s="6">
        <v>46.2</v>
      </c>
      <c r="D9" s="6">
        <v>94.1</v>
      </c>
      <c r="E9" s="6">
        <v>34.1</v>
      </c>
      <c r="F9" s="6">
        <v>74.7</v>
      </c>
      <c r="G9" s="6">
        <v>119.4</v>
      </c>
    </row>
    <row r="10" spans="1:7" x14ac:dyDescent="0.25">
      <c r="A10" s="10">
        <v>6</v>
      </c>
      <c r="B10" s="6">
        <v>29.1</v>
      </c>
      <c r="C10" s="6">
        <v>48.7</v>
      </c>
      <c r="D10" s="6">
        <v>83.9</v>
      </c>
      <c r="E10" s="6">
        <v>57.2</v>
      </c>
      <c r="F10" s="6">
        <v>82.3</v>
      </c>
      <c r="G10" s="6">
        <v>98.5</v>
      </c>
    </row>
    <row r="11" spans="1:7" x14ac:dyDescent="0.25">
      <c r="A11" s="10">
        <v>7</v>
      </c>
      <c r="B11" s="6">
        <v>25.5</v>
      </c>
      <c r="C11" s="6">
        <v>46.2</v>
      </c>
      <c r="D11" s="6">
        <v>77.5</v>
      </c>
      <c r="E11" s="6">
        <v>52.6</v>
      </c>
      <c r="F11" s="6">
        <v>65</v>
      </c>
      <c r="G11" s="6">
        <v>113.6</v>
      </c>
    </row>
    <row r="12" spans="1:7" x14ac:dyDescent="0.25">
      <c r="A12" s="10">
        <v>8</v>
      </c>
      <c r="B12" s="6">
        <v>27.1</v>
      </c>
      <c r="C12" s="6">
        <v>48.4</v>
      </c>
      <c r="D12" s="6">
        <v>94.8</v>
      </c>
      <c r="E12" s="6">
        <v>26.9</v>
      </c>
      <c r="F12" s="6">
        <v>80.099999999999994</v>
      </c>
      <c r="G12" s="6">
        <v>102.3</v>
      </c>
    </row>
    <row r="13" spans="1:7" x14ac:dyDescent="0.25">
      <c r="A13" s="10">
        <v>9</v>
      </c>
      <c r="B13" s="6">
        <v>29.7</v>
      </c>
      <c r="C13" s="6">
        <v>61.6</v>
      </c>
      <c r="D13" s="6">
        <v>98.7</v>
      </c>
      <c r="E13" s="6">
        <v>57.3</v>
      </c>
      <c r="F13" s="6">
        <v>63.3</v>
      </c>
      <c r="G13" s="6">
        <v>103.6</v>
      </c>
    </row>
    <row r="14" spans="1:7" x14ac:dyDescent="0.25">
      <c r="A14" s="10">
        <v>10</v>
      </c>
      <c r="B14" s="6"/>
      <c r="C14" s="6"/>
      <c r="D14" s="6"/>
      <c r="E14" s="6">
        <v>38.1</v>
      </c>
      <c r="F14" s="6">
        <v>62.7</v>
      </c>
      <c r="G14" s="6">
        <v>116.8</v>
      </c>
    </row>
    <row r="15" spans="1:7" x14ac:dyDescent="0.25">
      <c r="A15" s="10">
        <v>11</v>
      </c>
      <c r="B15" s="6"/>
      <c r="C15" s="6"/>
      <c r="D15" s="6"/>
      <c r="E15" s="6">
        <v>49.8</v>
      </c>
      <c r="F15" s="6">
        <v>63.1</v>
      </c>
      <c r="G15" s="6">
        <v>109.5</v>
      </c>
    </row>
    <row r="16" spans="1:7" x14ac:dyDescent="0.25">
      <c r="A16" s="10">
        <v>12</v>
      </c>
      <c r="B16" s="6"/>
      <c r="C16" s="6"/>
      <c r="D16" s="6"/>
      <c r="E16" s="6">
        <v>43.2</v>
      </c>
      <c r="F16" s="6">
        <v>64.2</v>
      </c>
      <c r="G16" s="6">
        <v>94.4</v>
      </c>
    </row>
    <row r="17" spans="1:7" x14ac:dyDescent="0.25">
      <c r="A17" s="10">
        <v>13</v>
      </c>
      <c r="B17" s="6"/>
      <c r="C17" s="6"/>
      <c r="D17" s="6"/>
      <c r="E17" s="6">
        <v>31</v>
      </c>
      <c r="F17" s="6">
        <v>70.7</v>
      </c>
      <c r="G17" s="6">
        <v>111.9</v>
      </c>
    </row>
    <row r="18" spans="1:7" x14ac:dyDescent="0.25">
      <c r="A18" s="10">
        <v>14</v>
      </c>
      <c r="B18" s="6"/>
      <c r="C18" s="6"/>
      <c r="D18" s="6"/>
      <c r="E18" s="6">
        <v>36.1</v>
      </c>
      <c r="F18" s="6">
        <v>82.5</v>
      </c>
      <c r="G18" s="6">
        <v>117.3</v>
      </c>
    </row>
    <row r="19" spans="1:7" x14ac:dyDescent="0.25">
      <c r="A19" s="10">
        <v>15</v>
      </c>
      <c r="B19" s="6"/>
      <c r="C19" s="6"/>
      <c r="D19" s="6"/>
      <c r="E19" s="6">
        <v>25.6</v>
      </c>
      <c r="F19" s="6">
        <v>63.3</v>
      </c>
      <c r="G19" s="6">
        <v>106.8</v>
      </c>
    </row>
    <row r="20" spans="1:7" ht="14.5" thickBot="1" x14ac:dyDescent="0.3">
      <c r="A20" s="11">
        <v>16</v>
      </c>
      <c r="B20" s="12"/>
      <c r="C20" s="12"/>
      <c r="D20" s="12"/>
      <c r="E20" s="6">
        <v>59.7</v>
      </c>
      <c r="F20" s="6">
        <v>83.5</v>
      </c>
      <c r="G20" s="6">
        <v>116.8</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20.100000000000001</v>
      </c>
      <c r="C24" s="6">
        <v>52.6</v>
      </c>
      <c r="D24" s="6">
        <v>84.8</v>
      </c>
      <c r="E24" s="6">
        <v>45.8</v>
      </c>
      <c r="F24" s="6">
        <v>72.3</v>
      </c>
      <c r="G24" s="6">
        <v>93.5</v>
      </c>
    </row>
    <row r="25" spans="1:7" x14ac:dyDescent="0.25">
      <c r="A25" s="10">
        <v>2</v>
      </c>
      <c r="B25" s="6">
        <v>26.1</v>
      </c>
      <c r="C25" s="6">
        <v>52.2</v>
      </c>
      <c r="D25" s="6">
        <v>96.4</v>
      </c>
      <c r="E25" s="6">
        <v>59.3</v>
      </c>
      <c r="F25" s="6">
        <v>61.6</v>
      </c>
      <c r="G25" s="6">
        <v>87</v>
      </c>
    </row>
    <row r="26" spans="1:7" x14ac:dyDescent="0.25">
      <c r="A26" s="10">
        <v>3</v>
      </c>
      <c r="B26" s="6">
        <v>44.1</v>
      </c>
      <c r="C26" s="6">
        <v>59.3</v>
      </c>
      <c r="D26" s="6">
        <v>102</v>
      </c>
      <c r="E26" s="6">
        <v>50</v>
      </c>
      <c r="F26" s="6">
        <v>65.900000000000006</v>
      </c>
      <c r="G26" s="6">
        <v>113.8</v>
      </c>
    </row>
    <row r="27" spans="1:7" x14ac:dyDescent="0.25">
      <c r="A27" s="10">
        <v>4</v>
      </c>
      <c r="B27" s="6">
        <v>27.9</v>
      </c>
      <c r="C27" s="6">
        <v>54.6</v>
      </c>
      <c r="D27" s="6">
        <v>70</v>
      </c>
      <c r="E27" s="6">
        <v>45.7</v>
      </c>
      <c r="F27" s="6">
        <v>68.7</v>
      </c>
      <c r="G27" s="6">
        <v>102.3</v>
      </c>
    </row>
    <row r="28" spans="1:7" x14ac:dyDescent="0.25">
      <c r="A28" s="10">
        <v>5</v>
      </c>
      <c r="B28" s="6">
        <v>25.2</v>
      </c>
      <c r="C28" s="6">
        <v>58.2</v>
      </c>
      <c r="D28" s="6">
        <v>74.3</v>
      </c>
      <c r="E28" s="6">
        <v>34.299999999999997</v>
      </c>
      <c r="F28" s="6">
        <v>61.3</v>
      </c>
      <c r="G28" s="6">
        <v>102.4</v>
      </c>
    </row>
    <row r="29" spans="1:7" x14ac:dyDescent="0.25">
      <c r="A29" s="10">
        <v>6</v>
      </c>
      <c r="B29" s="6">
        <v>37.200000000000003</v>
      </c>
      <c r="C29" s="6">
        <v>61</v>
      </c>
      <c r="D29" s="6">
        <v>70</v>
      </c>
      <c r="E29" s="6">
        <v>54.3</v>
      </c>
      <c r="F29" s="6">
        <v>78</v>
      </c>
      <c r="G29" s="6">
        <v>91.2</v>
      </c>
    </row>
    <row r="30" spans="1:7" x14ac:dyDescent="0.25">
      <c r="A30" s="10">
        <v>7</v>
      </c>
      <c r="B30" s="6">
        <v>20.3</v>
      </c>
      <c r="C30" s="6">
        <v>57.7</v>
      </c>
      <c r="D30" s="6">
        <v>106.3</v>
      </c>
      <c r="E30" s="6">
        <v>32.1</v>
      </c>
      <c r="F30" s="6">
        <v>76.5</v>
      </c>
      <c r="G30" s="6">
        <v>91.5</v>
      </c>
    </row>
    <row r="31" spans="1:7" x14ac:dyDescent="0.25">
      <c r="A31" s="10">
        <v>8</v>
      </c>
      <c r="B31" s="6">
        <v>41.3</v>
      </c>
      <c r="C31" s="6">
        <v>54.6</v>
      </c>
      <c r="D31" s="6">
        <v>76.599999999999994</v>
      </c>
      <c r="E31" s="6">
        <v>29.1</v>
      </c>
      <c r="F31" s="6">
        <v>84.1</v>
      </c>
      <c r="G31" s="6">
        <v>106.9</v>
      </c>
    </row>
    <row r="32" spans="1:7" x14ac:dyDescent="0.25">
      <c r="A32" s="10">
        <v>9</v>
      </c>
      <c r="B32" s="6">
        <v>20.9</v>
      </c>
      <c r="C32" s="6">
        <v>45.7</v>
      </c>
      <c r="D32" s="6">
        <v>67.099999999999994</v>
      </c>
      <c r="E32" s="6">
        <v>57.3</v>
      </c>
      <c r="F32" s="6">
        <v>63.7</v>
      </c>
      <c r="G32" s="6">
        <v>116</v>
      </c>
    </row>
    <row r="33" spans="1:7" x14ac:dyDescent="0.25">
      <c r="A33" s="10">
        <v>10</v>
      </c>
      <c r="B33" s="6">
        <v>28.6</v>
      </c>
      <c r="C33" s="6">
        <v>61</v>
      </c>
      <c r="D33" s="6">
        <v>74.099999999999994</v>
      </c>
      <c r="E33" s="6">
        <v>42.8</v>
      </c>
      <c r="F33" s="6">
        <v>62.1</v>
      </c>
      <c r="G33" s="6">
        <v>102.2</v>
      </c>
    </row>
    <row r="34" spans="1:7" x14ac:dyDescent="0.25">
      <c r="A34" s="10">
        <v>11</v>
      </c>
      <c r="B34" s="6"/>
      <c r="C34" s="6"/>
      <c r="D34" s="6"/>
      <c r="E34" s="6">
        <v>27.9</v>
      </c>
      <c r="F34" s="6">
        <v>74.599999999999994</v>
      </c>
      <c r="G34" s="6">
        <v>113</v>
      </c>
    </row>
    <row r="35" spans="1:7" x14ac:dyDescent="0.25">
      <c r="A35" s="10">
        <v>12</v>
      </c>
      <c r="B35" s="6"/>
      <c r="C35" s="6"/>
      <c r="D35" s="6"/>
      <c r="E35" s="6">
        <v>33.5</v>
      </c>
      <c r="F35" s="6">
        <v>66.5</v>
      </c>
      <c r="G35" s="6">
        <v>118.3</v>
      </c>
    </row>
    <row r="36" spans="1:7" x14ac:dyDescent="0.25">
      <c r="A36" s="10">
        <v>13</v>
      </c>
      <c r="B36" s="6"/>
      <c r="C36" s="6"/>
      <c r="D36" s="6"/>
      <c r="E36" s="6">
        <v>53.8</v>
      </c>
      <c r="F36" s="6">
        <v>69.400000000000006</v>
      </c>
      <c r="G36" s="6">
        <v>85.7</v>
      </c>
    </row>
    <row r="37" spans="1:7" x14ac:dyDescent="0.25">
      <c r="A37" s="10">
        <v>14</v>
      </c>
      <c r="B37" s="6"/>
      <c r="C37" s="6"/>
      <c r="D37" s="6"/>
      <c r="E37" s="6">
        <v>41.5</v>
      </c>
      <c r="F37" s="6">
        <v>64.8</v>
      </c>
      <c r="G37" s="6">
        <v>92.3</v>
      </c>
    </row>
    <row r="38" spans="1:7" x14ac:dyDescent="0.25">
      <c r="A38" s="10">
        <v>15</v>
      </c>
      <c r="B38" s="6"/>
      <c r="C38" s="6"/>
      <c r="D38" s="6"/>
      <c r="E38" s="6">
        <v>54.3</v>
      </c>
      <c r="F38" s="6">
        <v>72.599999999999994</v>
      </c>
      <c r="G38" s="6">
        <v>94.9</v>
      </c>
    </row>
    <row r="39" spans="1:7" x14ac:dyDescent="0.25">
      <c r="A39" s="10">
        <v>16</v>
      </c>
      <c r="B39" s="6"/>
      <c r="C39" s="6"/>
      <c r="D39" s="6"/>
      <c r="E39" s="6">
        <v>29.5</v>
      </c>
      <c r="F39" s="6">
        <v>71.7</v>
      </c>
      <c r="G39" s="6">
        <v>85.6</v>
      </c>
    </row>
    <row r="40" spans="1:7" x14ac:dyDescent="0.25">
      <c r="A40" s="10">
        <v>17</v>
      </c>
      <c r="B40" s="6"/>
      <c r="C40" s="6"/>
      <c r="D40" s="6"/>
      <c r="E40" s="6">
        <v>56.6</v>
      </c>
      <c r="F40" s="6">
        <v>77.7</v>
      </c>
      <c r="G40" s="6">
        <v>108.4</v>
      </c>
    </row>
    <row r="41" spans="1:7" x14ac:dyDescent="0.25">
      <c r="A41" s="10">
        <v>18</v>
      </c>
      <c r="B41" s="6"/>
      <c r="C41" s="6"/>
      <c r="D41" s="6"/>
      <c r="E41" s="6">
        <v>33.1</v>
      </c>
      <c r="F41" s="6">
        <v>72.5</v>
      </c>
      <c r="G41" s="6">
        <v>111.3</v>
      </c>
    </row>
    <row r="42" spans="1:7" x14ac:dyDescent="0.25">
      <c r="A42" s="10">
        <v>19</v>
      </c>
      <c r="B42" s="6"/>
      <c r="C42" s="6"/>
      <c r="D42" s="6"/>
      <c r="E42" s="6">
        <v>53.1</v>
      </c>
      <c r="F42" s="6">
        <v>74.5</v>
      </c>
      <c r="G42" s="6">
        <v>109.9</v>
      </c>
    </row>
    <row r="43" spans="1:7" x14ac:dyDescent="0.25">
      <c r="A43" s="10">
        <v>20</v>
      </c>
      <c r="B43" s="6"/>
      <c r="C43" s="6"/>
      <c r="D43" s="6"/>
      <c r="E43" s="6">
        <v>49.5</v>
      </c>
      <c r="F43" s="6">
        <v>71.2</v>
      </c>
      <c r="G43" s="6">
        <v>107.7</v>
      </c>
    </row>
    <row r="44" spans="1:7" x14ac:dyDescent="0.25">
      <c r="A44" s="10">
        <v>21</v>
      </c>
      <c r="B44" s="6"/>
      <c r="C44" s="6"/>
      <c r="D44" s="6"/>
      <c r="E44" s="6">
        <v>25.3</v>
      </c>
      <c r="F44" s="6">
        <v>79.3</v>
      </c>
      <c r="G44" s="6">
        <v>119.2</v>
      </c>
    </row>
    <row r="45" spans="1:7" x14ac:dyDescent="0.25">
      <c r="A45" s="10">
        <v>22</v>
      </c>
      <c r="B45" s="6"/>
      <c r="C45" s="6"/>
      <c r="D45" s="6"/>
      <c r="E45" s="6">
        <v>25.5</v>
      </c>
      <c r="F45" s="6">
        <v>80.7</v>
      </c>
      <c r="G45" s="6">
        <v>107.2</v>
      </c>
    </row>
    <row r="46" spans="1:7" x14ac:dyDescent="0.25">
      <c r="A46" s="10">
        <v>23</v>
      </c>
      <c r="B46" s="6"/>
      <c r="C46" s="6"/>
      <c r="D46" s="6"/>
      <c r="E46" s="6">
        <v>35</v>
      </c>
      <c r="F46" s="6">
        <v>79.5</v>
      </c>
      <c r="G46" s="6">
        <v>85.4</v>
      </c>
    </row>
    <row r="47" spans="1:7" x14ac:dyDescent="0.25">
      <c r="A47" s="10">
        <v>24</v>
      </c>
      <c r="B47" s="6"/>
      <c r="C47" s="6"/>
      <c r="D47" s="6"/>
      <c r="E47" s="6">
        <v>50.8</v>
      </c>
      <c r="F47" s="6">
        <v>83.4</v>
      </c>
      <c r="G47" s="6">
        <v>103.4</v>
      </c>
    </row>
    <row r="48" spans="1:7" x14ac:dyDescent="0.25">
      <c r="A48" s="10">
        <v>25</v>
      </c>
      <c r="B48" s="6"/>
      <c r="C48" s="6"/>
      <c r="D48" s="6"/>
      <c r="E48" s="6">
        <v>53.5</v>
      </c>
      <c r="F48" s="6">
        <v>61.9</v>
      </c>
      <c r="G48" s="6">
        <v>113.7</v>
      </c>
    </row>
    <row r="49" spans="1:7" x14ac:dyDescent="0.25">
      <c r="A49" s="10">
        <v>26</v>
      </c>
      <c r="B49" s="6"/>
      <c r="C49" s="13"/>
      <c r="D49" s="6"/>
      <c r="E49" s="6">
        <v>58.5</v>
      </c>
      <c r="F49" s="6">
        <v>77.599999999999994</v>
      </c>
      <c r="G49" s="6">
        <v>110.9</v>
      </c>
    </row>
    <row r="50" spans="1:7" x14ac:dyDescent="0.25">
      <c r="A50" s="10">
        <v>27</v>
      </c>
      <c r="B50" s="6"/>
      <c r="C50" s="13"/>
      <c r="D50" s="6"/>
      <c r="E50" s="6">
        <v>36.4</v>
      </c>
      <c r="F50" s="6">
        <v>73.900000000000006</v>
      </c>
      <c r="G50" s="6">
        <v>102.1</v>
      </c>
    </row>
    <row r="51" spans="1:7" x14ac:dyDescent="0.25">
      <c r="A51" s="10">
        <v>28</v>
      </c>
      <c r="B51" s="6"/>
      <c r="C51" s="14"/>
      <c r="D51" s="6"/>
      <c r="E51" s="6">
        <v>33.9</v>
      </c>
      <c r="F51" s="6">
        <v>71.3</v>
      </c>
      <c r="G51" s="6">
        <v>92.6</v>
      </c>
    </row>
    <row r="52" spans="1:7" ht="14.5" thickBot="1" x14ac:dyDescent="0.3">
      <c r="A52" s="11">
        <v>29</v>
      </c>
      <c r="B52" s="15"/>
      <c r="C52" s="15"/>
      <c r="D52" s="12"/>
      <c r="E52" s="6">
        <v>44.5</v>
      </c>
      <c r="F52" s="6">
        <v>84.9</v>
      </c>
      <c r="G52" s="6">
        <v>88.2</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30</v>
      </c>
      <c r="C56" s="6">
        <v>53.4</v>
      </c>
      <c r="D56" s="6">
        <v>71.3</v>
      </c>
      <c r="E56" s="6">
        <v>29.3</v>
      </c>
      <c r="F56" s="6">
        <v>74.900000000000006</v>
      </c>
      <c r="G56" s="6">
        <v>103</v>
      </c>
    </row>
    <row r="57" spans="1:7" x14ac:dyDescent="0.25">
      <c r="A57" s="10">
        <v>2</v>
      </c>
      <c r="B57" s="6">
        <v>43.5</v>
      </c>
      <c r="C57" s="6">
        <v>47.7</v>
      </c>
      <c r="D57" s="6">
        <v>109.9</v>
      </c>
      <c r="E57" s="6">
        <v>32.799999999999997</v>
      </c>
      <c r="F57" s="6">
        <v>80.099999999999994</v>
      </c>
      <c r="G57" s="6">
        <v>101.7</v>
      </c>
    </row>
    <row r="58" spans="1:7" x14ac:dyDescent="0.25">
      <c r="A58" s="10">
        <v>3</v>
      </c>
      <c r="B58" s="6">
        <v>21.6</v>
      </c>
      <c r="C58" s="6">
        <v>52.1</v>
      </c>
      <c r="D58" s="6">
        <v>89.4</v>
      </c>
      <c r="E58" s="6">
        <v>26.5</v>
      </c>
      <c r="F58" s="6">
        <v>74.3</v>
      </c>
      <c r="G58" s="6">
        <v>115.3</v>
      </c>
    </row>
    <row r="59" spans="1:7" x14ac:dyDescent="0.25">
      <c r="A59" s="10">
        <v>4</v>
      </c>
      <c r="B59" s="6">
        <v>26.8</v>
      </c>
      <c r="C59" s="6">
        <v>47.9</v>
      </c>
      <c r="D59" s="6">
        <v>92</v>
      </c>
      <c r="E59" s="6">
        <v>33.1</v>
      </c>
      <c r="F59" s="6">
        <v>69.5</v>
      </c>
      <c r="G59" s="6">
        <v>96.3</v>
      </c>
    </row>
    <row r="60" spans="1:7" x14ac:dyDescent="0.25">
      <c r="A60" s="10">
        <v>5</v>
      </c>
      <c r="B60" s="6">
        <v>30.4</v>
      </c>
      <c r="C60" s="6">
        <v>46.5</v>
      </c>
      <c r="D60" s="6">
        <v>98.4</v>
      </c>
      <c r="E60" s="6">
        <v>48.9</v>
      </c>
      <c r="F60" s="6">
        <v>64.900000000000006</v>
      </c>
      <c r="G60" s="6">
        <v>95</v>
      </c>
    </row>
    <row r="61" spans="1:7" x14ac:dyDescent="0.25">
      <c r="A61" s="10">
        <v>6</v>
      </c>
      <c r="B61" s="6">
        <v>33.4</v>
      </c>
      <c r="C61" s="6">
        <v>57.8</v>
      </c>
      <c r="D61" s="6">
        <v>102.6</v>
      </c>
      <c r="E61" s="6">
        <v>29.9</v>
      </c>
      <c r="F61" s="6">
        <v>61.9</v>
      </c>
      <c r="G61" s="6">
        <v>94.9</v>
      </c>
    </row>
    <row r="62" spans="1:7" x14ac:dyDescent="0.25">
      <c r="A62" s="10">
        <v>7</v>
      </c>
      <c r="B62" s="6">
        <v>35.799999999999997</v>
      </c>
      <c r="C62" s="6">
        <v>62.1</v>
      </c>
      <c r="D62" s="6">
        <v>106.1</v>
      </c>
      <c r="E62" s="6">
        <v>25.7</v>
      </c>
      <c r="F62" s="6">
        <v>68.3</v>
      </c>
      <c r="G62" s="6">
        <v>86.6</v>
      </c>
    </row>
    <row r="63" spans="1:7" x14ac:dyDescent="0.25">
      <c r="A63" s="10">
        <v>8</v>
      </c>
      <c r="B63" s="6">
        <v>20.7</v>
      </c>
      <c r="C63" s="6">
        <v>58.5</v>
      </c>
      <c r="D63" s="6">
        <v>108.2</v>
      </c>
      <c r="E63" s="6"/>
      <c r="F63" s="6"/>
      <c r="G63" s="6"/>
    </row>
    <row r="64" spans="1:7" x14ac:dyDescent="0.25">
      <c r="A64" s="10">
        <v>9</v>
      </c>
      <c r="B64" s="6">
        <v>26.5</v>
      </c>
      <c r="C64" s="6">
        <v>60.8</v>
      </c>
      <c r="D64" s="6">
        <v>107.8</v>
      </c>
      <c r="E64" s="6"/>
      <c r="F64" s="6"/>
      <c r="G64" s="6"/>
    </row>
    <row r="65" spans="1:7" x14ac:dyDescent="0.25">
      <c r="A65" s="10">
        <v>10</v>
      </c>
      <c r="B65" s="6">
        <v>32</v>
      </c>
      <c r="C65" s="6">
        <v>49.1</v>
      </c>
      <c r="D65" s="6">
        <v>87.6</v>
      </c>
      <c r="E65" s="6"/>
      <c r="F65" s="6"/>
      <c r="G65" s="6"/>
    </row>
    <row r="66" spans="1:7" x14ac:dyDescent="0.25">
      <c r="A66" s="10">
        <v>11</v>
      </c>
      <c r="B66" s="6">
        <v>21.4</v>
      </c>
      <c r="C66" s="6">
        <v>49.4</v>
      </c>
      <c r="D66" s="6">
        <v>108.7</v>
      </c>
      <c r="E66" s="6"/>
      <c r="F66" s="6"/>
      <c r="G66" s="6"/>
    </row>
    <row r="67" spans="1:7" ht="14.5" thickBot="1" x14ac:dyDescent="0.3">
      <c r="A67" s="11">
        <v>12</v>
      </c>
      <c r="B67" s="6">
        <v>23.8</v>
      </c>
      <c r="C67" s="6">
        <v>50.7</v>
      </c>
      <c r="D67" s="6">
        <v>74.400000000000006</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30.8</v>
      </c>
      <c r="C71" s="6">
        <v>50.9</v>
      </c>
      <c r="D71" s="6">
        <v>98.2</v>
      </c>
      <c r="E71" s="6"/>
      <c r="F71" s="6"/>
      <c r="G71" s="6"/>
    </row>
    <row r="72" spans="1:7" x14ac:dyDescent="0.25">
      <c r="A72" s="10">
        <v>2</v>
      </c>
      <c r="B72" s="6">
        <v>22</v>
      </c>
      <c r="C72" s="6">
        <v>60</v>
      </c>
      <c r="D72" s="6">
        <v>90.1</v>
      </c>
      <c r="E72" s="5"/>
      <c r="F72" s="5"/>
      <c r="G72" s="6"/>
    </row>
    <row r="73" spans="1:7" x14ac:dyDescent="0.25">
      <c r="A73" s="10">
        <v>3</v>
      </c>
      <c r="B73" s="6">
        <v>21.4</v>
      </c>
      <c r="C73" s="6">
        <v>55.7</v>
      </c>
      <c r="D73" s="6">
        <v>107.6</v>
      </c>
      <c r="E73" s="5"/>
      <c r="F73" s="5"/>
      <c r="G73" s="5"/>
    </row>
    <row r="74" spans="1:7" x14ac:dyDescent="0.25">
      <c r="A74" s="10">
        <v>4</v>
      </c>
      <c r="B74" s="6">
        <v>21.5</v>
      </c>
      <c r="C74" s="6">
        <v>61.1</v>
      </c>
      <c r="D74" s="6">
        <v>95.2</v>
      </c>
      <c r="E74" s="5"/>
      <c r="F74" s="5"/>
      <c r="G74" s="5"/>
    </row>
    <row r="75" spans="1:7" x14ac:dyDescent="0.25">
      <c r="A75" s="10">
        <v>5</v>
      </c>
      <c r="B75" s="6">
        <v>38.9</v>
      </c>
      <c r="C75" s="6">
        <v>48.5</v>
      </c>
      <c r="D75" s="6">
        <v>108.8</v>
      </c>
      <c r="E75" s="5"/>
      <c r="F75" s="5"/>
      <c r="G75" s="5"/>
    </row>
    <row r="76" spans="1:7" x14ac:dyDescent="0.25">
      <c r="A76" s="10">
        <v>6</v>
      </c>
      <c r="B76" s="6">
        <v>23.2</v>
      </c>
      <c r="C76" s="6">
        <v>47.5</v>
      </c>
      <c r="D76" s="6">
        <v>99.4</v>
      </c>
      <c r="E76" s="5"/>
      <c r="F76" s="5"/>
      <c r="G76" s="5"/>
    </row>
    <row r="77" spans="1:7" x14ac:dyDescent="0.25">
      <c r="A77" s="10">
        <v>7</v>
      </c>
      <c r="B77" s="6">
        <v>43.3</v>
      </c>
      <c r="C77" s="6">
        <v>61.6</v>
      </c>
      <c r="D77" s="6">
        <v>92.4</v>
      </c>
      <c r="E77" s="5"/>
      <c r="F77" s="5"/>
      <c r="G77" s="5"/>
    </row>
    <row r="78" spans="1:7" x14ac:dyDescent="0.25">
      <c r="A78" s="10">
        <v>8</v>
      </c>
      <c r="B78" s="6">
        <v>33.1</v>
      </c>
      <c r="C78" s="6">
        <v>61.5</v>
      </c>
      <c r="D78" s="6">
        <v>73.7</v>
      </c>
      <c r="E78" s="5"/>
      <c r="F78" s="5"/>
      <c r="G78" s="5"/>
    </row>
    <row r="79" spans="1:7" x14ac:dyDescent="0.25">
      <c r="A79" s="10">
        <v>9</v>
      </c>
      <c r="B79" s="6">
        <v>36.200000000000003</v>
      </c>
      <c r="C79" s="6">
        <v>62.9</v>
      </c>
      <c r="D79" s="6">
        <v>93.1</v>
      </c>
      <c r="E79" s="5"/>
      <c r="F79" s="5"/>
      <c r="G79" s="5"/>
    </row>
    <row r="80" spans="1:7" x14ac:dyDescent="0.25">
      <c r="A80" s="10">
        <v>10</v>
      </c>
      <c r="B80" s="6">
        <v>43.6</v>
      </c>
      <c r="C80" s="6">
        <v>56</v>
      </c>
      <c r="D80" s="6">
        <v>108</v>
      </c>
      <c r="E80" s="5"/>
      <c r="F80" s="5"/>
      <c r="G80" s="5"/>
    </row>
    <row r="81" spans="1:7" x14ac:dyDescent="0.25">
      <c r="A81" s="10">
        <v>11</v>
      </c>
      <c r="B81" s="6">
        <v>43.6</v>
      </c>
      <c r="C81" s="6">
        <v>60.7</v>
      </c>
      <c r="D81" s="6">
        <v>100.8</v>
      </c>
      <c r="E81" s="5"/>
      <c r="F81" s="5"/>
      <c r="G81" s="5"/>
    </row>
    <row r="82" spans="1:7" x14ac:dyDescent="0.25">
      <c r="A82" s="10">
        <v>12</v>
      </c>
      <c r="B82" s="6">
        <v>22.8</v>
      </c>
      <c r="C82" s="6">
        <v>62.4</v>
      </c>
      <c r="D82" s="6">
        <v>92.1</v>
      </c>
      <c r="E82" s="5"/>
      <c r="F82" s="5"/>
      <c r="G82" s="5"/>
    </row>
    <row r="83" spans="1:7" x14ac:dyDescent="0.25">
      <c r="A83" s="10">
        <v>13</v>
      </c>
      <c r="B83" s="6">
        <v>35.4</v>
      </c>
      <c r="C83" s="6">
        <v>53.3</v>
      </c>
      <c r="D83" s="6">
        <v>89.1</v>
      </c>
      <c r="E83" s="5"/>
      <c r="F83" s="5"/>
      <c r="G83" s="5"/>
    </row>
    <row r="84" spans="1:7" x14ac:dyDescent="0.25">
      <c r="A84" s="10">
        <v>14</v>
      </c>
      <c r="B84" s="6">
        <v>39.200000000000003</v>
      </c>
      <c r="C84" s="6">
        <v>52</v>
      </c>
      <c r="D84" s="6">
        <v>74.400000000000006</v>
      </c>
      <c r="E84" s="5"/>
      <c r="F84" s="5"/>
      <c r="G84" s="5"/>
    </row>
    <row r="85" spans="1:7" x14ac:dyDescent="0.25">
      <c r="A85" s="10">
        <v>15</v>
      </c>
      <c r="B85" s="6">
        <v>39.5</v>
      </c>
      <c r="C85" s="6">
        <v>61.9</v>
      </c>
      <c r="D85" s="6">
        <v>74.3</v>
      </c>
      <c r="E85" s="5"/>
      <c r="F85" s="5"/>
      <c r="G85" s="5"/>
    </row>
    <row r="86" spans="1:7" x14ac:dyDescent="0.25">
      <c r="A86" s="10">
        <v>16</v>
      </c>
      <c r="B86" s="6">
        <v>41.3</v>
      </c>
      <c r="C86" s="6">
        <v>49.5</v>
      </c>
      <c r="D86" s="6">
        <v>95.1</v>
      </c>
      <c r="E86" s="5"/>
      <c r="F86" s="5"/>
      <c r="G86" s="5"/>
    </row>
    <row r="87" spans="1:7" x14ac:dyDescent="0.25">
      <c r="A87" s="10">
        <v>17</v>
      </c>
      <c r="B87" s="6">
        <v>37</v>
      </c>
      <c r="C87" s="6">
        <v>63.6</v>
      </c>
      <c r="D87" s="6">
        <v>75.5</v>
      </c>
      <c r="E87" s="5"/>
      <c r="F87" s="5"/>
      <c r="G87" s="5"/>
    </row>
    <row r="88" spans="1:7" x14ac:dyDescent="0.25">
      <c r="A88" s="10">
        <v>18</v>
      </c>
      <c r="B88" s="6">
        <v>43.9</v>
      </c>
      <c r="C88" s="6">
        <v>51.5</v>
      </c>
      <c r="D88" s="6">
        <v>104</v>
      </c>
      <c r="E88" s="5"/>
      <c r="F88" s="5"/>
      <c r="G88" s="5"/>
    </row>
    <row r="89" spans="1:7" x14ac:dyDescent="0.25">
      <c r="A89" s="10">
        <v>19</v>
      </c>
      <c r="B89" s="6">
        <v>33.799999999999997</v>
      </c>
      <c r="C89" s="6">
        <v>46.7</v>
      </c>
      <c r="D89" s="6">
        <v>103.9</v>
      </c>
      <c r="E89" s="5"/>
      <c r="F89" s="5"/>
      <c r="G89" s="5"/>
    </row>
    <row r="90" spans="1:7" x14ac:dyDescent="0.25">
      <c r="A90" s="10">
        <v>20</v>
      </c>
      <c r="B90" s="6">
        <v>35.700000000000003</v>
      </c>
      <c r="C90" s="6">
        <v>63.3</v>
      </c>
      <c r="D90" s="6">
        <v>73.5</v>
      </c>
      <c r="E90" s="5"/>
      <c r="F90" s="5"/>
      <c r="G90" s="5"/>
    </row>
    <row r="91" spans="1:7" x14ac:dyDescent="0.25">
      <c r="A91" s="10">
        <v>21</v>
      </c>
      <c r="B91" s="6">
        <v>43.6</v>
      </c>
      <c r="C91" s="6">
        <v>62.2</v>
      </c>
      <c r="D91" s="6">
        <v>79</v>
      </c>
      <c r="E91" s="5"/>
      <c r="F91" s="5"/>
      <c r="G91" s="5"/>
    </row>
    <row r="92" spans="1:7" x14ac:dyDescent="0.25">
      <c r="A92" s="10">
        <v>22</v>
      </c>
      <c r="B92" s="6">
        <v>27.6</v>
      </c>
      <c r="C92" s="6">
        <v>55.1</v>
      </c>
      <c r="D92" s="6">
        <v>69.599999999999994</v>
      </c>
      <c r="E92" s="5"/>
      <c r="F92" s="5"/>
      <c r="G92" s="5"/>
    </row>
    <row r="93" spans="1:7" x14ac:dyDescent="0.25">
      <c r="A93" s="10">
        <v>23</v>
      </c>
      <c r="B93" s="6">
        <v>20.6</v>
      </c>
      <c r="C93" s="6">
        <v>46.5</v>
      </c>
      <c r="D93" s="6">
        <v>66.599999999999994</v>
      </c>
      <c r="E93" s="5"/>
      <c r="F93" s="5"/>
      <c r="G93" s="5"/>
    </row>
    <row r="94" spans="1:7" x14ac:dyDescent="0.25">
      <c r="A94" s="10">
        <v>24</v>
      </c>
      <c r="B94" s="6">
        <v>42.7</v>
      </c>
      <c r="C94" s="6">
        <v>49.2</v>
      </c>
      <c r="D94" s="6">
        <v>93.6</v>
      </c>
      <c r="E94" s="5"/>
      <c r="F94" s="5"/>
      <c r="G94" s="5"/>
    </row>
    <row r="95" spans="1:7" x14ac:dyDescent="0.25">
      <c r="A95" s="10">
        <v>25</v>
      </c>
      <c r="B95" s="6">
        <v>36.6</v>
      </c>
      <c r="C95" s="6">
        <v>55.9</v>
      </c>
      <c r="D95" s="6">
        <v>107.2</v>
      </c>
      <c r="E95" s="5"/>
      <c r="F95" s="5"/>
      <c r="G95" s="5"/>
    </row>
    <row r="96" spans="1:7" x14ac:dyDescent="0.25">
      <c r="A96" s="10">
        <v>26</v>
      </c>
      <c r="B96" s="6">
        <v>37.799999999999997</v>
      </c>
      <c r="C96" s="6">
        <v>61.3</v>
      </c>
      <c r="D96" s="6">
        <v>69.2</v>
      </c>
      <c r="E96" s="14"/>
      <c r="F96" s="14"/>
      <c r="G96" s="14"/>
    </row>
    <row r="97" spans="1:7" x14ac:dyDescent="0.25">
      <c r="A97" s="10">
        <v>27</v>
      </c>
      <c r="B97" s="6">
        <v>23.4</v>
      </c>
      <c r="C97" s="6">
        <v>53.8</v>
      </c>
      <c r="D97" s="6">
        <v>94.1</v>
      </c>
      <c r="E97" s="14"/>
      <c r="F97" s="14"/>
      <c r="G97" s="14"/>
    </row>
    <row r="98" spans="1:7" x14ac:dyDescent="0.25">
      <c r="A98" s="10">
        <v>28</v>
      </c>
      <c r="B98" s="6">
        <v>29.9</v>
      </c>
      <c r="C98" s="6">
        <v>46.4</v>
      </c>
      <c r="D98" s="6">
        <v>85.5</v>
      </c>
      <c r="E98" s="14"/>
      <c r="F98" s="14"/>
      <c r="G98" s="14"/>
    </row>
    <row r="99" spans="1:7" x14ac:dyDescent="0.25">
      <c r="A99" s="10">
        <v>29</v>
      </c>
      <c r="B99" s="6">
        <v>42.6</v>
      </c>
      <c r="C99" s="6">
        <v>50.5</v>
      </c>
      <c r="D99" s="6">
        <v>107.8</v>
      </c>
      <c r="E99" s="5"/>
      <c r="F99" s="5"/>
      <c r="G99" s="5"/>
    </row>
    <row r="100" spans="1:7" x14ac:dyDescent="0.25">
      <c r="A100" s="10">
        <v>30</v>
      </c>
      <c r="B100" s="6">
        <v>26.9</v>
      </c>
      <c r="C100" s="6">
        <v>45.9</v>
      </c>
      <c r="D100" s="6">
        <v>80</v>
      </c>
      <c r="E100" s="1"/>
      <c r="F100" s="1"/>
      <c r="G100" s="1"/>
    </row>
    <row r="101" spans="1:7" x14ac:dyDescent="0.25">
      <c r="A101" s="10">
        <v>31</v>
      </c>
      <c r="B101" s="6">
        <v>29.9</v>
      </c>
      <c r="C101" s="6">
        <v>64.3</v>
      </c>
      <c r="D101" s="6">
        <v>84.4</v>
      </c>
      <c r="E101" s="1"/>
      <c r="F101" s="1"/>
      <c r="G101" s="1"/>
    </row>
    <row r="102" spans="1:7" x14ac:dyDescent="0.25">
      <c r="A102" s="10">
        <v>32</v>
      </c>
      <c r="B102" s="6">
        <v>42.1</v>
      </c>
      <c r="C102" s="6">
        <v>60.9</v>
      </c>
      <c r="D102" s="6">
        <v>79.7</v>
      </c>
      <c r="E102" s="1"/>
      <c r="F102" s="1"/>
      <c r="G102" s="1"/>
    </row>
    <row r="103" spans="1:7" x14ac:dyDescent="0.25">
      <c r="A103" s="10">
        <v>33</v>
      </c>
      <c r="B103" s="6">
        <v>43.4</v>
      </c>
      <c r="C103" s="6">
        <v>57.7</v>
      </c>
      <c r="D103" s="6">
        <v>95.6</v>
      </c>
      <c r="E103" s="1"/>
      <c r="F103" s="1"/>
      <c r="G103" s="1"/>
    </row>
    <row r="104" spans="1:7" x14ac:dyDescent="0.25">
      <c r="A104" s="10">
        <v>34</v>
      </c>
      <c r="B104" s="6">
        <v>36.799999999999997</v>
      </c>
      <c r="C104" s="6">
        <v>56.7</v>
      </c>
      <c r="D104" s="6">
        <v>89.5</v>
      </c>
      <c r="E104" s="1"/>
      <c r="F104" s="1"/>
      <c r="G104" s="1"/>
    </row>
    <row r="105" spans="1:7" x14ac:dyDescent="0.25">
      <c r="A105" s="10">
        <v>35</v>
      </c>
      <c r="B105" s="6">
        <v>44.8</v>
      </c>
      <c r="C105" s="6">
        <v>56.7</v>
      </c>
      <c r="D105" s="6">
        <v>67.3</v>
      </c>
      <c r="E105" s="1"/>
      <c r="F105" s="1"/>
      <c r="G105" s="1"/>
    </row>
    <row r="106" spans="1:7" x14ac:dyDescent="0.25">
      <c r="A106" s="10">
        <v>36</v>
      </c>
      <c r="B106" s="6">
        <v>32.799999999999997</v>
      </c>
      <c r="C106" s="6">
        <v>61.5</v>
      </c>
      <c r="D106" s="6">
        <v>92.5</v>
      </c>
      <c r="E106" s="1"/>
      <c r="F106" s="1"/>
      <c r="G106" s="1"/>
    </row>
    <row r="107" spans="1:7" x14ac:dyDescent="0.25">
      <c r="A107" s="10">
        <v>37</v>
      </c>
      <c r="B107" s="6">
        <v>39.4</v>
      </c>
      <c r="C107" s="6">
        <v>56.8</v>
      </c>
      <c r="D107" s="6">
        <v>109.7</v>
      </c>
      <c r="E107" s="1"/>
      <c r="F107" s="1"/>
      <c r="G107" s="1"/>
    </row>
    <row r="108" spans="1:7" x14ac:dyDescent="0.25">
      <c r="A108" s="10">
        <v>38</v>
      </c>
      <c r="B108" s="6">
        <v>37.200000000000003</v>
      </c>
      <c r="C108" s="6">
        <v>52.4</v>
      </c>
      <c r="D108" s="6">
        <v>82.5</v>
      </c>
      <c r="E108" s="1"/>
      <c r="F108" s="1"/>
      <c r="G108" s="1"/>
    </row>
    <row r="109" spans="1:7" x14ac:dyDescent="0.25">
      <c r="A109" s="10">
        <v>39</v>
      </c>
      <c r="B109" s="6">
        <v>32</v>
      </c>
      <c r="C109" s="6">
        <v>49.1</v>
      </c>
      <c r="D109" s="6">
        <v>73.8</v>
      </c>
      <c r="E109" s="1"/>
      <c r="F109" s="1"/>
      <c r="G109" s="1"/>
    </row>
    <row r="110" spans="1:7" x14ac:dyDescent="0.25">
      <c r="A110" s="10">
        <v>40</v>
      </c>
      <c r="B110" s="6">
        <v>21.5</v>
      </c>
      <c r="C110" s="6">
        <v>51</v>
      </c>
      <c r="D110" s="6">
        <v>78.400000000000006</v>
      </c>
      <c r="E110" s="1"/>
      <c r="F110" s="1"/>
      <c r="G110" s="1"/>
    </row>
    <row r="111" spans="1:7" x14ac:dyDescent="0.25">
      <c r="A111" s="10">
        <v>41</v>
      </c>
      <c r="B111" s="6">
        <v>41.3</v>
      </c>
      <c r="C111" s="6">
        <v>53.9</v>
      </c>
      <c r="D111" s="6">
        <v>102.4</v>
      </c>
      <c r="E111" s="1"/>
      <c r="F111" s="1"/>
      <c r="G111" s="1"/>
    </row>
    <row r="112" spans="1:7" x14ac:dyDescent="0.25">
      <c r="A112" s="10">
        <v>42</v>
      </c>
      <c r="B112" s="6">
        <v>26.5</v>
      </c>
      <c r="C112" s="6">
        <v>55.2</v>
      </c>
      <c r="D112" s="6">
        <v>74.7</v>
      </c>
      <c r="E112" s="1"/>
      <c r="F112" s="1"/>
      <c r="G112" s="1"/>
    </row>
    <row r="113" spans="1:7" x14ac:dyDescent="0.25">
      <c r="A113" s="10">
        <v>43</v>
      </c>
      <c r="B113" s="6">
        <v>26.7</v>
      </c>
      <c r="C113" s="6">
        <v>55.3</v>
      </c>
      <c r="D113" s="6">
        <v>77.8</v>
      </c>
      <c r="E113" s="1"/>
      <c r="F113" s="1"/>
      <c r="G113" s="1"/>
    </row>
    <row r="114" spans="1:7" x14ac:dyDescent="0.25">
      <c r="A114" s="10">
        <v>44</v>
      </c>
      <c r="B114" s="6">
        <v>29.7</v>
      </c>
      <c r="C114" s="6">
        <v>46.9</v>
      </c>
      <c r="D114" s="6">
        <v>71.599999999999994</v>
      </c>
      <c r="E114" s="1"/>
      <c r="F114" s="1"/>
      <c r="G114" s="1"/>
    </row>
    <row r="115" spans="1:7" x14ac:dyDescent="0.25">
      <c r="A115" s="10">
        <v>45</v>
      </c>
      <c r="B115" s="6">
        <v>22.5</v>
      </c>
      <c r="C115" s="6">
        <v>54.8</v>
      </c>
      <c r="D115" s="6">
        <v>105.3</v>
      </c>
      <c r="E115" s="1"/>
      <c r="F115" s="1"/>
      <c r="G115" s="1"/>
    </row>
    <row r="116" spans="1:7" x14ac:dyDescent="0.25">
      <c r="A116" s="10">
        <v>46</v>
      </c>
      <c r="B116" s="6">
        <v>21</v>
      </c>
      <c r="C116" s="6">
        <v>46.3</v>
      </c>
      <c r="D116" s="6">
        <v>109.8</v>
      </c>
      <c r="E116" s="1"/>
      <c r="F116" s="1"/>
      <c r="G116" s="1"/>
    </row>
    <row r="117" spans="1:7" x14ac:dyDescent="0.25">
      <c r="A117" s="10">
        <v>47</v>
      </c>
      <c r="B117" s="6">
        <v>38.6</v>
      </c>
      <c r="C117" s="6">
        <v>50.2</v>
      </c>
      <c r="D117" s="6">
        <v>80.400000000000006</v>
      </c>
      <c r="E117" s="1"/>
      <c r="F117" s="1"/>
      <c r="G117" s="1"/>
    </row>
    <row r="118" spans="1:7" x14ac:dyDescent="0.25">
      <c r="A118" s="10">
        <v>48</v>
      </c>
      <c r="B118" s="6">
        <v>26.7</v>
      </c>
      <c r="C118" s="6">
        <v>63.5</v>
      </c>
      <c r="D118" s="6">
        <v>99.6</v>
      </c>
      <c r="E118" s="1"/>
      <c r="F118" s="1"/>
      <c r="G118" s="1"/>
    </row>
    <row r="119" spans="1:7" x14ac:dyDescent="0.25">
      <c r="A119" s="10">
        <v>49</v>
      </c>
      <c r="B119" s="6">
        <v>29.5</v>
      </c>
      <c r="C119" s="6">
        <v>60.6</v>
      </c>
      <c r="D119" s="6">
        <v>89.4</v>
      </c>
      <c r="E119" s="1"/>
      <c r="F119" s="1"/>
      <c r="G119" s="1"/>
    </row>
    <row r="120" spans="1:7" x14ac:dyDescent="0.25">
      <c r="A120" s="10">
        <v>50</v>
      </c>
      <c r="B120" s="6">
        <v>29.7</v>
      </c>
      <c r="C120" s="6">
        <v>60.8</v>
      </c>
      <c r="D120" s="6">
        <v>85.1</v>
      </c>
      <c r="E120" s="1"/>
      <c r="F120" s="1"/>
      <c r="G120" s="1"/>
    </row>
    <row r="121" spans="1:7" x14ac:dyDescent="0.25">
      <c r="A121" s="10">
        <v>51</v>
      </c>
      <c r="B121" s="6">
        <v>23.7</v>
      </c>
      <c r="C121" s="6">
        <v>45</v>
      </c>
      <c r="D121" s="6">
        <v>93.6</v>
      </c>
      <c r="E121" s="1"/>
      <c r="F121" s="1"/>
      <c r="G121" s="1"/>
    </row>
    <row r="122" spans="1:7" x14ac:dyDescent="0.25">
      <c r="A122" s="10">
        <v>52</v>
      </c>
      <c r="B122" s="6">
        <v>28.1</v>
      </c>
      <c r="C122" s="6">
        <v>47.6</v>
      </c>
      <c r="D122" s="6">
        <v>93</v>
      </c>
      <c r="E122" s="1"/>
      <c r="F122" s="1"/>
      <c r="G122" s="1"/>
    </row>
    <row r="123" spans="1:7" x14ac:dyDescent="0.25">
      <c r="A123" s="10">
        <v>53</v>
      </c>
      <c r="B123" s="6">
        <v>37.5</v>
      </c>
      <c r="C123" s="6">
        <v>60.4</v>
      </c>
      <c r="D123" s="6">
        <v>93</v>
      </c>
      <c r="E123" s="1"/>
      <c r="F123" s="1"/>
      <c r="G123" s="1"/>
    </row>
    <row r="124" spans="1:7" x14ac:dyDescent="0.25">
      <c r="A124" s="10">
        <v>54</v>
      </c>
      <c r="B124" s="6">
        <v>28.9</v>
      </c>
      <c r="C124" s="6">
        <v>57</v>
      </c>
      <c r="D124" s="6">
        <v>91.6</v>
      </c>
      <c r="E124" s="1"/>
      <c r="F124" s="1"/>
      <c r="G124" s="1"/>
    </row>
    <row r="125" spans="1:7" x14ac:dyDescent="0.25">
      <c r="A125" s="10">
        <v>55</v>
      </c>
      <c r="B125" s="6">
        <v>38.700000000000003</v>
      </c>
      <c r="C125" s="6">
        <v>48.2</v>
      </c>
      <c r="D125" s="6">
        <v>70.7</v>
      </c>
      <c r="E125" s="1"/>
      <c r="F125" s="1"/>
      <c r="G125" s="1"/>
    </row>
    <row r="126" spans="1:7" x14ac:dyDescent="0.25">
      <c r="A126" s="10">
        <v>56</v>
      </c>
      <c r="B126" s="6">
        <v>40.799999999999997</v>
      </c>
      <c r="C126" s="6">
        <v>58.6</v>
      </c>
      <c r="D126" s="6">
        <v>90.9</v>
      </c>
      <c r="E126" s="1"/>
      <c r="F126" s="1"/>
      <c r="G126" s="1"/>
    </row>
    <row r="127" spans="1:7" x14ac:dyDescent="0.25">
      <c r="A127" s="10">
        <v>57</v>
      </c>
      <c r="B127" s="6">
        <v>25</v>
      </c>
      <c r="C127" s="6">
        <v>64.900000000000006</v>
      </c>
      <c r="D127" s="6">
        <v>104.3</v>
      </c>
      <c r="E127" s="1"/>
      <c r="F127" s="1"/>
      <c r="G127" s="1"/>
    </row>
    <row r="128" spans="1:7" x14ac:dyDescent="0.25">
      <c r="A128" s="10">
        <v>58</v>
      </c>
      <c r="B128" s="6">
        <v>41.8</v>
      </c>
      <c r="C128" s="6">
        <v>64.400000000000006</v>
      </c>
      <c r="D128" s="6">
        <v>67.099999999999994</v>
      </c>
      <c r="E128" s="1"/>
      <c r="F128" s="1"/>
      <c r="G128" s="1"/>
    </row>
    <row r="129" spans="1:7" x14ac:dyDescent="0.25">
      <c r="A129" s="10">
        <v>59</v>
      </c>
      <c r="B129" s="6">
        <v>32.799999999999997</v>
      </c>
      <c r="C129" s="6">
        <v>60.9</v>
      </c>
      <c r="D129" s="6">
        <v>103.7</v>
      </c>
      <c r="E129" s="1"/>
      <c r="F129" s="1"/>
      <c r="G129" s="1"/>
    </row>
    <row r="130" spans="1:7" x14ac:dyDescent="0.25">
      <c r="A130" s="10">
        <v>60</v>
      </c>
      <c r="B130" s="6">
        <v>37.1</v>
      </c>
      <c r="C130" s="6">
        <v>59.2</v>
      </c>
      <c r="D130" s="6">
        <v>72.900000000000006</v>
      </c>
      <c r="E130" s="1"/>
      <c r="F130" s="1"/>
      <c r="G130" s="1"/>
    </row>
    <row r="131" spans="1:7" x14ac:dyDescent="0.25">
      <c r="A131" s="10">
        <v>61</v>
      </c>
      <c r="B131" s="6">
        <v>41.4</v>
      </c>
      <c r="C131" s="6">
        <v>54.5</v>
      </c>
      <c r="D131" s="6">
        <v>76.5</v>
      </c>
      <c r="E131" s="1"/>
      <c r="F131" s="1"/>
      <c r="G131" s="1"/>
    </row>
    <row r="132" spans="1:7" x14ac:dyDescent="0.25">
      <c r="A132" s="10">
        <v>62</v>
      </c>
      <c r="B132" s="6">
        <v>37.299999999999997</v>
      </c>
      <c r="C132" s="6">
        <v>58.8</v>
      </c>
      <c r="D132" s="6">
        <v>77.5</v>
      </c>
      <c r="E132" s="1"/>
      <c r="F132" s="1"/>
      <c r="G132" s="1"/>
    </row>
    <row r="133" spans="1:7" ht="14.5" thickBot="1" x14ac:dyDescent="0.3">
      <c r="A133" s="11">
        <v>63</v>
      </c>
      <c r="B133" s="6">
        <v>23.7</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58.9</v>
      </c>
      <c r="C138" s="330">
        <f>ROUNDDOWN(AVERAGE(E5:G20),1)</f>
        <v>74.8</v>
      </c>
      <c r="D138" s="328">
        <f>'2022.01'!D138</f>
        <v>8254</v>
      </c>
      <c r="E138" s="328">
        <f>'[2]NLT-applied'!$C$22</f>
        <v>15972</v>
      </c>
      <c r="F138" s="328">
        <f>B138*D138</f>
        <v>486160.6</v>
      </c>
      <c r="G138" s="328">
        <f>C138*E138</f>
        <v>1194705.5999999999</v>
      </c>
    </row>
    <row r="139" spans="1:7" x14ac:dyDescent="0.25">
      <c r="A139" s="329" t="str">
        <f>A21</f>
        <v>Dongtai Jianggang Swine farm</v>
      </c>
      <c r="B139" s="330">
        <f>ROUNDDOWN(AVERAGE(B24:D33),1)</f>
        <v>55.6</v>
      </c>
      <c r="C139" s="330">
        <f>ROUNDDOWN(AVERAGE(E24:G52),1)</f>
        <v>72.400000000000006</v>
      </c>
      <c r="D139" s="328">
        <f>'2022.01'!D139</f>
        <v>9392</v>
      </c>
      <c r="E139" s="328">
        <f>'[2]NLT-applied'!$E$22</f>
        <v>29477</v>
      </c>
      <c r="F139" s="328">
        <f t="shared" ref="F139:G141" si="0">B139*D139</f>
        <v>522195.20000000001</v>
      </c>
      <c r="G139" s="328">
        <f t="shared" si="0"/>
        <v>2134134.8000000003</v>
      </c>
    </row>
    <row r="140" spans="1:7" x14ac:dyDescent="0.25">
      <c r="A140" s="329" t="str">
        <f>A53</f>
        <v>Sheyang Linhai Swine farm</v>
      </c>
      <c r="B140" s="330">
        <f>ROUNDDOWN(AVERAGE(B56:D67),1)</f>
        <v>59.3</v>
      </c>
      <c r="C140" s="330">
        <f>ROUNDDOWN(AVERAGE(E56:G62),1)</f>
        <v>67.2</v>
      </c>
      <c r="D140" s="328">
        <f>'2022.01'!D140</f>
        <v>12135</v>
      </c>
      <c r="E140" s="328">
        <f>'[2]NLT-applied'!$G$22</f>
        <v>6429</v>
      </c>
      <c r="F140" s="328">
        <f t="shared" si="0"/>
        <v>719605.5</v>
      </c>
      <c r="G140" s="328">
        <f t="shared" si="0"/>
        <v>432028.80000000005</v>
      </c>
    </row>
    <row r="141" spans="1:7" x14ac:dyDescent="0.25">
      <c r="A141" s="329" t="str">
        <f>A68</f>
        <v>Siyang Nanliuji Swine farm</v>
      </c>
      <c r="B141" s="330">
        <f>ROUNDDOWN(AVERAGE(B71:D133),1)</f>
        <v>59</v>
      </c>
      <c r="C141" s="328">
        <f>ROUNDDOWN(AVERAGE(0),1)</f>
        <v>0</v>
      </c>
      <c r="D141" s="328">
        <f>'2022.01'!D141</f>
        <v>64445</v>
      </c>
      <c r="E141" s="328">
        <f>'[3]NLT-applied'!$I$27</f>
        <v>0</v>
      </c>
      <c r="F141" s="328">
        <f t="shared" si="0"/>
        <v>3802255</v>
      </c>
      <c r="G141" s="328">
        <f t="shared" si="0"/>
        <v>0</v>
      </c>
    </row>
    <row r="142" spans="1:7" x14ac:dyDescent="0.25">
      <c r="A142" s="504" t="s">
        <v>343</v>
      </c>
      <c r="B142" s="510"/>
      <c r="C142" s="505"/>
      <c r="D142" s="328">
        <f>SUM(D138:D141)</f>
        <v>94226</v>
      </c>
      <c r="E142" s="328">
        <f>SUM(E138:E141)</f>
        <v>51878</v>
      </c>
      <c r="F142" s="328">
        <f>SUM(F138:F141)</f>
        <v>5530216.2999999998</v>
      </c>
      <c r="G142" s="328">
        <f>SUM(G138:G141)</f>
        <v>3760869.2</v>
      </c>
    </row>
    <row r="144" spans="1:7" x14ac:dyDescent="0.25">
      <c r="C144" s="504" t="s">
        <v>344</v>
      </c>
      <c r="D144" s="505"/>
    </row>
    <row r="145" spans="3:4" x14ac:dyDescent="0.25">
      <c r="C145" s="328" t="s">
        <v>341</v>
      </c>
      <c r="D145" s="328" t="s">
        <v>342</v>
      </c>
    </row>
    <row r="146" spans="3:4" x14ac:dyDescent="0.25">
      <c r="C146" s="331">
        <f>ROUNDDOWN(F142/D142,1)</f>
        <v>58.6</v>
      </c>
      <c r="D146" s="331">
        <f>ROUNDDOWN(G142/E142,1)</f>
        <v>72.400000000000006</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FC6B-CC03-45DF-BD89-81F2B7371ED7}">
  <dimension ref="A1:G146"/>
  <sheetViews>
    <sheetView topLeftCell="A94" workbookViewId="0">
      <selection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31.9</v>
      </c>
      <c r="C5" s="6">
        <v>51</v>
      </c>
      <c r="D5" s="6">
        <v>88</v>
      </c>
      <c r="E5" s="6">
        <v>34.299999999999997</v>
      </c>
      <c r="F5" s="6">
        <v>74.900000000000006</v>
      </c>
      <c r="G5" s="6">
        <v>104.2</v>
      </c>
    </row>
    <row r="6" spans="1:7" x14ac:dyDescent="0.25">
      <c r="A6" s="10">
        <v>2</v>
      </c>
      <c r="B6" s="6">
        <v>30.1</v>
      </c>
      <c r="C6" s="6">
        <v>57.3</v>
      </c>
      <c r="D6" s="6">
        <v>81.3</v>
      </c>
      <c r="E6" s="6">
        <v>36.1</v>
      </c>
      <c r="F6" s="6">
        <v>84.2</v>
      </c>
      <c r="G6" s="6">
        <v>96.6</v>
      </c>
    </row>
    <row r="7" spans="1:7" x14ac:dyDescent="0.25">
      <c r="A7" s="10">
        <v>3</v>
      </c>
      <c r="B7" s="6">
        <v>37.6</v>
      </c>
      <c r="C7" s="6">
        <v>54</v>
      </c>
      <c r="D7" s="6">
        <v>91.4</v>
      </c>
      <c r="E7" s="6">
        <v>38.799999999999997</v>
      </c>
      <c r="F7" s="6">
        <v>82.3</v>
      </c>
      <c r="G7" s="6">
        <v>108.6</v>
      </c>
    </row>
    <row r="8" spans="1:7" x14ac:dyDescent="0.25">
      <c r="A8" s="10">
        <v>4</v>
      </c>
      <c r="B8" s="6">
        <v>30.7</v>
      </c>
      <c r="C8" s="6">
        <v>58.5</v>
      </c>
      <c r="D8" s="6">
        <v>72.7</v>
      </c>
      <c r="E8" s="6">
        <v>49.3</v>
      </c>
      <c r="F8" s="6">
        <v>77.7</v>
      </c>
      <c r="G8" s="6">
        <v>117.1</v>
      </c>
    </row>
    <row r="9" spans="1:7" x14ac:dyDescent="0.25">
      <c r="A9" s="10">
        <v>5</v>
      </c>
      <c r="B9" s="6">
        <v>44.2</v>
      </c>
      <c r="C9" s="6">
        <v>46.6</v>
      </c>
      <c r="D9" s="6">
        <v>101.3</v>
      </c>
      <c r="E9" s="6">
        <v>51.3</v>
      </c>
      <c r="F9" s="6">
        <v>64.2</v>
      </c>
      <c r="G9" s="6">
        <v>101.9</v>
      </c>
    </row>
    <row r="10" spans="1:7" x14ac:dyDescent="0.25">
      <c r="A10" s="10">
        <v>6</v>
      </c>
      <c r="B10" s="6">
        <v>24.1</v>
      </c>
      <c r="C10" s="6">
        <v>47.3</v>
      </c>
      <c r="D10" s="6">
        <v>109.3</v>
      </c>
      <c r="E10" s="6">
        <v>39</v>
      </c>
      <c r="F10" s="6">
        <v>72.7</v>
      </c>
      <c r="G10" s="6">
        <v>102.2</v>
      </c>
    </row>
    <row r="11" spans="1:7" x14ac:dyDescent="0.25">
      <c r="A11" s="10">
        <v>7</v>
      </c>
      <c r="B11" s="6">
        <v>40.5</v>
      </c>
      <c r="C11" s="6">
        <v>54.4</v>
      </c>
      <c r="D11" s="6">
        <v>87.7</v>
      </c>
      <c r="E11" s="6">
        <v>42.8</v>
      </c>
      <c r="F11" s="6">
        <v>77.599999999999994</v>
      </c>
      <c r="G11" s="6">
        <v>88.6</v>
      </c>
    </row>
    <row r="12" spans="1:7" x14ac:dyDescent="0.25">
      <c r="A12" s="10">
        <v>8</v>
      </c>
      <c r="B12" s="6">
        <v>43.5</v>
      </c>
      <c r="C12" s="6">
        <v>50.3</v>
      </c>
      <c r="D12" s="6">
        <v>71.7</v>
      </c>
      <c r="E12" s="6">
        <v>35.700000000000003</v>
      </c>
      <c r="F12" s="6">
        <v>64.5</v>
      </c>
      <c r="G12" s="6">
        <v>111.7</v>
      </c>
    </row>
    <row r="13" spans="1:7" x14ac:dyDescent="0.25">
      <c r="A13" s="10">
        <v>9</v>
      </c>
      <c r="B13" s="6">
        <v>24.7</v>
      </c>
      <c r="C13" s="6">
        <v>61.4</v>
      </c>
      <c r="D13" s="6">
        <v>104.2</v>
      </c>
      <c r="E13" s="6">
        <v>30.2</v>
      </c>
      <c r="F13" s="6">
        <v>75.8</v>
      </c>
      <c r="G13" s="6">
        <v>113.7</v>
      </c>
    </row>
    <row r="14" spans="1:7" x14ac:dyDescent="0.25">
      <c r="A14" s="10">
        <v>10</v>
      </c>
      <c r="B14" s="6"/>
      <c r="C14" s="6"/>
      <c r="D14" s="6"/>
      <c r="E14" s="6">
        <v>43.9</v>
      </c>
      <c r="F14" s="6">
        <v>79.099999999999994</v>
      </c>
      <c r="G14" s="6">
        <v>102.4</v>
      </c>
    </row>
    <row r="15" spans="1:7" x14ac:dyDescent="0.25">
      <c r="A15" s="10">
        <v>11</v>
      </c>
      <c r="B15" s="6"/>
      <c r="C15" s="6"/>
      <c r="D15" s="6"/>
      <c r="E15" s="6">
        <v>39.1</v>
      </c>
      <c r="F15" s="6">
        <v>78.7</v>
      </c>
      <c r="G15" s="6">
        <v>111.3</v>
      </c>
    </row>
    <row r="16" spans="1:7" x14ac:dyDescent="0.25">
      <c r="A16" s="10">
        <v>12</v>
      </c>
      <c r="B16" s="6"/>
      <c r="C16" s="6"/>
      <c r="D16" s="6"/>
      <c r="E16" s="6">
        <v>27.9</v>
      </c>
      <c r="F16" s="6">
        <v>84.4</v>
      </c>
      <c r="G16" s="6">
        <v>97.9</v>
      </c>
    </row>
    <row r="17" spans="1:7" x14ac:dyDescent="0.25">
      <c r="A17" s="10">
        <v>13</v>
      </c>
      <c r="B17" s="6"/>
      <c r="C17" s="6"/>
      <c r="D17" s="6"/>
      <c r="E17" s="6">
        <v>56.9</v>
      </c>
      <c r="F17" s="6">
        <v>74.5</v>
      </c>
      <c r="G17" s="6">
        <v>98.8</v>
      </c>
    </row>
    <row r="18" spans="1:7" x14ac:dyDescent="0.25">
      <c r="A18" s="10">
        <v>14</v>
      </c>
      <c r="B18" s="6"/>
      <c r="C18" s="6"/>
      <c r="D18" s="6"/>
      <c r="E18" s="6">
        <v>27.4</v>
      </c>
      <c r="F18" s="6">
        <v>60.9</v>
      </c>
      <c r="G18" s="6">
        <v>106.2</v>
      </c>
    </row>
    <row r="19" spans="1:7" x14ac:dyDescent="0.25">
      <c r="A19" s="10">
        <v>15</v>
      </c>
      <c r="B19" s="6"/>
      <c r="C19" s="6"/>
      <c r="D19" s="6"/>
      <c r="E19" s="6">
        <v>46.1</v>
      </c>
      <c r="F19" s="6">
        <v>72.599999999999994</v>
      </c>
      <c r="G19" s="6">
        <v>99.1</v>
      </c>
    </row>
    <row r="20" spans="1:7" ht="14.5" thickBot="1" x14ac:dyDescent="0.3">
      <c r="A20" s="11">
        <v>16</v>
      </c>
      <c r="B20" s="12"/>
      <c r="C20" s="12"/>
      <c r="D20" s="12"/>
      <c r="E20" s="6">
        <v>25.9</v>
      </c>
      <c r="F20" s="6">
        <v>84.3</v>
      </c>
      <c r="G20" s="6">
        <v>103.2</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30.7</v>
      </c>
      <c r="C24" s="6">
        <v>64.5</v>
      </c>
      <c r="D24" s="6">
        <v>106.4</v>
      </c>
      <c r="E24" s="6">
        <v>36.1</v>
      </c>
      <c r="F24" s="6">
        <v>71.400000000000006</v>
      </c>
      <c r="G24" s="6">
        <v>98.4</v>
      </c>
    </row>
    <row r="25" spans="1:7" x14ac:dyDescent="0.25">
      <c r="A25" s="10">
        <v>2</v>
      </c>
      <c r="B25" s="6">
        <v>37.6</v>
      </c>
      <c r="C25" s="6">
        <v>46</v>
      </c>
      <c r="D25" s="6">
        <v>95.5</v>
      </c>
      <c r="E25" s="6">
        <v>56.7</v>
      </c>
      <c r="F25" s="6">
        <v>79.900000000000006</v>
      </c>
      <c r="G25" s="6">
        <v>99.1</v>
      </c>
    </row>
    <row r="26" spans="1:7" x14ac:dyDescent="0.25">
      <c r="A26" s="10">
        <v>3</v>
      </c>
      <c r="B26" s="6">
        <v>31.9</v>
      </c>
      <c r="C26" s="6">
        <v>45</v>
      </c>
      <c r="D26" s="6">
        <v>94.3</v>
      </c>
      <c r="E26" s="6">
        <v>41.3</v>
      </c>
      <c r="F26" s="6">
        <v>66.7</v>
      </c>
      <c r="G26" s="6">
        <v>85.2</v>
      </c>
    </row>
    <row r="27" spans="1:7" x14ac:dyDescent="0.25">
      <c r="A27" s="10">
        <v>4</v>
      </c>
      <c r="B27" s="6">
        <v>41.5</v>
      </c>
      <c r="C27" s="6">
        <v>56.6</v>
      </c>
      <c r="D27" s="6">
        <v>76</v>
      </c>
      <c r="E27" s="6">
        <v>43.4</v>
      </c>
      <c r="F27" s="6">
        <v>62.2</v>
      </c>
      <c r="G27" s="6">
        <v>91.2</v>
      </c>
    </row>
    <row r="28" spans="1:7" x14ac:dyDescent="0.25">
      <c r="A28" s="10">
        <v>5</v>
      </c>
      <c r="B28" s="6">
        <v>21.1</v>
      </c>
      <c r="C28" s="6">
        <v>56.4</v>
      </c>
      <c r="D28" s="6">
        <v>68.400000000000006</v>
      </c>
      <c r="E28" s="6">
        <v>55.7</v>
      </c>
      <c r="F28" s="6">
        <v>77</v>
      </c>
      <c r="G28" s="6">
        <v>85.5</v>
      </c>
    </row>
    <row r="29" spans="1:7" x14ac:dyDescent="0.25">
      <c r="A29" s="10">
        <v>6</v>
      </c>
      <c r="B29" s="6">
        <v>38.1</v>
      </c>
      <c r="C29" s="6">
        <v>54.8</v>
      </c>
      <c r="D29" s="6">
        <v>71</v>
      </c>
      <c r="E29" s="6">
        <v>26.5</v>
      </c>
      <c r="F29" s="6">
        <v>83.7</v>
      </c>
      <c r="G29" s="6">
        <v>93.9</v>
      </c>
    </row>
    <row r="30" spans="1:7" x14ac:dyDescent="0.25">
      <c r="A30" s="10">
        <v>7</v>
      </c>
      <c r="B30" s="6">
        <v>24.2</v>
      </c>
      <c r="C30" s="6">
        <v>48.9</v>
      </c>
      <c r="D30" s="6">
        <v>94.3</v>
      </c>
      <c r="E30" s="6">
        <v>55.3</v>
      </c>
      <c r="F30" s="6">
        <v>61.5</v>
      </c>
      <c r="G30" s="6">
        <v>115.8</v>
      </c>
    </row>
    <row r="31" spans="1:7" x14ac:dyDescent="0.25">
      <c r="A31" s="10">
        <v>8</v>
      </c>
      <c r="B31" s="6">
        <v>34.299999999999997</v>
      </c>
      <c r="C31" s="6">
        <v>64.7</v>
      </c>
      <c r="D31" s="6">
        <v>69.400000000000006</v>
      </c>
      <c r="E31" s="6">
        <v>52.5</v>
      </c>
      <c r="F31" s="6">
        <v>78.599999999999994</v>
      </c>
      <c r="G31" s="6">
        <v>86.3</v>
      </c>
    </row>
    <row r="32" spans="1:7" x14ac:dyDescent="0.25">
      <c r="A32" s="10">
        <v>9</v>
      </c>
      <c r="B32" s="6">
        <v>32.4</v>
      </c>
      <c r="C32" s="6">
        <v>48.9</v>
      </c>
      <c r="D32" s="6">
        <v>80.400000000000006</v>
      </c>
      <c r="E32" s="6">
        <v>40.299999999999997</v>
      </c>
      <c r="F32" s="6">
        <v>67.099999999999994</v>
      </c>
      <c r="G32" s="6">
        <v>97.6</v>
      </c>
    </row>
    <row r="33" spans="1:7" x14ac:dyDescent="0.25">
      <c r="A33" s="10">
        <v>10</v>
      </c>
      <c r="B33" s="6">
        <v>38.799999999999997</v>
      </c>
      <c r="C33" s="6">
        <v>52.4</v>
      </c>
      <c r="D33" s="6">
        <v>91.6</v>
      </c>
      <c r="E33" s="6">
        <v>45.8</v>
      </c>
      <c r="F33" s="6">
        <v>61.8</v>
      </c>
      <c r="G33" s="6">
        <v>85.5</v>
      </c>
    </row>
    <row r="34" spans="1:7" x14ac:dyDescent="0.25">
      <c r="A34" s="10">
        <v>11</v>
      </c>
      <c r="B34" s="6"/>
      <c r="C34" s="6"/>
      <c r="D34" s="6"/>
      <c r="E34" s="6">
        <v>56.4</v>
      </c>
      <c r="F34" s="6">
        <v>80.2</v>
      </c>
      <c r="G34" s="6">
        <v>116.3</v>
      </c>
    </row>
    <row r="35" spans="1:7" x14ac:dyDescent="0.25">
      <c r="A35" s="10">
        <v>12</v>
      </c>
      <c r="B35" s="6"/>
      <c r="C35" s="6"/>
      <c r="D35" s="6"/>
      <c r="E35" s="6">
        <v>58.4</v>
      </c>
      <c r="F35" s="6">
        <v>72.8</v>
      </c>
      <c r="G35" s="6">
        <v>89.6</v>
      </c>
    </row>
    <row r="36" spans="1:7" x14ac:dyDescent="0.25">
      <c r="A36" s="10">
        <v>13</v>
      </c>
      <c r="B36" s="6"/>
      <c r="C36" s="6"/>
      <c r="D36" s="6"/>
      <c r="E36" s="6">
        <v>50.4</v>
      </c>
      <c r="F36" s="6">
        <v>73</v>
      </c>
      <c r="G36" s="6">
        <v>117.1</v>
      </c>
    </row>
    <row r="37" spans="1:7" x14ac:dyDescent="0.25">
      <c r="A37" s="10">
        <v>14</v>
      </c>
      <c r="B37" s="6"/>
      <c r="C37" s="6"/>
      <c r="D37" s="6"/>
      <c r="E37" s="6">
        <v>51.2</v>
      </c>
      <c r="F37" s="6">
        <v>65.2</v>
      </c>
      <c r="G37" s="6">
        <v>86.1</v>
      </c>
    </row>
    <row r="38" spans="1:7" x14ac:dyDescent="0.25">
      <c r="A38" s="10">
        <v>15</v>
      </c>
      <c r="B38" s="6"/>
      <c r="C38" s="6"/>
      <c r="D38" s="6"/>
      <c r="E38" s="6">
        <v>39.1</v>
      </c>
      <c r="F38" s="6">
        <v>78.8</v>
      </c>
      <c r="G38" s="6">
        <v>88.3</v>
      </c>
    </row>
    <row r="39" spans="1:7" x14ac:dyDescent="0.25">
      <c r="A39" s="10">
        <v>16</v>
      </c>
      <c r="B39" s="6"/>
      <c r="C39" s="6"/>
      <c r="D39" s="6"/>
      <c r="E39" s="6">
        <v>56.3</v>
      </c>
      <c r="F39" s="6">
        <v>77.5</v>
      </c>
      <c r="G39" s="6">
        <v>110.3</v>
      </c>
    </row>
    <row r="40" spans="1:7" x14ac:dyDescent="0.25">
      <c r="A40" s="10">
        <v>17</v>
      </c>
      <c r="B40" s="6"/>
      <c r="C40" s="6"/>
      <c r="D40" s="6"/>
      <c r="E40" s="6">
        <v>25</v>
      </c>
      <c r="F40" s="6">
        <v>70.7</v>
      </c>
      <c r="G40" s="6">
        <v>96.4</v>
      </c>
    </row>
    <row r="41" spans="1:7" x14ac:dyDescent="0.25">
      <c r="A41" s="10">
        <v>18</v>
      </c>
      <c r="B41" s="6"/>
      <c r="C41" s="6"/>
      <c r="D41" s="6"/>
      <c r="E41" s="6">
        <v>39</v>
      </c>
      <c r="F41" s="6">
        <v>63.7</v>
      </c>
      <c r="G41" s="6">
        <v>96.4</v>
      </c>
    </row>
    <row r="42" spans="1:7" x14ac:dyDescent="0.25">
      <c r="A42" s="10">
        <v>19</v>
      </c>
      <c r="B42" s="6"/>
      <c r="C42" s="6"/>
      <c r="D42" s="6"/>
      <c r="E42" s="6">
        <v>42.7</v>
      </c>
      <c r="F42" s="6">
        <v>84.8</v>
      </c>
      <c r="G42" s="6">
        <v>117.7</v>
      </c>
    </row>
    <row r="43" spans="1:7" x14ac:dyDescent="0.25">
      <c r="A43" s="10">
        <v>20</v>
      </c>
      <c r="B43" s="6"/>
      <c r="C43" s="6"/>
      <c r="D43" s="6"/>
      <c r="E43" s="6">
        <v>43.6</v>
      </c>
      <c r="F43" s="6">
        <v>61.4</v>
      </c>
      <c r="G43" s="6">
        <v>99.3</v>
      </c>
    </row>
    <row r="44" spans="1:7" x14ac:dyDescent="0.25">
      <c r="A44" s="10">
        <v>21</v>
      </c>
      <c r="B44" s="6"/>
      <c r="C44" s="6"/>
      <c r="D44" s="6"/>
      <c r="E44" s="6">
        <v>43.6</v>
      </c>
      <c r="F44" s="6">
        <v>69.8</v>
      </c>
      <c r="G44" s="6">
        <v>102.9</v>
      </c>
    </row>
    <row r="45" spans="1:7" x14ac:dyDescent="0.25">
      <c r="A45" s="10">
        <v>22</v>
      </c>
      <c r="B45" s="6"/>
      <c r="C45" s="6"/>
      <c r="D45" s="6"/>
      <c r="E45" s="6">
        <v>45.2</v>
      </c>
      <c r="F45" s="6">
        <v>74.400000000000006</v>
      </c>
      <c r="G45" s="6">
        <v>102.3</v>
      </c>
    </row>
    <row r="46" spans="1:7" x14ac:dyDescent="0.25">
      <c r="A46" s="10">
        <v>23</v>
      </c>
      <c r="B46" s="6"/>
      <c r="C46" s="6"/>
      <c r="D46" s="6"/>
      <c r="E46" s="6">
        <v>31.2</v>
      </c>
      <c r="F46" s="6">
        <v>72.599999999999994</v>
      </c>
      <c r="G46" s="6">
        <v>93.5</v>
      </c>
    </row>
    <row r="47" spans="1:7" x14ac:dyDescent="0.25">
      <c r="A47" s="10">
        <v>24</v>
      </c>
      <c r="B47" s="6"/>
      <c r="C47" s="6"/>
      <c r="D47" s="6"/>
      <c r="E47" s="6">
        <v>36.1</v>
      </c>
      <c r="F47" s="6">
        <v>60.6</v>
      </c>
      <c r="G47" s="6">
        <v>93.9</v>
      </c>
    </row>
    <row r="48" spans="1:7" x14ac:dyDescent="0.25">
      <c r="A48" s="10">
        <v>25</v>
      </c>
      <c r="B48" s="6"/>
      <c r="C48" s="6"/>
      <c r="D48" s="6"/>
      <c r="E48" s="6">
        <v>51</v>
      </c>
      <c r="F48" s="6">
        <v>69.5</v>
      </c>
      <c r="G48" s="6">
        <v>89.5</v>
      </c>
    </row>
    <row r="49" spans="1:7" x14ac:dyDescent="0.25">
      <c r="A49" s="10">
        <v>26</v>
      </c>
      <c r="B49" s="6"/>
      <c r="C49" s="13"/>
      <c r="D49" s="6"/>
      <c r="E49" s="6">
        <v>42.6</v>
      </c>
      <c r="F49" s="6">
        <v>60.3</v>
      </c>
      <c r="G49" s="6">
        <v>116.9</v>
      </c>
    </row>
    <row r="50" spans="1:7" x14ac:dyDescent="0.25">
      <c r="A50" s="10">
        <v>27</v>
      </c>
      <c r="B50" s="6"/>
      <c r="C50" s="13"/>
      <c r="D50" s="6"/>
      <c r="E50" s="6">
        <v>43.9</v>
      </c>
      <c r="F50" s="6">
        <v>70.3</v>
      </c>
      <c r="G50" s="6">
        <v>107.5</v>
      </c>
    </row>
    <row r="51" spans="1:7" x14ac:dyDescent="0.25">
      <c r="A51" s="10">
        <v>28</v>
      </c>
      <c r="B51" s="6"/>
      <c r="C51" s="14"/>
      <c r="D51" s="6"/>
      <c r="E51" s="6">
        <v>57.7</v>
      </c>
      <c r="F51" s="6">
        <v>76.7</v>
      </c>
      <c r="G51" s="6">
        <v>108.1</v>
      </c>
    </row>
    <row r="52" spans="1:7" ht="14.5" thickBot="1" x14ac:dyDescent="0.3">
      <c r="A52" s="11">
        <v>29</v>
      </c>
      <c r="B52" s="15"/>
      <c r="C52" s="15"/>
      <c r="D52" s="12"/>
      <c r="E52" s="6">
        <v>45.8</v>
      </c>
      <c r="F52" s="6">
        <v>69.3</v>
      </c>
      <c r="G52" s="6">
        <v>92.7</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23.9</v>
      </c>
      <c r="C56" s="6">
        <v>61.6</v>
      </c>
      <c r="D56" s="6">
        <v>73.400000000000006</v>
      </c>
      <c r="E56" s="6">
        <v>29.6</v>
      </c>
      <c r="F56" s="6">
        <v>81.400000000000006</v>
      </c>
      <c r="G56" s="6">
        <v>105.1</v>
      </c>
    </row>
    <row r="57" spans="1:7" x14ac:dyDescent="0.25">
      <c r="A57" s="10">
        <v>2</v>
      </c>
      <c r="B57" s="6">
        <v>22.1</v>
      </c>
      <c r="C57" s="6">
        <v>53.9</v>
      </c>
      <c r="D57" s="6">
        <v>87.6</v>
      </c>
      <c r="E57" s="6">
        <v>47.7</v>
      </c>
      <c r="F57" s="6">
        <v>80.900000000000006</v>
      </c>
      <c r="G57" s="6">
        <v>99.8</v>
      </c>
    </row>
    <row r="58" spans="1:7" x14ac:dyDescent="0.25">
      <c r="A58" s="10">
        <v>3</v>
      </c>
      <c r="B58" s="6">
        <v>37.700000000000003</v>
      </c>
      <c r="C58" s="6">
        <v>61.2</v>
      </c>
      <c r="D58" s="6">
        <v>76.7</v>
      </c>
      <c r="E58" s="6">
        <v>27.8</v>
      </c>
      <c r="F58" s="6">
        <v>70.099999999999994</v>
      </c>
      <c r="G58" s="6">
        <v>96.9</v>
      </c>
    </row>
    <row r="59" spans="1:7" x14ac:dyDescent="0.25">
      <c r="A59" s="10">
        <v>4</v>
      </c>
      <c r="B59" s="6">
        <v>35.200000000000003</v>
      </c>
      <c r="C59" s="6">
        <v>50.3</v>
      </c>
      <c r="D59" s="6">
        <v>98.2</v>
      </c>
      <c r="E59" s="6">
        <v>46</v>
      </c>
      <c r="F59" s="6">
        <v>63.2</v>
      </c>
      <c r="G59" s="6">
        <v>88.1</v>
      </c>
    </row>
    <row r="60" spans="1:7" x14ac:dyDescent="0.25">
      <c r="A60" s="10">
        <v>5</v>
      </c>
      <c r="B60" s="6">
        <v>26.2</v>
      </c>
      <c r="C60" s="6">
        <v>59.4</v>
      </c>
      <c r="D60" s="6">
        <v>96.6</v>
      </c>
      <c r="E60" s="6">
        <v>39.200000000000003</v>
      </c>
      <c r="F60" s="6">
        <v>83.2</v>
      </c>
      <c r="G60" s="6">
        <v>96.4</v>
      </c>
    </row>
    <row r="61" spans="1:7" x14ac:dyDescent="0.25">
      <c r="A61" s="10">
        <v>6</v>
      </c>
      <c r="B61" s="6">
        <v>35.799999999999997</v>
      </c>
      <c r="C61" s="6">
        <v>49.1</v>
      </c>
      <c r="D61" s="6">
        <v>86.5</v>
      </c>
      <c r="E61" s="6">
        <v>37.299999999999997</v>
      </c>
      <c r="F61" s="6">
        <v>61.3</v>
      </c>
      <c r="G61" s="6">
        <v>96.1</v>
      </c>
    </row>
    <row r="62" spans="1:7" x14ac:dyDescent="0.25">
      <c r="A62" s="10">
        <v>7</v>
      </c>
      <c r="B62" s="6">
        <v>41.4</v>
      </c>
      <c r="C62" s="6">
        <v>49.1</v>
      </c>
      <c r="D62" s="6">
        <v>109</v>
      </c>
      <c r="E62" s="6">
        <v>40.299999999999997</v>
      </c>
      <c r="F62" s="6">
        <v>78.099999999999994</v>
      </c>
      <c r="G62" s="6">
        <v>113.4</v>
      </c>
    </row>
    <row r="63" spans="1:7" x14ac:dyDescent="0.25">
      <c r="A63" s="10">
        <v>8</v>
      </c>
      <c r="B63" s="6">
        <v>39.299999999999997</v>
      </c>
      <c r="C63" s="6">
        <v>58.2</v>
      </c>
      <c r="D63" s="6">
        <v>86.2</v>
      </c>
      <c r="E63" s="6"/>
      <c r="F63" s="6"/>
      <c r="G63" s="6"/>
    </row>
    <row r="64" spans="1:7" x14ac:dyDescent="0.25">
      <c r="A64" s="10">
        <v>9</v>
      </c>
      <c r="B64" s="6">
        <v>31</v>
      </c>
      <c r="C64" s="6">
        <v>45.3</v>
      </c>
      <c r="D64" s="6">
        <v>91.7</v>
      </c>
      <c r="E64" s="6"/>
      <c r="F64" s="6"/>
      <c r="G64" s="6"/>
    </row>
    <row r="65" spans="1:7" x14ac:dyDescent="0.25">
      <c r="A65" s="10">
        <v>10</v>
      </c>
      <c r="B65" s="6">
        <v>22.7</v>
      </c>
      <c r="C65" s="6">
        <v>45.2</v>
      </c>
      <c r="D65" s="6">
        <v>103.1</v>
      </c>
      <c r="E65" s="6"/>
      <c r="F65" s="6"/>
      <c r="G65" s="6"/>
    </row>
    <row r="66" spans="1:7" x14ac:dyDescent="0.25">
      <c r="A66" s="10">
        <v>11</v>
      </c>
      <c r="B66" s="6">
        <v>25.4</v>
      </c>
      <c r="C66" s="6">
        <v>49.8</v>
      </c>
      <c r="D66" s="6">
        <v>94.6</v>
      </c>
      <c r="E66" s="6"/>
      <c r="F66" s="6"/>
      <c r="G66" s="6"/>
    </row>
    <row r="67" spans="1:7" ht="14.5" thickBot="1" x14ac:dyDescent="0.3">
      <c r="A67" s="11">
        <v>12</v>
      </c>
      <c r="B67" s="6">
        <v>44.2</v>
      </c>
      <c r="C67" s="6">
        <v>47.1</v>
      </c>
      <c r="D67" s="6">
        <v>101.3</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34.6</v>
      </c>
      <c r="C71" s="6">
        <v>55.5</v>
      </c>
      <c r="D71" s="6">
        <v>89.1</v>
      </c>
      <c r="E71" s="6"/>
      <c r="F71" s="6"/>
      <c r="G71" s="6"/>
    </row>
    <row r="72" spans="1:7" x14ac:dyDescent="0.25">
      <c r="A72" s="10">
        <v>2</v>
      </c>
      <c r="B72" s="6">
        <v>29.3</v>
      </c>
      <c r="C72" s="6">
        <v>52.3</v>
      </c>
      <c r="D72" s="6">
        <v>104.9</v>
      </c>
      <c r="E72" s="5"/>
      <c r="F72" s="5"/>
      <c r="G72" s="6"/>
    </row>
    <row r="73" spans="1:7" x14ac:dyDescent="0.25">
      <c r="A73" s="10">
        <v>3</v>
      </c>
      <c r="B73" s="6">
        <v>34.6</v>
      </c>
      <c r="C73" s="6">
        <v>48.4</v>
      </c>
      <c r="D73" s="6">
        <v>105.8</v>
      </c>
      <c r="E73" s="5"/>
      <c r="F73" s="5"/>
      <c r="G73" s="5"/>
    </row>
    <row r="74" spans="1:7" x14ac:dyDescent="0.25">
      <c r="A74" s="10">
        <v>4</v>
      </c>
      <c r="B74" s="6">
        <v>31.3</v>
      </c>
      <c r="C74" s="6">
        <v>54.9</v>
      </c>
      <c r="D74" s="6">
        <v>99.2</v>
      </c>
      <c r="E74" s="5"/>
      <c r="F74" s="5"/>
      <c r="G74" s="5"/>
    </row>
    <row r="75" spans="1:7" x14ac:dyDescent="0.25">
      <c r="A75" s="10">
        <v>5</v>
      </c>
      <c r="B75" s="6">
        <v>36.9</v>
      </c>
      <c r="C75" s="6">
        <v>48.4</v>
      </c>
      <c r="D75" s="6">
        <v>77.099999999999994</v>
      </c>
      <c r="E75" s="5"/>
      <c r="F75" s="5"/>
      <c r="G75" s="5"/>
    </row>
    <row r="76" spans="1:7" x14ac:dyDescent="0.25">
      <c r="A76" s="10">
        <v>6</v>
      </c>
      <c r="B76" s="6">
        <v>28.2</v>
      </c>
      <c r="C76" s="6">
        <v>46.3</v>
      </c>
      <c r="D76" s="6">
        <v>78.099999999999994</v>
      </c>
      <c r="E76" s="5"/>
      <c r="F76" s="5"/>
      <c r="G76" s="5"/>
    </row>
    <row r="77" spans="1:7" x14ac:dyDescent="0.25">
      <c r="A77" s="10">
        <v>7</v>
      </c>
      <c r="B77" s="6">
        <v>37.5</v>
      </c>
      <c r="C77" s="6">
        <v>52.6</v>
      </c>
      <c r="D77" s="6">
        <v>95.6</v>
      </c>
      <c r="E77" s="5"/>
      <c r="F77" s="5"/>
      <c r="G77" s="5"/>
    </row>
    <row r="78" spans="1:7" x14ac:dyDescent="0.25">
      <c r="A78" s="10">
        <v>8</v>
      </c>
      <c r="B78" s="6">
        <v>25.5</v>
      </c>
      <c r="C78" s="6">
        <v>62.5</v>
      </c>
      <c r="D78" s="6">
        <v>88.3</v>
      </c>
      <c r="E78" s="5"/>
      <c r="F78" s="5"/>
      <c r="G78" s="5"/>
    </row>
    <row r="79" spans="1:7" x14ac:dyDescent="0.25">
      <c r="A79" s="10">
        <v>9</v>
      </c>
      <c r="B79" s="6">
        <v>43.1</v>
      </c>
      <c r="C79" s="6">
        <v>48.1</v>
      </c>
      <c r="D79" s="6">
        <v>98.5</v>
      </c>
      <c r="E79" s="5"/>
      <c r="F79" s="5"/>
      <c r="G79" s="5"/>
    </row>
    <row r="80" spans="1:7" x14ac:dyDescent="0.25">
      <c r="A80" s="10">
        <v>10</v>
      </c>
      <c r="B80" s="6">
        <v>41.3</v>
      </c>
      <c r="C80" s="6">
        <v>48.8</v>
      </c>
      <c r="D80" s="6">
        <v>66.8</v>
      </c>
      <c r="E80" s="5"/>
      <c r="F80" s="5"/>
      <c r="G80" s="5"/>
    </row>
    <row r="81" spans="1:7" x14ac:dyDescent="0.25">
      <c r="A81" s="10">
        <v>11</v>
      </c>
      <c r="B81" s="6">
        <v>34.9</v>
      </c>
      <c r="C81" s="6">
        <v>55.5</v>
      </c>
      <c r="D81" s="6">
        <v>106.1</v>
      </c>
      <c r="E81" s="5"/>
      <c r="F81" s="5"/>
      <c r="G81" s="5"/>
    </row>
    <row r="82" spans="1:7" x14ac:dyDescent="0.25">
      <c r="A82" s="10">
        <v>12</v>
      </c>
      <c r="B82" s="6">
        <v>44.9</v>
      </c>
      <c r="C82" s="6">
        <v>46.6</v>
      </c>
      <c r="D82" s="6">
        <v>80.5</v>
      </c>
      <c r="E82" s="5"/>
      <c r="F82" s="5"/>
      <c r="G82" s="5"/>
    </row>
    <row r="83" spans="1:7" x14ac:dyDescent="0.25">
      <c r="A83" s="10">
        <v>13</v>
      </c>
      <c r="B83" s="6">
        <v>25.8</v>
      </c>
      <c r="C83" s="6">
        <v>54.6</v>
      </c>
      <c r="D83" s="6">
        <v>78.5</v>
      </c>
      <c r="E83" s="5"/>
      <c r="F83" s="5"/>
      <c r="G83" s="5"/>
    </row>
    <row r="84" spans="1:7" x14ac:dyDescent="0.25">
      <c r="A84" s="10">
        <v>14</v>
      </c>
      <c r="B84" s="6">
        <v>44.4</v>
      </c>
      <c r="C84" s="6">
        <v>58.3</v>
      </c>
      <c r="D84" s="6">
        <v>78.3</v>
      </c>
      <c r="E84" s="5"/>
      <c r="F84" s="5"/>
      <c r="G84" s="5"/>
    </row>
    <row r="85" spans="1:7" x14ac:dyDescent="0.25">
      <c r="A85" s="10">
        <v>15</v>
      </c>
      <c r="B85" s="6">
        <v>35.9</v>
      </c>
      <c r="C85" s="6">
        <v>53.5</v>
      </c>
      <c r="D85" s="6">
        <v>86</v>
      </c>
      <c r="E85" s="5"/>
      <c r="F85" s="5"/>
      <c r="G85" s="5"/>
    </row>
    <row r="86" spans="1:7" x14ac:dyDescent="0.25">
      <c r="A86" s="10">
        <v>16</v>
      </c>
      <c r="B86" s="6">
        <v>24</v>
      </c>
      <c r="C86" s="6">
        <v>53.1</v>
      </c>
      <c r="D86" s="6">
        <v>72</v>
      </c>
      <c r="E86" s="5"/>
      <c r="F86" s="5"/>
      <c r="G86" s="5"/>
    </row>
    <row r="87" spans="1:7" x14ac:dyDescent="0.25">
      <c r="A87" s="10">
        <v>17</v>
      </c>
      <c r="B87" s="6">
        <v>36.5</v>
      </c>
      <c r="C87" s="6">
        <v>58.5</v>
      </c>
      <c r="D87" s="6">
        <v>73.2</v>
      </c>
      <c r="E87" s="5"/>
      <c r="F87" s="5"/>
      <c r="G87" s="5"/>
    </row>
    <row r="88" spans="1:7" x14ac:dyDescent="0.25">
      <c r="A88" s="10">
        <v>18</v>
      </c>
      <c r="B88" s="6">
        <v>37.799999999999997</v>
      </c>
      <c r="C88" s="6">
        <v>58</v>
      </c>
      <c r="D88" s="6">
        <v>90.7</v>
      </c>
      <c r="E88" s="5"/>
      <c r="F88" s="5"/>
      <c r="G88" s="5"/>
    </row>
    <row r="89" spans="1:7" x14ac:dyDescent="0.25">
      <c r="A89" s="10">
        <v>19</v>
      </c>
      <c r="B89" s="6">
        <v>23.3</v>
      </c>
      <c r="C89" s="6">
        <v>53</v>
      </c>
      <c r="D89" s="6">
        <v>96.8</v>
      </c>
      <c r="E89" s="5"/>
      <c r="F89" s="5"/>
      <c r="G89" s="5"/>
    </row>
    <row r="90" spans="1:7" x14ac:dyDescent="0.25">
      <c r="A90" s="10">
        <v>20</v>
      </c>
      <c r="B90" s="6">
        <v>32.200000000000003</v>
      </c>
      <c r="C90" s="6">
        <v>63.2</v>
      </c>
      <c r="D90" s="6">
        <v>107.2</v>
      </c>
      <c r="E90" s="5"/>
      <c r="F90" s="5"/>
      <c r="G90" s="5"/>
    </row>
    <row r="91" spans="1:7" x14ac:dyDescent="0.25">
      <c r="A91" s="10">
        <v>21</v>
      </c>
      <c r="B91" s="6">
        <v>34.6</v>
      </c>
      <c r="C91" s="6">
        <v>55.5</v>
      </c>
      <c r="D91" s="6">
        <v>75.599999999999994</v>
      </c>
      <c r="E91" s="5"/>
      <c r="F91" s="5"/>
      <c r="G91" s="5"/>
    </row>
    <row r="92" spans="1:7" x14ac:dyDescent="0.25">
      <c r="A92" s="10">
        <v>22</v>
      </c>
      <c r="B92" s="6">
        <v>40.9</v>
      </c>
      <c r="C92" s="6">
        <v>61.1</v>
      </c>
      <c r="D92" s="6">
        <v>109.6</v>
      </c>
      <c r="E92" s="5"/>
      <c r="F92" s="5"/>
      <c r="G92" s="5"/>
    </row>
    <row r="93" spans="1:7" x14ac:dyDescent="0.25">
      <c r="A93" s="10">
        <v>23</v>
      </c>
      <c r="B93" s="6">
        <v>31.8</v>
      </c>
      <c r="C93" s="6">
        <v>52.6</v>
      </c>
      <c r="D93" s="6">
        <v>106.6</v>
      </c>
      <c r="E93" s="5"/>
      <c r="F93" s="5"/>
      <c r="G93" s="5"/>
    </row>
    <row r="94" spans="1:7" x14ac:dyDescent="0.25">
      <c r="A94" s="10">
        <v>24</v>
      </c>
      <c r="B94" s="6">
        <v>22.7</v>
      </c>
      <c r="C94" s="6">
        <v>52</v>
      </c>
      <c r="D94" s="6">
        <v>88.1</v>
      </c>
      <c r="E94" s="5"/>
      <c r="F94" s="5"/>
      <c r="G94" s="5"/>
    </row>
    <row r="95" spans="1:7" x14ac:dyDescent="0.25">
      <c r="A95" s="10">
        <v>25</v>
      </c>
      <c r="B95" s="6">
        <v>24.6</v>
      </c>
      <c r="C95" s="6">
        <v>60.2</v>
      </c>
      <c r="D95" s="6">
        <v>103.4</v>
      </c>
      <c r="E95" s="5"/>
      <c r="F95" s="5"/>
      <c r="G95" s="5"/>
    </row>
    <row r="96" spans="1:7" x14ac:dyDescent="0.25">
      <c r="A96" s="10">
        <v>26</v>
      </c>
      <c r="B96" s="6">
        <v>40.700000000000003</v>
      </c>
      <c r="C96" s="6">
        <v>64.8</v>
      </c>
      <c r="D96" s="6">
        <v>69.3</v>
      </c>
      <c r="E96" s="14"/>
      <c r="F96" s="14"/>
      <c r="G96" s="14"/>
    </row>
    <row r="97" spans="1:7" x14ac:dyDescent="0.25">
      <c r="A97" s="10">
        <v>27</v>
      </c>
      <c r="B97" s="6">
        <v>21.2</v>
      </c>
      <c r="C97" s="6">
        <v>58.4</v>
      </c>
      <c r="D97" s="6">
        <v>68</v>
      </c>
      <c r="E97" s="14"/>
      <c r="F97" s="14"/>
      <c r="G97" s="14"/>
    </row>
    <row r="98" spans="1:7" x14ac:dyDescent="0.25">
      <c r="A98" s="10">
        <v>28</v>
      </c>
      <c r="B98" s="6">
        <v>26.9</v>
      </c>
      <c r="C98" s="6">
        <v>46.6</v>
      </c>
      <c r="D98" s="6">
        <v>88.6</v>
      </c>
      <c r="E98" s="14"/>
      <c r="F98" s="14"/>
      <c r="G98" s="14"/>
    </row>
    <row r="99" spans="1:7" x14ac:dyDescent="0.25">
      <c r="A99" s="10">
        <v>29</v>
      </c>
      <c r="B99" s="6">
        <v>20.6</v>
      </c>
      <c r="C99" s="6">
        <v>59</v>
      </c>
      <c r="D99" s="6">
        <v>99.1</v>
      </c>
      <c r="E99" s="5"/>
      <c r="F99" s="5"/>
      <c r="G99" s="5"/>
    </row>
    <row r="100" spans="1:7" x14ac:dyDescent="0.25">
      <c r="A100" s="10">
        <v>30</v>
      </c>
      <c r="B100" s="6">
        <v>25.6</v>
      </c>
      <c r="C100" s="6">
        <v>52</v>
      </c>
      <c r="D100" s="6">
        <v>105.9</v>
      </c>
      <c r="E100" s="1"/>
      <c r="F100" s="1"/>
      <c r="G100" s="1"/>
    </row>
    <row r="101" spans="1:7" x14ac:dyDescent="0.25">
      <c r="A101" s="10">
        <v>31</v>
      </c>
      <c r="B101" s="6">
        <v>23.8</v>
      </c>
      <c r="C101" s="6">
        <v>64.8</v>
      </c>
      <c r="D101" s="6">
        <v>86.5</v>
      </c>
      <c r="E101" s="1"/>
      <c r="F101" s="1"/>
      <c r="G101" s="1"/>
    </row>
    <row r="102" spans="1:7" x14ac:dyDescent="0.25">
      <c r="A102" s="10">
        <v>32</v>
      </c>
      <c r="B102" s="6">
        <v>35</v>
      </c>
      <c r="C102" s="6">
        <v>62.7</v>
      </c>
      <c r="D102" s="6">
        <v>65.900000000000006</v>
      </c>
      <c r="E102" s="1"/>
      <c r="F102" s="1"/>
      <c r="G102" s="1"/>
    </row>
    <row r="103" spans="1:7" x14ac:dyDescent="0.25">
      <c r="A103" s="10">
        <v>33</v>
      </c>
      <c r="B103" s="6">
        <v>29.4</v>
      </c>
      <c r="C103" s="6">
        <v>60</v>
      </c>
      <c r="D103" s="6">
        <v>73.099999999999994</v>
      </c>
      <c r="E103" s="1"/>
      <c r="F103" s="1"/>
      <c r="G103" s="1"/>
    </row>
    <row r="104" spans="1:7" x14ac:dyDescent="0.25">
      <c r="A104" s="10">
        <v>34</v>
      </c>
      <c r="B104" s="6">
        <v>43.5</v>
      </c>
      <c r="C104" s="6">
        <v>45.1</v>
      </c>
      <c r="D104" s="6">
        <v>89.6</v>
      </c>
      <c r="E104" s="1"/>
      <c r="F104" s="1"/>
      <c r="G104" s="1"/>
    </row>
    <row r="105" spans="1:7" x14ac:dyDescent="0.25">
      <c r="A105" s="10">
        <v>35</v>
      </c>
      <c r="B105" s="6">
        <v>24.8</v>
      </c>
      <c r="C105" s="6">
        <v>62.8</v>
      </c>
      <c r="D105" s="6">
        <v>102.9</v>
      </c>
      <c r="E105" s="1"/>
      <c r="F105" s="1"/>
      <c r="G105" s="1"/>
    </row>
    <row r="106" spans="1:7" x14ac:dyDescent="0.25">
      <c r="A106" s="10">
        <v>36</v>
      </c>
      <c r="B106" s="6">
        <v>42.4</v>
      </c>
      <c r="C106" s="6">
        <v>55.1</v>
      </c>
      <c r="D106" s="6">
        <v>80.8</v>
      </c>
      <c r="E106" s="1"/>
      <c r="F106" s="1"/>
      <c r="G106" s="1"/>
    </row>
    <row r="107" spans="1:7" x14ac:dyDescent="0.25">
      <c r="A107" s="10">
        <v>37</v>
      </c>
      <c r="B107" s="6">
        <v>33.700000000000003</v>
      </c>
      <c r="C107" s="6">
        <v>58.4</v>
      </c>
      <c r="D107" s="6">
        <v>102.6</v>
      </c>
      <c r="E107" s="1"/>
      <c r="F107" s="1"/>
      <c r="G107" s="1"/>
    </row>
    <row r="108" spans="1:7" x14ac:dyDescent="0.25">
      <c r="A108" s="10">
        <v>38</v>
      </c>
      <c r="B108" s="6">
        <v>21.3</v>
      </c>
      <c r="C108" s="6">
        <v>55.9</v>
      </c>
      <c r="D108" s="6">
        <v>68.599999999999994</v>
      </c>
      <c r="E108" s="1"/>
      <c r="F108" s="1"/>
      <c r="G108" s="1"/>
    </row>
    <row r="109" spans="1:7" x14ac:dyDescent="0.25">
      <c r="A109" s="10">
        <v>39</v>
      </c>
      <c r="B109" s="6">
        <v>40.4</v>
      </c>
      <c r="C109" s="6">
        <v>54.1</v>
      </c>
      <c r="D109" s="6">
        <v>104.7</v>
      </c>
      <c r="E109" s="1"/>
      <c r="F109" s="1"/>
      <c r="G109" s="1"/>
    </row>
    <row r="110" spans="1:7" x14ac:dyDescent="0.25">
      <c r="A110" s="10">
        <v>40</v>
      </c>
      <c r="B110" s="6">
        <v>26.8</v>
      </c>
      <c r="C110" s="6">
        <v>60.8</v>
      </c>
      <c r="D110" s="6">
        <v>71.3</v>
      </c>
      <c r="E110" s="1"/>
      <c r="F110" s="1"/>
      <c r="G110" s="1"/>
    </row>
    <row r="111" spans="1:7" x14ac:dyDescent="0.25">
      <c r="A111" s="10">
        <v>41</v>
      </c>
      <c r="B111" s="6">
        <v>33.1</v>
      </c>
      <c r="C111" s="6">
        <v>50.9</v>
      </c>
      <c r="D111" s="6">
        <v>106.4</v>
      </c>
      <c r="E111" s="1"/>
      <c r="F111" s="1"/>
      <c r="G111" s="1"/>
    </row>
    <row r="112" spans="1:7" x14ac:dyDescent="0.25">
      <c r="A112" s="10">
        <v>42</v>
      </c>
      <c r="B112" s="6">
        <v>23</v>
      </c>
      <c r="C112" s="6">
        <v>56.2</v>
      </c>
      <c r="D112" s="6">
        <v>102.1</v>
      </c>
      <c r="E112" s="1"/>
      <c r="F112" s="1"/>
      <c r="G112" s="1"/>
    </row>
    <row r="113" spans="1:7" x14ac:dyDescent="0.25">
      <c r="A113" s="10">
        <v>43</v>
      </c>
      <c r="B113" s="6">
        <v>23.5</v>
      </c>
      <c r="C113" s="6">
        <v>54.2</v>
      </c>
      <c r="D113" s="6">
        <v>84.5</v>
      </c>
      <c r="E113" s="1"/>
      <c r="F113" s="1"/>
      <c r="G113" s="1"/>
    </row>
    <row r="114" spans="1:7" x14ac:dyDescent="0.25">
      <c r="A114" s="10">
        <v>44</v>
      </c>
      <c r="B114" s="6">
        <v>32.4</v>
      </c>
      <c r="C114" s="6">
        <v>62.9</v>
      </c>
      <c r="D114" s="6">
        <v>82.4</v>
      </c>
      <c r="E114" s="1"/>
      <c r="F114" s="1"/>
      <c r="G114" s="1"/>
    </row>
    <row r="115" spans="1:7" x14ac:dyDescent="0.25">
      <c r="A115" s="10">
        <v>45</v>
      </c>
      <c r="B115" s="6">
        <v>26.6</v>
      </c>
      <c r="C115" s="6">
        <v>52.2</v>
      </c>
      <c r="D115" s="6">
        <v>73</v>
      </c>
      <c r="E115" s="1"/>
      <c r="F115" s="1"/>
      <c r="G115" s="1"/>
    </row>
    <row r="116" spans="1:7" x14ac:dyDescent="0.25">
      <c r="A116" s="10">
        <v>46</v>
      </c>
      <c r="B116" s="6">
        <v>35.700000000000003</v>
      </c>
      <c r="C116" s="6">
        <v>53.1</v>
      </c>
      <c r="D116" s="6">
        <v>80.900000000000006</v>
      </c>
      <c r="E116" s="1"/>
      <c r="F116" s="1"/>
      <c r="G116" s="1"/>
    </row>
    <row r="117" spans="1:7" x14ac:dyDescent="0.25">
      <c r="A117" s="10">
        <v>47</v>
      </c>
      <c r="B117" s="6">
        <v>38.299999999999997</v>
      </c>
      <c r="C117" s="6">
        <v>51.9</v>
      </c>
      <c r="D117" s="6">
        <v>92.7</v>
      </c>
      <c r="E117" s="1"/>
      <c r="F117" s="1"/>
      <c r="G117" s="1"/>
    </row>
    <row r="118" spans="1:7" x14ac:dyDescent="0.25">
      <c r="A118" s="10">
        <v>48</v>
      </c>
      <c r="B118" s="6">
        <v>28.6</v>
      </c>
      <c r="C118" s="6">
        <v>58.3</v>
      </c>
      <c r="D118" s="6">
        <v>71.400000000000006</v>
      </c>
      <c r="E118" s="1"/>
      <c r="F118" s="1"/>
      <c r="G118" s="1"/>
    </row>
    <row r="119" spans="1:7" x14ac:dyDescent="0.25">
      <c r="A119" s="10">
        <v>49</v>
      </c>
      <c r="B119" s="6">
        <v>41</v>
      </c>
      <c r="C119" s="6">
        <v>45.1</v>
      </c>
      <c r="D119" s="6">
        <v>93.6</v>
      </c>
      <c r="E119" s="1"/>
      <c r="F119" s="1"/>
      <c r="G119" s="1"/>
    </row>
    <row r="120" spans="1:7" x14ac:dyDescent="0.25">
      <c r="A120" s="10">
        <v>50</v>
      </c>
      <c r="B120" s="6">
        <v>21.1</v>
      </c>
      <c r="C120" s="6">
        <v>63.9</v>
      </c>
      <c r="D120" s="6">
        <v>69.7</v>
      </c>
      <c r="E120" s="1"/>
      <c r="F120" s="1"/>
      <c r="G120" s="1"/>
    </row>
    <row r="121" spans="1:7" x14ac:dyDescent="0.25">
      <c r="A121" s="10">
        <v>51</v>
      </c>
      <c r="B121" s="6">
        <v>24.3</v>
      </c>
      <c r="C121" s="6">
        <v>62.6</v>
      </c>
      <c r="D121" s="6">
        <v>75.3</v>
      </c>
      <c r="E121" s="1"/>
      <c r="F121" s="1"/>
      <c r="G121" s="1"/>
    </row>
    <row r="122" spans="1:7" x14ac:dyDescent="0.25">
      <c r="A122" s="10">
        <v>52</v>
      </c>
      <c r="B122" s="6">
        <v>22.6</v>
      </c>
      <c r="C122" s="6">
        <v>49.4</v>
      </c>
      <c r="D122" s="6">
        <v>80.400000000000006</v>
      </c>
      <c r="E122" s="1"/>
      <c r="F122" s="1"/>
      <c r="G122" s="1"/>
    </row>
    <row r="123" spans="1:7" x14ac:dyDescent="0.25">
      <c r="A123" s="10">
        <v>53</v>
      </c>
      <c r="B123" s="6">
        <v>36.6</v>
      </c>
      <c r="C123" s="6">
        <v>61.6</v>
      </c>
      <c r="D123" s="6">
        <v>101.6</v>
      </c>
      <c r="E123" s="1"/>
      <c r="F123" s="1"/>
      <c r="G123" s="1"/>
    </row>
    <row r="124" spans="1:7" x14ac:dyDescent="0.25">
      <c r="A124" s="10">
        <v>54</v>
      </c>
      <c r="B124" s="6">
        <v>43.2</v>
      </c>
      <c r="C124" s="6">
        <v>50.2</v>
      </c>
      <c r="D124" s="6">
        <v>74.8</v>
      </c>
      <c r="E124" s="1"/>
      <c r="F124" s="1"/>
      <c r="G124" s="1"/>
    </row>
    <row r="125" spans="1:7" x14ac:dyDescent="0.25">
      <c r="A125" s="10">
        <v>55</v>
      </c>
      <c r="B125" s="6">
        <v>35.6</v>
      </c>
      <c r="C125" s="6">
        <v>47.9</v>
      </c>
      <c r="D125" s="6">
        <v>71.2</v>
      </c>
      <c r="E125" s="1"/>
      <c r="F125" s="1"/>
      <c r="G125" s="1"/>
    </row>
    <row r="126" spans="1:7" x14ac:dyDescent="0.25">
      <c r="A126" s="10">
        <v>56</v>
      </c>
      <c r="B126" s="6">
        <v>28.9</v>
      </c>
      <c r="C126" s="6">
        <v>54.7</v>
      </c>
      <c r="D126" s="6">
        <v>91.1</v>
      </c>
      <c r="E126" s="1"/>
      <c r="F126" s="1"/>
      <c r="G126" s="1"/>
    </row>
    <row r="127" spans="1:7" x14ac:dyDescent="0.25">
      <c r="A127" s="10">
        <v>57</v>
      </c>
      <c r="B127" s="6">
        <v>26.8</v>
      </c>
      <c r="C127" s="6">
        <v>61.2</v>
      </c>
      <c r="D127" s="6">
        <v>68.8</v>
      </c>
      <c r="E127" s="1"/>
      <c r="F127" s="1"/>
      <c r="G127" s="1"/>
    </row>
    <row r="128" spans="1:7" x14ac:dyDescent="0.25">
      <c r="A128" s="10">
        <v>58</v>
      </c>
      <c r="B128" s="6">
        <v>23.5</v>
      </c>
      <c r="C128" s="6">
        <v>51.7</v>
      </c>
      <c r="D128" s="6">
        <v>99.3</v>
      </c>
      <c r="E128" s="1"/>
      <c r="F128" s="1"/>
      <c r="G128" s="1"/>
    </row>
    <row r="129" spans="1:7" x14ac:dyDescent="0.25">
      <c r="A129" s="10">
        <v>59</v>
      </c>
      <c r="B129" s="6">
        <v>34.200000000000003</v>
      </c>
      <c r="C129" s="6">
        <v>45.4</v>
      </c>
      <c r="D129" s="6">
        <v>106.3</v>
      </c>
      <c r="E129" s="1"/>
      <c r="F129" s="1"/>
      <c r="G129" s="1"/>
    </row>
    <row r="130" spans="1:7" x14ac:dyDescent="0.25">
      <c r="A130" s="10">
        <v>60</v>
      </c>
      <c r="B130" s="6">
        <v>28.7</v>
      </c>
      <c r="C130" s="6">
        <v>54.6</v>
      </c>
      <c r="D130" s="6">
        <v>73.5</v>
      </c>
      <c r="E130" s="1"/>
      <c r="F130" s="1"/>
      <c r="G130" s="1"/>
    </row>
    <row r="131" spans="1:7" x14ac:dyDescent="0.25">
      <c r="A131" s="10">
        <v>61</v>
      </c>
      <c r="B131" s="6">
        <v>35</v>
      </c>
      <c r="C131" s="6">
        <v>64.900000000000006</v>
      </c>
      <c r="D131" s="6">
        <v>74.099999999999994</v>
      </c>
      <c r="E131" s="1"/>
      <c r="F131" s="1"/>
      <c r="G131" s="1"/>
    </row>
    <row r="132" spans="1:7" x14ac:dyDescent="0.25">
      <c r="A132" s="10">
        <v>62</v>
      </c>
      <c r="B132" s="6">
        <v>38.200000000000003</v>
      </c>
      <c r="C132" s="6">
        <v>59.2</v>
      </c>
      <c r="D132" s="6">
        <v>99</v>
      </c>
      <c r="E132" s="1"/>
      <c r="F132" s="1"/>
      <c r="G132" s="1"/>
    </row>
    <row r="133" spans="1:7" ht="14.5" thickBot="1" x14ac:dyDescent="0.3">
      <c r="A133" s="11">
        <v>63</v>
      </c>
      <c r="B133" s="6">
        <v>26.3</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59.1</v>
      </c>
      <c r="C138" s="330">
        <f>ROUNDDOWN(AVERAGE(E5:G20),1)</f>
        <v>72.8</v>
      </c>
      <c r="D138" s="328">
        <f>'2022.01'!D138</f>
        <v>8254</v>
      </c>
      <c r="E138" s="328">
        <f>'[2]NLT-applied'!$C$23</f>
        <v>15971</v>
      </c>
      <c r="F138" s="328">
        <f>B138*D138</f>
        <v>487811.4</v>
      </c>
      <c r="G138" s="328">
        <f>C138*E138</f>
        <v>1162688.8</v>
      </c>
    </row>
    <row r="139" spans="1:7" x14ac:dyDescent="0.25">
      <c r="A139" s="329" t="str">
        <f>A21</f>
        <v>Dongtai Jianggang Swine farm</v>
      </c>
      <c r="B139" s="330">
        <f>ROUNDDOWN(AVERAGE(B24:D33),1)</f>
        <v>57.2</v>
      </c>
      <c r="C139" s="330">
        <f>ROUNDDOWN(AVERAGE(E24:G52),1)</f>
        <v>71.599999999999994</v>
      </c>
      <c r="D139" s="328">
        <f>'2022.01'!D139</f>
        <v>9392</v>
      </c>
      <c r="E139" s="328">
        <f>'[2]NLT-applied'!$E$23</f>
        <v>29471</v>
      </c>
      <c r="F139" s="328">
        <f t="shared" ref="F139:G141" si="0">B139*D139</f>
        <v>537222.40000000002</v>
      </c>
      <c r="G139" s="328">
        <f t="shared" si="0"/>
        <v>2110123.5999999996</v>
      </c>
    </row>
    <row r="140" spans="1:7" x14ac:dyDescent="0.25">
      <c r="A140" s="329" t="str">
        <f>A53</f>
        <v>Sheyang Linhai Swine farm</v>
      </c>
      <c r="B140" s="330">
        <f>ROUNDDOWN(AVERAGE(B56:D67),1)</f>
        <v>58.8</v>
      </c>
      <c r="C140" s="330">
        <f>ROUNDDOWN(AVERAGE(E56:G62),1)</f>
        <v>70.5</v>
      </c>
      <c r="D140" s="328">
        <f>'2022.01'!D140</f>
        <v>12135</v>
      </c>
      <c r="E140" s="328">
        <f>'[2]NLT-applied'!$G$23</f>
        <v>6425</v>
      </c>
      <c r="F140" s="328">
        <f t="shared" si="0"/>
        <v>713538</v>
      </c>
      <c r="G140" s="328">
        <f t="shared" si="0"/>
        <v>452962.5</v>
      </c>
    </row>
    <row r="141" spans="1:7" x14ac:dyDescent="0.25">
      <c r="A141" s="329" t="str">
        <f>A68</f>
        <v>Siyang Nanliuji Swine farm</v>
      </c>
      <c r="B141" s="330">
        <f>ROUNDDOWN(AVERAGE(B71:D133),1)</f>
        <v>57.9</v>
      </c>
      <c r="C141" s="328">
        <f>ROUNDDOWN(AVERAGE(0),1)</f>
        <v>0</v>
      </c>
      <c r="D141" s="328">
        <f>'2022.01'!D141</f>
        <v>64445</v>
      </c>
      <c r="E141" s="328">
        <f>'[3]NLT-applied'!$I$27</f>
        <v>0</v>
      </c>
      <c r="F141" s="328">
        <f t="shared" si="0"/>
        <v>3731365.5</v>
      </c>
      <c r="G141" s="328">
        <f t="shared" si="0"/>
        <v>0</v>
      </c>
    </row>
    <row r="142" spans="1:7" x14ac:dyDescent="0.25">
      <c r="A142" s="504" t="s">
        <v>343</v>
      </c>
      <c r="B142" s="510"/>
      <c r="C142" s="505"/>
      <c r="D142" s="328">
        <f>SUM(D138:D141)</f>
        <v>94226</v>
      </c>
      <c r="E142" s="328">
        <f>SUM(E138:E141)</f>
        <v>51867</v>
      </c>
      <c r="F142" s="328">
        <f>SUM(F138:F141)</f>
        <v>5469937.2999999998</v>
      </c>
      <c r="G142" s="328">
        <f>SUM(G138:G141)</f>
        <v>3725774.8999999994</v>
      </c>
    </row>
    <row r="144" spans="1:7" x14ac:dyDescent="0.25">
      <c r="C144" s="504" t="s">
        <v>344</v>
      </c>
      <c r="D144" s="505"/>
    </row>
    <row r="145" spans="3:4" x14ac:dyDescent="0.25">
      <c r="C145" s="328" t="s">
        <v>341</v>
      </c>
      <c r="D145" s="328" t="s">
        <v>342</v>
      </c>
    </row>
    <row r="146" spans="3:4" x14ac:dyDescent="0.25">
      <c r="C146" s="357">
        <f>ROUNDDOWN(F142/D142,1)</f>
        <v>58</v>
      </c>
      <c r="D146" s="331">
        <f>ROUNDDOWN(G142/E142,1)</f>
        <v>71.8</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292B-77CC-4BB9-8CB8-C416BE95C3FE}">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20.9</v>
      </c>
      <c r="C5" s="6">
        <v>53.2</v>
      </c>
      <c r="D5" s="6">
        <v>74.2</v>
      </c>
      <c r="E5" s="6">
        <v>47.8</v>
      </c>
      <c r="F5" s="6">
        <v>78.8</v>
      </c>
      <c r="G5" s="6">
        <v>94.2</v>
      </c>
    </row>
    <row r="6" spans="1:7" x14ac:dyDescent="0.25">
      <c r="A6" s="10">
        <v>2</v>
      </c>
      <c r="B6" s="6">
        <v>33.5</v>
      </c>
      <c r="C6" s="6">
        <v>57.5</v>
      </c>
      <c r="D6" s="6">
        <v>84.4</v>
      </c>
      <c r="E6" s="6">
        <v>29.5</v>
      </c>
      <c r="F6" s="6">
        <v>67.5</v>
      </c>
      <c r="G6" s="6">
        <v>107.8</v>
      </c>
    </row>
    <row r="7" spans="1:7" x14ac:dyDescent="0.25">
      <c r="A7" s="10">
        <v>3</v>
      </c>
      <c r="B7" s="6">
        <v>37.799999999999997</v>
      </c>
      <c r="C7" s="6">
        <v>62.5</v>
      </c>
      <c r="D7" s="6">
        <v>67.7</v>
      </c>
      <c r="E7" s="6">
        <v>44.2</v>
      </c>
      <c r="F7" s="6">
        <v>64.2</v>
      </c>
      <c r="G7" s="6">
        <v>93</v>
      </c>
    </row>
    <row r="8" spans="1:7" x14ac:dyDescent="0.25">
      <c r="A8" s="10">
        <v>4</v>
      </c>
      <c r="B8" s="6">
        <v>43.1</v>
      </c>
      <c r="C8" s="6">
        <v>56.7</v>
      </c>
      <c r="D8" s="6">
        <v>108.4</v>
      </c>
      <c r="E8" s="6">
        <v>25.3</v>
      </c>
      <c r="F8" s="6">
        <v>83</v>
      </c>
      <c r="G8" s="6">
        <v>89.1</v>
      </c>
    </row>
    <row r="9" spans="1:7" x14ac:dyDescent="0.25">
      <c r="A9" s="10">
        <v>5</v>
      </c>
      <c r="B9" s="6">
        <v>36.4</v>
      </c>
      <c r="C9" s="6">
        <v>50</v>
      </c>
      <c r="D9" s="6">
        <v>81.599999999999994</v>
      </c>
      <c r="E9" s="6">
        <v>25.5</v>
      </c>
      <c r="F9" s="6">
        <v>75.3</v>
      </c>
      <c r="G9" s="6">
        <v>106.9</v>
      </c>
    </row>
    <row r="10" spans="1:7" x14ac:dyDescent="0.25">
      <c r="A10" s="10">
        <v>6</v>
      </c>
      <c r="B10" s="6">
        <v>40.200000000000003</v>
      </c>
      <c r="C10" s="6">
        <v>45.8</v>
      </c>
      <c r="D10" s="6">
        <v>93.7</v>
      </c>
      <c r="E10" s="6">
        <v>31.8</v>
      </c>
      <c r="F10" s="6">
        <v>83.4</v>
      </c>
      <c r="G10" s="6">
        <v>101</v>
      </c>
    </row>
    <row r="11" spans="1:7" x14ac:dyDescent="0.25">
      <c r="A11" s="10">
        <v>7</v>
      </c>
      <c r="B11" s="6">
        <v>29.6</v>
      </c>
      <c r="C11" s="6">
        <v>54.4</v>
      </c>
      <c r="D11" s="6">
        <v>107.7</v>
      </c>
      <c r="E11" s="6">
        <v>46</v>
      </c>
      <c r="F11" s="6">
        <v>77.599999999999994</v>
      </c>
      <c r="G11" s="6">
        <v>103.8</v>
      </c>
    </row>
    <row r="12" spans="1:7" x14ac:dyDescent="0.25">
      <c r="A12" s="10">
        <v>8</v>
      </c>
      <c r="B12" s="6">
        <v>43.9</v>
      </c>
      <c r="C12" s="6">
        <v>56.2</v>
      </c>
      <c r="D12" s="6">
        <v>77.2</v>
      </c>
      <c r="E12" s="6">
        <v>52.7</v>
      </c>
      <c r="F12" s="6">
        <v>66.8</v>
      </c>
      <c r="G12" s="6">
        <v>119.9</v>
      </c>
    </row>
    <row r="13" spans="1:7" x14ac:dyDescent="0.25">
      <c r="A13" s="10">
        <v>9</v>
      </c>
      <c r="B13" s="6">
        <v>27.6</v>
      </c>
      <c r="C13" s="6">
        <v>50.6</v>
      </c>
      <c r="D13" s="6">
        <v>107.1</v>
      </c>
      <c r="E13" s="6">
        <v>36.5</v>
      </c>
      <c r="F13" s="6">
        <v>61.6</v>
      </c>
      <c r="G13" s="6">
        <v>105.7</v>
      </c>
    </row>
    <row r="14" spans="1:7" x14ac:dyDescent="0.25">
      <c r="A14" s="10">
        <v>10</v>
      </c>
      <c r="B14" s="6"/>
      <c r="C14" s="6"/>
      <c r="D14" s="6"/>
      <c r="E14" s="6">
        <v>28.6</v>
      </c>
      <c r="F14" s="6">
        <v>68.8</v>
      </c>
      <c r="G14" s="6">
        <v>96.1</v>
      </c>
    </row>
    <row r="15" spans="1:7" x14ac:dyDescent="0.25">
      <c r="A15" s="10">
        <v>11</v>
      </c>
      <c r="B15" s="6"/>
      <c r="C15" s="6"/>
      <c r="D15" s="6"/>
      <c r="E15" s="6">
        <v>59.2</v>
      </c>
      <c r="F15" s="6">
        <v>64.5</v>
      </c>
      <c r="G15" s="6">
        <v>95.8</v>
      </c>
    </row>
    <row r="16" spans="1:7" x14ac:dyDescent="0.25">
      <c r="A16" s="10">
        <v>12</v>
      </c>
      <c r="B16" s="6"/>
      <c r="C16" s="6"/>
      <c r="D16" s="6"/>
      <c r="E16" s="6">
        <v>55.3</v>
      </c>
      <c r="F16" s="6">
        <v>69.400000000000006</v>
      </c>
      <c r="G16" s="6">
        <v>91.2</v>
      </c>
    </row>
    <row r="17" spans="1:7" x14ac:dyDescent="0.25">
      <c r="A17" s="10">
        <v>13</v>
      </c>
      <c r="B17" s="6"/>
      <c r="C17" s="6"/>
      <c r="D17" s="6"/>
      <c r="E17" s="6">
        <v>25.7</v>
      </c>
      <c r="F17" s="6">
        <v>65.400000000000006</v>
      </c>
      <c r="G17" s="6">
        <v>104.5</v>
      </c>
    </row>
    <row r="18" spans="1:7" x14ac:dyDescent="0.25">
      <c r="A18" s="10">
        <v>14</v>
      </c>
      <c r="B18" s="6"/>
      <c r="C18" s="6"/>
      <c r="D18" s="6"/>
      <c r="E18" s="6">
        <v>28</v>
      </c>
      <c r="F18" s="6">
        <v>68.5</v>
      </c>
      <c r="G18" s="6">
        <v>92.2</v>
      </c>
    </row>
    <row r="19" spans="1:7" x14ac:dyDescent="0.25">
      <c r="A19" s="10">
        <v>15</v>
      </c>
      <c r="B19" s="6"/>
      <c r="C19" s="6"/>
      <c r="D19" s="6"/>
      <c r="E19" s="6">
        <v>54.5</v>
      </c>
      <c r="F19" s="6">
        <v>60.7</v>
      </c>
      <c r="G19" s="6">
        <v>119.5</v>
      </c>
    </row>
    <row r="20" spans="1:7" ht="14.5" thickBot="1" x14ac:dyDescent="0.3">
      <c r="A20" s="11">
        <v>16</v>
      </c>
      <c r="B20" s="12"/>
      <c r="C20" s="12"/>
      <c r="D20" s="12"/>
      <c r="E20" s="6">
        <v>48.5</v>
      </c>
      <c r="F20" s="6">
        <v>74</v>
      </c>
      <c r="G20" s="6">
        <v>89.9</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34.700000000000003</v>
      </c>
      <c r="C24" s="6">
        <v>61.1</v>
      </c>
      <c r="D24" s="6">
        <v>79.599999999999994</v>
      </c>
      <c r="E24" s="6">
        <v>41.5</v>
      </c>
      <c r="F24" s="6">
        <v>77.8</v>
      </c>
      <c r="G24" s="6">
        <v>105.2</v>
      </c>
    </row>
    <row r="25" spans="1:7" x14ac:dyDescent="0.25">
      <c r="A25" s="10">
        <v>2</v>
      </c>
      <c r="B25" s="6">
        <v>34.6</v>
      </c>
      <c r="C25" s="6">
        <v>59.8</v>
      </c>
      <c r="D25" s="6">
        <v>98</v>
      </c>
      <c r="E25" s="6">
        <v>50.7</v>
      </c>
      <c r="F25" s="6">
        <v>72.2</v>
      </c>
      <c r="G25" s="6">
        <v>99.4</v>
      </c>
    </row>
    <row r="26" spans="1:7" x14ac:dyDescent="0.25">
      <c r="A26" s="10">
        <v>3</v>
      </c>
      <c r="B26" s="6">
        <v>44</v>
      </c>
      <c r="C26" s="6">
        <v>49.2</v>
      </c>
      <c r="D26" s="6">
        <v>92.6</v>
      </c>
      <c r="E26" s="6">
        <v>47.4</v>
      </c>
      <c r="F26" s="6">
        <v>83.9</v>
      </c>
      <c r="G26" s="6">
        <v>108.1</v>
      </c>
    </row>
    <row r="27" spans="1:7" x14ac:dyDescent="0.25">
      <c r="A27" s="10">
        <v>4</v>
      </c>
      <c r="B27" s="6">
        <v>37.799999999999997</v>
      </c>
      <c r="C27" s="6">
        <v>60.1</v>
      </c>
      <c r="D27" s="6">
        <v>81.7</v>
      </c>
      <c r="E27" s="6">
        <v>30.1</v>
      </c>
      <c r="F27" s="6">
        <v>64</v>
      </c>
      <c r="G27" s="6">
        <v>115</v>
      </c>
    </row>
    <row r="28" spans="1:7" x14ac:dyDescent="0.25">
      <c r="A28" s="10">
        <v>5</v>
      </c>
      <c r="B28" s="6">
        <v>33.200000000000003</v>
      </c>
      <c r="C28" s="6">
        <v>60</v>
      </c>
      <c r="D28" s="6">
        <v>76.7</v>
      </c>
      <c r="E28" s="6">
        <v>40.5</v>
      </c>
      <c r="F28" s="6">
        <v>68.3</v>
      </c>
      <c r="G28" s="6">
        <v>106.6</v>
      </c>
    </row>
    <row r="29" spans="1:7" x14ac:dyDescent="0.25">
      <c r="A29" s="10">
        <v>6</v>
      </c>
      <c r="B29" s="6">
        <v>31.6</v>
      </c>
      <c r="C29" s="6">
        <v>46.2</v>
      </c>
      <c r="D29" s="6">
        <v>80.400000000000006</v>
      </c>
      <c r="E29" s="6">
        <v>45.2</v>
      </c>
      <c r="F29" s="6">
        <v>82.8</v>
      </c>
      <c r="G29" s="6">
        <v>95.8</v>
      </c>
    </row>
    <row r="30" spans="1:7" x14ac:dyDescent="0.25">
      <c r="A30" s="10">
        <v>7</v>
      </c>
      <c r="B30" s="6">
        <v>31.9</v>
      </c>
      <c r="C30" s="6">
        <v>46.5</v>
      </c>
      <c r="D30" s="6">
        <v>73.599999999999994</v>
      </c>
      <c r="E30" s="6">
        <v>58.9</v>
      </c>
      <c r="F30" s="6">
        <v>68</v>
      </c>
      <c r="G30" s="6">
        <v>114.9</v>
      </c>
    </row>
    <row r="31" spans="1:7" x14ac:dyDescent="0.25">
      <c r="A31" s="10">
        <v>8</v>
      </c>
      <c r="B31" s="6">
        <v>36.799999999999997</v>
      </c>
      <c r="C31" s="6">
        <v>49.7</v>
      </c>
      <c r="D31" s="6">
        <v>74.400000000000006</v>
      </c>
      <c r="E31" s="6">
        <v>32.1</v>
      </c>
      <c r="F31" s="6">
        <v>60.2</v>
      </c>
      <c r="G31" s="6">
        <v>94.7</v>
      </c>
    </row>
    <row r="32" spans="1:7" x14ac:dyDescent="0.25">
      <c r="A32" s="10">
        <v>9</v>
      </c>
      <c r="B32" s="6">
        <v>38</v>
      </c>
      <c r="C32" s="6">
        <v>53.1</v>
      </c>
      <c r="D32" s="6">
        <v>98.1</v>
      </c>
      <c r="E32" s="6">
        <v>57.7</v>
      </c>
      <c r="F32" s="6">
        <v>73.5</v>
      </c>
      <c r="G32" s="6">
        <v>90</v>
      </c>
    </row>
    <row r="33" spans="1:7" x14ac:dyDescent="0.25">
      <c r="A33" s="10">
        <v>10</v>
      </c>
      <c r="B33" s="6">
        <v>36.799999999999997</v>
      </c>
      <c r="C33" s="6">
        <v>60.9</v>
      </c>
      <c r="D33" s="6">
        <v>85.8</v>
      </c>
      <c r="E33" s="6">
        <v>50.9</v>
      </c>
      <c r="F33" s="6">
        <v>71.5</v>
      </c>
      <c r="G33" s="6">
        <v>114.7</v>
      </c>
    </row>
    <row r="34" spans="1:7" x14ac:dyDescent="0.25">
      <c r="A34" s="10">
        <v>11</v>
      </c>
      <c r="B34" s="6"/>
      <c r="C34" s="6"/>
      <c r="D34" s="6"/>
      <c r="E34" s="6">
        <v>34</v>
      </c>
      <c r="F34" s="6">
        <v>70</v>
      </c>
      <c r="G34" s="6">
        <v>119.4</v>
      </c>
    </row>
    <row r="35" spans="1:7" x14ac:dyDescent="0.25">
      <c r="A35" s="10">
        <v>12</v>
      </c>
      <c r="B35" s="6"/>
      <c r="C35" s="6"/>
      <c r="D35" s="6"/>
      <c r="E35" s="6">
        <v>38.700000000000003</v>
      </c>
      <c r="F35" s="6">
        <v>68.900000000000006</v>
      </c>
      <c r="G35" s="6">
        <v>114.6</v>
      </c>
    </row>
    <row r="36" spans="1:7" x14ac:dyDescent="0.25">
      <c r="A36" s="10">
        <v>13</v>
      </c>
      <c r="B36" s="6"/>
      <c r="C36" s="6"/>
      <c r="D36" s="6"/>
      <c r="E36" s="6">
        <v>49.7</v>
      </c>
      <c r="F36" s="6">
        <v>84.2</v>
      </c>
      <c r="G36" s="6">
        <v>100.5</v>
      </c>
    </row>
    <row r="37" spans="1:7" x14ac:dyDescent="0.25">
      <c r="A37" s="10">
        <v>14</v>
      </c>
      <c r="B37" s="6"/>
      <c r="C37" s="6"/>
      <c r="D37" s="6"/>
      <c r="E37" s="6">
        <v>52.6</v>
      </c>
      <c r="F37" s="6">
        <v>82.8</v>
      </c>
      <c r="G37" s="6">
        <v>116.7</v>
      </c>
    </row>
    <row r="38" spans="1:7" x14ac:dyDescent="0.25">
      <c r="A38" s="10">
        <v>15</v>
      </c>
      <c r="B38" s="6"/>
      <c r="C38" s="6"/>
      <c r="D38" s="6"/>
      <c r="E38" s="6">
        <v>43.7</v>
      </c>
      <c r="F38" s="6">
        <v>77.099999999999994</v>
      </c>
      <c r="G38" s="6">
        <v>117.1</v>
      </c>
    </row>
    <row r="39" spans="1:7" x14ac:dyDescent="0.25">
      <c r="A39" s="10">
        <v>16</v>
      </c>
      <c r="B39" s="6"/>
      <c r="C39" s="6"/>
      <c r="D39" s="6"/>
      <c r="E39" s="6">
        <v>57.8</v>
      </c>
      <c r="F39" s="6">
        <v>63.1</v>
      </c>
      <c r="G39" s="6">
        <v>103.6</v>
      </c>
    </row>
    <row r="40" spans="1:7" x14ac:dyDescent="0.25">
      <c r="A40" s="10">
        <v>17</v>
      </c>
      <c r="B40" s="6"/>
      <c r="C40" s="6"/>
      <c r="D40" s="6"/>
      <c r="E40" s="6">
        <v>26.8</v>
      </c>
      <c r="F40" s="6">
        <v>68.8</v>
      </c>
      <c r="G40" s="6">
        <v>107.1</v>
      </c>
    </row>
    <row r="41" spans="1:7" x14ac:dyDescent="0.25">
      <c r="A41" s="10">
        <v>18</v>
      </c>
      <c r="B41" s="6"/>
      <c r="C41" s="6"/>
      <c r="D41" s="6"/>
      <c r="E41" s="6">
        <v>49.6</v>
      </c>
      <c r="F41" s="6">
        <v>75.3</v>
      </c>
      <c r="G41" s="6">
        <v>114.9</v>
      </c>
    </row>
    <row r="42" spans="1:7" x14ac:dyDescent="0.25">
      <c r="A42" s="10">
        <v>19</v>
      </c>
      <c r="B42" s="6"/>
      <c r="C42" s="6"/>
      <c r="D42" s="6"/>
      <c r="E42" s="6">
        <v>49.7</v>
      </c>
      <c r="F42" s="6">
        <v>64.3</v>
      </c>
      <c r="G42" s="6">
        <v>92.8</v>
      </c>
    </row>
    <row r="43" spans="1:7" x14ac:dyDescent="0.25">
      <c r="A43" s="10">
        <v>20</v>
      </c>
      <c r="B43" s="6"/>
      <c r="C43" s="6"/>
      <c r="D43" s="6"/>
      <c r="E43" s="6">
        <v>26.9</v>
      </c>
      <c r="F43" s="6">
        <v>80.8</v>
      </c>
      <c r="G43" s="6">
        <v>97.2</v>
      </c>
    </row>
    <row r="44" spans="1:7" x14ac:dyDescent="0.25">
      <c r="A44" s="10">
        <v>21</v>
      </c>
      <c r="B44" s="6"/>
      <c r="C44" s="6"/>
      <c r="D44" s="6"/>
      <c r="E44" s="6">
        <v>58.7</v>
      </c>
      <c r="F44" s="6">
        <v>78.7</v>
      </c>
      <c r="G44" s="6">
        <v>102.4</v>
      </c>
    </row>
    <row r="45" spans="1:7" x14ac:dyDescent="0.25">
      <c r="A45" s="10">
        <v>22</v>
      </c>
      <c r="B45" s="6"/>
      <c r="C45" s="6"/>
      <c r="D45" s="6"/>
      <c r="E45" s="6">
        <v>34.799999999999997</v>
      </c>
      <c r="F45" s="6">
        <v>79.400000000000006</v>
      </c>
      <c r="G45" s="6">
        <v>118.3</v>
      </c>
    </row>
    <row r="46" spans="1:7" x14ac:dyDescent="0.25">
      <c r="A46" s="10">
        <v>23</v>
      </c>
      <c r="B46" s="6"/>
      <c r="C46" s="6"/>
      <c r="D46" s="6"/>
      <c r="E46" s="6">
        <v>33.200000000000003</v>
      </c>
      <c r="F46" s="6">
        <v>80.8</v>
      </c>
      <c r="G46" s="6">
        <v>111.1</v>
      </c>
    </row>
    <row r="47" spans="1:7" x14ac:dyDescent="0.25">
      <c r="A47" s="10">
        <v>24</v>
      </c>
      <c r="B47" s="6"/>
      <c r="C47" s="6"/>
      <c r="D47" s="6"/>
      <c r="E47" s="6">
        <v>57</v>
      </c>
      <c r="F47" s="6">
        <v>67.3</v>
      </c>
      <c r="G47" s="6">
        <v>105.4</v>
      </c>
    </row>
    <row r="48" spans="1:7" x14ac:dyDescent="0.25">
      <c r="A48" s="10">
        <v>25</v>
      </c>
      <c r="B48" s="6"/>
      <c r="C48" s="6"/>
      <c r="D48" s="6"/>
      <c r="E48" s="6">
        <v>37.799999999999997</v>
      </c>
      <c r="F48" s="6">
        <v>83.6</v>
      </c>
      <c r="G48" s="6">
        <v>95.4</v>
      </c>
    </row>
    <row r="49" spans="1:7" x14ac:dyDescent="0.25">
      <c r="A49" s="10">
        <v>26</v>
      </c>
      <c r="B49" s="6"/>
      <c r="C49" s="13"/>
      <c r="D49" s="6"/>
      <c r="E49" s="6">
        <v>26.7</v>
      </c>
      <c r="F49" s="6">
        <v>71.2</v>
      </c>
      <c r="G49" s="6">
        <v>109.5</v>
      </c>
    </row>
    <row r="50" spans="1:7" x14ac:dyDescent="0.25">
      <c r="A50" s="10">
        <v>27</v>
      </c>
      <c r="B50" s="6"/>
      <c r="C50" s="13"/>
      <c r="D50" s="6"/>
      <c r="E50" s="6">
        <v>39.200000000000003</v>
      </c>
      <c r="F50" s="6">
        <v>76.5</v>
      </c>
      <c r="G50" s="6">
        <v>90.5</v>
      </c>
    </row>
    <row r="51" spans="1:7" x14ac:dyDescent="0.25">
      <c r="A51" s="10">
        <v>28</v>
      </c>
      <c r="B51" s="6"/>
      <c r="C51" s="14"/>
      <c r="D51" s="6"/>
      <c r="E51" s="6">
        <v>46.6</v>
      </c>
      <c r="F51" s="6">
        <v>81.099999999999994</v>
      </c>
      <c r="G51" s="6">
        <v>104.3</v>
      </c>
    </row>
    <row r="52" spans="1:7" ht="14.5" thickBot="1" x14ac:dyDescent="0.3">
      <c r="A52" s="11">
        <v>29</v>
      </c>
      <c r="B52" s="15"/>
      <c r="C52" s="15"/>
      <c r="D52" s="12"/>
      <c r="E52" s="6">
        <v>45.9</v>
      </c>
      <c r="F52" s="6">
        <v>76.8</v>
      </c>
      <c r="G52" s="6">
        <v>119.8</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44.2</v>
      </c>
      <c r="C56" s="6">
        <v>63.5</v>
      </c>
      <c r="D56" s="6">
        <v>90.7</v>
      </c>
      <c r="E56" s="6">
        <v>50.3</v>
      </c>
      <c r="F56" s="6">
        <v>67.2</v>
      </c>
      <c r="G56" s="6">
        <v>109.9</v>
      </c>
    </row>
    <row r="57" spans="1:7" x14ac:dyDescent="0.25">
      <c r="A57" s="10">
        <v>2</v>
      </c>
      <c r="B57" s="6">
        <v>42.2</v>
      </c>
      <c r="C57" s="6">
        <v>54.5</v>
      </c>
      <c r="D57" s="6">
        <v>96.8</v>
      </c>
      <c r="E57" s="6">
        <v>27.7</v>
      </c>
      <c r="F57" s="6">
        <v>65.8</v>
      </c>
      <c r="G57" s="6">
        <v>118.1</v>
      </c>
    </row>
    <row r="58" spans="1:7" x14ac:dyDescent="0.25">
      <c r="A58" s="10">
        <v>3</v>
      </c>
      <c r="B58" s="6">
        <v>35.1</v>
      </c>
      <c r="C58" s="6">
        <v>53.5</v>
      </c>
      <c r="D58" s="6">
        <v>88.7</v>
      </c>
      <c r="E58" s="6">
        <v>44</v>
      </c>
      <c r="F58" s="6">
        <v>84.1</v>
      </c>
      <c r="G58" s="6">
        <v>92.2</v>
      </c>
    </row>
    <row r="59" spans="1:7" x14ac:dyDescent="0.25">
      <c r="A59" s="10">
        <v>4</v>
      </c>
      <c r="B59" s="6">
        <v>34.4</v>
      </c>
      <c r="C59" s="6">
        <v>45.2</v>
      </c>
      <c r="D59" s="6">
        <v>79</v>
      </c>
      <c r="E59" s="6">
        <v>32</v>
      </c>
      <c r="F59" s="6">
        <v>69.3</v>
      </c>
      <c r="G59" s="6">
        <v>115.5</v>
      </c>
    </row>
    <row r="60" spans="1:7" x14ac:dyDescent="0.25">
      <c r="A60" s="10">
        <v>5</v>
      </c>
      <c r="B60" s="6">
        <v>32.799999999999997</v>
      </c>
      <c r="C60" s="6">
        <v>54.4</v>
      </c>
      <c r="D60" s="6">
        <v>76.3</v>
      </c>
      <c r="E60" s="6">
        <v>53.8</v>
      </c>
      <c r="F60" s="6">
        <v>76.3</v>
      </c>
      <c r="G60" s="6">
        <v>110.6</v>
      </c>
    </row>
    <row r="61" spans="1:7" x14ac:dyDescent="0.25">
      <c r="A61" s="10">
        <v>6</v>
      </c>
      <c r="B61" s="6">
        <v>20.399999999999999</v>
      </c>
      <c r="C61" s="6">
        <v>54</v>
      </c>
      <c r="D61" s="6">
        <v>80.900000000000006</v>
      </c>
      <c r="E61" s="6">
        <v>37.200000000000003</v>
      </c>
      <c r="F61" s="6">
        <v>73.5</v>
      </c>
      <c r="G61" s="6">
        <v>102</v>
      </c>
    </row>
    <row r="62" spans="1:7" x14ac:dyDescent="0.25">
      <c r="A62" s="10">
        <v>7</v>
      </c>
      <c r="B62" s="6">
        <v>42.6</v>
      </c>
      <c r="C62" s="6">
        <v>58.3</v>
      </c>
      <c r="D62" s="6">
        <v>69.099999999999994</v>
      </c>
      <c r="E62" s="6">
        <v>56.4</v>
      </c>
      <c r="F62" s="6">
        <v>74.599999999999994</v>
      </c>
      <c r="G62" s="6">
        <v>113.9</v>
      </c>
    </row>
    <row r="63" spans="1:7" x14ac:dyDescent="0.25">
      <c r="A63" s="10">
        <v>8</v>
      </c>
      <c r="B63" s="6">
        <v>33.200000000000003</v>
      </c>
      <c r="C63" s="6">
        <v>52.2</v>
      </c>
      <c r="D63" s="6">
        <v>97.5</v>
      </c>
      <c r="E63" s="6"/>
      <c r="F63" s="6"/>
      <c r="G63" s="6"/>
    </row>
    <row r="64" spans="1:7" x14ac:dyDescent="0.25">
      <c r="A64" s="10">
        <v>9</v>
      </c>
      <c r="B64" s="6">
        <v>32.299999999999997</v>
      </c>
      <c r="C64" s="6">
        <v>57.4</v>
      </c>
      <c r="D64" s="6">
        <v>68.400000000000006</v>
      </c>
      <c r="E64" s="6"/>
      <c r="F64" s="6"/>
      <c r="G64" s="6"/>
    </row>
    <row r="65" spans="1:7" x14ac:dyDescent="0.25">
      <c r="A65" s="10">
        <v>10</v>
      </c>
      <c r="B65" s="6">
        <v>37.1</v>
      </c>
      <c r="C65" s="6">
        <v>57.4</v>
      </c>
      <c r="D65" s="6">
        <v>70.900000000000006</v>
      </c>
      <c r="E65" s="6"/>
      <c r="F65" s="6"/>
      <c r="G65" s="6"/>
    </row>
    <row r="66" spans="1:7" x14ac:dyDescent="0.25">
      <c r="A66" s="10">
        <v>11</v>
      </c>
      <c r="B66" s="6">
        <v>20.5</v>
      </c>
      <c r="C66" s="6">
        <v>59.8</v>
      </c>
      <c r="D66" s="6">
        <v>83.9</v>
      </c>
      <c r="E66" s="6"/>
      <c r="F66" s="6"/>
      <c r="G66" s="6"/>
    </row>
    <row r="67" spans="1:7" ht="14.5" thickBot="1" x14ac:dyDescent="0.3">
      <c r="A67" s="11">
        <v>12</v>
      </c>
      <c r="B67" s="6">
        <v>35.1</v>
      </c>
      <c r="C67" s="6">
        <v>58.7</v>
      </c>
      <c r="D67" s="6">
        <v>69.599999999999994</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34.6</v>
      </c>
      <c r="C71" s="6">
        <v>58.5</v>
      </c>
      <c r="D71" s="6">
        <v>84.2</v>
      </c>
      <c r="E71" s="6"/>
      <c r="F71" s="6"/>
      <c r="G71" s="6"/>
    </row>
    <row r="72" spans="1:7" x14ac:dyDescent="0.25">
      <c r="A72" s="10">
        <v>2</v>
      </c>
      <c r="B72" s="6">
        <v>38.700000000000003</v>
      </c>
      <c r="C72" s="6">
        <v>48.4</v>
      </c>
      <c r="D72" s="6">
        <v>91.4</v>
      </c>
      <c r="E72" s="5"/>
      <c r="F72" s="5"/>
      <c r="G72" s="6"/>
    </row>
    <row r="73" spans="1:7" x14ac:dyDescent="0.25">
      <c r="A73" s="10">
        <v>3</v>
      </c>
      <c r="B73" s="6">
        <v>40.700000000000003</v>
      </c>
      <c r="C73" s="6">
        <v>50.6</v>
      </c>
      <c r="D73" s="6">
        <v>81.3</v>
      </c>
      <c r="E73" s="5"/>
      <c r="F73" s="5"/>
      <c r="G73" s="5"/>
    </row>
    <row r="74" spans="1:7" x14ac:dyDescent="0.25">
      <c r="A74" s="10">
        <v>4</v>
      </c>
      <c r="B74" s="6">
        <v>21.5</v>
      </c>
      <c r="C74" s="6">
        <v>46.4</v>
      </c>
      <c r="D74" s="6">
        <v>81.3</v>
      </c>
      <c r="E74" s="5"/>
      <c r="F74" s="5"/>
      <c r="G74" s="5"/>
    </row>
    <row r="75" spans="1:7" x14ac:dyDescent="0.25">
      <c r="A75" s="10">
        <v>5</v>
      </c>
      <c r="B75" s="6">
        <v>29.4</v>
      </c>
      <c r="C75" s="6">
        <v>57.4</v>
      </c>
      <c r="D75" s="6">
        <v>106.2</v>
      </c>
      <c r="E75" s="5"/>
      <c r="F75" s="5"/>
      <c r="G75" s="5"/>
    </row>
    <row r="76" spans="1:7" x14ac:dyDescent="0.25">
      <c r="A76" s="10">
        <v>6</v>
      </c>
      <c r="B76" s="6">
        <v>40.5</v>
      </c>
      <c r="C76" s="6">
        <v>64.5</v>
      </c>
      <c r="D76" s="6">
        <v>68.099999999999994</v>
      </c>
      <c r="E76" s="5"/>
      <c r="F76" s="5"/>
      <c r="G76" s="5"/>
    </row>
    <row r="77" spans="1:7" x14ac:dyDescent="0.25">
      <c r="A77" s="10">
        <v>7</v>
      </c>
      <c r="B77" s="6">
        <v>35.1</v>
      </c>
      <c r="C77" s="6">
        <v>50.1</v>
      </c>
      <c r="D77" s="6">
        <v>69.8</v>
      </c>
      <c r="E77" s="5"/>
      <c r="F77" s="5"/>
      <c r="G77" s="5"/>
    </row>
    <row r="78" spans="1:7" x14ac:dyDescent="0.25">
      <c r="A78" s="10">
        <v>8</v>
      </c>
      <c r="B78" s="6">
        <v>23.9</v>
      </c>
      <c r="C78" s="6">
        <v>57.9</v>
      </c>
      <c r="D78" s="6">
        <v>93.6</v>
      </c>
      <c r="E78" s="5"/>
      <c r="F78" s="5"/>
      <c r="G78" s="5"/>
    </row>
    <row r="79" spans="1:7" x14ac:dyDescent="0.25">
      <c r="A79" s="10">
        <v>9</v>
      </c>
      <c r="B79" s="6">
        <v>35.799999999999997</v>
      </c>
      <c r="C79" s="6">
        <v>54.7</v>
      </c>
      <c r="D79" s="6">
        <v>107.5</v>
      </c>
      <c r="E79" s="5"/>
      <c r="F79" s="5"/>
      <c r="G79" s="5"/>
    </row>
    <row r="80" spans="1:7" x14ac:dyDescent="0.25">
      <c r="A80" s="10">
        <v>10</v>
      </c>
      <c r="B80" s="6">
        <v>34.299999999999997</v>
      </c>
      <c r="C80" s="6">
        <v>49.4</v>
      </c>
      <c r="D80" s="6">
        <v>79.2</v>
      </c>
      <c r="E80" s="5"/>
      <c r="F80" s="5"/>
      <c r="G80" s="5"/>
    </row>
    <row r="81" spans="1:7" x14ac:dyDescent="0.25">
      <c r="A81" s="10">
        <v>11</v>
      </c>
      <c r="B81" s="6">
        <v>39.5</v>
      </c>
      <c r="C81" s="6">
        <v>49.6</v>
      </c>
      <c r="D81" s="6">
        <v>87.9</v>
      </c>
      <c r="E81" s="5"/>
      <c r="F81" s="5"/>
      <c r="G81" s="5"/>
    </row>
    <row r="82" spans="1:7" x14ac:dyDescent="0.25">
      <c r="A82" s="10">
        <v>12</v>
      </c>
      <c r="B82" s="6">
        <v>23.1</v>
      </c>
      <c r="C82" s="6">
        <v>61.9</v>
      </c>
      <c r="D82" s="6">
        <v>88.1</v>
      </c>
      <c r="E82" s="5"/>
      <c r="F82" s="5"/>
      <c r="G82" s="5"/>
    </row>
    <row r="83" spans="1:7" x14ac:dyDescent="0.25">
      <c r="A83" s="10">
        <v>13</v>
      </c>
      <c r="B83" s="6">
        <v>36.5</v>
      </c>
      <c r="C83" s="6">
        <v>62</v>
      </c>
      <c r="D83" s="6">
        <v>102.1</v>
      </c>
      <c r="E83" s="5"/>
      <c r="F83" s="5"/>
      <c r="G83" s="5"/>
    </row>
    <row r="84" spans="1:7" x14ac:dyDescent="0.25">
      <c r="A84" s="10">
        <v>14</v>
      </c>
      <c r="B84" s="6">
        <v>37.200000000000003</v>
      </c>
      <c r="C84" s="6">
        <v>55.1</v>
      </c>
      <c r="D84" s="6">
        <v>102.2</v>
      </c>
      <c r="E84" s="5"/>
      <c r="F84" s="5"/>
      <c r="G84" s="5"/>
    </row>
    <row r="85" spans="1:7" x14ac:dyDescent="0.25">
      <c r="A85" s="10">
        <v>15</v>
      </c>
      <c r="B85" s="6">
        <v>32.299999999999997</v>
      </c>
      <c r="C85" s="6">
        <v>52.2</v>
      </c>
      <c r="D85" s="6">
        <v>69.8</v>
      </c>
      <c r="E85" s="5"/>
      <c r="F85" s="5"/>
      <c r="G85" s="5"/>
    </row>
    <row r="86" spans="1:7" x14ac:dyDescent="0.25">
      <c r="A86" s="10">
        <v>16</v>
      </c>
      <c r="B86" s="6">
        <v>36.4</v>
      </c>
      <c r="C86" s="6">
        <v>60.9</v>
      </c>
      <c r="D86" s="6">
        <v>65.599999999999994</v>
      </c>
      <c r="E86" s="5"/>
      <c r="F86" s="5"/>
      <c r="G86" s="5"/>
    </row>
    <row r="87" spans="1:7" x14ac:dyDescent="0.25">
      <c r="A87" s="10">
        <v>17</v>
      </c>
      <c r="B87" s="6">
        <v>29.7</v>
      </c>
      <c r="C87" s="6">
        <v>60.7</v>
      </c>
      <c r="D87" s="6">
        <v>67.2</v>
      </c>
      <c r="E87" s="5"/>
      <c r="F87" s="5"/>
      <c r="G87" s="5"/>
    </row>
    <row r="88" spans="1:7" x14ac:dyDescent="0.25">
      <c r="A88" s="10">
        <v>18</v>
      </c>
      <c r="B88" s="6">
        <v>35.6</v>
      </c>
      <c r="C88" s="6">
        <v>57.2</v>
      </c>
      <c r="D88" s="6">
        <v>65.400000000000006</v>
      </c>
      <c r="E88" s="5"/>
      <c r="F88" s="5"/>
      <c r="G88" s="5"/>
    </row>
    <row r="89" spans="1:7" x14ac:dyDescent="0.25">
      <c r="A89" s="10">
        <v>19</v>
      </c>
      <c r="B89" s="6">
        <v>41.1</v>
      </c>
      <c r="C89" s="6">
        <v>58.3</v>
      </c>
      <c r="D89" s="6">
        <v>73.400000000000006</v>
      </c>
      <c r="E89" s="5"/>
      <c r="F89" s="5"/>
      <c r="G89" s="5"/>
    </row>
    <row r="90" spans="1:7" x14ac:dyDescent="0.25">
      <c r="A90" s="10">
        <v>20</v>
      </c>
      <c r="B90" s="6">
        <v>31.4</v>
      </c>
      <c r="C90" s="6">
        <v>63.4</v>
      </c>
      <c r="D90" s="6">
        <v>97.8</v>
      </c>
      <c r="E90" s="5"/>
      <c r="F90" s="5"/>
      <c r="G90" s="5"/>
    </row>
    <row r="91" spans="1:7" x14ac:dyDescent="0.25">
      <c r="A91" s="10">
        <v>21</v>
      </c>
      <c r="B91" s="6">
        <v>21</v>
      </c>
      <c r="C91" s="6">
        <v>61.3</v>
      </c>
      <c r="D91" s="6">
        <v>71.5</v>
      </c>
      <c r="E91" s="5"/>
      <c r="F91" s="5"/>
      <c r="G91" s="5"/>
    </row>
    <row r="92" spans="1:7" x14ac:dyDescent="0.25">
      <c r="A92" s="10">
        <v>22</v>
      </c>
      <c r="B92" s="6">
        <v>29.6</v>
      </c>
      <c r="C92" s="6">
        <v>46.5</v>
      </c>
      <c r="D92" s="6">
        <v>82.9</v>
      </c>
      <c r="E92" s="5"/>
      <c r="F92" s="5"/>
      <c r="G92" s="5"/>
    </row>
    <row r="93" spans="1:7" x14ac:dyDescent="0.25">
      <c r="A93" s="10">
        <v>23</v>
      </c>
      <c r="B93" s="6">
        <v>31.7</v>
      </c>
      <c r="C93" s="6">
        <v>57.6</v>
      </c>
      <c r="D93" s="6">
        <v>102</v>
      </c>
      <c r="E93" s="5"/>
      <c r="F93" s="5"/>
      <c r="G93" s="5"/>
    </row>
    <row r="94" spans="1:7" x14ac:dyDescent="0.25">
      <c r="A94" s="10">
        <v>24</v>
      </c>
      <c r="B94" s="6">
        <v>33.9</v>
      </c>
      <c r="C94" s="6">
        <v>59.6</v>
      </c>
      <c r="D94" s="6">
        <v>89.2</v>
      </c>
      <c r="E94" s="5"/>
      <c r="F94" s="5"/>
      <c r="G94" s="5"/>
    </row>
    <row r="95" spans="1:7" x14ac:dyDescent="0.25">
      <c r="A95" s="10">
        <v>25</v>
      </c>
      <c r="B95" s="6">
        <v>23</v>
      </c>
      <c r="C95" s="6">
        <v>46.9</v>
      </c>
      <c r="D95" s="6">
        <v>103.9</v>
      </c>
      <c r="E95" s="5"/>
      <c r="F95" s="5"/>
      <c r="G95" s="5"/>
    </row>
    <row r="96" spans="1:7" x14ac:dyDescent="0.25">
      <c r="A96" s="10">
        <v>26</v>
      </c>
      <c r="B96" s="6">
        <v>38</v>
      </c>
      <c r="C96" s="6">
        <v>57.8</v>
      </c>
      <c r="D96" s="6">
        <v>109.7</v>
      </c>
      <c r="E96" s="14"/>
      <c r="F96" s="14"/>
      <c r="G96" s="14"/>
    </row>
    <row r="97" spans="1:7" x14ac:dyDescent="0.25">
      <c r="A97" s="10">
        <v>27</v>
      </c>
      <c r="B97" s="6">
        <v>41.3</v>
      </c>
      <c r="C97" s="6">
        <v>53.6</v>
      </c>
      <c r="D97" s="6">
        <v>65.3</v>
      </c>
      <c r="E97" s="14"/>
      <c r="F97" s="14"/>
      <c r="G97" s="14"/>
    </row>
    <row r="98" spans="1:7" x14ac:dyDescent="0.25">
      <c r="A98" s="10">
        <v>28</v>
      </c>
      <c r="B98" s="6">
        <v>37.6</v>
      </c>
      <c r="C98" s="6">
        <v>48.1</v>
      </c>
      <c r="D98" s="6">
        <v>85.3</v>
      </c>
      <c r="E98" s="14"/>
      <c r="F98" s="14"/>
      <c r="G98" s="14"/>
    </row>
    <row r="99" spans="1:7" x14ac:dyDescent="0.25">
      <c r="A99" s="10">
        <v>29</v>
      </c>
      <c r="B99" s="6">
        <v>27.3</v>
      </c>
      <c r="C99" s="6">
        <v>50.4</v>
      </c>
      <c r="D99" s="6">
        <v>108.4</v>
      </c>
      <c r="E99" s="5"/>
      <c r="F99" s="5"/>
      <c r="G99" s="5"/>
    </row>
    <row r="100" spans="1:7" x14ac:dyDescent="0.25">
      <c r="A100" s="10">
        <v>30</v>
      </c>
      <c r="B100" s="6">
        <v>30.8</v>
      </c>
      <c r="C100" s="6">
        <v>55.3</v>
      </c>
      <c r="D100" s="6">
        <v>76.2</v>
      </c>
      <c r="E100" s="1"/>
      <c r="F100" s="1"/>
      <c r="G100" s="1"/>
    </row>
    <row r="101" spans="1:7" x14ac:dyDescent="0.25">
      <c r="A101" s="10">
        <v>31</v>
      </c>
      <c r="B101" s="6">
        <v>38.5</v>
      </c>
      <c r="C101" s="6">
        <v>53.3</v>
      </c>
      <c r="D101" s="6">
        <v>81.400000000000006</v>
      </c>
      <c r="E101" s="1"/>
      <c r="F101" s="1"/>
      <c r="G101" s="1"/>
    </row>
    <row r="102" spans="1:7" x14ac:dyDescent="0.25">
      <c r="A102" s="10">
        <v>32</v>
      </c>
      <c r="B102" s="6">
        <v>41.7</v>
      </c>
      <c r="C102" s="6">
        <v>59.1</v>
      </c>
      <c r="D102" s="6">
        <v>82.9</v>
      </c>
      <c r="E102" s="1"/>
      <c r="F102" s="1"/>
      <c r="G102" s="1"/>
    </row>
    <row r="103" spans="1:7" x14ac:dyDescent="0.25">
      <c r="A103" s="10">
        <v>33</v>
      </c>
      <c r="B103" s="6">
        <v>37.1</v>
      </c>
      <c r="C103" s="6">
        <v>52</v>
      </c>
      <c r="D103" s="6">
        <v>91</v>
      </c>
      <c r="E103" s="1"/>
      <c r="F103" s="1"/>
      <c r="G103" s="1"/>
    </row>
    <row r="104" spans="1:7" x14ac:dyDescent="0.25">
      <c r="A104" s="10">
        <v>34</v>
      </c>
      <c r="B104" s="6">
        <v>33.6</v>
      </c>
      <c r="C104" s="6">
        <v>48</v>
      </c>
      <c r="D104" s="6">
        <v>76</v>
      </c>
      <c r="E104" s="1"/>
      <c r="F104" s="1"/>
      <c r="G104" s="1"/>
    </row>
    <row r="105" spans="1:7" x14ac:dyDescent="0.25">
      <c r="A105" s="10">
        <v>35</v>
      </c>
      <c r="B105" s="6">
        <v>23</v>
      </c>
      <c r="C105" s="6">
        <v>58.6</v>
      </c>
      <c r="D105" s="6">
        <v>70.900000000000006</v>
      </c>
      <c r="E105" s="1"/>
      <c r="F105" s="1"/>
      <c r="G105" s="1"/>
    </row>
    <row r="106" spans="1:7" x14ac:dyDescent="0.25">
      <c r="A106" s="10">
        <v>36</v>
      </c>
      <c r="B106" s="6">
        <v>31</v>
      </c>
      <c r="C106" s="6">
        <v>50.3</v>
      </c>
      <c r="D106" s="6">
        <v>96.6</v>
      </c>
      <c r="E106" s="1"/>
      <c r="F106" s="1"/>
      <c r="G106" s="1"/>
    </row>
    <row r="107" spans="1:7" x14ac:dyDescent="0.25">
      <c r="A107" s="10">
        <v>37</v>
      </c>
      <c r="B107" s="6">
        <v>22.9</v>
      </c>
      <c r="C107" s="6">
        <v>51</v>
      </c>
      <c r="D107" s="6">
        <v>66.900000000000006</v>
      </c>
      <c r="E107" s="1"/>
      <c r="F107" s="1"/>
      <c r="G107" s="1"/>
    </row>
    <row r="108" spans="1:7" x14ac:dyDescent="0.25">
      <c r="A108" s="10">
        <v>38</v>
      </c>
      <c r="B108" s="6">
        <v>29.9</v>
      </c>
      <c r="C108" s="6">
        <v>60.6</v>
      </c>
      <c r="D108" s="6">
        <v>67.8</v>
      </c>
      <c r="E108" s="1"/>
      <c r="F108" s="1"/>
      <c r="G108" s="1"/>
    </row>
    <row r="109" spans="1:7" x14ac:dyDescent="0.25">
      <c r="A109" s="10">
        <v>39</v>
      </c>
      <c r="B109" s="6">
        <v>21.7</v>
      </c>
      <c r="C109" s="6">
        <v>46.8</v>
      </c>
      <c r="D109" s="6">
        <v>101.7</v>
      </c>
      <c r="E109" s="1"/>
      <c r="F109" s="1"/>
      <c r="G109" s="1"/>
    </row>
    <row r="110" spans="1:7" x14ac:dyDescent="0.25">
      <c r="A110" s="10">
        <v>40</v>
      </c>
      <c r="B110" s="6">
        <v>38.5</v>
      </c>
      <c r="C110" s="6">
        <v>57.3</v>
      </c>
      <c r="D110" s="6">
        <v>99.7</v>
      </c>
      <c r="E110" s="1"/>
      <c r="F110" s="1"/>
      <c r="G110" s="1"/>
    </row>
    <row r="111" spans="1:7" x14ac:dyDescent="0.25">
      <c r="A111" s="10">
        <v>41</v>
      </c>
      <c r="B111" s="6">
        <v>35.4</v>
      </c>
      <c r="C111" s="6">
        <v>55</v>
      </c>
      <c r="D111" s="6">
        <v>80.400000000000006</v>
      </c>
      <c r="E111" s="1"/>
      <c r="F111" s="1"/>
      <c r="G111" s="1"/>
    </row>
    <row r="112" spans="1:7" x14ac:dyDescent="0.25">
      <c r="A112" s="10">
        <v>42</v>
      </c>
      <c r="B112" s="6">
        <v>34.200000000000003</v>
      </c>
      <c r="C112" s="6">
        <v>57.2</v>
      </c>
      <c r="D112" s="6">
        <v>77.7</v>
      </c>
      <c r="E112" s="1"/>
      <c r="F112" s="1"/>
      <c r="G112" s="1"/>
    </row>
    <row r="113" spans="1:7" x14ac:dyDescent="0.25">
      <c r="A113" s="10">
        <v>43</v>
      </c>
      <c r="B113" s="6">
        <v>34.700000000000003</v>
      </c>
      <c r="C113" s="6">
        <v>50.3</v>
      </c>
      <c r="D113" s="6">
        <v>89.7</v>
      </c>
      <c r="E113" s="1"/>
      <c r="F113" s="1"/>
      <c r="G113" s="1"/>
    </row>
    <row r="114" spans="1:7" x14ac:dyDescent="0.25">
      <c r="A114" s="10">
        <v>44</v>
      </c>
      <c r="B114" s="6">
        <v>40.299999999999997</v>
      </c>
      <c r="C114" s="6">
        <v>53.6</v>
      </c>
      <c r="D114" s="6">
        <v>70.099999999999994</v>
      </c>
      <c r="E114" s="1"/>
      <c r="F114" s="1"/>
      <c r="G114" s="1"/>
    </row>
    <row r="115" spans="1:7" x14ac:dyDescent="0.25">
      <c r="A115" s="10">
        <v>45</v>
      </c>
      <c r="B115" s="6">
        <v>31.8</v>
      </c>
      <c r="C115" s="6">
        <v>63.9</v>
      </c>
      <c r="D115" s="6">
        <v>81.8</v>
      </c>
      <c r="E115" s="1"/>
      <c r="F115" s="1"/>
      <c r="G115" s="1"/>
    </row>
    <row r="116" spans="1:7" x14ac:dyDescent="0.25">
      <c r="A116" s="10">
        <v>46</v>
      </c>
      <c r="B116" s="6">
        <v>29.5</v>
      </c>
      <c r="C116" s="6">
        <v>49.3</v>
      </c>
      <c r="D116" s="6">
        <v>96.8</v>
      </c>
      <c r="E116" s="1"/>
      <c r="F116" s="1"/>
      <c r="G116" s="1"/>
    </row>
    <row r="117" spans="1:7" x14ac:dyDescent="0.25">
      <c r="A117" s="10">
        <v>47</v>
      </c>
      <c r="B117" s="6">
        <v>37.5</v>
      </c>
      <c r="C117" s="6">
        <v>48.4</v>
      </c>
      <c r="D117" s="6">
        <v>90.9</v>
      </c>
      <c r="E117" s="1"/>
      <c r="F117" s="1"/>
      <c r="G117" s="1"/>
    </row>
    <row r="118" spans="1:7" x14ac:dyDescent="0.25">
      <c r="A118" s="10">
        <v>48</v>
      </c>
      <c r="B118" s="6">
        <v>45</v>
      </c>
      <c r="C118" s="6">
        <v>52.2</v>
      </c>
      <c r="D118" s="6">
        <v>104.4</v>
      </c>
      <c r="E118" s="1"/>
      <c r="F118" s="1"/>
      <c r="G118" s="1"/>
    </row>
    <row r="119" spans="1:7" x14ac:dyDescent="0.25">
      <c r="A119" s="10">
        <v>49</v>
      </c>
      <c r="B119" s="6">
        <v>37.6</v>
      </c>
      <c r="C119" s="6">
        <v>54.1</v>
      </c>
      <c r="D119" s="6">
        <v>81.2</v>
      </c>
      <c r="E119" s="1"/>
      <c r="F119" s="1"/>
      <c r="G119" s="1"/>
    </row>
    <row r="120" spans="1:7" x14ac:dyDescent="0.25">
      <c r="A120" s="10">
        <v>50</v>
      </c>
      <c r="B120" s="6">
        <v>38.5</v>
      </c>
      <c r="C120" s="6">
        <v>53.6</v>
      </c>
      <c r="D120" s="6">
        <v>84.4</v>
      </c>
      <c r="E120" s="1"/>
      <c r="F120" s="1"/>
      <c r="G120" s="1"/>
    </row>
    <row r="121" spans="1:7" x14ac:dyDescent="0.25">
      <c r="A121" s="10">
        <v>51</v>
      </c>
      <c r="B121" s="6">
        <v>37.200000000000003</v>
      </c>
      <c r="C121" s="6">
        <v>47.4</v>
      </c>
      <c r="D121" s="6">
        <v>67</v>
      </c>
      <c r="E121" s="1"/>
      <c r="F121" s="1"/>
      <c r="G121" s="1"/>
    </row>
    <row r="122" spans="1:7" x14ac:dyDescent="0.25">
      <c r="A122" s="10">
        <v>52</v>
      </c>
      <c r="B122" s="6">
        <v>36.9</v>
      </c>
      <c r="C122" s="6">
        <v>50.6</v>
      </c>
      <c r="D122" s="6">
        <v>92.2</v>
      </c>
      <c r="E122" s="1"/>
      <c r="F122" s="1"/>
      <c r="G122" s="1"/>
    </row>
    <row r="123" spans="1:7" x14ac:dyDescent="0.25">
      <c r="A123" s="10">
        <v>53</v>
      </c>
      <c r="B123" s="6">
        <v>41.3</v>
      </c>
      <c r="C123" s="6">
        <v>55.8</v>
      </c>
      <c r="D123" s="6">
        <v>107.6</v>
      </c>
      <c r="E123" s="1"/>
      <c r="F123" s="1"/>
      <c r="G123" s="1"/>
    </row>
    <row r="124" spans="1:7" x14ac:dyDescent="0.25">
      <c r="A124" s="10">
        <v>54</v>
      </c>
      <c r="B124" s="6">
        <v>26.8</v>
      </c>
      <c r="C124" s="6">
        <v>62.4</v>
      </c>
      <c r="D124" s="6">
        <v>103.8</v>
      </c>
      <c r="E124" s="1"/>
      <c r="F124" s="1"/>
      <c r="G124" s="1"/>
    </row>
    <row r="125" spans="1:7" x14ac:dyDescent="0.25">
      <c r="A125" s="10">
        <v>55</v>
      </c>
      <c r="B125" s="6">
        <v>44.4</v>
      </c>
      <c r="C125" s="6">
        <v>57.2</v>
      </c>
      <c r="D125" s="6">
        <v>80.5</v>
      </c>
      <c r="E125" s="1"/>
      <c r="F125" s="1"/>
      <c r="G125" s="1"/>
    </row>
    <row r="126" spans="1:7" x14ac:dyDescent="0.25">
      <c r="A126" s="10">
        <v>56</v>
      </c>
      <c r="B126" s="6">
        <v>30.3</v>
      </c>
      <c r="C126" s="6">
        <v>63.1</v>
      </c>
      <c r="D126" s="6">
        <v>90.9</v>
      </c>
      <c r="E126" s="1"/>
      <c r="F126" s="1"/>
      <c r="G126" s="1"/>
    </row>
    <row r="127" spans="1:7" x14ac:dyDescent="0.25">
      <c r="A127" s="10">
        <v>57</v>
      </c>
      <c r="B127" s="6">
        <v>23.2</v>
      </c>
      <c r="C127" s="6">
        <v>64.599999999999994</v>
      </c>
      <c r="D127" s="6">
        <v>67</v>
      </c>
      <c r="E127" s="1"/>
      <c r="F127" s="1"/>
      <c r="G127" s="1"/>
    </row>
    <row r="128" spans="1:7" x14ac:dyDescent="0.25">
      <c r="A128" s="10">
        <v>58</v>
      </c>
      <c r="B128" s="6">
        <v>22.6</v>
      </c>
      <c r="C128" s="6">
        <v>58</v>
      </c>
      <c r="D128" s="6">
        <v>88.1</v>
      </c>
      <c r="E128" s="1"/>
      <c r="F128" s="1"/>
      <c r="G128" s="1"/>
    </row>
    <row r="129" spans="1:7" x14ac:dyDescent="0.25">
      <c r="A129" s="10">
        <v>59</v>
      </c>
      <c r="B129" s="6">
        <v>37.5</v>
      </c>
      <c r="C129" s="6">
        <v>50.9</v>
      </c>
      <c r="D129" s="6">
        <v>78.3</v>
      </c>
      <c r="E129" s="1"/>
      <c r="F129" s="1"/>
      <c r="G129" s="1"/>
    </row>
    <row r="130" spans="1:7" x14ac:dyDescent="0.25">
      <c r="A130" s="10">
        <v>60</v>
      </c>
      <c r="B130" s="6">
        <v>43</v>
      </c>
      <c r="C130" s="6">
        <v>53.5</v>
      </c>
      <c r="D130" s="6">
        <v>87.3</v>
      </c>
      <c r="E130" s="1"/>
      <c r="F130" s="1"/>
      <c r="G130" s="1"/>
    </row>
    <row r="131" spans="1:7" x14ac:dyDescent="0.25">
      <c r="A131" s="10">
        <v>61</v>
      </c>
      <c r="B131" s="6">
        <v>43.5</v>
      </c>
      <c r="C131" s="6">
        <v>53.1</v>
      </c>
      <c r="D131" s="6">
        <v>108.4</v>
      </c>
      <c r="E131" s="1"/>
      <c r="F131" s="1"/>
      <c r="G131" s="1"/>
    </row>
    <row r="132" spans="1:7" x14ac:dyDescent="0.25">
      <c r="A132" s="10">
        <v>62</v>
      </c>
      <c r="B132" s="6">
        <v>23.1</v>
      </c>
      <c r="C132" s="6">
        <v>59.2</v>
      </c>
      <c r="D132" s="6">
        <v>82.8</v>
      </c>
      <c r="E132" s="1"/>
      <c r="F132" s="1"/>
      <c r="G132" s="1"/>
    </row>
    <row r="133" spans="1:7" ht="14.5" thickBot="1" x14ac:dyDescent="0.3">
      <c r="A133" s="11">
        <v>63</v>
      </c>
      <c r="B133" s="6">
        <v>36.799999999999997</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59.3</v>
      </c>
      <c r="C138" s="330">
        <f>ROUNDDOWN(AVERAGE(E5:G20),1)</f>
        <v>70.400000000000006</v>
      </c>
      <c r="D138" s="328">
        <f>'2022.01'!D138</f>
        <v>8254</v>
      </c>
      <c r="E138" s="328">
        <f>'[2]NLT-applied'!$C$24</f>
        <v>15939</v>
      </c>
      <c r="F138" s="328">
        <f>B138*D138</f>
        <v>489462.19999999995</v>
      </c>
      <c r="G138" s="328">
        <f>C138*E138</f>
        <v>1122105.6000000001</v>
      </c>
    </row>
    <row r="139" spans="1:7" x14ac:dyDescent="0.25">
      <c r="A139" s="329" t="str">
        <f>A21</f>
        <v>Dongtai Jianggang Swine farm</v>
      </c>
      <c r="B139" s="330">
        <f>ROUNDDOWN(AVERAGE(B24:D33),1)</f>
        <v>58.2</v>
      </c>
      <c r="C139" s="330">
        <f>ROUNDDOWN(AVERAGE(E24:G52),1)</f>
        <v>74.7</v>
      </c>
      <c r="D139" s="328">
        <f>'2022.01'!D139</f>
        <v>9392</v>
      </c>
      <c r="E139" s="328">
        <f>'[2]NLT-applied'!$E$24</f>
        <v>29452</v>
      </c>
      <c r="F139" s="328">
        <f t="shared" ref="F139:G141" si="0">B139*D139</f>
        <v>546614.4</v>
      </c>
      <c r="G139" s="328">
        <f t="shared" si="0"/>
        <v>2200064.4</v>
      </c>
    </row>
    <row r="140" spans="1:7" x14ac:dyDescent="0.25">
      <c r="A140" s="329" t="str">
        <f>A53</f>
        <v>Sheyang Linhai Swine farm</v>
      </c>
      <c r="B140" s="330">
        <f>ROUNDDOWN(AVERAGE(B56:D67),1)</f>
        <v>56.9</v>
      </c>
      <c r="C140" s="330">
        <f>ROUNDDOWN(AVERAGE(E56:G62),1)</f>
        <v>74.900000000000006</v>
      </c>
      <c r="D140" s="328">
        <f>'2022.01'!D140</f>
        <v>12135</v>
      </c>
      <c r="E140" s="328">
        <f>'[2]NLT-applied'!$G$24</f>
        <v>6416</v>
      </c>
      <c r="F140" s="328">
        <f t="shared" si="0"/>
        <v>690481.5</v>
      </c>
      <c r="G140" s="328">
        <f t="shared" si="0"/>
        <v>480558.4</v>
      </c>
    </row>
    <row r="141" spans="1:7" x14ac:dyDescent="0.25">
      <c r="A141" s="329" t="str">
        <f>A68</f>
        <v>Siyang Nanliuji Swine farm</v>
      </c>
      <c r="B141" s="330">
        <f>ROUNDDOWN(AVERAGE(B71:D133),1)</f>
        <v>58</v>
      </c>
      <c r="C141" s="328">
        <f>ROUNDDOWN(AVERAGE(0),1)</f>
        <v>0</v>
      </c>
      <c r="D141" s="328">
        <f>'2022.01'!D141</f>
        <v>64445</v>
      </c>
      <c r="E141" s="328">
        <f>'[3]NLT-applied'!$I$27</f>
        <v>0</v>
      </c>
      <c r="F141" s="328">
        <f t="shared" si="0"/>
        <v>3737810</v>
      </c>
      <c r="G141" s="328">
        <f t="shared" si="0"/>
        <v>0</v>
      </c>
    </row>
    <row r="142" spans="1:7" x14ac:dyDescent="0.25">
      <c r="A142" s="504" t="s">
        <v>343</v>
      </c>
      <c r="B142" s="510"/>
      <c r="C142" s="505"/>
      <c r="D142" s="328">
        <f>SUM(D138:D141)</f>
        <v>94226</v>
      </c>
      <c r="E142" s="328">
        <f>SUM(E138:E141)</f>
        <v>51807</v>
      </c>
      <c r="F142" s="328">
        <f>SUM(F138:F141)</f>
        <v>5464368.0999999996</v>
      </c>
      <c r="G142" s="328">
        <f>SUM(G138:G141)</f>
        <v>3802728.4</v>
      </c>
    </row>
    <row r="144" spans="1:7" x14ac:dyDescent="0.25">
      <c r="C144" s="504" t="s">
        <v>344</v>
      </c>
      <c r="D144" s="505"/>
    </row>
    <row r="145" spans="3:4" x14ac:dyDescent="0.25">
      <c r="C145" s="328" t="s">
        <v>341</v>
      </c>
      <c r="D145" s="328" t="s">
        <v>342</v>
      </c>
    </row>
    <row r="146" spans="3:4" x14ac:dyDescent="0.25">
      <c r="C146" s="331">
        <f>ROUNDDOWN(F142/D142,1)</f>
        <v>57.9</v>
      </c>
      <c r="D146" s="331">
        <f>ROUNDDOWN(G142/E142,1)</f>
        <v>73.400000000000006</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8285-2FF3-4892-B3A6-C574C4B45608}">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38.6</v>
      </c>
      <c r="C5" s="6">
        <v>57.8</v>
      </c>
      <c r="D5" s="6">
        <v>98.2</v>
      </c>
      <c r="E5" s="6">
        <v>39.9</v>
      </c>
      <c r="F5" s="6">
        <v>72.400000000000006</v>
      </c>
      <c r="G5" s="6">
        <v>88</v>
      </c>
    </row>
    <row r="6" spans="1:7" x14ac:dyDescent="0.25">
      <c r="A6" s="10">
        <v>2</v>
      </c>
      <c r="B6" s="6">
        <v>33.799999999999997</v>
      </c>
      <c r="C6" s="6">
        <v>60.6</v>
      </c>
      <c r="D6" s="6">
        <v>68.7</v>
      </c>
      <c r="E6" s="6">
        <v>47.2</v>
      </c>
      <c r="F6" s="6">
        <v>72.900000000000006</v>
      </c>
      <c r="G6" s="6">
        <v>114.3</v>
      </c>
    </row>
    <row r="7" spans="1:7" x14ac:dyDescent="0.25">
      <c r="A7" s="10">
        <v>3</v>
      </c>
      <c r="B7" s="6">
        <v>31.5</v>
      </c>
      <c r="C7" s="6">
        <v>51.5</v>
      </c>
      <c r="D7" s="6">
        <v>103.2</v>
      </c>
      <c r="E7" s="6">
        <v>45.2</v>
      </c>
      <c r="F7" s="6">
        <v>65.599999999999994</v>
      </c>
      <c r="G7" s="6">
        <v>99.3</v>
      </c>
    </row>
    <row r="8" spans="1:7" x14ac:dyDescent="0.25">
      <c r="A8" s="10">
        <v>4</v>
      </c>
      <c r="B8" s="6">
        <v>34.700000000000003</v>
      </c>
      <c r="C8" s="6">
        <v>48.2</v>
      </c>
      <c r="D8" s="6">
        <v>105.7</v>
      </c>
      <c r="E8" s="6">
        <v>38.5</v>
      </c>
      <c r="F8" s="6">
        <v>68.400000000000006</v>
      </c>
      <c r="G8" s="6">
        <v>103.9</v>
      </c>
    </row>
    <row r="9" spans="1:7" x14ac:dyDescent="0.25">
      <c r="A9" s="10">
        <v>5</v>
      </c>
      <c r="B9" s="6">
        <v>23.8</v>
      </c>
      <c r="C9" s="6">
        <v>60.7</v>
      </c>
      <c r="D9" s="6">
        <v>104.6</v>
      </c>
      <c r="E9" s="6">
        <v>34.5</v>
      </c>
      <c r="F9" s="6">
        <v>60.3</v>
      </c>
      <c r="G9" s="6">
        <v>117.9</v>
      </c>
    </row>
    <row r="10" spans="1:7" x14ac:dyDescent="0.25">
      <c r="A10" s="10">
        <v>6</v>
      </c>
      <c r="B10" s="6">
        <v>44.6</v>
      </c>
      <c r="C10" s="6">
        <v>48.8</v>
      </c>
      <c r="D10" s="6">
        <v>74.2</v>
      </c>
      <c r="E10" s="6">
        <v>53</v>
      </c>
      <c r="F10" s="6">
        <v>69.5</v>
      </c>
      <c r="G10" s="6">
        <v>88.7</v>
      </c>
    </row>
    <row r="11" spans="1:7" x14ac:dyDescent="0.25">
      <c r="A11" s="10">
        <v>7</v>
      </c>
      <c r="B11" s="6">
        <v>36.5</v>
      </c>
      <c r="C11" s="6">
        <v>48.9</v>
      </c>
      <c r="D11" s="6">
        <v>91.8</v>
      </c>
      <c r="E11" s="6">
        <v>42.9</v>
      </c>
      <c r="F11" s="6">
        <v>77.3</v>
      </c>
      <c r="G11" s="6">
        <v>105</v>
      </c>
    </row>
    <row r="12" spans="1:7" x14ac:dyDescent="0.25">
      <c r="A12" s="10">
        <v>8</v>
      </c>
      <c r="B12" s="6">
        <v>27.9</v>
      </c>
      <c r="C12" s="6">
        <v>49.2</v>
      </c>
      <c r="D12" s="6">
        <v>90.1</v>
      </c>
      <c r="E12" s="6">
        <v>51.9</v>
      </c>
      <c r="F12" s="6">
        <v>62.2</v>
      </c>
      <c r="G12" s="6">
        <v>117.8</v>
      </c>
    </row>
    <row r="13" spans="1:7" x14ac:dyDescent="0.25">
      <c r="A13" s="10">
        <v>9</v>
      </c>
      <c r="B13" s="6">
        <v>36.1</v>
      </c>
      <c r="C13" s="6">
        <v>64.900000000000006</v>
      </c>
      <c r="D13" s="6">
        <v>75</v>
      </c>
      <c r="E13" s="6">
        <v>42.3</v>
      </c>
      <c r="F13" s="6">
        <v>67.3</v>
      </c>
      <c r="G13" s="6">
        <v>111.3</v>
      </c>
    </row>
    <row r="14" spans="1:7" x14ac:dyDescent="0.25">
      <c r="A14" s="10">
        <v>10</v>
      </c>
      <c r="B14" s="6"/>
      <c r="C14" s="6"/>
      <c r="D14" s="6"/>
      <c r="E14" s="6">
        <v>32.6</v>
      </c>
      <c r="F14" s="6">
        <v>70</v>
      </c>
      <c r="G14" s="6">
        <v>120</v>
      </c>
    </row>
    <row r="15" spans="1:7" x14ac:dyDescent="0.25">
      <c r="A15" s="10">
        <v>11</v>
      </c>
      <c r="B15" s="6"/>
      <c r="C15" s="6"/>
      <c r="D15" s="6"/>
      <c r="E15" s="6">
        <v>26.2</v>
      </c>
      <c r="F15" s="6">
        <v>78.900000000000006</v>
      </c>
      <c r="G15" s="6">
        <v>93.6</v>
      </c>
    </row>
    <row r="16" spans="1:7" x14ac:dyDescent="0.25">
      <c r="A16" s="10">
        <v>12</v>
      </c>
      <c r="B16" s="6"/>
      <c r="C16" s="6"/>
      <c r="D16" s="6"/>
      <c r="E16" s="6">
        <v>31.5</v>
      </c>
      <c r="F16" s="6">
        <v>73.3</v>
      </c>
      <c r="G16" s="6">
        <v>87.5</v>
      </c>
    </row>
    <row r="17" spans="1:7" x14ac:dyDescent="0.25">
      <c r="A17" s="10">
        <v>13</v>
      </c>
      <c r="B17" s="6"/>
      <c r="C17" s="6"/>
      <c r="D17" s="6"/>
      <c r="E17" s="6">
        <v>47.4</v>
      </c>
      <c r="F17" s="6">
        <v>73.599999999999994</v>
      </c>
      <c r="G17" s="6">
        <v>107.5</v>
      </c>
    </row>
    <row r="18" spans="1:7" x14ac:dyDescent="0.25">
      <c r="A18" s="10">
        <v>14</v>
      </c>
      <c r="B18" s="6"/>
      <c r="C18" s="6"/>
      <c r="D18" s="6"/>
      <c r="E18" s="6">
        <v>58.8</v>
      </c>
      <c r="F18" s="6">
        <v>65.8</v>
      </c>
      <c r="G18" s="6">
        <v>113.7</v>
      </c>
    </row>
    <row r="19" spans="1:7" x14ac:dyDescent="0.25">
      <c r="A19" s="10">
        <v>15</v>
      </c>
      <c r="B19" s="6"/>
      <c r="C19" s="6"/>
      <c r="D19" s="6"/>
      <c r="E19" s="6">
        <v>28.8</v>
      </c>
      <c r="F19" s="6">
        <v>73.7</v>
      </c>
      <c r="G19" s="6">
        <v>95</v>
      </c>
    </row>
    <row r="20" spans="1:7" ht="14.5" thickBot="1" x14ac:dyDescent="0.3">
      <c r="A20" s="11">
        <v>16</v>
      </c>
      <c r="B20" s="12"/>
      <c r="C20" s="12"/>
      <c r="D20" s="12"/>
      <c r="E20" s="6">
        <v>50.7</v>
      </c>
      <c r="F20" s="6">
        <v>78.5</v>
      </c>
      <c r="G20" s="6">
        <v>106.1</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33.700000000000003</v>
      </c>
      <c r="C24" s="6">
        <v>47.9</v>
      </c>
      <c r="D24" s="6">
        <v>79.7</v>
      </c>
      <c r="E24" s="6">
        <v>31.3</v>
      </c>
      <c r="F24" s="6">
        <v>63.6</v>
      </c>
      <c r="G24" s="6">
        <v>97.5</v>
      </c>
    </row>
    <row r="25" spans="1:7" x14ac:dyDescent="0.25">
      <c r="A25" s="10">
        <v>2</v>
      </c>
      <c r="B25" s="6">
        <v>36.700000000000003</v>
      </c>
      <c r="C25" s="6">
        <v>50.9</v>
      </c>
      <c r="D25" s="6">
        <v>67.400000000000006</v>
      </c>
      <c r="E25" s="6">
        <v>41.6</v>
      </c>
      <c r="F25" s="6">
        <v>63.6</v>
      </c>
      <c r="G25" s="6">
        <v>117.3</v>
      </c>
    </row>
    <row r="26" spans="1:7" x14ac:dyDescent="0.25">
      <c r="A26" s="10">
        <v>3</v>
      </c>
      <c r="B26" s="6">
        <v>39.4</v>
      </c>
      <c r="C26" s="6">
        <v>63.9</v>
      </c>
      <c r="D26" s="6">
        <v>73.2</v>
      </c>
      <c r="E26" s="6">
        <v>42.4</v>
      </c>
      <c r="F26" s="6">
        <v>69.599999999999994</v>
      </c>
      <c r="G26" s="6">
        <v>108</v>
      </c>
    </row>
    <row r="27" spans="1:7" x14ac:dyDescent="0.25">
      <c r="A27" s="10">
        <v>4</v>
      </c>
      <c r="B27" s="6">
        <v>25.4</v>
      </c>
      <c r="C27" s="6">
        <v>50.8</v>
      </c>
      <c r="D27" s="6">
        <v>82.3</v>
      </c>
      <c r="E27" s="6">
        <v>39.4</v>
      </c>
      <c r="F27" s="6">
        <v>80.400000000000006</v>
      </c>
      <c r="G27" s="6">
        <v>97.2</v>
      </c>
    </row>
    <row r="28" spans="1:7" x14ac:dyDescent="0.25">
      <c r="A28" s="10">
        <v>5</v>
      </c>
      <c r="B28" s="6">
        <v>32.1</v>
      </c>
      <c r="C28" s="6">
        <v>63.2</v>
      </c>
      <c r="D28" s="6">
        <v>73.2</v>
      </c>
      <c r="E28" s="6">
        <v>39.799999999999997</v>
      </c>
      <c r="F28" s="6">
        <v>78.7</v>
      </c>
      <c r="G28" s="6">
        <v>96.4</v>
      </c>
    </row>
    <row r="29" spans="1:7" x14ac:dyDescent="0.25">
      <c r="A29" s="10">
        <v>6</v>
      </c>
      <c r="B29" s="6">
        <v>43.9</v>
      </c>
      <c r="C29" s="6">
        <v>48.6</v>
      </c>
      <c r="D29" s="6">
        <v>72.599999999999994</v>
      </c>
      <c r="E29" s="6">
        <v>34.1</v>
      </c>
      <c r="F29" s="6">
        <v>75.099999999999994</v>
      </c>
      <c r="G29" s="6">
        <v>103.6</v>
      </c>
    </row>
    <row r="30" spans="1:7" x14ac:dyDescent="0.25">
      <c r="A30" s="10">
        <v>7</v>
      </c>
      <c r="B30" s="6">
        <v>43.9</v>
      </c>
      <c r="C30" s="6">
        <v>63.9</v>
      </c>
      <c r="D30" s="6">
        <v>70.5</v>
      </c>
      <c r="E30" s="6">
        <v>27.1</v>
      </c>
      <c r="F30" s="6">
        <v>68.3</v>
      </c>
      <c r="G30" s="6">
        <v>111.9</v>
      </c>
    </row>
    <row r="31" spans="1:7" x14ac:dyDescent="0.25">
      <c r="A31" s="10">
        <v>8</v>
      </c>
      <c r="B31" s="6">
        <v>24.4</v>
      </c>
      <c r="C31" s="6">
        <v>53.4</v>
      </c>
      <c r="D31" s="6">
        <v>86.1</v>
      </c>
      <c r="E31" s="6">
        <v>34</v>
      </c>
      <c r="F31" s="6">
        <v>62.1</v>
      </c>
      <c r="G31" s="6">
        <v>107.4</v>
      </c>
    </row>
    <row r="32" spans="1:7" x14ac:dyDescent="0.25">
      <c r="A32" s="10">
        <v>9</v>
      </c>
      <c r="B32" s="6">
        <v>43.6</v>
      </c>
      <c r="C32" s="6">
        <v>47.1</v>
      </c>
      <c r="D32" s="6">
        <v>67.5</v>
      </c>
      <c r="E32" s="6">
        <v>49.8</v>
      </c>
      <c r="F32" s="6">
        <v>69.400000000000006</v>
      </c>
      <c r="G32" s="6">
        <v>93.4</v>
      </c>
    </row>
    <row r="33" spans="1:7" x14ac:dyDescent="0.25">
      <c r="A33" s="10">
        <v>10</v>
      </c>
      <c r="B33" s="6">
        <v>37.5</v>
      </c>
      <c r="C33" s="6">
        <v>57.7</v>
      </c>
      <c r="D33" s="6">
        <v>82.6</v>
      </c>
      <c r="E33" s="6">
        <v>57.1</v>
      </c>
      <c r="F33" s="6">
        <v>70</v>
      </c>
      <c r="G33" s="6">
        <v>93.4</v>
      </c>
    </row>
    <row r="34" spans="1:7" x14ac:dyDescent="0.25">
      <c r="A34" s="10">
        <v>11</v>
      </c>
      <c r="B34" s="6"/>
      <c r="C34" s="6"/>
      <c r="D34" s="6"/>
      <c r="E34" s="6">
        <v>50.4</v>
      </c>
      <c r="F34" s="6">
        <v>84</v>
      </c>
      <c r="G34" s="6">
        <v>116</v>
      </c>
    </row>
    <row r="35" spans="1:7" x14ac:dyDescent="0.25">
      <c r="A35" s="10">
        <v>12</v>
      </c>
      <c r="B35" s="6"/>
      <c r="C35" s="6"/>
      <c r="D35" s="6"/>
      <c r="E35" s="6">
        <v>55.6</v>
      </c>
      <c r="F35" s="6">
        <v>76.7</v>
      </c>
      <c r="G35" s="6">
        <v>99.2</v>
      </c>
    </row>
    <row r="36" spans="1:7" x14ac:dyDescent="0.25">
      <c r="A36" s="10">
        <v>13</v>
      </c>
      <c r="B36" s="6"/>
      <c r="C36" s="6"/>
      <c r="D36" s="6"/>
      <c r="E36" s="6">
        <v>40</v>
      </c>
      <c r="F36" s="6">
        <v>84</v>
      </c>
      <c r="G36" s="6">
        <v>102.9</v>
      </c>
    </row>
    <row r="37" spans="1:7" x14ac:dyDescent="0.25">
      <c r="A37" s="10">
        <v>14</v>
      </c>
      <c r="B37" s="6"/>
      <c r="C37" s="6"/>
      <c r="D37" s="6"/>
      <c r="E37" s="6">
        <v>51.3</v>
      </c>
      <c r="F37" s="6">
        <v>82.4</v>
      </c>
      <c r="G37" s="6">
        <v>105.5</v>
      </c>
    </row>
    <row r="38" spans="1:7" x14ac:dyDescent="0.25">
      <c r="A38" s="10">
        <v>15</v>
      </c>
      <c r="B38" s="6"/>
      <c r="C38" s="6"/>
      <c r="D38" s="6"/>
      <c r="E38" s="6">
        <v>39.299999999999997</v>
      </c>
      <c r="F38" s="6">
        <v>73</v>
      </c>
      <c r="G38" s="6">
        <v>112.2</v>
      </c>
    </row>
    <row r="39" spans="1:7" x14ac:dyDescent="0.25">
      <c r="A39" s="10">
        <v>16</v>
      </c>
      <c r="B39" s="6"/>
      <c r="C39" s="6"/>
      <c r="D39" s="6"/>
      <c r="E39" s="6">
        <v>43.9</v>
      </c>
      <c r="F39" s="6">
        <v>69.7</v>
      </c>
      <c r="G39" s="6">
        <v>112.5</v>
      </c>
    </row>
    <row r="40" spans="1:7" x14ac:dyDescent="0.25">
      <c r="A40" s="10">
        <v>17</v>
      </c>
      <c r="B40" s="6"/>
      <c r="C40" s="6"/>
      <c r="D40" s="6"/>
      <c r="E40" s="6">
        <v>34.799999999999997</v>
      </c>
      <c r="F40" s="6">
        <v>63</v>
      </c>
      <c r="G40" s="6">
        <v>100.1</v>
      </c>
    </row>
    <row r="41" spans="1:7" x14ac:dyDescent="0.25">
      <c r="A41" s="10">
        <v>18</v>
      </c>
      <c r="B41" s="6"/>
      <c r="C41" s="6"/>
      <c r="D41" s="6"/>
      <c r="E41" s="6">
        <v>27.3</v>
      </c>
      <c r="F41" s="6">
        <v>67.3</v>
      </c>
      <c r="G41" s="6">
        <v>90.9</v>
      </c>
    </row>
    <row r="42" spans="1:7" x14ac:dyDescent="0.25">
      <c r="A42" s="10">
        <v>19</v>
      </c>
      <c r="B42" s="6"/>
      <c r="C42" s="6"/>
      <c r="D42" s="6"/>
      <c r="E42" s="6">
        <v>37.6</v>
      </c>
      <c r="F42" s="6">
        <v>75.8</v>
      </c>
      <c r="G42" s="6">
        <v>103.6</v>
      </c>
    </row>
    <row r="43" spans="1:7" x14ac:dyDescent="0.25">
      <c r="A43" s="10">
        <v>20</v>
      </c>
      <c r="B43" s="6"/>
      <c r="C43" s="6"/>
      <c r="D43" s="6"/>
      <c r="E43" s="6">
        <v>36.1</v>
      </c>
      <c r="F43" s="6">
        <v>64.5</v>
      </c>
      <c r="G43" s="6">
        <v>97.7</v>
      </c>
    </row>
    <row r="44" spans="1:7" x14ac:dyDescent="0.25">
      <c r="A44" s="10">
        <v>21</v>
      </c>
      <c r="B44" s="6"/>
      <c r="C44" s="6"/>
      <c r="D44" s="6"/>
      <c r="E44" s="6">
        <v>45.2</v>
      </c>
      <c r="F44" s="6">
        <v>62.7</v>
      </c>
      <c r="G44" s="6">
        <v>99.3</v>
      </c>
    </row>
    <row r="45" spans="1:7" x14ac:dyDescent="0.25">
      <c r="A45" s="10">
        <v>22</v>
      </c>
      <c r="B45" s="6"/>
      <c r="C45" s="6"/>
      <c r="D45" s="6"/>
      <c r="E45" s="6">
        <v>43.4</v>
      </c>
      <c r="F45" s="6">
        <v>66.7</v>
      </c>
      <c r="G45" s="6">
        <v>86</v>
      </c>
    </row>
    <row r="46" spans="1:7" x14ac:dyDescent="0.25">
      <c r="A46" s="10">
        <v>23</v>
      </c>
      <c r="B46" s="6"/>
      <c r="C46" s="6"/>
      <c r="D46" s="6"/>
      <c r="E46" s="6">
        <v>44.5</v>
      </c>
      <c r="F46" s="6">
        <v>66.099999999999994</v>
      </c>
      <c r="G46" s="6">
        <v>86.4</v>
      </c>
    </row>
    <row r="47" spans="1:7" x14ac:dyDescent="0.25">
      <c r="A47" s="10">
        <v>24</v>
      </c>
      <c r="B47" s="6"/>
      <c r="C47" s="6"/>
      <c r="D47" s="6"/>
      <c r="E47" s="6">
        <v>27.7</v>
      </c>
      <c r="F47" s="6">
        <v>72.400000000000006</v>
      </c>
      <c r="G47" s="6">
        <v>101.4</v>
      </c>
    </row>
    <row r="48" spans="1:7" x14ac:dyDescent="0.25">
      <c r="A48" s="10">
        <v>25</v>
      </c>
      <c r="B48" s="6"/>
      <c r="C48" s="6"/>
      <c r="D48" s="6"/>
      <c r="E48" s="6">
        <v>28.7</v>
      </c>
      <c r="F48" s="6">
        <v>74.900000000000006</v>
      </c>
      <c r="G48" s="6">
        <v>103.2</v>
      </c>
    </row>
    <row r="49" spans="1:7" x14ac:dyDescent="0.25">
      <c r="A49" s="10">
        <v>26</v>
      </c>
      <c r="B49" s="6"/>
      <c r="C49" s="13"/>
      <c r="D49" s="6"/>
      <c r="E49" s="6">
        <v>48.7</v>
      </c>
      <c r="F49" s="6">
        <v>84.6</v>
      </c>
      <c r="G49" s="6">
        <v>108.3</v>
      </c>
    </row>
    <row r="50" spans="1:7" x14ac:dyDescent="0.25">
      <c r="A50" s="10">
        <v>27</v>
      </c>
      <c r="B50" s="6"/>
      <c r="C50" s="13"/>
      <c r="D50" s="6"/>
      <c r="E50" s="6">
        <v>45.9</v>
      </c>
      <c r="F50" s="6">
        <v>63.9</v>
      </c>
      <c r="G50" s="6">
        <v>100.4</v>
      </c>
    </row>
    <row r="51" spans="1:7" x14ac:dyDescent="0.25">
      <c r="A51" s="10">
        <v>28</v>
      </c>
      <c r="B51" s="6"/>
      <c r="C51" s="14"/>
      <c r="D51" s="6"/>
      <c r="E51" s="6">
        <v>53.9</v>
      </c>
      <c r="F51" s="6">
        <v>81.099999999999994</v>
      </c>
      <c r="G51" s="6">
        <v>87</v>
      </c>
    </row>
    <row r="52" spans="1:7" ht="14.5" thickBot="1" x14ac:dyDescent="0.3">
      <c r="A52" s="11">
        <v>29</v>
      </c>
      <c r="B52" s="15"/>
      <c r="C52" s="15"/>
      <c r="D52" s="12"/>
      <c r="E52" s="6">
        <v>37.700000000000003</v>
      </c>
      <c r="F52" s="6">
        <v>77.7</v>
      </c>
      <c r="G52" s="6">
        <v>116.6</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25.1</v>
      </c>
      <c r="C56" s="6">
        <v>56.8</v>
      </c>
      <c r="D56" s="6">
        <v>106.8</v>
      </c>
      <c r="E56" s="6">
        <v>39.700000000000003</v>
      </c>
      <c r="F56" s="6">
        <v>65.599999999999994</v>
      </c>
      <c r="G56" s="6">
        <v>114.2</v>
      </c>
    </row>
    <row r="57" spans="1:7" x14ac:dyDescent="0.25">
      <c r="A57" s="10">
        <v>2</v>
      </c>
      <c r="B57" s="6">
        <v>23.7</v>
      </c>
      <c r="C57" s="6">
        <v>52.3</v>
      </c>
      <c r="D57" s="6">
        <v>93.3</v>
      </c>
      <c r="E57" s="6">
        <v>28.1</v>
      </c>
      <c r="F57" s="6">
        <v>75.099999999999994</v>
      </c>
      <c r="G57" s="6">
        <v>111.7</v>
      </c>
    </row>
    <row r="58" spans="1:7" x14ac:dyDescent="0.25">
      <c r="A58" s="10">
        <v>3</v>
      </c>
      <c r="B58" s="6">
        <v>39.700000000000003</v>
      </c>
      <c r="C58" s="6">
        <v>51.1</v>
      </c>
      <c r="D58" s="6">
        <v>99.1</v>
      </c>
      <c r="E58" s="6">
        <v>29.3</v>
      </c>
      <c r="F58" s="6">
        <v>67.900000000000006</v>
      </c>
      <c r="G58" s="6">
        <v>118</v>
      </c>
    </row>
    <row r="59" spans="1:7" x14ac:dyDescent="0.25">
      <c r="A59" s="10">
        <v>4</v>
      </c>
      <c r="B59" s="6">
        <v>33.1</v>
      </c>
      <c r="C59" s="6">
        <v>64.7</v>
      </c>
      <c r="D59" s="6">
        <v>83.8</v>
      </c>
      <c r="E59" s="6">
        <v>56.9</v>
      </c>
      <c r="F59" s="6">
        <v>78.7</v>
      </c>
      <c r="G59" s="6">
        <v>116.3</v>
      </c>
    </row>
    <row r="60" spans="1:7" x14ac:dyDescent="0.25">
      <c r="A60" s="10">
        <v>5</v>
      </c>
      <c r="B60" s="6">
        <v>41.5</v>
      </c>
      <c r="C60" s="6">
        <v>52.7</v>
      </c>
      <c r="D60" s="6">
        <v>109</v>
      </c>
      <c r="E60" s="6">
        <v>53.2</v>
      </c>
      <c r="F60" s="6">
        <v>66.099999999999994</v>
      </c>
      <c r="G60" s="6">
        <v>107.9</v>
      </c>
    </row>
    <row r="61" spans="1:7" x14ac:dyDescent="0.25">
      <c r="A61" s="10">
        <v>6</v>
      </c>
      <c r="B61" s="6">
        <v>29.9</v>
      </c>
      <c r="C61" s="6">
        <v>63</v>
      </c>
      <c r="D61" s="6">
        <v>109.1</v>
      </c>
      <c r="E61" s="6">
        <v>32.6</v>
      </c>
      <c r="F61" s="6">
        <v>66.7</v>
      </c>
      <c r="G61" s="6">
        <v>118</v>
      </c>
    </row>
    <row r="62" spans="1:7" x14ac:dyDescent="0.25">
      <c r="A62" s="10">
        <v>7</v>
      </c>
      <c r="B62" s="6">
        <v>28.3</v>
      </c>
      <c r="C62" s="6">
        <v>48.5</v>
      </c>
      <c r="D62" s="6">
        <v>108.5</v>
      </c>
      <c r="E62" s="6">
        <v>49.1</v>
      </c>
      <c r="F62" s="6">
        <v>74.5</v>
      </c>
      <c r="G62" s="6">
        <v>87.9</v>
      </c>
    </row>
    <row r="63" spans="1:7" x14ac:dyDescent="0.25">
      <c r="A63" s="10">
        <v>8</v>
      </c>
      <c r="B63" s="6">
        <v>26.5</v>
      </c>
      <c r="C63" s="6">
        <v>61.3</v>
      </c>
      <c r="D63" s="6">
        <v>103</v>
      </c>
      <c r="E63" s="6"/>
      <c r="F63" s="6"/>
      <c r="G63" s="6"/>
    </row>
    <row r="64" spans="1:7" x14ac:dyDescent="0.25">
      <c r="A64" s="10">
        <v>9</v>
      </c>
      <c r="B64" s="6">
        <v>38.299999999999997</v>
      </c>
      <c r="C64" s="6">
        <v>63.6</v>
      </c>
      <c r="D64" s="6">
        <v>108.5</v>
      </c>
      <c r="E64" s="6"/>
      <c r="F64" s="6"/>
      <c r="G64" s="6"/>
    </row>
    <row r="65" spans="1:7" x14ac:dyDescent="0.25">
      <c r="A65" s="10">
        <v>10</v>
      </c>
      <c r="B65" s="6">
        <v>32.5</v>
      </c>
      <c r="C65" s="6">
        <v>63</v>
      </c>
      <c r="D65" s="6">
        <v>106.6</v>
      </c>
      <c r="E65" s="6"/>
      <c r="F65" s="6"/>
      <c r="G65" s="6"/>
    </row>
    <row r="66" spans="1:7" x14ac:dyDescent="0.25">
      <c r="A66" s="10">
        <v>11</v>
      </c>
      <c r="B66" s="6">
        <v>35</v>
      </c>
      <c r="C66" s="6">
        <v>62.1</v>
      </c>
      <c r="D66" s="6">
        <v>107.2</v>
      </c>
      <c r="E66" s="6"/>
      <c r="F66" s="6"/>
      <c r="G66" s="6"/>
    </row>
    <row r="67" spans="1:7" ht="14.5" thickBot="1" x14ac:dyDescent="0.3">
      <c r="A67" s="11">
        <v>12</v>
      </c>
      <c r="B67" s="6">
        <v>27.6</v>
      </c>
      <c r="C67" s="6">
        <v>60.6</v>
      </c>
      <c r="D67" s="6">
        <v>87.1</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36.1</v>
      </c>
      <c r="C71" s="6">
        <v>57.7</v>
      </c>
      <c r="D71" s="6">
        <v>70.900000000000006</v>
      </c>
      <c r="E71" s="6"/>
      <c r="F71" s="6"/>
      <c r="G71" s="6"/>
    </row>
    <row r="72" spans="1:7" x14ac:dyDescent="0.25">
      <c r="A72" s="10">
        <v>2</v>
      </c>
      <c r="B72" s="6">
        <v>30.7</v>
      </c>
      <c r="C72" s="6">
        <v>51.2</v>
      </c>
      <c r="D72" s="6">
        <v>93.1</v>
      </c>
      <c r="E72" s="5"/>
      <c r="F72" s="5"/>
      <c r="G72" s="6"/>
    </row>
    <row r="73" spans="1:7" x14ac:dyDescent="0.25">
      <c r="A73" s="10">
        <v>3</v>
      </c>
      <c r="B73" s="6">
        <v>21.9</v>
      </c>
      <c r="C73" s="6">
        <v>60.3</v>
      </c>
      <c r="D73" s="6">
        <v>99.1</v>
      </c>
      <c r="E73" s="5"/>
      <c r="F73" s="5"/>
      <c r="G73" s="5"/>
    </row>
    <row r="74" spans="1:7" x14ac:dyDescent="0.25">
      <c r="A74" s="10">
        <v>4</v>
      </c>
      <c r="B74" s="6">
        <v>21.6</v>
      </c>
      <c r="C74" s="6">
        <v>63</v>
      </c>
      <c r="D74" s="6">
        <v>72.3</v>
      </c>
      <c r="E74" s="5"/>
      <c r="F74" s="5"/>
      <c r="G74" s="5"/>
    </row>
    <row r="75" spans="1:7" x14ac:dyDescent="0.25">
      <c r="A75" s="10">
        <v>5</v>
      </c>
      <c r="B75" s="6">
        <v>26</v>
      </c>
      <c r="C75" s="6">
        <v>55.6</v>
      </c>
      <c r="D75" s="6">
        <v>97.4</v>
      </c>
      <c r="E75" s="5"/>
      <c r="F75" s="5"/>
      <c r="G75" s="5"/>
    </row>
    <row r="76" spans="1:7" x14ac:dyDescent="0.25">
      <c r="A76" s="10">
        <v>6</v>
      </c>
      <c r="B76" s="6">
        <v>33.5</v>
      </c>
      <c r="C76" s="6">
        <v>53.1</v>
      </c>
      <c r="D76" s="6">
        <v>76.8</v>
      </c>
      <c r="E76" s="5"/>
      <c r="F76" s="5"/>
      <c r="G76" s="5"/>
    </row>
    <row r="77" spans="1:7" x14ac:dyDescent="0.25">
      <c r="A77" s="10">
        <v>7</v>
      </c>
      <c r="B77" s="6">
        <v>32.1</v>
      </c>
      <c r="C77" s="6">
        <v>46.2</v>
      </c>
      <c r="D77" s="6">
        <v>79.099999999999994</v>
      </c>
      <c r="E77" s="5"/>
      <c r="F77" s="5"/>
      <c r="G77" s="5"/>
    </row>
    <row r="78" spans="1:7" x14ac:dyDescent="0.25">
      <c r="A78" s="10">
        <v>8</v>
      </c>
      <c r="B78" s="6">
        <v>20.9</v>
      </c>
      <c r="C78" s="6">
        <v>59.6</v>
      </c>
      <c r="D78" s="6">
        <v>85.6</v>
      </c>
      <c r="E78" s="5"/>
      <c r="F78" s="5"/>
      <c r="G78" s="5"/>
    </row>
    <row r="79" spans="1:7" x14ac:dyDescent="0.25">
      <c r="A79" s="10">
        <v>9</v>
      </c>
      <c r="B79" s="6">
        <v>44.2</v>
      </c>
      <c r="C79" s="6">
        <v>61.3</v>
      </c>
      <c r="D79" s="6">
        <v>83.9</v>
      </c>
      <c r="E79" s="5"/>
      <c r="F79" s="5"/>
      <c r="G79" s="5"/>
    </row>
    <row r="80" spans="1:7" x14ac:dyDescent="0.25">
      <c r="A80" s="10">
        <v>10</v>
      </c>
      <c r="B80" s="6">
        <v>38.700000000000003</v>
      </c>
      <c r="C80" s="6">
        <v>54.1</v>
      </c>
      <c r="D80" s="6">
        <v>68.8</v>
      </c>
      <c r="E80" s="5"/>
      <c r="F80" s="5"/>
      <c r="G80" s="5"/>
    </row>
    <row r="81" spans="1:7" x14ac:dyDescent="0.25">
      <c r="A81" s="10">
        <v>11</v>
      </c>
      <c r="B81" s="6">
        <v>39.299999999999997</v>
      </c>
      <c r="C81" s="6">
        <v>56.8</v>
      </c>
      <c r="D81" s="6">
        <v>86.3</v>
      </c>
      <c r="E81" s="5"/>
      <c r="F81" s="5"/>
      <c r="G81" s="5"/>
    </row>
    <row r="82" spans="1:7" x14ac:dyDescent="0.25">
      <c r="A82" s="10">
        <v>12</v>
      </c>
      <c r="B82" s="6">
        <v>25.5</v>
      </c>
      <c r="C82" s="6">
        <v>49.9</v>
      </c>
      <c r="D82" s="6">
        <v>107.9</v>
      </c>
      <c r="E82" s="5"/>
      <c r="F82" s="5"/>
      <c r="G82" s="5"/>
    </row>
    <row r="83" spans="1:7" x14ac:dyDescent="0.25">
      <c r="A83" s="10">
        <v>13</v>
      </c>
      <c r="B83" s="6">
        <v>28.1</v>
      </c>
      <c r="C83" s="6">
        <v>45.7</v>
      </c>
      <c r="D83" s="6">
        <v>92.3</v>
      </c>
      <c r="E83" s="5"/>
      <c r="F83" s="5"/>
      <c r="G83" s="5"/>
    </row>
    <row r="84" spans="1:7" x14ac:dyDescent="0.25">
      <c r="A84" s="10">
        <v>14</v>
      </c>
      <c r="B84" s="6">
        <v>20.6</v>
      </c>
      <c r="C84" s="6">
        <v>50</v>
      </c>
      <c r="D84" s="6">
        <v>77.400000000000006</v>
      </c>
      <c r="E84" s="5"/>
      <c r="F84" s="5"/>
      <c r="G84" s="5"/>
    </row>
    <row r="85" spans="1:7" x14ac:dyDescent="0.25">
      <c r="A85" s="10">
        <v>15</v>
      </c>
      <c r="B85" s="6">
        <v>23.6</v>
      </c>
      <c r="C85" s="6">
        <v>50.9</v>
      </c>
      <c r="D85" s="6">
        <v>90.7</v>
      </c>
      <c r="E85" s="5"/>
      <c r="F85" s="5"/>
      <c r="G85" s="5"/>
    </row>
    <row r="86" spans="1:7" x14ac:dyDescent="0.25">
      <c r="A86" s="10">
        <v>16</v>
      </c>
      <c r="B86" s="6">
        <v>23.3</v>
      </c>
      <c r="C86" s="6">
        <v>60.2</v>
      </c>
      <c r="D86" s="6">
        <v>94.5</v>
      </c>
      <c r="E86" s="5"/>
      <c r="F86" s="5"/>
      <c r="G86" s="5"/>
    </row>
    <row r="87" spans="1:7" x14ac:dyDescent="0.25">
      <c r="A87" s="10">
        <v>17</v>
      </c>
      <c r="B87" s="6">
        <v>29.1</v>
      </c>
      <c r="C87" s="6">
        <v>50.4</v>
      </c>
      <c r="D87" s="6">
        <v>75</v>
      </c>
      <c r="E87" s="5"/>
      <c r="F87" s="5"/>
      <c r="G87" s="5"/>
    </row>
    <row r="88" spans="1:7" x14ac:dyDescent="0.25">
      <c r="A88" s="10">
        <v>18</v>
      </c>
      <c r="B88" s="6">
        <v>36.200000000000003</v>
      </c>
      <c r="C88" s="6">
        <v>62.4</v>
      </c>
      <c r="D88" s="6">
        <v>107.9</v>
      </c>
      <c r="E88" s="5"/>
      <c r="F88" s="5"/>
      <c r="G88" s="5"/>
    </row>
    <row r="89" spans="1:7" x14ac:dyDescent="0.25">
      <c r="A89" s="10">
        <v>19</v>
      </c>
      <c r="B89" s="6">
        <v>41</v>
      </c>
      <c r="C89" s="6">
        <v>50.5</v>
      </c>
      <c r="D89" s="6">
        <v>100.6</v>
      </c>
      <c r="E89" s="5"/>
      <c r="F89" s="5"/>
      <c r="G89" s="5"/>
    </row>
    <row r="90" spans="1:7" x14ac:dyDescent="0.25">
      <c r="A90" s="10">
        <v>20</v>
      </c>
      <c r="B90" s="6">
        <v>41.1</v>
      </c>
      <c r="C90" s="6">
        <v>61.7</v>
      </c>
      <c r="D90" s="6">
        <v>78.400000000000006</v>
      </c>
      <c r="E90" s="5"/>
      <c r="F90" s="5"/>
      <c r="G90" s="5"/>
    </row>
    <row r="91" spans="1:7" x14ac:dyDescent="0.25">
      <c r="A91" s="10">
        <v>21</v>
      </c>
      <c r="B91" s="6">
        <v>33.4</v>
      </c>
      <c r="C91" s="6">
        <v>63.4</v>
      </c>
      <c r="D91" s="6">
        <v>73.400000000000006</v>
      </c>
      <c r="E91" s="5"/>
      <c r="F91" s="5"/>
      <c r="G91" s="5"/>
    </row>
    <row r="92" spans="1:7" x14ac:dyDescent="0.25">
      <c r="A92" s="10">
        <v>22</v>
      </c>
      <c r="B92" s="6">
        <v>39.6</v>
      </c>
      <c r="C92" s="6">
        <v>64.8</v>
      </c>
      <c r="D92" s="6">
        <v>76.400000000000006</v>
      </c>
      <c r="E92" s="5"/>
      <c r="F92" s="5"/>
      <c r="G92" s="5"/>
    </row>
    <row r="93" spans="1:7" x14ac:dyDescent="0.25">
      <c r="A93" s="10">
        <v>23</v>
      </c>
      <c r="B93" s="6">
        <v>25.6</v>
      </c>
      <c r="C93" s="6">
        <v>62.6</v>
      </c>
      <c r="D93" s="6">
        <v>102.2</v>
      </c>
      <c r="E93" s="5"/>
      <c r="F93" s="5"/>
      <c r="G93" s="5"/>
    </row>
    <row r="94" spans="1:7" x14ac:dyDescent="0.25">
      <c r="A94" s="10">
        <v>24</v>
      </c>
      <c r="B94" s="6">
        <v>34</v>
      </c>
      <c r="C94" s="6">
        <v>56.3</v>
      </c>
      <c r="D94" s="6">
        <v>65</v>
      </c>
      <c r="E94" s="5"/>
      <c r="F94" s="5"/>
      <c r="G94" s="5"/>
    </row>
    <row r="95" spans="1:7" x14ac:dyDescent="0.25">
      <c r="A95" s="10">
        <v>25</v>
      </c>
      <c r="B95" s="6">
        <v>31.7</v>
      </c>
      <c r="C95" s="6">
        <v>61.9</v>
      </c>
      <c r="D95" s="6">
        <v>109.9</v>
      </c>
      <c r="E95" s="5"/>
      <c r="F95" s="5"/>
      <c r="G95" s="5"/>
    </row>
    <row r="96" spans="1:7" x14ac:dyDescent="0.25">
      <c r="A96" s="10">
        <v>26</v>
      </c>
      <c r="B96" s="6">
        <v>25.8</v>
      </c>
      <c r="C96" s="6">
        <v>61.3</v>
      </c>
      <c r="D96" s="6">
        <v>83.7</v>
      </c>
      <c r="E96" s="14"/>
      <c r="F96" s="14"/>
      <c r="G96" s="14"/>
    </row>
    <row r="97" spans="1:7" x14ac:dyDescent="0.25">
      <c r="A97" s="10">
        <v>27</v>
      </c>
      <c r="B97" s="6">
        <v>42.4</v>
      </c>
      <c r="C97" s="6">
        <v>54.1</v>
      </c>
      <c r="D97" s="6">
        <v>65</v>
      </c>
      <c r="E97" s="14"/>
      <c r="F97" s="14"/>
      <c r="G97" s="14"/>
    </row>
    <row r="98" spans="1:7" x14ac:dyDescent="0.25">
      <c r="A98" s="10">
        <v>28</v>
      </c>
      <c r="B98" s="6">
        <v>35.6</v>
      </c>
      <c r="C98" s="6">
        <v>61.7</v>
      </c>
      <c r="D98" s="6">
        <v>81.099999999999994</v>
      </c>
      <c r="E98" s="14"/>
      <c r="F98" s="14"/>
      <c r="G98" s="14"/>
    </row>
    <row r="99" spans="1:7" x14ac:dyDescent="0.25">
      <c r="A99" s="10">
        <v>29</v>
      </c>
      <c r="B99" s="6">
        <v>37.799999999999997</v>
      </c>
      <c r="C99" s="6">
        <v>46.4</v>
      </c>
      <c r="D99" s="6">
        <v>85</v>
      </c>
      <c r="E99" s="5"/>
      <c r="F99" s="5"/>
      <c r="G99" s="5"/>
    </row>
    <row r="100" spans="1:7" x14ac:dyDescent="0.25">
      <c r="A100" s="10">
        <v>30</v>
      </c>
      <c r="B100" s="6">
        <v>24.5</v>
      </c>
      <c r="C100" s="6">
        <v>56.1</v>
      </c>
      <c r="D100" s="6">
        <v>69.8</v>
      </c>
      <c r="E100" s="1"/>
      <c r="F100" s="1"/>
      <c r="G100" s="1"/>
    </row>
    <row r="101" spans="1:7" x14ac:dyDescent="0.25">
      <c r="A101" s="10">
        <v>31</v>
      </c>
      <c r="B101" s="6">
        <v>21.5</v>
      </c>
      <c r="C101" s="6">
        <v>64</v>
      </c>
      <c r="D101" s="6">
        <v>98.7</v>
      </c>
      <c r="E101" s="1"/>
      <c r="F101" s="1"/>
      <c r="G101" s="1"/>
    </row>
    <row r="102" spans="1:7" x14ac:dyDescent="0.25">
      <c r="A102" s="10">
        <v>32</v>
      </c>
      <c r="B102" s="6">
        <v>36.700000000000003</v>
      </c>
      <c r="C102" s="6">
        <v>64.400000000000006</v>
      </c>
      <c r="D102" s="6">
        <v>98.2</v>
      </c>
      <c r="E102" s="1"/>
      <c r="F102" s="1"/>
      <c r="G102" s="1"/>
    </row>
    <row r="103" spans="1:7" x14ac:dyDescent="0.25">
      <c r="A103" s="10">
        <v>33</v>
      </c>
      <c r="B103" s="6">
        <v>39.700000000000003</v>
      </c>
      <c r="C103" s="6">
        <v>46.8</v>
      </c>
      <c r="D103" s="6">
        <v>82.3</v>
      </c>
      <c r="E103" s="1"/>
      <c r="F103" s="1"/>
      <c r="G103" s="1"/>
    </row>
    <row r="104" spans="1:7" x14ac:dyDescent="0.25">
      <c r="A104" s="10">
        <v>34</v>
      </c>
      <c r="B104" s="6">
        <v>43.2</v>
      </c>
      <c r="C104" s="6">
        <v>61.4</v>
      </c>
      <c r="D104" s="6">
        <v>73</v>
      </c>
      <c r="E104" s="1"/>
      <c r="F104" s="1"/>
      <c r="G104" s="1"/>
    </row>
    <row r="105" spans="1:7" x14ac:dyDescent="0.25">
      <c r="A105" s="10">
        <v>35</v>
      </c>
      <c r="B105" s="6">
        <v>21.2</v>
      </c>
      <c r="C105" s="6">
        <v>56.6</v>
      </c>
      <c r="D105" s="6">
        <v>88.5</v>
      </c>
      <c r="E105" s="1"/>
      <c r="F105" s="1"/>
      <c r="G105" s="1"/>
    </row>
    <row r="106" spans="1:7" x14ac:dyDescent="0.25">
      <c r="A106" s="10">
        <v>36</v>
      </c>
      <c r="B106" s="6">
        <v>22.7</v>
      </c>
      <c r="C106" s="6">
        <v>62.2</v>
      </c>
      <c r="D106" s="6">
        <v>78.099999999999994</v>
      </c>
      <c r="E106" s="1"/>
      <c r="F106" s="1"/>
      <c r="G106" s="1"/>
    </row>
    <row r="107" spans="1:7" x14ac:dyDescent="0.25">
      <c r="A107" s="10">
        <v>37</v>
      </c>
      <c r="B107" s="6">
        <v>43.4</v>
      </c>
      <c r="C107" s="6">
        <v>54.2</v>
      </c>
      <c r="D107" s="6">
        <v>95.2</v>
      </c>
      <c r="E107" s="1"/>
      <c r="F107" s="1"/>
      <c r="G107" s="1"/>
    </row>
    <row r="108" spans="1:7" x14ac:dyDescent="0.25">
      <c r="A108" s="10">
        <v>38</v>
      </c>
      <c r="B108" s="6">
        <v>25</v>
      </c>
      <c r="C108" s="6">
        <v>54.2</v>
      </c>
      <c r="D108" s="6">
        <v>96.8</v>
      </c>
      <c r="E108" s="1"/>
      <c r="F108" s="1"/>
      <c r="G108" s="1"/>
    </row>
    <row r="109" spans="1:7" x14ac:dyDescent="0.25">
      <c r="A109" s="10">
        <v>39</v>
      </c>
      <c r="B109" s="6">
        <v>35.200000000000003</v>
      </c>
      <c r="C109" s="6">
        <v>62.7</v>
      </c>
      <c r="D109" s="6">
        <v>109.6</v>
      </c>
      <c r="E109" s="1"/>
      <c r="F109" s="1"/>
      <c r="G109" s="1"/>
    </row>
    <row r="110" spans="1:7" x14ac:dyDescent="0.25">
      <c r="A110" s="10">
        <v>40</v>
      </c>
      <c r="B110" s="6">
        <v>36.4</v>
      </c>
      <c r="C110" s="6">
        <v>64.599999999999994</v>
      </c>
      <c r="D110" s="6">
        <v>72.3</v>
      </c>
      <c r="E110" s="1"/>
      <c r="F110" s="1"/>
      <c r="G110" s="1"/>
    </row>
    <row r="111" spans="1:7" x14ac:dyDescent="0.25">
      <c r="A111" s="10">
        <v>41</v>
      </c>
      <c r="B111" s="6">
        <v>44.4</v>
      </c>
      <c r="C111" s="6">
        <v>53.6</v>
      </c>
      <c r="D111" s="6">
        <v>92.3</v>
      </c>
      <c r="E111" s="1"/>
      <c r="F111" s="1"/>
      <c r="G111" s="1"/>
    </row>
    <row r="112" spans="1:7" x14ac:dyDescent="0.25">
      <c r="A112" s="10">
        <v>42</v>
      </c>
      <c r="B112" s="6">
        <v>39</v>
      </c>
      <c r="C112" s="6">
        <v>60</v>
      </c>
      <c r="D112" s="6">
        <v>99.5</v>
      </c>
      <c r="E112" s="1"/>
      <c r="F112" s="1"/>
      <c r="G112" s="1"/>
    </row>
    <row r="113" spans="1:7" x14ac:dyDescent="0.25">
      <c r="A113" s="10">
        <v>43</v>
      </c>
      <c r="B113" s="6">
        <v>39.700000000000003</v>
      </c>
      <c r="C113" s="6">
        <v>48.5</v>
      </c>
      <c r="D113" s="6">
        <v>78.400000000000006</v>
      </c>
      <c r="E113" s="1"/>
      <c r="F113" s="1"/>
      <c r="G113" s="1"/>
    </row>
    <row r="114" spans="1:7" x14ac:dyDescent="0.25">
      <c r="A114" s="10">
        <v>44</v>
      </c>
      <c r="B114" s="6">
        <v>20.9</v>
      </c>
      <c r="C114" s="6">
        <v>47.9</v>
      </c>
      <c r="D114" s="6">
        <v>108.1</v>
      </c>
      <c r="E114" s="1"/>
      <c r="F114" s="1"/>
      <c r="G114" s="1"/>
    </row>
    <row r="115" spans="1:7" x14ac:dyDescent="0.25">
      <c r="A115" s="10">
        <v>45</v>
      </c>
      <c r="B115" s="6">
        <v>26.7</v>
      </c>
      <c r="C115" s="6">
        <v>49.3</v>
      </c>
      <c r="D115" s="6">
        <v>106.9</v>
      </c>
      <c r="E115" s="1"/>
      <c r="F115" s="1"/>
      <c r="G115" s="1"/>
    </row>
    <row r="116" spans="1:7" x14ac:dyDescent="0.25">
      <c r="A116" s="10">
        <v>46</v>
      </c>
      <c r="B116" s="6">
        <v>25.9</v>
      </c>
      <c r="C116" s="6">
        <v>51.9</v>
      </c>
      <c r="D116" s="6">
        <v>104.1</v>
      </c>
      <c r="E116" s="1"/>
      <c r="F116" s="1"/>
      <c r="G116" s="1"/>
    </row>
    <row r="117" spans="1:7" x14ac:dyDescent="0.25">
      <c r="A117" s="10">
        <v>47</v>
      </c>
      <c r="B117" s="6">
        <v>32.1</v>
      </c>
      <c r="C117" s="6">
        <v>49.4</v>
      </c>
      <c r="D117" s="6">
        <v>106.1</v>
      </c>
      <c r="E117" s="1"/>
      <c r="F117" s="1"/>
      <c r="G117" s="1"/>
    </row>
    <row r="118" spans="1:7" x14ac:dyDescent="0.25">
      <c r="A118" s="10">
        <v>48</v>
      </c>
      <c r="B118" s="6">
        <v>40.700000000000003</v>
      </c>
      <c r="C118" s="6">
        <v>45.5</v>
      </c>
      <c r="D118" s="6">
        <v>77.099999999999994</v>
      </c>
      <c r="E118" s="1"/>
      <c r="F118" s="1"/>
      <c r="G118" s="1"/>
    </row>
    <row r="119" spans="1:7" x14ac:dyDescent="0.25">
      <c r="A119" s="10">
        <v>49</v>
      </c>
      <c r="B119" s="6">
        <v>23.3</v>
      </c>
      <c r="C119" s="6">
        <v>53</v>
      </c>
      <c r="D119" s="6">
        <v>89.9</v>
      </c>
      <c r="E119" s="1"/>
      <c r="F119" s="1"/>
      <c r="G119" s="1"/>
    </row>
    <row r="120" spans="1:7" x14ac:dyDescent="0.25">
      <c r="A120" s="10">
        <v>50</v>
      </c>
      <c r="B120" s="6">
        <v>35.200000000000003</v>
      </c>
      <c r="C120" s="6">
        <v>57.7</v>
      </c>
      <c r="D120" s="6">
        <v>67.400000000000006</v>
      </c>
      <c r="E120" s="1"/>
      <c r="F120" s="1"/>
      <c r="G120" s="1"/>
    </row>
    <row r="121" spans="1:7" x14ac:dyDescent="0.25">
      <c r="A121" s="10">
        <v>51</v>
      </c>
      <c r="B121" s="6">
        <v>25.2</v>
      </c>
      <c r="C121" s="6">
        <v>48.4</v>
      </c>
      <c r="D121" s="6">
        <v>105.4</v>
      </c>
      <c r="E121" s="1"/>
      <c r="F121" s="1"/>
      <c r="G121" s="1"/>
    </row>
    <row r="122" spans="1:7" x14ac:dyDescent="0.25">
      <c r="A122" s="10">
        <v>52</v>
      </c>
      <c r="B122" s="6">
        <v>24</v>
      </c>
      <c r="C122" s="6">
        <v>61.8</v>
      </c>
      <c r="D122" s="6">
        <v>85</v>
      </c>
      <c r="E122" s="1"/>
      <c r="F122" s="1"/>
      <c r="G122" s="1"/>
    </row>
    <row r="123" spans="1:7" x14ac:dyDescent="0.25">
      <c r="A123" s="10">
        <v>53</v>
      </c>
      <c r="B123" s="6">
        <v>39.6</v>
      </c>
      <c r="C123" s="6">
        <v>52.6</v>
      </c>
      <c r="D123" s="6">
        <v>68.3</v>
      </c>
      <c r="E123" s="1"/>
      <c r="F123" s="1"/>
      <c r="G123" s="1"/>
    </row>
    <row r="124" spans="1:7" x14ac:dyDescent="0.25">
      <c r="A124" s="10">
        <v>54</v>
      </c>
      <c r="B124" s="6">
        <v>20.5</v>
      </c>
      <c r="C124" s="6">
        <v>59.7</v>
      </c>
      <c r="D124" s="6">
        <v>99</v>
      </c>
      <c r="E124" s="1"/>
      <c r="F124" s="1"/>
      <c r="G124" s="1"/>
    </row>
    <row r="125" spans="1:7" x14ac:dyDescent="0.25">
      <c r="A125" s="10">
        <v>55</v>
      </c>
      <c r="B125" s="6">
        <v>23.7</v>
      </c>
      <c r="C125" s="6">
        <v>47.7</v>
      </c>
      <c r="D125" s="6">
        <v>109.6</v>
      </c>
      <c r="E125" s="1"/>
      <c r="F125" s="1"/>
      <c r="G125" s="1"/>
    </row>
    <row r="126" spans="1:7" x14ac:dyDescent="0.25">
      <c r="A126" s="10">
        <v>56</v>
      </c>
      <c r="B126" s="6">
        <v>21.8</v>
      </c>
      <c r="C126" s="6">
        <v>56.9</v>
      </c>
      <c r="D126" s="6">
        <v>74.3</v>
      </c>
      <c r="E126" s="1"/>
      <c r="F126" s="1"/>
      <c r="G126" s="1"/>
    </row>
    <row r="127" spans="1:7" x14ac:dyDescent="0.25">
      <c r="A127" s="10">
        <v>57</v>
      </c>
      <c r="B127" s="6">
        <v>35.700000000000003</v>
      </c>
      <c r="C127" s="6">
        <v>53.2</v>
      </c>
      <c r="D127" s="6">
        <v>74.8</v>
      </c>
      <c r="E127" s="1"/>
      <c r="F127" s="1"/>
      <c r="G127" s="1"/>
    </row>
    <row r="128" spans="1:7" x14ac:dyDescent="0.25">
      <c r="A128" s="10">
        <v>58</v>
      </c>
      <c r="B128" s="6">
        <v>42.5</v>
      </c>
      <c r="C128" s="6">
        <v>61.6</v>
      </c>
      <c r="D128" s="6">
        <v>99.2</v>
      </c>
      <c r="E128" s="1"/>
      <c r="F128" s="1"/>
      <c r="G128" s="1"/>
    </row>
    <row r="129" spans="1:7" x14ac:dyDescent="0.25">
      <c r="A129" s="10">
        <v>59</v>
      </c>
      <c r="B129" s="6">
        <v>31.9</v>
      </c>
      <c r="C129" s="6">
        <v>48.8</v>
      </c>
      <c r="D129" s="6">
        <v>81.2</v>
      </c>
      <c r="E129" s="1"/>
      <c r="F129" s="1"/>
      <c r="G129" s="1"/>
    </row>
    <row r="130" spans="1:7" x14ac:dyDescent="0.25">
      <c r="A130" s="10">
        <v>60</v>
      </c>
      <c r="B130" s="6">
        <v>41.5</v>
      </c>
      <c r="C130" s="6">
        <v>61.8</v>
      </c>
      <c r="D130" s="6">
        <v>103.4</v>
      </c>
      <c r="E130" s="1"/>
      <c r="F130" s="1"/>
      <c r="G130" s="1"/>
    </row>
    <row r="131" spans="1:7" x14ac:dyDescent="0.25">
      <c r="A131" s="10">
        <v>61</v>
      </c>
      <c r="B131" s="6">
        <v>42.4</v>
      </c>
      <c r="C131" s="6">
        <v>63.7</v>
      </c>
      <c r="D131" s="6">
        <v>107.9</v>
      </c>
      <c r="E131" s="1"/>
      <c r="F131" s="1"/>
      <c r="G131" s="1"/>
    </row>
    <row r="132" spans="1:7" x14ac:dyDescent="0.25">
      <c r="A132" s="10">
        <v>62</v>
      </c>
      <c r="B132" s="6">
        <v>41.7</v>
      </c>
      <c r="C132" s="6">
        <v>63.8</v>
      </c>
      <c r="D132" s="6">
        <v>78</v>
      </c>
      <c r="E132" s="1"/>
      <c r="F132" s="1"/>
      <c r="G132" s="1"/>
    </row>
    <row r="133" spans="1:7" ht="14.5" thickBot="1" x14ac:dyDescent="0.3">
      <c r="A133" s="11">
        <v>63</v>
      </c>
      <c r="B133" s="6">
        <v>34.4</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59.6</v>
      </c>
      <c r="C138" s="330">
        <f>ROUNDDOWN(AVERAGE(E5:G20),1)</f>
        <v>72.3</v>
      </c>
      <c r="D138" s="328">
        <f>'2022.01'!D138</f>
        <v>8254</v>
      </c>
      <c r="E138" s="328">
        <f>'[2]NLT-applied'!$C$25</f>
        <v>15944</v>
      </c>
      <c r="F138" s="328">
        <f>B138*D138</f>
        <v>491938.4</v>
      </c>
      <c r="G138" s="328">
        <f>C138*E138</f>
        <v>1152751.2</v>
      </c>
    </row>
    <row r="139" spans="1:7" x14ac:dyDescent="0.25">
      <c r="A139" s="329" t="str">
        <f>A21</f>
        <v>Dongtai Jianggang Swine farm</v>
      </c>
      <c r="B139" s="330">
        <f>ROUNDDOWN(AVERAGE(B24:D33),1)</f>
        <v>55.4</v>
      </c>
      <c r="C139" s="330">
        <f>ROUNDDOWN(AVERAGE(E24:G52),1)</f>
        <v>71.599999999999994</v>
      </c>
      <c r="D139" s="328">
        <f>'2022.01'!D139</f>
        <v>9392</v>
      </c>
      <c r="E139" s="328">
        <f>'[2]NLT-applied'!$E$25</f>
        <v>29448</v>
      </c>
      <c r="F139" s="328">
        <f t="shared" ref="F139:G141" si="0">B139*D139</f>
        <v>520316.8</v>
      </c>
      <c r="G139" s="328">
        <f t="shared" si="0"/>
        <v>2108476.7999999998</v>
      </c>
    </row>
    <row r="140" spans="1:7" x14ac:dyDescent="0.25">
      <c r="A140" s="329" t="str">
        <f>A53</f>
        <v>Sheyang Linhai Swine farm</v>
      </c>
      <c r="B140" s="330">
        <f>ROUNDDOWN(AVERAGE(B56:D67),1)</f>
        <v>63.9</v>
      </c>
      <c r="C140" s="330">
        <f>ROUNDDOWN(AVERAGE(E56:G62),1)</f>
        <v>74.099999999999994</v>
      </c>
      <c r="D140" s="328">
        <f>'2022.01'!D140</f>
        <v>12135</v>
      </c>
      <c r="E140" s="328">
        <f>'[2]NLT-applied'!$G$25</f>
        <v>6435</v>
      </c>
      <c r="F140" s="328">
        <f t="shared" si="0"/>
        <v>775426.5</v>
      </c>
      <c r="G140" s="328">
        <f t="shared" si="0"/>
        <v>476833.49999999994</v>
      </c>
    </row>
    <row r="141" spans="1:7" x14ac:dyDescent="0.25">
      <c r="A141" s="329" t="str">
        <f>A68</f>
        <v>Siyang Nanliuji Swine farm</v>
      </c>
      <c r="B141" s="330">
        <f>ROUNDDOWN(AVERAGE(B71:D133),1)</f>
        <v>58.5</v>
      </c>
      <c r="C141" s="328">
        <f>ROUNDDOWN(AVERAGE(0),1)</f>
        <v>0</v>
      </c>
      <c r="D141" s="328">
        <f>'2022.01'!D141</f>
        <v>64445</v>
      </c>
      <c r="E141" s="328">
        <f>'[3]NLT-applied'!$I$27</f>
        <v>0</v>
      </c>
      <c r="F141" s="328">
        <f t="shared" si="0"/>
        <v>3770032.5</v>
      </c>
      <c r="G141" s="328">
        <f t="shared" si="0"/>
        <v>0</v>
      </c>
    </row>
    <row r="142" spans="1:7" x14ac:dyDescent="0.25">
      <c r="A142" s="504" t="s">
        <v>343</v>
      </c>
      <c r="B142" s="510"/>
      <c r="C142" s="505"/>
      <c r="D142" s="328">
        <f>SUM(D138:D141)</f>
        <v>94226</v>
      </c>
      <c r="E142" s="328">
        <f>SUM(E138:E141)</f>
        <v>51827</v>
      </c>
      <c r="F142" s="328">
        <f>SUM(F138:F141)</f>
        <v>5557714.2000000002</v>
      </c>
      <c r="G142" s="328">
        <f>SUM(G138:G141)</f>
        <v>3738061.5</v>
      </c>
    </row>
    <row r="144" spans="1:7" x14ac:dyDescent="0.25">
      <c r="C144" s="504" t="s">
        <v>344</v>
      </c>
      <c r="D144" s="505"/>
    </row>
    <row r="145" spans="3:4" x14ac:dyDescent="0.25">
      <c r="C145" s="328" t="s">
        <v>341</v>
      </c>
      <c r="D145" s="328" t="s">
        <v>342</v>
      </c>
    </row>
    <row r="146" spans="3:4" x14ac:dyDescent="0.25">
      <c r="C146" s="331">
        <f>ROUNDDOWN(F142/D142,1)</f>
        <v>58.9</v>
      </c>
      <c r="D146" s="331">
        <f>ROUNDDOWN(G142/E142,1)</f>
        <v>72.099999999999994</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86C2-43C0-4EB9-8012-3F81192DAC4C}">
  <dimension ref="A1:G146"/>
  <sheetViews>
    <sheetView topLeftCell="A85"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40.6</v>
      </c>
      <c r="C5" s="6">
        <v>52.8</v>
      </c>
      <c r="D5" s="6">
        <v>88.1</v>
      </c>
      <c r="E5" s="6">
        <v>43.7</v>
      </c>
      <c r="F5" s="6">
        <v>63.6</v>
      </c>
      <c r="G5" s="6">
        <v>87.7</v>
      </c>
    </row>
    <row r="6" spans="1:7" x14ac:dyDescent="0.25">
      <c r="A6" s="10">
        <v>2</v>
      </c>
      <c r="B6" s="6">
        <v>43.6</v>
      </c>
      <c r="C6" s="6">
        <v>51.3</v>
      </c>
      <c r="D6" s="6">
        <v>68.400000000000006</v>
      </c>
      <c r="E6" s="6">
        <v>51</v>
      </c>
      <c r="F6" s="6">
        <v>76.400000000000006</v>
      </c>
      <c r="G6" s="6">
        <v>104</v>
      </c>
    </row>
    <row r="7" spans="1:7" x14ac:dyDescent="0.25">
      <c r="A7" s="10">
        <v>3</v>
      </c>
      <c r="B7" s="6">
        <v>35.1</v>
      </c>
      <c r="C7" s="6">
        <v>55.6</v>
      </c>
      <c r="D7" s="6">
        <v>83.8</v>
      </c>
      <c r="E7" s="6">
        <v>52.6</v>
      </c>
      <c r="F7" s="6">
        <v>66.599999999999994</v>
      </c>
      <c r="G7" s="6">
        <v>106</v>
      </c>
    </row>
    <row r="8" spans="1:7" x14ac:dyDescent="0.25">
      <c r="A8" s="10">
        <v>4</v>
      </c>
      <c r="B8" s="6">
        <v>44.8</v>
      </c>
      <c r="C8" s="6">
        <v>60.1</v>
      </c>
      <c r="D8" s="6">
        <v>103</v>
      </c>
      <c r="E8" s="6">
        <v>29.6</v>
      </c>
      <c r="F8" s="6">
        <v>64.8</v>
      </c>
      <c r="G8" s="6">
        <v>100.9</v>
      </c>
    </row>
    <row r="9" spans="1:7" x14ac:dyDescent="0.25">
      <c r="A9" s="10">
        <v>5</v>
      </c>
      <c r="B9" s="6">
        <v>29.7</v>
      </c>
      <c r="C9" s="6">
        <v>45.9</v>
      </c>
      <c r="D9" s="6">
        <v>78.400000000000006</v>
      </c>
      <c r="E9" s="6">
        <v>29.5</v>
      </c>
      <c r="F9" s="6">
        <v>76.2</v>
      </c>
      <c r="G9" s="6">
        <v>119.6</v>
      </c>
    </row>
    <row r="10" spans="1:7" x14ac:dyDescent="0.25">
      <c r="A10" s="10">
        <v>6</v>
      </c>
      <c r="B10" s="6">
        <v>40</v>
      </c>
      <c r="C10" s="6">
        <v>53.9</v>
      </c>
      <c r="D10" s="6">
        <v>91</v>
      </c>
      <c r="E10" s="6">
        <v>29.7</v>
      </c>
      <c r="F10" s="6">
        <v>60.1</v>
      </c>
      <c r="G10" s="6">
        <v>113.9</v>
      </c>
    </row>
    <row r="11" spans="1:7" x14ac:dyDescent="0.25">
      <c r="A11" s="10">
        <v>7</v>
      </c>
      <c r="B11" s="6">
        <v>37.9</v>
      </c>
      <c r="C11" s="6">
        <v>62.2</v>
      </c>
      <c r="D11" s="6">
        <v>81.400000000000006</v>
      </c>
      <c r="E11" s="6">
        <v>56.8</v>
      </c>
      <c r="F11" s="6">
        <v>63.4</v>
      </c>
      <c r="G11" s="6">
        <v>95.2</v>
      </c>
    </row>
    <row r="12" spans="1:7" x14ac:dyDescent="0.25">
      <c r="A12" s="10">
        <v>8</v>
      </c>
      <c r="B12" s="6">
        <v>26.9</v>
      </c>
      <c r="C12" s="6">
        <v>51.7</v>
      </c>
      <c r="D12" s="6">
        <v>109.5</v>
      </c>
      <c r="E12" s="6">
        <v>45.1</v>
      </c>
      <c r="F12" s="6">
        <v>82.2</v>
      </c>
      <c r="G12" s="6">
        <v>105.5</v>
      </c>
    </row>
    <row r="13" spans="1:7" x14ac:dyDescent="0.25">
      <c r="A13" s="10">
        <v>9</v>
      </c>
      <c r="B13" s="6">
        <v>38.200000000000003</v>
      </c>
      <c r="C13" s="6">
        <v>49.7</v>
      </c>
      <c r="D13" s="6">
        <v>104</v>
      </c>
      <c r="E13" s="6">
        <v>32.700000000000003</v>
      </c>
      <c r="F13" s="6">
        <v>69</v>
      </c>
      <c r="G13" s="6">
        <v>107.6</v>
      </c>
    </row>
    <row r="14" spans="1:7" x14ac:dyDescent="0.25">
      <c r="A14" s="10">
        <v>10</v>
      </c>
      <c r="B14" s="6"/>
      <c r="C14" s="6"/>
      <c r="D14" s="6"/>
      <c r="E14" s="6">
        <v>35.1</v>
      </c>
      <c r="F14" s="6">
        <v>74.5</v>
      </c>
      <c r="G14" s="6">
        <v>107.1</v>
      </c>
    </row>
    <row r="15" spans="1:7" x14ac:dyDescent="0.25">
      <c r="A15" s="10">
        <v>11</v>
      </c>
      <c r="B15" s="6"/>
      <c r="C15" s="6"/>
      <c r="D15" s="6"/>
      <c r="E15" s="6">
        <v>54.5</v>
      </c>
      <c r="F15" s="6">
        <v>67.3</v>
      </c>
      <c r="G15" s="6">
        <v>96.9</v>
      </c>
    </row>
    <row r="16" spans="1:7" x14ac:dyDescent="0.25">
      <c r="A16" s="10">
        <v>12</v>
      </c>
      <c r="B16" s="6"/>
      <c r="C16" s="6"/>
      <c r="D16" s="6"/>
      <c r="E16" s="6">
        <v>27.5</v>
      </c>
      <c r="F16" s="6">
        <v>70.5</v>
      </c>
      <c r="G16" s="6">
        <v>119.8</v>
      </c>
    </row>
    <row r="17" spans="1:7" x14ac:dyDescent="0.25">
      <c r="A17" s="10">
        <v>13</v>
      </c>
      <c r="B17" s="6"/>
      <c r="C17" s="6"/>
      <c r="D17" s="6"/>
      <c r="E17" s="6">
        <v>29.6</v>
      </c>
      <c r="F17" s="6">
        <v>83</v>
      </c>
      <c r="G17" s="6">
        <v>95.7</v>
      </c>
    </row>
    <row r="18" spans="1:7" x14ac:dyDescent="0.25">
      <c r="A18" s="10">
        <v>14</v>
      </c>
      <c r="B18" s="6"/>
      <c r="C18" s="6"/>
      <c r="D18" s="6"/>
      <c r="E18" s="6">
        <v>58.6</v>
      </c>
      <c r="F18" s="6">
        <v>85</v>
      </c>
      <c r="G18" s="6">
        <v>96.2</v>
      </c>
    </row>
    <row r="19" spans="1:7" x14ac:dyDescent="0.25">
      <c r="A19" s="10">
        <v>15</v>
      </c>
      <c r="B19" s="6"/>
      <c r="C19" s="6"/>
      <c r="D19" s="6"/>
      <c r="E19" s="6">
        <v>55.9</v>
      </c>
      <c r="F19" s="6">
        <v>63.6</v>
      </c>
      <c r="G19" s="6">
        <v>87.7</v>
      </c>
    </row>
    <row r="20" spans="1:7" ht="14.5" thickBot="1" x14ac:dyDescent="0.3">
      <c r="A20" s="11">
        <v>16</v>
      </c>
      <c r="B20" s="12"/>
      <c r="C20" s="12"/>
      <c r="D20" s="12"/>
      <c r="E20" s="6">
        <v>29.7</v>
      </c>
      <c r="F20" s="6">
        <v>79.3</v>
      </c>
      <c r="G20" s="6">
        <v>105.2</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42.7</v>
      </c>
      <c r="C24" s="6">
        <v>56.3</v>
      </c>
      <c r="D24" s="6">
        <v>100.5</v>
      </c>
      <c r="E24" s="6">
        <v>53.9</v>
      </c>
      <c r="F24" s="6">
        <v>77.7</v>
      </c>
      <c r="G24" s="6">
        <v>117.4</v>
      </c>
    </row>
    <row r="25" spans="1:7" x14ac:dyDescent="0.25">
      <c r="A25" s="10">
        <v>2</v>
      </c>
      <c r="B25" s="6">
        <v>44.1</v>
      </c>
      <c r="C25" s="6">
        <v>57.6</v>
      </c>
      <c r="D25" s="6">
        <v>83.3</v>
      </c>
      <c r="E25" s="6">
        <v>34.6</v>
      </c>
      <c r="F25" s="6">
        <v>60.6</v>
      </c>
      <c r="G25" s="6">
        <v>99.8</v>
      </c>
    </row>
    <row r="26" spans="1:7" x14ac:dyDescent="0.25">
      <c r="A26" s="10">
        <v>3</v>
      </c>
      <c r="B26" s="6">
        <v>36.700000000000003</v>
      </c>
      <c r="C26" s="6">
        <v>52</v>
      </c>
      <c r="D26" s="6">
        <v>78.400000000000006</v>
      </c>
      <c r="E26" s="6">
        <v>39.200000000000003</v>
      </c>
      <c r="F26" s="6">
        <v>84.3</v>
      </c>
      <c r="G26" s="6">
        <v>101</v>
      </c>
    </row>
    <row r="27" spans="1:7" x14ac:dyDescent="0.25">
      <c r="A27" s="10">
        <v>4</v>
      </c>
      <c r="B27" s="6">
        <v>32.799999999999997</v>
      </c>
      <c r="C27" s="6">
        <v>48.6</v>
      </c>
      <c r="D27" s="6">
        <v>73.599999999999994</v>
      </c>
      <c r="E27" s="6">
        <v>55.3</v>
      </c>
      <c r="F27" s="6">
        <v>64.900000000000006</v>
      </c>
      <c r="G27" s="6">
        <v>97.9</v>
      </c>
    </row>
    <row r="28" spans="1:7" x14ac:dyDescent="0.25">
      <c r="A28" s="10">
        <v>5</v>
      </c>
      <c r="B28" s="6">
        <v>20.8</v>
      </c>
      <c r="C28" s="6">
        <v>63.9</v>
      </c>
      <c r="D28" s="6">
        <v>78.099999999999994</v>
      </c>
      <c r="E28" s="6">
        <v>46.1</v>
      </c>
      <c r="F28" s="6">
        <v>71.400000000000006</v>
      </c>
      <c r="G28" s="6">
        <v>106.3</v>
      </c>
    </row>
    <row r="29" spans="1:7" x14ac:dyDescent="0.25">
      <c r="A29" s="10">
        <v>6</v>
      </c>
      <c r="B29" s="6">
        <v>35.9</v>
      </c>
      <c r="C29" s="6">
        <v>62</v>
      </c>
      <c r="D29" s="6">
        <v>81.7</v>
      </c>
      <c r="E29" s="6">
        <v>51.8</v>
      </c>
      <c r="F29" s="6">
        <v>63.3</v>
      </c>
      <c r="G29" s="6">
        <v>106.1</v>
      </c>
    </row>
    <row r="30" spans="1:7" x14ac:dyDescent="0.25">
      <c r="A30" s="10">
        <v>7</v>
      </c>
      <c r="B30" s="6">
        <v>39.700000000000003</v>
      </c>
      <c r="C30" s="6">
        <v>59.8</v>
      </c>
      <c r="D30" s="6">
        <v>98.1</v>
      </c>
      <c r="E30" s="6">
        <v>44.5</v>
      </c>
      <c r="F30" s="6">
        <v>66.599999999999994</v>
      </c>
      <c r="G30" s="6">
        <v>119.4</v>
      </c>
    </row>
    <row r="31" spans="1:7" x14ac:dyDescent="0.25">
      <c r="A31" s="10">
        <v>8</v>
      </c>
      <c r="B31" s="6">
        <v>21.7</v>
      </c>
      <c r="C31" s="6">
        <v>64.3</v>
      </c>
      <c r="D31" s="6">
        <v>92.6</v>
      </c>
      <c r="E31" s="6">
        <v>46.7</v>
      </c>
      <c r="F31" s="6">
        <v>78.099999999999994</v>
      </c>
      <c r="G31" s="6">
        <v>94.1</v>
      </c>
    </row>
    <row r="32" spans="1:7" x14ac:dyDescent="0.25">
      <c r="A32" s="10">
        <v>9</v>
      </c>
      <c r="B32" s="6">
        <v>22.8</v>
      </c>
      <c r="C32" s="6">
        <v>60.3</v>
      </c>
      <c r="D32" s="6">
        <v>75.099999999999994</v>
      </c>
      <c r="E32" s="6">
        <v>44.4</v>
      </c>
      <c r="F32" s="6">
        <v>81.2</v>
      </c>
      <c r="G32" s="6">
        <v>90.8</v>
      </c>
    </row>
    <row r="33" spans="1:7" x14ac:dyDescent="0.25">
      <c r="A33" s="10">
        <v>10</v>
      </c>
      <c r="B33" s="6">
        <v>37.200000000000003</v>
      </c>
      <c r="C33" s="6">
        <v>56.5</v>
      </c>
      <c r="D33" s="6">
        <v>109.5</v>
      </c>
      <c r="E33" s="6">
        <v>30.4</v>
      </c>
      <c r="F33" s="6">
        <v>68.599999999999994</v>
      </c>
      <c r="G33" s="6">
        <v>96.5</v>
      </c>
    </row>
    <row r="34" spans="1:7" x14ac:dyDescent="0.25">
      <c r="A34" s="10">
        <v>11</v>
      </c>
      <c r="B34" s="6"/>
      <c r="C34" s="6"/>
      <c r="D34" s="6"/>
      <c r="E34" s="6">
        <v>34.5</v>
      </c>
      <c r="F34" s="6">
        <v>62.1</v>
      </c>
      <c r="G34" s="6">
        <v>118.1</v>
      </c>
    </row>
    <row r="35" spans="1:7" x14ac:dyDescent="0.25">
      <c r="A35" s="10">
        <v>12</v>
      </c>
      <c r="B35" s="6"/>
      <c r="C35" s="6"/>
      <c r="D35" s="6"/>
      <c r="E35" s="6">
        <v>46.9</v>
      </c>
      <c r="F35" s="6">
        <v>68</v>
      </c>
      <c r="G35" s="6">
        <v>117.4</v>
      </c>
    </row>
    <row r="36" spans="1:7" x14ac:dyDescent="0.25">
      <c r="A36" s="10">
        <v>13</v>
      </c>
      <c r="B36" s="6"/>
      <c r="C36" s="6"/>
      <c r="D36" s="6"/>
      <c r="E36" s="6">
        <v>37.4</v>
      </c>
      <c r="F36" s="6">
        <v>77.400000000000006</v>
      </c>
      <c r="G36" s="6">
        <v>118.9</v>
      </c>
    </row>
    <row r="37" spans="1:7" x14ac:dyDescent="0.25">
      <c r="A37" s="10">
        <v>14</v>
      </c>
      <c r="B37" s="6"/>
      <c r="C37" s="6"/>
      <c r="D37" s="6"/>
      <c r="E37" s="6">
        <v>50.3</v>
      </c>
      <c r="F37" s="6">
        <v>61.5</v>
      </c>
      <c r="G37" s="6">
        <v>110.6</v>
      </c>
    </row>
    <row r="38" spans="1:7" x14ac:dyDescent="0.25">
      <c r="A38" s="10">
        <v>15</v>
      </c>
      <c r="B38" s="6"/>
      <c r="C38" s="6"/>
      <c r="D38" s="6"/>
      <c r="E38" s="6">
        <v>27.1</v>
      </c>
      <c r="F38" s="6">
        <v>61.6</v>
      </c>
      <c r="G38" s="6">
        <v>104.9</v>
      </c>
    </row>
    <row r="39" spans="1:7" x14ac:dyDescent="0.25">
      <c r="A39" s="10">
        <v>16</v>
      </c>
      <c r="B39" s="6"/>
      <c r="C39" s="6"/>
      <c r="D39" s="6"/>
      <c r="E39" s="6">
        <v>55.7</v>
      </c>
      <c r="F39" s="6">
        <v>67.900000000000006</v>
      </c>
      <c r="G39" s="6">
        <v>104.2</v>
      </c>
    </row>
    <row r="40" spans="1:7" x14ac:dyDescent="0.25">
      <c r="A40" s="10">
        <v>17</v>
      </c>
      <c r="B40" s="6"/>
      <c r="C40" s="6"/>
      <c r="D40" s="6"/>
      <c r="E40" s="6">
        <v>31.5</v>
      </c>
      <c r="F40" s="6">
        <v>65</v>
      </c>
      <c r="G40" s="6">
        <v>100</v>
      </c>
    </row>
    <row r="41" spans="1:7" x14ac:dyDescent="0.25">
      <c r="A41" s="10">
        <v>18</v>
      </c>
      <c r="B41" s="6"/>
      <c r="C41" s="6"/>
      <c r="D41" s="6"/>
      <c r="E41" s="6">
        <v>46.3</v>
      </c>
      <c r="F41" s="6">
        <v>84.8</v>
      </c>
      <c r="G41" s="6">
        <v>108.1</v>
      </c>
    </row>
    <row r="42" spans="1:7" x14ac:dyDescent="0.25">
      <c r="A42" s="10">
        <v>19</v>
      </c>
      <c r="B42" s="6"/>
      <c r="C42" s="6"/>
      <c r="D42" s="6"/>
      <c r="E42" s="6">
        <v>33.6</v>
      </c>
      <c r="F42" s="6">
        <v>76.3</v>
      </c>
      <c r="G42" s="6">
        <v>92.5</v>
      </c>
    </row>
    <row r="43" spans="1:7" x14ac:dyDescent="0.25">
      <c r="A43" s="10">
        <v>20</v>
      </c>
      <c r="B43" s="6"/>
      <c r="C43" s="6"/>
      <c r="D43" s="6"/>
      <c r="E43" s="6">
        <v>35.200000000000003</v>
      </c>
      <c r="F43" s="6">
        <v>74.3</v>
      </c>
      <c r="G43" s="6">
        <v>95.5</v>
      </c>
    </row>
    <row r="44" spans="1:7" x14ac:dyDescent="0.25">
      <c r="A44" s="10">
        <v>21</v>
      </c>
      <c r="B44" s="6"/>
      <c r="C44" s="6"/>
      <c r="D44" s="6"/>
      <c r="E44" s="6">
        <v>48.5</v>
      </c>
      <c r="F44" s="6">
        <v>78.599999999999994</v>
      </c>
      <c r="G44" s="6">
        <v>90.2</v>
      </c>
    </row>
    <row r="45" spans="1:7" x14ac:dyDescent="0.25">
      <c r="A45" s="10">
        <v>22</v>
      </c>
      <c r="B45" s="6"/>
      <c r="C45" s="6"/>
      <c r="D45" s="6"/>
      <c r="E45" s="6">
        <v>50.4</v>
      </c>
      <c r="F45" s="6">
        <v>81.599999999999994</v>
      </c>
      <c r="G45" s="6">
        <v>116.1</v>
      </c>
    </row>
    <row r="46" spans="1:7" x14ac:dyDescent="0.25">
      <c r="A46" s="10">
        <v>23</v>
      </c>
      <c r="B46" s="6"/>
      <c r="C46" s="6"/>
      <c r="D46" s="6"/>
      <c r="E46" s="6">
        <v>49.5</v>
      </c>
      <c r="F46" s="6">
        <v>77.900000000000006</v>
      </c>
      <c r="G46" s="6">
        <v>97.7</v>
      </c>
    </row>
    <row r="47" spans="1:7" x14ac:dyDescent="0.25">
      <c r="A47" s="10">
        <v>24</v>
      </c>
      <c r="B47" s="6"/>
      <c r="C47" s="6"/>
      <c r="D47" s="6"/>
      <c r="E47" s="6">
        <v>54.5</v>
      </c>
      <c r="F47" s="6">
        <v>62.8</v>
      </c>
      <c r="G47" s="6">
        <v>102.9</v>
      </c>
    </row>
    <row r="48" spans="1:7" x14ac:dyDescent="0.25">
      <c r="A48" s="10">
        <v>25</v>
      </c>
      <c r="B48" s="6"/>
      <c r="C48" s="6"/>
      <c r="D48" s="6"/>
      <c r="E48" s="6">
        <v>26.3</v>
      </c>
      <c r="F48" s="6">
        <v>66.400000000000006</v>
      </c>
      <c r="G48" s="6">
        <v>102</v>
      </c>
    </row>
    <row r="49" spans="1:7" x14ac:dyDescent="0.25">
      <c r="A49" s="10">
        <v>26</v>
      </c>
      <c r="B49" s="6"/>
      <c r="C49" s="13"/>
      <c r="D49" s="6"/>
      <c r="E49" s="6">
        <v>51.1</v>
      </c>
      <c r="F49" s="6">
        <v>64.7</v>
      </c>
      <c r="G49" s="6">
        <v>90.8</v>
      </c>
    </row>
    <row r="50" spans="1:7" x14ac:dyDescent="0.25">
      <c r="A50" s="10">
        <v>27</v>
      </c>
      <c r="B50" s="6"/>
      <c r="C50" s="13"/>
      <c r="D50" s="6"/>
      <c r="E50" s="6">
        <v>31.9</v>
      </c>
      <c r="F50" s="6">
        <v>84.6</v>
      </c>
      <c r="G50" s="6">
        <v>91.2</v>
      </c>
    </row>
    <row r="51" spans="1:7" x14ac:dyDescent="0.25">
      <c r="A51" s="10">
        <v>28</v>
      </c>
      <c r="B51" s="6"/>
      <c r="C51" s="14"/>
      <c r="D51" s="6"/>
      <c r="E51" s="6">
        <v>29.3</v>
      </c>
      <c r="F51" s="6">
        <v>62.2</v>
      </c>
      <c r="G51" s="6">
        <v>119.3</v>
      </c>
    </row>
    <row r="52" spans="1:7" ht="14.5" thickBot="1" x14ac:dyDescent="0.3">
      <c r="A52" s="11">
        <v>29</v>
      </c>
      <c r="B52" s="15"/>
      <c r="C52" s="15"/>
      <c r="D52" s="12"/>
      <c r="E52" s="6">
        <v>50.3</v>
      </c>
      <c r="F52" s="6">
        <v>65.5</v>
      </c>
      <c r="G52" s="6">
        <v>94.5</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36.700000000000003</v>
      </c>
      <c r="C56" s="6">
        <v>59.6</v>
      </c>
      <c r="D56" s="6">
        <v>70.599999999999994</v>
      </c>
      <c r="E56" s="6">
        <v>30.6</v>
      </c>
      <c r="F56" s="6">
        <v>71.599999999999994</v>
      </c>
      <c r="G56" s="6">
        <v>100.3</v>
      </c>
    </row>
    <row r="57" spans="1:7" x14ac:dyDescent="0.25">
      <c r="A57" s="10">
        <v>2</v>
      </c>
      <c r="B57" s="6">
        <v>40.200000000000003</v>
      </c>
      <c r="C57" s="6">
        <v>48.7</v>
      </c>
      <c r="D57" s="6">
        <v>74.2</v>
      </c>
      <c r="E57" s="6">
        <v>26.8</v>
      </c>
      <c r="F57" s="6">
        <v>67.8</v>
      </c>
      <c r="G57" s="6">
        <v>118.6</v>
      </c>
    </row>
    <row r="58" spans="1:7" x14ac:dyDescent="0.25">
      <c r="A58" s="10">
        <v>3</v>
      </c>
      <c r="B58" s="6">
        <v>38.700000000000003</v>
      </c>
      <c r="C58" s="6">
        <v>58</v>
      </c>
      <c r="D58" s="6">
        <v>109.3</v>
      </c>
      <c r="E58" s="6">
        <v>59.5</v>
      </c>
      <c r="F58" s="6">
        <v>84.5</v>
      </c>
      <c r="G58" s="6">
        <v>102.3</v>
      </c>
    </row>
    <row r="59" spans="1:7" x14ac:dyDescent="0.25">
      <c r="A59" s="10">
        <v>4</v>
      </c>
      <c r="B59" s="6">
        <v>31.5</v>
      </c>
      <c r="C59" s="6">
        <v>46.9</v>
      </c>
      <c r="D59" s="6">
        <v>94.7</v>
      </c>
      <c r="E59" s="6">
        <v>25.3</v>
      </c>
      <c r="F59" s="6">
        <v>79.5</v>
      </c>
      <c r="G59" s="6">
        <v>93.7</v>
      </c>
    </row>
    <row r="60" spans="1:7" x14ac:dyDescent="0.25">
      <c r="A60" s="10">
        <v>5</v>
      </c>
      <c r="B60" s="6">
        <v>38.700000000000003</v>
      </c>
      <c r="C60" s="6">
        <v>48.6</v>
      </c>
      <c r="D60" s="6">
        <v>95.4</v>
      </c>
      <c r="E60" s="6">
        <v>29.9</v>
      </c>
      <c r="F60" s="6">
        <v>76</v>
      </c>
      <c r="G60" s="6">
        <v>102.8</v>
      </c>
    </row>
    <row r="61" spans="1:7" x14ac:dyDescent="0.25">
      <c r="A61" s="10">
        <v>6</v>
      </c>
      <c r="B61" s="6">
        <v>33.700000000000003</v>
      </c>
      <c r="C61" s="6">
        <v>63</v>
      </c>
      <c r="D61" s="6">
        <v>78.8</v>
      </c>
      <c r="E61" s="6">
        <v>48.4</v>
      </c>
      <c r="F61" s="6">
        <v>76.2</v>
      </c>
      <c r="G61" s="6">
        <v>101.4</v>
      </c>
    </row>
    <row r="62" spans="1:7" x14ac:dyDescent="0.25">
      <c r="A62" s="10">
        <v>7</v>
      </c>
      <c r="B62" s="6">
        <v>38.6</v>
      </c>
      <c r="C62" s="6">
        <v>63.2</v>
      </c>
      <c r="D62" s="6">
        <v>99</v>
      </c>
      <c r="E62" s="6">
        <v>46.7</v>
      </c>
      <c r="F62" s="6">
        <v>72.900000000000006</v>
      </c>
      <c r="G62" s="6">
        <v>94.8</v>
      </c>
    </row>
    <row r="63" spans="1:7" x14ac:dyDescent="0.25">
      <c r="A63" s="10">
        <v>8</v>
      </c>
      <c r="B63" s="6">
        <v>25.1</v>
      </c>
      <c r="C63" s="6">
        <v>52.3</v>
      </c>
      <c r="D63" s="6">
        <v>106</v>
      </c>
      <c r="E63" s="6"/>
      <c r="F63" s="6"/>
      <c r="G63" s="6"/>
    </row>
    <row r="64" spans="1:7" x14ac:dyDescent="0.25">
      <c r="A64" s="10">
        <v>9</v>
      </c>
      <c r="B64" s="6">
        <v>32.700000000000003</v>
      </c>
      <c r="C64" s="6">
        <v>65</v>
      </c>
      <c r="D64" s="6">
        <v>88.1</v>
      </c>
      <c r="E64" s="6"/>
      <c r="F64" s="6"/>
      <c r="G64" s="6"/>
    </row>
    <row r="65" spans="1:7" x14ac:dyDescent="0.25">
      <c r="A65" s="10">
        <v>10</v>
      </c>
      <c r="B65" s="6">
        <v>26.3</v>
      </c>
      <c r="C65" s="6">
        <v>53.3</v>
      </c>
      <c r="D65" s="6">
        <v>71.5</v>
      </c>
      <c r="E65" s="6"/>
      <c r="F65" s="6"/>
      <c r="G65" s="6"/>
    </row>
    <row r="66" spans="1:7" x14ac:dyDescent="0.25">
      <c r="A66" s="10">
        <v>11</v>
      </c>
      <c r="B66" s="6">
        <v>28.6</v>
      </c>
      <c r="C66" s="6">
        <v>47.5</v>
      </c>
      <c r="D66" s="6">
        <v>96.1</v>
      </c>
      <c r="E66" s="6"/>
      <c r="F66" s="6"/>
      <c r="G66" s="6"/>
    </row>
    <row r="67" spans="1:7" ht="14.5" thickBot="1" x14ac:dyDescent="0.3">
      <c r="A67" s="11">
        <v>12</v>
      </c>
      <c r="B67" s="6">
        <v>31.2</v>
      </c>
      <c r="C67" s="6">
        <v>50.4</v>
      </c>
      <c r="D67" s="6">
        <v>107.1</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29.2</v>
      </c>
      <c r="C71" s="6">
        <v>61.8</v>
      </c>
      <c r="D71" s="6">
        <v>89.7</v>
      </c>
      <c r="E71" s="6"/>
      <c r="F71" s="6"/>
      <c r="G71" s="6"/>
    </row>
    <row r="72" spans="1:7" x14ac:dyDescent="0.25">
      <c r="A72" s="10">
        <v>2</v>
      </c>
      <c r="B72" s="6">
        <v>27.6</v>
      </c>
      <c r="C72" s="6">
        <v>60</v>
      </c>
      <c r="D72" s="6">
        <v>97.9</v>
      </c>
      <c r="E72" s="5"/>
      <c r="F72" s="5"/>
      <c r="G72" s="6"/>
    </row>
    <row r="73" spans="1:7" x14ac:dyDescent="0.25">
      <c r="A73" s="10">
        <v>3</v>
      </c>
      <c r="B73" s="6">
        <v>38.5</v>
      </c>
      <c r="C73" s="6">
        <v>63.9</v>
      </c>
      <c r="D73" s="6">
        <v>105.6</v>
      </c>
      <c r="E73" s="5"/>
      <c r="F73" s="5"/>
      <c r="G73" s="5"/>
    </row>
    <row r="74" spans="1:7" x14ac:dyDescent="0.25">
      <c r="A74" s="10">
        <v>4</v>
      </c>
      <c r="B74" s="6">
        <v>44.6</v>
      </c>
      <c r="C74" s="6">
        <v>53.2</v>
      </c>
      <c r="D74" s="6">
        <v>105.6</v>
      </c>
      <c r="E74" s="5"/>
      <c r="F74" s="5"/>
      <c r="G74" s="5"/>
    </row>
    <row r="75" spans="1:7" x14ac:dyDescent="0.25">
      <c r="A75" s="10">
        <v>5</v>
      </c>
      <c r="B75" s="6">
        <v>29.6</v>
      </c>
      <c r="C75" s="6">
        <v>64.5</v>
      </c>
      <c r="D75" s="6">
        <v>92.2</v>
      </c>
      <c r="E75" s="5"/>
      <c r="F75" s="5"/>
      <c r="G75" s="5"/>
    </row>
    <row r="76" spans="1:7" x14ac:dyDescent="0.25">
      <c r="A76" s="10">
        <v>6</v>
      </c>
      <c r="B76" s="6">
        <v>43</v>
      </c>
      <c r="C76" s="6">
        <v>64.400000000000006</v>
      </c>
      <c r="D76" s="6">
        <v>77.3</v>
      </c>
      <c r="E76" s="5"/>
      <c r="F76" s="5"/>
      <c r="G76" s="5"/>
    </row>
    <row r="77" spans="1:7" x14ac:dyDescent="0.25">
      <c r="A77" s="10">
        <v>7</v>
      </c>
      <c r="B77" s="6">
        <v>39.200000000000003</v>
      </c>
      <c r="C77" s="6">
        <v>53.2</v>
      </c>
      <c r="D77" s="6">
        <v>88.8</v>
      </c>
      <c r="E77" s="5"/>
      <c r="F77" s="5"/>
      <c r="G77" s="5"/>
    </row>
    <row r="78" spans="1:7" x14ac:dyDescent="0.25">
      <c r="A78" s="10">
        <v>8</v>
      </c>
      <c r="B78" s="6">
        <v>24.8</v>
      </c>
      <c r="C78" s="6">
        <v>61</v>
      </c>
      <c r="D78" s="6">
        <v>97.6</v>
      </c>
      <c r="E78" s="5"/>
      <c r="F78" s="5"/>
      <c r="G78" s="5"/>
    </row>
    <row r="79" spans="1:7" x14ac:dyDescent="0.25">
      <c r="A79" s="10">
        <v>9</v>
      </c>
      <c r="B79" s="6">
        <v>30.1</v>
      </c>
      <c r="C79" s="6">
        <v>61.9</v>
      </c>
      <c r="D79" s="6">
        <v>94.9</v>
      </c>
      <c r="E79" s="5"/>
      <c r="F79" s="5"/>
      <c r="G79" s="5"/>
    </row>
    <row r="80" spans="1:7" x14ac:dyDescent="0.25">
      <c r="A80" s="10">
        <v>10</v>
      </c>
      <c r="B80" s="6">
        <v>26.1</v>
      </c>
      <c r="C80" s="6">
        <v>55.1</v>
      </c>
      <c r="D80" s="6">
        <v>84.4</v>
      </c>
      <c r="E80" s="5"/>
      <c r="F80" s="5"/>
      <c r="G80" s="5"/>
    </row>
    <row r="81" spans="1:7" x14ac:dyDescent="0.25">
      <c r="A81" s="10">
        <v>11</v>
      </c>
      <c r="B81" s="6">
        <v>27.3</v>
      </c>
      <c r="C81" s="6">
        <v>53.4</v>
      </c>
      <c r="D81" s="6">
        <v>93.9</v>
      </c>
      <c r="E81" s="5"/>
      <c r="F81" s="5"/>
      <c r="G81" s="5"/>
    </row>
    <row r="82" spans="1:7" x14ac:dyDescent="0.25">
      <c r="A82" s="10">
        <v>12</v>
      </c>
      <c r="B82" s="6">
        <v>26.9</v>
      </c>
      <c r="C82" s="6">
        <v>56.6</v>
      </c>
      <c r="D82" s="6">
        <v>78</v>
      </c>
      <c r="E82" s="5"/>
      <c r="F82" s="5"/>
      <c r="G82" s="5"/>
    </row>
    <row r="83" spans="1:7" x14ac:dyDescent="0.25">
      <c r="A83" s="10">
        <v>13</v>
      </c>
      <c r="B83" s="6">
        <v>42.7</v>
      </c>
      <c r="C83" s="6">
        <v>56.8</v>
      </c>
      <c r="D83" s="6">
        <v>99.5</v>
      </c>
      <c r="E83" s="5"/>
      <c r="F83" s="5"/>
      <c r="G83" s="5"/>
    </row>
    <row r="84" spans="1:7" x14ac:dyDescent="0.25">
      <c r="A84" s="10">
        <v>14</v>
      </c>
      <c r="B84" s="6">
        <v>35.4</v>
      </c>
      <c r="C84" s="6">
        <v>49.6</v>
      </c>
      <c r="D84" s="6">
        <v>67.900000000000006</v>
      </c>
      <c r="E84" s="5"/>
      <c r="F84" s="5"/>
      <c r="G84" s="5"/>
    </row>
    <row r="85" spans="1:7" x14ac:dyDescent="0.25">
      <c r="A85" s="10">
        <v>15</v>
      </c>
      <c r="B85" s="6">
        <v>27.1</v>
      </c>
      <c r="C85" s="6">
        <v>57.2</v>
      </c>
      <c r="D85" s="6">
        <v>76.7</v>
      </c>
      <c r="E85" s="5"/>
      <c r="F85" s="5"/>
      <c r="G85" s="5"/>
    </row>
    <row r="86" spans="1:7" x14ac:dyDescent="0.25">
      <c r="A86" s="10">
        <v>16</v>
      </c>
      <c r="B86" s="6">
        <v>37.1</v>
      </c>
      <c r="C86" s="6">
        <v>47.5</v>
      </c>
      <c r="D86" s="6">
        <v>65.099999999999994</v>
      </c>
      <c r="E86" s="5"/>
      <c r="F86" s="5"/>
      <c r="G86" s="5"/>
    </row>
    <row r="87" spans="1:7" x14ac:dyDescent="0.25">
      <c r="A87" s="10">
        <v>17</v>
      </c>
      <c r="B87" s="6">
        <v>36.200000000000003</v>
      </c>
      <c r="C87" s="6">
        <v>58.3</v>
      </c>
      <c r="D87" s="6">
        <v>87.2</v>
      </c>
      <c r="E87" s="5"/>
      <c r="F87" s="5"/>
      <c r="G87" s="5"/>
    </row>
    <row r="88" spans="1:7" x14ac:dyDescent="0.25">
      <c r="A88" s="10">
        <v>18</v>
      </c>
      <c r="B88" s="6">
        <v>36.1</v>
      </c>
      <c r="C88" s="6">
        <v>57.7</v>
      </c>
      <c r="D88" s="6">
        <v>78.8</v>
      </c>
      <c r="E88" s="5"/>
      <c r="F88" s="5"/>
      <c r="G88" s="5"/>
    </row>
    <row r="89" spans="1:7" x14ac:dyDescent="0.25">
      <c r="A89" s="10">
        <v>19</v>
      </c>
      <c r="B89" s="6">
        <v>21.8</v>
      </c>
      <c r="C89" s="6">
        <v>58.5</v>
      </c>
      <c r="D89" s="6">
        <v>96.1</v>
      </c>
      <c r="E89" s="5"/>
      <c r="F89" s="5"/>
      <c r="G89" s="5"/>
    </row>
    <row r="90" spans="1:7" x14ac:dyDescent="0.25">
      <c r="A90" s="10">
        <v>20</v>
      </c>
      <c r="B90" s="6">
        <v>26.1</v>
      </c>
      <c r="C90" s="6">
        <v>49.3</v>
      </c>
      <c r="D90" s="6">
        <v>66.400000000000006</v>
      </c>
      <c r="E90" s="5"/>
      <c r="F90" s="5"/>
      <c r="G90" s="5"/>
    </row>
    <row r="91" spans="1:7" x14ac:dyDescent="0.25">
      <c r="A91" s="10">
        <v>21</v>
      </c>
      <c r="B91" s="6">
        <v>42.5</v>
      </c>
      <c r="C91" s="6">
        <v>65</v>
      </c>
      <c r="D91" s="6">
        <v>82.4</v>
      </c>
      <c r="E91" s="5"/>
      <c r="F91" s="5"/>
      <c r="G91" s="5"/>
    </row>
    <row r="92" spans="1:7" x14ac:dyDescent="0.25">
      <c r="A92" s="10">
        <v>22</v>
      </c>
      <c r="B92" s="6">
        <v>40.700000000000003</v>
      </c>
      <c r="C92" s="6">
        <v>56.5</v>
      </c>
      <c r="D92" s="6">
        <v>83.6</v>
      </c>
      <c r="E92" s="5"/>
      <c r="F92" s="5"/>
      <c r="G92" s="5"/>
    </row>
    <row r="93" spans="1:7" x14ac:dyDescent="0.25">
      <c r="A93" s="10">
        <v>23</v>
      </c>
      <c r="B93" s="6">
        <v>23.4</v>
      </c>
      <c r="C93" s="6">
        <v>59.5</v>
      </c>
      <c r="D93" s="6">
        <v>96.4</v>
      </c>
      <c r="E93" s="5"/>
      <c r="F93" s="5"/>
      <c r="G93" s="5"/>
    </row>
    <row r="94" spans="1:7" x14ac:dyDescent="0.25">
      <c r="A94" s="10">
        <v>24</v>
      </c>
      <c r="B94" s="6">
        <v>24.7</v>
      </c>
      <c r="C94" s="6">
        <v>48</v>
      </c>
      <c r="D94" s="6">
        <v>73.099999999999994</v>
      </c>
      <c r="E94" s="5"/>
      <c r="F94" s="5"/>
      <c r="G94" s="5"/>
    </row>
    <row r="95" spans="1:7" x14ac:dyDescent="0.25">
      <c r="A95" s="10">
        <v>25</v>
      </c>
      <c r="B95" s="6">
        <v>41.4</v>
      </c>
      <c r="C95" s="6">
        <v>46.9</v>
      </c>
      <c r="D95" s="6">
        <v>110</v>
      </c>
      <c r="E95" s="5"/>
      <c r="F95" s="5"/>
      <c r="G95" s="5"/>
    </row>
    <row r="96" spans="1:7" x14ac:dyDescent="0.25">
      <c r="A96" s="10">
        <v>26</v>
      </c>
      <c r="B96" s="6">
        <v>41.2</v>
      </c>
      <c r="C96" s="6">
        <v>62.8</v>
      </c>
      <c r="D96" s="6">
        <v>90.6</v>
      </c>
      <c r="E96" s="14"/>
      <c r="F96" s="14"/>
      <c r="G96" s="14"/>
    </row>
    <row r="97" spans="1:7" x14ac:dyDescent="0.25">
      <c r="A97" s="10">
        <v>27</v>
      </c>
      <c r="B97" s="6">
        <v>36.9</v>
      </c>
      <c r="C97" s="6">
        <v>64.400000000000006</v>
      </c>
      <c r="D97" s="6">
        <v>92</v>
      </c>
      <c r="E97" s="14"/>
      <c r="F97" s="14"/>
      <c r="G97" s="14"/>
    </row>
    <row r="98" spans="1:7" x14ac:dyDescent="0.25">
      <c r="A98" s="10">
        <v>28</v>
      </c>
      <c r="B98" s="6">
        <v>26.1</v>
      </c>
      <c r="C98" s="6">
        <v>54.9</v>
      </c>
      <c r="D98" s="6">
        <v>103.2</v>
      </c>
      <c r="E98" s="14"/>
      <c r="F98" s="14"/>
      <c r="G98" s="14"/>
    </row>
    <row r="99" spans="1:7" x14ac:dyDescent="0.25">
      <c r="A99" s="10">
        <v>29</v>
      </c>
      <c r="B99" s="6">
        <v>27.2</v>
      </c>
      <c r="C99" s="6">
        <v>63.9</v>
      </c>
      <c r="D99" s="6">
        <v>87.8</v>
      </c>
      <c r="E99" s="5"/>
      <c r="F99" s="5"/>
      <c r="G99" s="5"/>
    </row>
    <row r="100" spans="1:7" x14ac:dyDescent="0.25">
      <c r="A100" s="10">
        <v>30</v>
      </c>
      <c r="B100" s="6">
        <v>39.200000000000003</v>
      </c>
      <c r="C100" s="6">
        <v>57.7</v>
      </c>
      <c r="D100" s="6">
        <v>102.5</v>
      </c>
      <c r="E100" s="1"/>
      <c r="F100" s="1"/>
      <c r="G100" s="1"/>
    </row>
    <row r="101" spans="1:7" x14ac:dyDescent="0.25">
      <c r="A101" s="10">
        <v>31</v>
      </c>
      <c r="B101" s="6">
        <v>24.6</v>
      </c>
      <c r="C101" s="6">
        <v>55.4</v>
      </c>
      <c r="D101" s="6">
        <v>85.3</v>
      </c>
      <c r="E101" s="1"/>
      <c r="F101" s="1"/>
      <c r="G101" s="1"/>
    </row>
    <row r="102" spans="1:7" x14ac:dyDescent="0.25">
      <c r="A102" s="10">
        <v>32</v>
      </c>
      <c r="B102" s="6">
        <v>30.6</v>
      </c>
      <c r="C102" s="6">
        <v>63.9</v>
      </c>
      <c r="D102" s="6">
        <v>72</v>
      </c>
      <c r="E102" s="1"/>
      <c r="F102" s="1"/>
      <c r="G102" s="1"/>
    </row>
    <row r="103" spans="1:7" x14ac:dyDescent="0.25">
      <c r="A103" s="10">
        <v>33</v>
      </c>
      <c r="B103" s="6">
        <v>41.1</v>
      </c>
      <c r="C103" s="6">
        <v>60</v>
      </c>
      <c r="D103" s="6">
        <v>109.6</v>
      </c>
      <c r="E103" s="1"/>
      <c r="F103" s="1"/>
      <c r="G103" s="1"/>
    </row>
    <row r="104" spans="1:7" x14ac:dyDescent="0.25">
      <c r="A104" s="10">
        <v>34</v>
      </c>
      <c r="B104" s="6">
        <v>34.200000000000003</v>
      </c>
      <c r="C104" s="6">
        <v>54</v>
      </c>
      <c r="D104" s="6">
        <v>65.8</v>
      </c>
      <c r="E104" s="1"/>
      <c r="F104" s="1"/>
      <c r="G104" s="1"/>
    </row>
    <row r="105" spans="1:7" x14ac:dyDescent="0.25">
      <c r="A105" s="10">
        <v>35</v>
      </c>
      <c r="B105" s="6">
        <v>30.3</v>
      </c>
      <c r="C105" s="6">
        <v>49.5</v>
      </c>
      <c r="D105" s="6">
        <v>66.900000000000006</v>
      </c>
      <c r="E105" s="1"/>
      <c r="F105" s="1"/>
      <c r="G105" s="1"/>
    </row>
    <row r="106" spans="1:7" x14ac:dyDescent="0.25">
      <c r="A106" s="10">
        <v>36</v>
      </c>
      <c r="B106" s="6">
        <v>29.3</v>
      </c>
      <c r="C106" s="6">
        <v>55.8</v>
      </c>
      <c r="D106" s="6">
        <v>82.2</v>
      </c>
      <c r="E106" s="1"/>
      <c r="F106" s="1"/>
      <c r="G106" s="1"/>
    </row>
    <row r="107" spans="1:7" x14ac:dyDescent="0.25">
      <c r="A107" s="10">
        <v>37</v>
      </c>
      <c r="B107" s="6">
        <v>40</v>
      </c>
      <c r="C107" s="6">
        <v>62.4</v>
      </c>
      <c r="D107" s="6">
        <v>89.3</v>
      </c>
      <c r="E107" s="1"/>
      <c r="F107" s="1"/>
      <c r="G107" s="1"/>
    </row>
    <row r="108" spans="1:7" x14ac:dyDescent="0.25">
      <c r="A108" s="10">
        <v>38</v>
      </c>
      <c r="B108" s="6">
        <v>36.9</v>
      </c>
      <c r="C108" s="6">
        <v>55.9</v>
      </c>
      <c r="D108" s="6">
        <v>72.8</v>
      </c>
      <c r="E108" s="1"/>
      <c r="F108" s="1"/>
      <c r="G108" s="1"/>
    </row>
    <row r="109" spans="1:7" x14ac:dyDescent="0.25">
      <c r="A109" s="10">
        <v>39</v>
      </c>
      <c r="B109" s="6">
        <v>41.7</v>
      </c>
      <c r="C109" s="6">
        <v>61.4</v>
      </c>
      <c r="D109" s="6">
        <v>91.4</v>
      </c>
      <c r="E109" s="1"/>
      <c r="F109" s="1"/>
      <c r="G109" s="1"/>
    </row>
    <row r="110" spans="1:7" x14ac:dyDescent="0.25">
      <c r="A110" s="10">
        <v>40</v>
      </c>
      <c r="B110" s="6">
        <v>29.9</v>
      </c>
      <c r="C110" s="6">
        <v>50.8</v>
      </c>
      <c r="D110" s="6">
        <v>97.2</v>
      </c>
      <c r="E110" s="1"/>
      <c r="F110" s="1"/>
      <c r="G110" s="1"/>
    </row>
    <row r="111" spans="1:7" x14ac:dyDescent="0.25">
      <c r="A111" s="10">
        <v>41</v>
      </c>
      <c r="B111" s="6">
        <v>32.1</v>
      </c>
      <c r="C111" s="6">
        <v>60.9</v>
      </c>
      <c r="D111" s="6">
        <v>73.099999999999994</v>
      </c>
      <c r="E111" s="1"/>
      <c r="F111" s="1"/>
      <c r="G111" s="1"/>
    </row>
    <row r="112" spans="1:7" x14ac:dyDescent="0.25">
      <c r="A112" s="10">
        <v>42</v>
      </c>
      <c r="B112" s="6">
        <v>31.9</v>
      </c>
      <c r="C112" s="6">
        <v>56.6</v>
      </c>
      <c r="D112" s="6">
        <v>75.5</v>
      </c>
      <c r="E112" s="1"/>
      <c r="F112" s="1"/>
      <c r="G112" s="1"/>
    </row>
    <row r="113" spans="1:7" x14ac:dyDescent="0.25">
      <c r="A113" s="10">
        <v>43</v>
      </c>
      <c r="B113" s="6">
        <v>36.6</v>
      </c>
      <c r="C113" s="6">
        <v>62.7</v>
      </c>
      <c r="D113" s="6">
        <v>91.8</v>
      </c>
      <c r="E113" s="1"/>
      <c r="F113" s="1"/>
      <c r="G113" s="1"/>
    </row>
    <row r="114" spans="1:7" x14ac:dyDescent="0.25">
      <c r="A114" s="10">
        <v>44</v>
      </c>
      <c r="B114" s="6">
        <v>33.700000000000003</v>
      </c>
      <c r="C114" s="6">
        <v>49.3</v>
      </c>
      <c r="D114" s="6">
        <v>76.3</v>
      </c>
      <c r="E114" s="1"/>
      <c r="F114" s="1"/>
      <c r="G114" s="1"/>
    </row>
    <row r="115" spans="1:7" x14ac:dyDescent="0.25">
      <c r="A115" s="10">
        <v>45</v>
      </c>
      <c r="B115" s="6">
        <v>30</v>
      </c>
      <c r="C115" s="6">
        <v>63.3</v>
      </c>
      <c r="D115" s="6">
        <v>88.5</v>
      </c>
      <c r="E115" s="1"/>
      <c r="F115" s="1"/>
      <c r="G115" s="1"/>
    </row>
    <row r="116" spans="1:7" x14ac:dyDescent="0.25">
      <c r="A116" s="10">
        <v>46</v>
      </c>
      <c r="B116" s="6">
        <v>30.8</v>
      </c>
      <c r="C116" s="6">
        <v>50.6</v>
      </c>
      <c r="D116" s="6">
        <v>73.099999999999994</v>
      </c>
      <c r="E116" s="1"/>
      <c r="F116" s="1"/>
      <c r="G116" s="1"/>
    </row>
    <row r="117" spans="1:7" x14ac:dyDescent="0.25">
      <c r="A117" s="10">
        <v>47</v>
      </c>
      <c r="B117" s="6">
        <v>38.799999999999997</v>
      </c>
      <c r="C117" s="6">
        <v>64.5</v>
      </c>
      <c r="D117" s="6">
        <v>93.7</v>
      </c>
      <c r="E117" s="1"/>
      <c r="F117" s="1"/>
      <c r="G117" s="1"/>
    </row>
    <row r="118" spans="1:7" x14ac:dyDescent="0.25">
      <c r="A118" s="10">
        <v>48</v>
      </c>
      <c r="B118" s="6">
        <v>28</v>
      </c>
      <c r="C118" s="6">
        <v>61.4</v>
      </c>
      <c r="D118" s="6">
        <v>67.2</v>
      </c>
      <c r="E118" s="1"/>
      <c r="F118" s="1"/>
      <c r="G118" s="1"/>
    </row>
    <row r="119" spans="1:7" x14ac:dyDescent="0.25">
      <c r="A119" s="10">
        <v>49</v>
      </c>
      <c r="B119" s="6">
        <v>26.6</v>
      </c>
      <c r="C119" s="6">
        <v>64</v>
      </c>
      <c r="D119" s="6">
        <v>88.9</v>
      </c>
      <c r="E119" s="1"/>
      <c r="F119" s="1"/>
      <c r="G119" s="1"/>
    </row>
    <row r="120" spans="1:7" x14ac:dyDescent="0.25">
      <c r="A120" s="10">
        <v>50</v>
      </c>
      <c r="B120" s="6">
        <v>42.3</v>
      </c>
      <c r="C120" s="6">
        <v>62.6</v>
      </c>
      <c r="D120" s="6">
        <v>78.599999999999994</v>
      </c>
      <c r="E120" s="1"/>
      <c r="F120" s="1"/>
      <c r="G120" s="1"/>
    </row>
    <row r="121" spans="1:7" x14ac:dyDescent="0.25">
      <c r="A121" s="10">
        <v>51</v>
      </c>
      <c r="B121" s="6">
        <v>26</v>
      </c>
      <c r="C121" s="6">
        <v>52.1</v>
      </c>
      <c r="D121" s="6">
        <v>72.8</v>
      </c>
      <c r="E121" s="1"/>
      <c r="F121" s="1"/>
      <c r="G121" s="1"/>
    </row>
    <row r="122" spans="1:7" x14ac:dyDescent="0.25">
      <c r="A122" s="10">
        <v>52</v>
      </c>
      <c r="B122" s="6">
        <v>32.6</v>
      </c>
      <c r="C122" s="6">
        <v>60.1</v>
      </c>
      <c r="D122" s="6">
        <v>80.8</v>
      </c>
      <c r="E122" s="1"/>
      <c r="F122" s="1"/>
      <c r="G122" s="1"/>
    </row>
    <row r="123" spans="1:7" x14ac:dyDescent="0.25">
      <c r="A123" s="10">
        <v>53</v>
      </c>
      <c r="B123" s="6">
        <v>42.6</v>
      </c>
      <c r="C123" s="6">
        <v>62</v>
      </c>
      <c r="D123" s="6">
        <v>107</v>
      </c>
      <c r="E123" s="1"/>
      <c r="F123" s="1"/>
      <c r="G123" s="1"/>
    </row>
    <row r="124" spans="1:7" x14ac:dyDescent="0.25">
      <c r="A124" s="10">
        <v>54</v>
      </c>
      <c r="B124" s="6">
        <v>20.5</v>
      </c>
      <c r="C124" s="6">
        <v>45.1</v>
      </c>
      <c r="D124" s="6">
        <v>88.3</v>
      </c>
      <c r="E124" s="1"/>
      <c r="F124" s="1"/>
      <c r="G124" s="1"/>
    </row>
    <row r="125" spans="1:7" x14ac:dyDescent="0.25">
      <c r="A125" s="10">
        <v>55</v>
      </c>
      <c r="B125" s="6">
        <v>39</v>
      </c>
      <c r="C125" s="6">
        <v>47.5</v>
      </c>
      <c r="D125" s="6">
        <v>77.2</v>
      </c>
      <c r="E125" s="1"/>
      <c r="F125" s="1"/>
      <c r="G125" s="1"/>
    </row>
    <row r="126" spans="1:7" x14ac:dyDescent="0.25">
      <c r="A126" s="10">
        <v>56</v>
      </c>
      <c r="B126" s="6">
        <v>22.5</v>
      </c>
      <c r="C126" s="6">
        <v>57.9</v>
      </c>
      <c r="D126" s="6">
        <v>101.7</v>
      </c>
      <c r="E126" s="1"/>
      <c r="F126" s="1"/>
      <c r="G126" s="1"/>
    </row>
    <row r="127" spans="1:7" x14ac:dyDescent="0.25">
      <c r="A127" s="10">
        <v>57</v>
      </c>
      <c r="B127" s="6">
        <v>22.1</v>
      </c>
      <c r="C127" s="6">
        <v>63.4</v>
      </c>
      <c r="D127" s="6">
        <v>70.3</v>
      </c>
      <c r="E127" s="1"/>
      <c r="F127" s="1"/>
      <c r="G127" s="1"/>
    </row>
    <row r="128" spans="1:7" x14ac:dyDescent="0.25">
      <c r="A128" s="10">
        <v>58</v>
      </c>
      <c r="B128" s="6">
        <v>25.8</v>
      </c>
      <c r="C128" s="6">
        <v>52.9</v>
      </c>
      <c r="D128" s="6">
        <v>93.5</v>
      </c>
      <c r="E128" s="1"/>
      <c r="F128" s="1"/>
      <c r="G128" s="1"/>
    </row>
    <row r="129" spans="1:7" x14ac:dyDescent="0.25">
      <c r="A129" s="10">
        <v>59</v>
      </c>
      <c r="B129" s="6">
        <v>31.8</v>
      </c>
      <c r="C129" s="6">
        <v>50.8</v>
      </c>
      <c r="D129" s="6">
        <v>96.8</v>
      </c>
      <c r="E129" s="1"/>
      <c r="F129" s="1"/>
      <c r="G129" s="1"/>
    </row>
    <row r="130" spans="1:7" x14ac:dyDescent="0.25">
      <c r="A130" s="10">
        <v>60</v>
      </c>
      <c r="B130" s="6">
        <v>34.700000000000003</v>
      </c>
      <c r="C130" s="6">
        <v>63.6</v>
      </c>
      <c r="D130" s="6">
        <v>102.4</v>
      </c>
      <c r="E130" s="1"/>
      <c r="F130" s="1"/>
      <c r="G130" s="1"/>
    </row>
    <row r="131" spans="1:7" x14ac:dyDescent="0.25">
      <c r="A131" s="10">
        <v>61</v>
      </c>
      <c r="B131" s="6">
        <v>41</v>
      </c>
      <c r="C131" s="6">
        <v>50.4</v>
      </c>
      <c r="D131" s="6">
        <v>96.9</v>
      </c>
      <c r="E131" s="1"/>
      <c r="F131" s="1"/>
      <c r="G131" s="1"/>
    </row>
    <row r="132" spans="1:7" x14ac:dyDescent="0.25">
      <c r="A132" s="10">
        <v>62</v>
      </c>
      <c r="B132" s="6">
        <v>24</v>
      </c>
      <c r="C132" s="6">
        <v>52.2</v>
      </c>
      <c r="D132" s="6">
        <v>103.4</v>
      </c>
      <c r="E132" s="1"/>
      <c r="F132" s="1"/>
      <c r="G132" s="1"/>
    </row>
    <row r="133" spans="1:7" ht="14.5" thickBot="1" x14ac:dyDescent="0.3">
      <c r="A133" s="11">
        <v>63</v>
      </c>
      <c r="B133" s="6">
        <v>42.7</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60.2</v>
      </c>
      <c r="C138" s="330">
        <f>ROUNDDOWN(AVERAGE(E5:G20),1)</f>
        <v>72</v>
      </c>
      <c r="D138" s="328">
        <f>'2022.01'!D138</f>
        <v>8254</v>
      </c>
      <c r="E138" s="328">
        <f>'[2]NLT-applied'!$C$26</f>
        <v>15952</v>
      </c>
      <c r="F138" s="328">
        <f>B138*D138</f>
        <v>496890.80000000005</v>
      </c>
      <c r="G138" s="328">
        <f>C138*E138</f>
        <v>1148544</v>
      </c>
    </row>
    <row r="139" spans="1:7" x14ac:dyDescent="0.25">
      <c r="A139" s="329" t="str">
        <f>A21</f>
        <v>Dongtai Jianggang Swine farm</v>
      </c>
      <c r="B139" s="330">
        <f>ROUNDDOWN(AVERAGE(B24:D33),1)</f>
        <v>59.5</v>
      </c>
      <c r="C139" s="330">
        <f>ROUNDDOWN(AVERAGE(E24:G52),1)</f>
        <v>72.400000000000006</v>
      </c>
      <c r="D139" s="328">
        <f>'2022.01'!D139</f>
        <v>9392</v>
      </c>
      <c r="E139" s="328">
        <f>'[2]NLT-applied'!$E$26</f>
        <v>29457</v>
      </c>
      <c r="F139" s="328">
        <f t="shared" ref="F139:G141" si="0">B139*D139</f>
        <v>558824</v>
      </c>
      <c r="G139" s="328">
        <f t="shared" si="0"/>
        <v>2132686.8000000003</v>
      </c>
    </row>
    <row r="140" spans="1:7" x14ac:dyDescent="0.25">
      <c r="A140" s="329" t="str">
        <f>A53</f>
        <v>Sheyang Linhai Swine farm</v>
      </c>
      <c r="B140" s="330">
        <f>ROUNDDOWN(AVERAGE(B56:D67),1)</f>
        <v>59.7</v>
      </c>
      <c r="C140" s="330">
        <f>ROUNDDOWN(AVERAGE(E56:G62),1)</f>
        <v>71.8</v>
      </c>
      <c r="D140" s="328">
        <f>'2022.01'!D140</f>
        <v>12135</v>
      </c>
      <c r="E140" s="328">
        <f>'[2]NLT-applied'!$G$26</f>
        <v>6409</v>
      </c>
      <c r="F140" s="328">
        <f t="shared" si="0"/>
        <v>724459.5</v>
      </c>
      <c r="G140" s="328">
        <f t="shared" si="0"/>
        <v>460166.19999999995</v>
      </c>
    </row>
    <row r="141" spans="1:7" x14ac:dyDescent="0.25">
      <c r="A141" s="329" t="str">
        <f>A68</f>
        <v>Siyang Nanliuji Swine farm</v>
      </c>
      <c r="B141" s="330">
        <f>ROUNDDOWN(AVERAGE(B71:D133),1)</f>
        <v>58.8</v>
      </c>
      <c r="C141" s="328">
        <f>ROUNDDOWN(AVERAGE(0),1)</f>
        <v>0</v>
      </c>
      <c r="D141" s="328">
        <f>'2022.01'!D141</f>
        <v>64445</v>
      </c>
      <c r="E141" s="328">
        <f>'[3]NLT-applied'!$I$27</f>
        <v>0</v>
      </c>
      <c r="F141" s="328">
        <f t="shared" si="0"/>
        <v>3789366</v>
      </c>
      <c r="G141" s="328">
        <f t="shared" si="0"/>
        <v>0</v>
      </c>
    </row>
    <row r="142" spans="1:7" x14ac:dyDescent="0.25">
      <c r="A142" s="504" t="s">
        <v>343</v>
      </c>
      <c r="B142" s="510"/>
      <c r="C142" s="505"/>
      <c r="D142" s="328">
        <f>SUM(D138:D141)</f>
        <v>94226</v>
      </c>
      <c r="E142" s="328">
        <f>SUM(E138:E141)</f>
        <v>51818</v>
      </c>
      <c r="F142" s="328">
        <f>SUM(F138:F141)</f>
        <v>5569540.2999999998</v>
      </c>
      <c r="G142" s="328">
        <f>SUM(G138:G141)</f>
        <v>3741397</v>
      </c>
    </row>
    <row r="144" spans="1:7" x14ac:dyDescent="0.25">
      <c r="C144" s="504" t="s">
        <v>344</v>
      </c>
      <c r="D144" s="505"/>
    </row>
    <row r="145" spans="3:4" x14ac:dyDescent="0.25">
      <c r="C145" s="328" t="s">
        <v>341</v>
      </c>
      <c r="D145" s="328" t="s">
        <v>342</v>
      </c>
    </row>
    <row r="146" spans="3:4" x14ac:dyDescent="0.25">
      <c r="C146" s="331">
        <f>ROUNDDOWN(F142/D142,1)</f>
        <v>59.1</v>
      </c>
      <c r="D146" s="331">
        <f>ROUNDDOWN(G142/E142,1)</f>
        <v>72.2</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D0D2-5EA6-4DD0-83AC-D0E1F359CB1A}">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35.9</v>
      </c>
      <c r="C5" s="6">
        <v>46.4</v>
      </c>
      <c r="D5" s="6">
        <v>66.599999999999994</v>
      </c>
      <c r="E5" s="6">
        <v>36.5</v>
      </c>
      <c r="F5" s="6">
        <v>79.5</v>
      </c>
      <c r="G5" s="6">
        <v>110.8</v>
      </c>
    </row>
    <row r="6" spans="1:7" x14ac:dyDescent="0.25">
      <c r="A6" s="10">
        <v>2</v>
      </c>
      <c r="B6" s="6">
        <v>25.3</v>
      </c>
      <c r="C6" s="6">
        <v>56.5</v>
      </c>
      <c r="D6" s="6">
        <v>85.7</v>
      </c>
      <c r="E6" s="6">
        <v>30.9</v>
      </c>
      <c r="F6" s="6">
        <v>73.400000000000006</v>
      </c>
      <c r="G6" s="6">
        <v>95</v>
      </c>
    </row>
    <row r="7" spans="1:7" x14ac:dyDescent="0.25">
      <c r="A7" s="10">
        <v>3</v>
      </c>
      <c r="B7" s="6">
        <v>22.5</v>
      </c>
      <c r="C7" s="6">
        <v>45.2</v>
      </c>
      <c r="D7" s="6">
        <v>102.1</v>
      </c>
      <c r="E7" s="6">
        <v>28.4</v>
      </c>
      <c r="F7" s="6">
        <v>77.7</v>
      </c>
      <c r="G7" s="6">
        <v>113.3</v>
      </c>
    </row>
    <row r="8" spans="1:7" x14ac:dyDescent="0.25">
      <c r="A8" s="10">
        <v>4</v>
      </c>
      <c r="B8" s="6">
        <v>35.700000000000003</v>
      </c>
      <c r="C8" s="6">
        <v>53.5</v>
      </c>
      <c r="D8" s="6">
        <v>89.9</v>
      </c>
      <c r="E8" s="6">
        <v>28.2</v>
      </c>
      <c r="F8" s="6">
        <v>71.400000000000006</v>
      </c>
      <c r="G8" s="6">
        <v>104.8</v>
      </c>
    </row>
    <row r="9" spans="1:7" x14ac:dyDescent="0.25">
      <c r="A9" s="10">
        <v>5</v>
      </c>
      <c r="B9" s="6">
        <v>42.2</v>
      </c>
      <c r="C9" s="6">
        <v>63.2</v>
      </c>
      <c r="D9" s="6">
        <v>108.4</v>
      </c>
      <c r="E9" s="6">
        <v>33.799999999999997</v>
      </c>
      <c r="F9" s="6">
        <v>71.900000000000006</v>
      </c>
      <c r="G9" s="6">
        <v>88.5</v>
      </c>
    </row>
    <row r="10" spans="1:7" x14ac:dyDescent="0.25">
      <c r="A10" s="10">
        <v>6</v>
      </c>
      <c r="B10" s="6">
        <v>41.7</v>
      </c>
      <c r="C10" s="6">
        <v>57</v>
      </c>
      <c r="D10" s="6">
        <v>68.099999999999994</v>
      </c>
      <c r="E10" s="6">
        <v>45.1</v>
      </c>
      <c r="F10" s="6">
        <v>68.3</v>
      </c>
      <c r="G10" s="6">
        <v>85.1</v>
      </c>
    </row>
    <row r="11" spans="1:7" x14ac:dyDescent="0.25">
      <c r="A11" s="10">
        <v>7</v>
      </c>
      <c r="B11" s="6">
        <v>37.4</v>
      </c>
      <c r="C11" s="6">
        <v>53.9</v>
      </c>
      <c r="D11" s="6">
        <v>109.4</v>
      </c>
      <c r="E11" s="6">
        <v>29.2</v>
      </c>
      <c r="F11" s="6">
        <v>81.8</v>
      </c>
      <c r="G11" s="6">
        <v>119.4</v>
      </c>
    </row>
    <row r="12" spans="1:7" x14ac:dyDescent="0.25">
      <c r="A12" s="10">
        <v>8</v>
      </c>
      <c r="B12" s="6">
        <v>28.5</v>
      </c>
      <c r="C12" s="6">
        <v>54.5</v>
      </c>
      <c r="D12" s="6">
        <v>84.3</v>
      </c>
      <c r="E12" s="6">
        <v>26.2</v>
      </c>
      <c r="F12" s="6">
        <v>61.8</v>
      </c>
      <c r="G12" s="6">
        <v>102.4</v>
      </c>
    </row>
    <row r="13" spans="1:7" x14ac:dyDescent="0.25">
      <c r="A13" s="10">
        <v>9</v>
      </c>
      <c r="B13" s="6">
        <v>38.5</v>
      </c>
      <c r="C13" s="6">
        <v>45.9</v>
      </c>
      <c r="D13" s="6">
        <v>66.2</v>
      </c>
      <c r="E13" s="6">
        <v>34.700000000000003</v>
      </c>
      <c r="F13" s="6">
        <v>65.8</v>
      </c>
      <c r="G13" s="6">
        <v>101.5</v>
      </c>
    </row>
    <row r="14" spans="1:7" x14ac:dyDescent="0.25">
      <c r="A14" s="10">
        <v>10</v>
      </c>
      <c r="B14" s="6"/>
      <c r="C14" s="6"/>
      <c r="D14" s="6"/>
      <c r="E14" s="6">
        <v>37.299999999999997</v>
      </c>
      <c r="F14" s="6">
        <v>70.5</v>
      </c>
      <c r="G14" s="6">
        <v>98</v>
      </c>
    </row>
    <row r="15" spans="1:7" x14ac:dyDescent="0.25">
      <c r="A15" s="10">
        <v>11</v>
      </c>
      <c r="B15" s="6"/>
      <c r="C15" s="6"/>
      <c r="D15" s="6"/>
      <c r="E15" s="6">
        <v>27.6</v>
      </c>
      <c r="F15" s="6">
        <v>72.3</v>
      </c>
      <c r="G15" s="6">
        <v>98.3</v>
      </c>
    </row>
    <row r="16" spans="1:7" x14ac:dyDescent="0.25">
      <c r="A16" s="10">
        <v>12</v>
      </c>
      <c r="B16" s="6"/>
      <c r="C16" s="6"/>
      <c r="D16" s="6"/>
      <c r="E16" s="6">
        <v>40.799999999999997</v>
      </c>
      <c r="F16" s="6">
        <v>63.2</v>
      </c>
      <c r="G16" s="6">
        <v>116.1</v>
      </c>
    </row>
    <row r="17" spans="1:7" x14ac:dyDescent="0.25">
      <c r="A17" s="10">
        <v>13</v>
      </c>
      <c r="B17" s="6"/>
      <c r="C17" s="6"/>
      <c r="D17" s="6"/>
      <c r="E17" s="6">
        <v>56.7</v>
      </c>
      <c r="F17" s="6">
        <v>83</v>
      </c>
      <c r="G17" s="6">
        <v>86.5</v>
      </c>
    </row>
    <row r="18" spans="1:7" x14ac:dyDescent="0.25">
      <c r="A18" s="10">
        <v>14</v>
      </c>
      <c r="B18" s="6"/>
      <c r="C18" s="6"/>
      <c r="D18" s="6"/>
      <c r="E18" s="6">
        <v>55.3</v>
      </c>
      <c r="F18" s="6">
        <v>70.7</v>
      </c>
      <c r="G18" s="6">
        <v>90.6</v>
      </c>
    </row>
    <row r="19" spans="1:7" x14ac:dyDescent="0.25">
      <c r="A19" s="10">
        <v>15</v>
      </c>
      <c r="B19" s="6"/>
      <c r="C19" s="6"/>
      <c r="D19" s="6"/>
      <c r="E19" s="6">
        <v>48.6</v>
      </c>
      <c r="F19" s="6">
        <v>72.3</v>
      </c>
      <c r="G19" s="6">
        <v>90.8</v>
      </c>
    </row>
    <row r="20" spans="1:7" ht="14.5" thickBot="1" x14ac:dyDescent="0.3">
      <c r="A20" s="11">
        <v>16</v>
      </c>
      <c r="B20" s="12"/>
      <c r="C20" s="12"/>
      <c r="D20" s="12"/>
      <c r="E20" s="6">
        <v>49.8</v>
      </c>
      <c r="F20" s="6">
        <v>70.5</v>
      </c>
      <c r="G20" s="6">
        <v>118.9</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27.1</v>
      </c>
      <c r="C24" s="6">
        <v>47.7</v>
      </c>
      <c r="D24" s="6">
        <v>93.9</v>
      </c>
      <c r="E24" s="6">
        <v>57.9</v>
      </c>
      <c r="F24" s="6">
        <v>65.400000000000006</v>
      </c>
      <c r="G24" s="6">
        <v>88</v>
      </c>
    </row>
    <row r="25" spans="1:7" x14ac:dyDescent="0.25">
      <c r="A25" s="10">
        <v>2</v>
      </c>
      <c r="B25" s="6">
        <v>26.9</v>
      </c>
      <c r="C25" s="6">
        <v>60.6</v>
      </c>
      <c r="D25" s="6">
        <v>67.599999999999994</v>
      </c>
      <c r="E25" s="6">
        <v>44</v>
      </c>
      <c r="F25" s="6">
        <v>81.599999999999994</v>
      </c>
      <c r="G25" s="6">
        <v>96.4</v>
      </c>
    </row>
    <row r="26" spans="1:7" x14ac:dyDescent="0.25">
      <c r="A26" s="10">
        <v>3</v>
      </c>
      <c r="B26" s="6">
        <v>24.9</v>
      </c>
      <c r="C26" s="6">
        <v>51</v>
      </c>
      <c r="D26" s="6">
        <v>85.3</v>
      </c>
      <c r="E26" s="6">
        <v>44.8</v>
      </c>
      <c r="F26" s="6">
        <v>60.8</v>
      </c>
      <c r="G26" s="6">
        <v>102.4</v>
      </c>
    </row>
    <row r="27" spans="1:7" x14ac:dyDescent="0.25">
      <c r="A27" s="10">
        <v>4</v>
      </c>
      <c r="B27" s="6">
        <v>43.7</v>
      </c>
      <c r="C27" s="6">
        <v>63.3</v>
      </c>
      <c r="D27" s="6">
        <v>105</v>
      </c>
      <c r="E27" s="6">
        <v>55.7</v>
      </c>
      <c r="F27" s="6">
        <v>84.9</v>
      </c>
      <c r="G27" s="6">
        <v>101.5</v>
      </c>
    </row>
    <row r="28" spans="1:7" x14ac:dyDescent="0.25">
      <c r="A28" s="10">
        <v>5</v>
      </c>
      <c r="B28" s="6">
        <v>42.3</v>
      </c>
      <c r="C28" s="6">
        <v>61.9</v>
      </c>
      <c r="D28" s="6">
        <v>99</v>
      </c>
      <c r="E28" s="6">
        <v>32.1</v>
      </c>
      <c r="F28" s="6">
        <v>60.8</v>
      </c>
      <c r="G28" s="6">
        <v>95.3</v>
      </c>
    </row>
    <row r="29" spans="1:7" x14ac:dyDescent="0.25">
      <c r="A29" s="10">
        <v>6</v>
      </c>
      <c r="B29" s="6">
        <v>42.3</v>
      </c>
      <c r="C29" s="6">
        <v>58.8</v>
      </c>
      <c r="D29" s="6">
        <v>79.5</v>
      </c>
      <c r="E29" s="6">
        <v>46</v>
      </c>
      <c r="F29" s="6">
        <v>82.2</v>
      </c>
      <c r="G29" s="6">
        <v>107.8</v>
      </c>
    </row>
    <row r="30" spans="1:7" x14ac:dyDescent="0.25">
      <c r="A30" s="10">
        <v>7</v>
      </c>
      <c r="B30" s="6">
        <v>33.9</v>
      </c>
      <c r="C30" s="6">
        <v>59.9</v>
      </c>
      <c r="D30" s="6">
        <v>76.400000000000006</v>
      </c>
      <c r="E30" s="6">
        <v>51.9</v>
      </c>
      <c r="F30" s="6">
        <v>70.400000000000006</v>
      </c>
      <c r="G30" s="6">
        <v>87.3</v>
      </c>
    </row>
    <row r="31" spans="1:7" x14ac:dyDescent="0.25">
      <c r="A31" s="10">
        <v>8</v>
      </c>
      <c r="B31" s="6">
        <v>40.1</v>
      </c>
      <c r="C31" s="6">
        <v>47</v>
      </c>
      <c r="D31" s="6">
        <v>89.5</v>
      </c>
      <c r="E31" s="6">
        <v>28.7</v>
      </c>
      <c r="F31" s="6">
        <v>61</v>
      </c>
      <c r="G31" s="6">
        <v>88.9</v>
      </c>
    </row>
    <row r="32" spans="1:7" x14ac:dyDescent="0.25">
      <c r="A32" s="10">
        <v>9</v>
      </c>
      <c r="B32" s="6">
        <v>29.2</v>
      </c>
      <c r="C32" s="6">
        <v>55.2</v>
      </c>
      <c r="D32" s="6">
        <v>76.2</v>
      </c>
      <c r="E32" s="6">
        <v>53</v>
      </c>
      <c r="F32" s="6">
        <v>67.099999999999994</v>
      </c>
      <c r="G32" s="6">
        <v>92.6</v>
      </c>
    </row>
    <row r="33" spans="1:7" x14ac:dyDescent="0.25">
      <c r="A33" s="10">
        <v>10</v>
      </c>
      <c r="B33" s="6">
        <v>35.799999999999997</v>
      </c>
      <c r="C33" s="6">
        <v>54.4</v>
      </c>
      <c r="D33" s="6">
        <v>67</v>
      </c>
      <c r="E33" s="6">
        <v>59.5</v>
      </c>
      <c r="F33" s="6">
        <v>75.7</v>
      </c>
      <c r="G33" s="6">
        <v>95.8</v>
      </c>
    </row>
    <row r="34" spans="1:7" x14ac:dyDescent="0.25">
      <c r="A34" s="10">
        <v>11</v>
      </c>
      <c r="B34" s="6"/>
      <c r="C34" s="6"/>
      <c r="D34" s="6"/>
      <c r="E34" s="6">
        <v>56.7</v>
      </c>
      <c r="F34" s="6">
        <v>74.8</v>
      </c>
      <c r="G34" s="6">
        <v>118</v>
      </c>
    </row>
    <row r="35" spans="1:7" x14ac:dyDescent="0.25">
      <c r="A35" s="10">
        <v>12</v>
      </c>
      <c r="B35" s="6"/>
      <c r="C35" s="6"/>
      <c r="D35" s="6"/>
      <c r="E35" s="6">
        <v>30.1</v>
      </c>
      <c r="F35" s="6">
        <v>65</v>
      </c>
      <c r="G35" s="6">
        <v>94.9</v>
      </c>
    </row>
    <row r="36" spans="1:7" x14ac:dyDescent="0.25">
      <c r="A36" s="10">
        <v>13</v>
      </c>
      <c r="B36" s="6"/>
      <c r="C36" s="6"/>
      <c r="D36" s="6"/>
      <c r="E36" s="6">
        <v>32.9</v>
      </c>
      <c r="F36" s="6">
        <v>64.8</v>
      </c>
      <c r="G36" s="6">
        <v>114.7</v>
      </c>
    </row>
    <row r="37" spans="1:7" x14ac:dyDescent="0.25">
      <c r="A37" s="10">
        <v>14</v>
      </c>
      <c r="B37" s="6"/>
      <c r="C37" s="6"/>
      <c r="D37" s="6"/>
      <c r="E37" s="6">
        <v>58.8</v>
      </c>
      <c r="F37" s="6">
        <v>61.8</v>
      </c>
      <c r="G37" s="6">
        <v>104.5</v>
      </c>
    </row>
    <row r="38" spans="1:7" x14ac:dyDescent="0.25">
      <c r="A38" s="10">
        <v>15</v>
      </c>
      <c r="B38" s="6"/>
      <c r="C38" s="6"/>
      <c r="D38" s="6"/>
      <c r="E38" s="6">
        <v>50.2</v>
      </c>
      <c r="F38" s="6">
        <v>65.599999999999994</v>
      </c>
      <c r="G38" s="6">
        <v>116.7</v>
      </c>
    </row>
    <row r="39" spans="1:7" x14ac:dyDescent="0.25">
      <c r="A39" s="10">
        <v>16</v>
      </c>
      <c r="B39" s="6"/>
      <c r="C39" s="6"/>
      <c r="D39" s="6"/>
      <c r="E39" s="6">
        <v>40.200000000000003</v>
      </c>
      <c r="F39" s="6">
        <v>73.7</v>
      </c>
      <c r="G39" s="6">
        <v>104.4</v>
      </c>
    </row>
    <row r="40" spans="1:7" x14ac:dyDescent="0.25">
      <c r="A40" s="10">
        <v>17</v>
      </c>
      <c r="B40" s="6"/>
      <c r="C40" s="6"/>
      <c r="D40" s="6"/>
      <c r="E40" s="6">
        <v>53.5</v>
      </c>
      <c r="F40" s="6">
        <v>77</v>
      </c>
      <c r="G40" s="6">
        <v>91</v>
      </c>
    </row>
    <row r="41" spans="1:7" x14ac:dyDescent="0.25">
      <c r="A41" s="10">
        <v>18</v>
      </c>
      <c r="B41" s="6"/>
      <c r="C41" s="6"/>
      <c r="D41" s="6"/>
      <c r="E41" s="6">
        <v>37.799999999999997</v>
      </c>
      <c r="F41" s="6">
        <v>66.400000000000006</v>
      </c>
      <c r="G41" s="6">
        <v>88.3</v>
      </c>
    </row>
    <row r="42" spans="1:7" x14ac:dyDescent="0.25">
      <c r="A42" s="10">
        <v>19</v>
      </c>
      <c r="B42" s="6"/>
      <c r="C42" s="6"/>
      <c r="D42" s="6"/>
      <c r="E42" s="6">
        <v>33.700000000000003</v>
      </c>
      <c r="F42" s="6">
        <v>77.099999999999994</v>
      </c>
      <c r="G42" s="6">
        <v>102.1</v>
      </c>
    </row>
    <row r="43" spans="1:7" x14ac:dyDescent="0.25">
      <c r="A43" s="10">
        <v>20</v>
      </c>
      <c r="B43" s="6"/>
      <c r="C43" s="6"/>
      <c r="D43" s="6"/>
      <c r="E43" s="6">
        <v>57.8</v>
      </c>
      <c r="F43" s="6">
        <v>82.9</v>
      </c>
      <c r="G43" s="6">
        <v>93.9</v>
      </c>
    </row>
    <row r="44" spans="1:7" x14ac:dyDescent="0.25">
      <c r="A44" s="10">
        <v>21</v>
      </c>
      <c r="B44" s="6"/>
      <c r="C44" s="6"/>
      <c r="D44" s="6"/>
      <c r="E44" s="6">
        <v>50.9</v>
      </c>
      <c r="F44" s="6">
        <v>60.9</v>
      </c>
      <c r="G44" s="6">
        <v>87.1</v>
      </c>
    </row>
    <row r="45" spans="1:7" x14ac:dyDescent="0.25">
      <c r="A45" s="10">
        <v>22</v>
      </c>
      <c r="B45" s="6"/>
      <c r="C45" s="6"/>
      <c r="D45" s="6"/>
      <c r="E45" s="6">
        <v>55.7</v>
      </c>
      <c r="F45" s="6">
        <v>81.5</v>
      </c>
      <c r="G45" s="6">
        <v>103.7</v>
      </c>
    </row>
    <row r="46" spans="1:7" x14ac:dyDescent="0.25">
      <c r="A46" s="10">
        <v>23</v>
      </c>
      <c r="B46" s="6"/>
      <c r="C46" s="6"/>
      <c r="D46" s="6"/>
      <c r="E46" s="6">
        <v>53.7</v>
      </c>
      <c r="F46" s="6">
        <v>82.5</v>
      </c>
      <c r="G46" s="6">
        <v>92.8</v>
      </c>
    </row>
    <row r="47" spans="1:7" x14ac:dyDescent="0.25">
      <c r="A47" s="10">
        <v>24</v>
      </c>
      <c r="B47" s="6"/>
      <c r="C47" s="6"/>
      <c r="D47" s="6"/>
      <c r="E47" s="6">
        <v>48.9</v>
      </c>
      <c r="F47" s="6">
        <v>76.2</v>
      </c>
      <c r="G47" s="6">
        <v>118.4</v>
      </c>
    </row>
    <row r="48" spans="1:7" x14ac:dyDescent="0.25">
      <c r="A48" s="10">
        <v>25</v>
      </c>
      <c r="B48" s="6"/>
      <c r="C48" s="6"/>
      <c r="D48" s="6"/>
      <c r="E48" s="6">
        <v>52.3</v>
      </c>
      <c r="F48" s="6">
        <v>60.8</v>
      </c>
      <c r="G48" s="6">
        <v>114.4</v>
      </c>
    </row>
    <row r="49" spans="1:7" x14ac:dyDescent="0.25">
      <c r="A49" s="10">
        <v>26</v>
      </c>
      <c r="B49" s="6"/>
      <c r="C49" s="13"/>
      <c r="D49" s="6"/>
      <c r="E49" s="6">
        <v>30.5</v>
      </c>
      <c r="F49" s="6">
        <v>82.7</v>
      </c>
      <c r="G49" s="6">
        <v>89.9</v>
      </c>
    </row>
    <row r="50" spans="1:7" x14ac:dyDescent="0.25">
      <c r="A50" s="10">
        <v>27</v>
      </c>
      <c r="B50" s="6"/>
      <c r="C50" s="13"/>
      <c r="D50" s="6"/>
      <c r="E50" s="6">
        <v>48.6</v>
      </c>
      <c r="F50" s="6">
        <v>77.8</v>
      </c>
      <c r="G50" s="6">
        <v>99.9</v>
      </c>
    </row>
    <row r="51" spans="1:7" x14ac:dyDescent="0.25">
      <c r="A51" s="10">
        <v>28</v>
      </c>
      <c r="B51" s="6"/>
      <c r="C51" s="14"/>
      <c r="D51" s="6"/>
      <c r="E51" s="6">
        <v>53</v>
      </c>
      <c r="F51" s="6">
        <v>76.3</v>
      </c>
      <c r="G51" s="6">
        <v>88.2</v>
      </c>
    </row>
    <row r="52" spans="1:7" ht="14.5" thickBot="1" x14ac:dyDescent="0.3">
      <c r="A52" s="11">
        <v>29</v>
      </c>
      <c r="B52" s="15"/>
      <c r="C52" s="15"/>
      <c r="D52" s="12"/>
      <c r="E52" s="6">
        <v>49.2</v>
      </c>
      <c r="F52" s="6">
        <v>69.099999999999994</v>
      </c>
      <c r="G52" s="6">
        <v>119.8</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44.1</v>
      </c>
      <c r="C56" s="6">
        <v>57.2</v>
      </c>
      <c r="D56" s="6">
        <v>69.8</v>
      </c>
      <c r="E56" s="6">
        <v>31</v>
      </c>
      <c r="F56" s="6">
        <v>75.900000000000006</v>
      </c>
      <c r="G56" s="6">
        <v>115.9</v>
      </c>
    </row>
    <row r="57" spans="1:7" x14ac:dyDescent="0.25">
      <c r="A57" s="10">
        <v>2</v>
      </c>
      <c r="B57" s="6">
        <v>42.7</v>
      </c>
      <c r="C57" s="6">
        <v>59.7</v>
      </c>
      <c r="D57" s="6">
        <v>82.5</v>
      </c>
      <c r="E57" s="6">
        <v>48</v>
      </c>
      <c r="F57" s="6">
        <v>66.8</v>
      </c>
      <c r="G57" s="6">
        <v>117.7</v>
      </c>
    </row>
    <row r="58" spans="1:7" x14ac:dyDescent="0.25">
      <c r="A58" s="10">
        <v>3</v>
      </c>
      <c r="B58" s="6">
        <v>31</v>
      </c>
      <c r="C58" s="6">
        <v>58.4</v>
      </c>
      <c r="D58" s="6">
        <v>81.7</v>
      </c>
      <c r="E58" s="6">
        <v>49.7</v>
      </c>
      <c r="F58" s="6">
        <v>68.099999999999994</v>
      </c>
      <c r="G58" s="6">
        <v>106.4</v>
      </c>
    </row>
    <row r="59" spans="1:7" x14ac:dyDescent="0.25">
      <c r="A59" s="10">
        <v>4</v>
      </c>
      <c r="B59" s="6">
        <v>27.5</v>
      </c>
      <c r="C59" s="6">
        <v>49</v>
      </c>
      <c r="D59" s="6">
        <v>91.6</v>
      </c>
      <c r="E59" s="6">
        <v>40</v>
      </c>
      <c r="F59" s="6">
        <v>83.8</v>
      </c>
      <c r="G59" s="6">
        <v>113.2</v>
      </c>
    </row>
    <row r="60" spans="1:7" x14ac:dyDescent="0.25">
      <c r="A60" s="10">
        <v>5</v>
      </c>
      <c r="B60" s="6">
        <v>36.6</v>
      </c>
      <c r="C60" s="6">
        <v>49.9</v>
      </c>
      <c r="D60" s="6">
        <v>100.4</v>
      </c>
      <c r="E60" s="6">
        <v>32.4</v>
      </c>
      <c r="F60" s="6">
        <v>63.8</v>
      </c>
      <c r="G60" s="6">
        <v>100.7</v>
      </c>
    </row>
    <row r="61" spans="1:7" x14ac:dyDescent="0.25">
      <c r="A61" s="10">
        <v>6</v>
      </c>
      <c r="B61" s="6">
        <v>36.6</v>
      </c>
      <c r="C61" s="6">
        <v>52.8</v>
      </c>
      <c r="D61" s="6">
        <v>90.8</v>
      </c>
      <c r="E61" s="6">
        <v>55.3</v>
      </c>
      <c r="F61" s="6">
        <v>82.4</v>
      </c>
      <c r="G61" s="6">
        <v>94.3</v>
      </c>
    </row>
    <row r="62" spans="1:7" x14ac:dyDescent="0.25">
      <c r="A62" s="10">
        <v>7</v>
      </c>
      <c r="B62" s="6">
        <v>43.3</v>
      </c>
      <c r="C62" s="6">
        <v>56.6</v>
      </c>
      <c r="D62" s="6">
        <v>105.8</v>
      </c>
      <c r="E62" s="6">
        <v>29.8</v>
      </c>
      <c r="F62" s="6">
        <v>84.6</v>
      </c>
      <c r="G62" s="6">
        <v>113.2</v>
      </c>
    </row>
    <row r="63" spans="1:7" x14ac:dyDescent="0.25">
      <c r="A63" s="10">
        <v>8</v>
      </c>
      <c r="B63" s="6">
        <v>36.6</v>
      </c>
      <c r="C63" s="6">
        <v>59</v>
      </c>
      <c r="D63" s="6">
        <v>92.7</v>
      </c>
      <c r="E63" s="6"/>
      <c r="F63" s="6"/>
      <c r="G63" s="6"/>
    </row>
    <row r="64" spans="1:7" x14ac:dyDescent="0.25">
      <c r="A64" s="10">
        <v>9</v>
      </c>
      <c r="B64" s="6">
        <v>38.1</v>
      </c>
      <c r="C64" s="6">
        <v>56.4</v>
      </c>
      <c r="D64" s="6">
        <v>87.8</v>
      </c>
      <c r="E64" s="6"/>
      <c r="F64" s="6"/>
      <c r="G64" s="6"/>
    </row>
    <row r="65" spans="1:7" x14ac:dyDescent="0.25">
      <c r="A65" s="10">
        <v>10</v>
      </c>
      <c r="B65" s="6">
        <v>31.5</v>
      </c>
      <c r="C65" s="6">
        <v>45.3</v>
      </c>
      <c r="D65" s="6">
        <v>71.2</v>
      </c>
      <c r="E65" s="6"/>
      <c r="F65" s="6"/>
      <c r="G65" s="6"/>
    </row>
    <row r="66" spans="1:7" x14ac:dyDescent="0.25">
      <c r="A66" s="10">
        <v>11</v>
      </c>
      <c r="B66" s="6">
        <v>37.5</v>
      </c>
      <c r="C66" s="6">
        <v>55.1</v>
      </c>
      <c r="D66" s="6">
        <v>109.4</v>
      </c>
      <c r="E66" s="6"/>
      <c r="F66" s="6"/>
      <c r="G66" s="6"/>
    </row>
    <row r="67" spans="1:7" ht="14.5" thickBot="1" x14ac:dyDescent="0.3">
      <c r="A67" s="11">
        <v>12</v>
      </c>
      <c r="B67" s="6">
        <v>25.5</v>
      </c>
      <c r="C67" s="6">
        <v>62.7</v>
      </c>
      <c r="D67" s="6">
        <v>67.5</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27.4</v>
      </c>
      <c r="C71" s="6">
        <v>61.4</v>
      </c>
      <c r="D71" s="6">
        <v>85.6</v>
      </c>
      <c r="E71" s="6"/>
      <c r="F71" s="6"/>
      <c r="G71" s="6"/>
    </row>
    <row r="72" spans="1:7" x14ac:dyDescent="0.25">
      <c r="A72" s="10">
        <v>2</v>
      </c>
      <c r="B72" s="6">
        <v>41.4</v>
      </c>
      <c r="C72" s="6">
        <v>55.8</v>
      </c>
      <c r="D72" s="6">
        <v>69.3</v>
      </c>
      <c r="E72" s="5"/>
      <c r="F72" s="5"/>
      <c r="G72" s="6"/>
    </row>
    <row r="73" spans="1:7" x14ac:dyDescent="0.25">
      <c r="A73" s="10">
        <v>3</v>
      </c>
      <c r="B73" s="6">
        <v>37.5</v>
      </c>
      <c r="C73" s="6">
        <v>63.5</v>
      </c>
      <c r="D73" s="6">
        <v>67</v>
      </c>
      <c r="E73" s="5"/>
      <c r="F73" s="5"/>
      <c r="G73" s="5"/>
    </row>
    <row r="74" spans="1:7" x14ac:dyDescent="0.25">
      <c r="A74" s="10">
        <v>4</v>
      </c>
      <c r="B74" s="6">
        <v>38.299999999999997</v>
      </c>
      <c r="C74" s="6">
        <v>50.7</v>
      </c>
      <c r="D74" s="6">
        <v>96.9</v>
      </c>
      <c r="E74" s="5"/>
      <c r="F74" s="5"/>
      <c r="G74" s="5"/>
    </row>
    <row r="75" spans="1:7" x14ac:dyDescent="0.25">
      <c r="A75" s="10">
        <v>5</v>
      </c>
      <c r="B75" s="6">
        <v>44.2</v>
      </c>
      <c r="C75" s="6">
        <v>48.1</v>
      </c>
      <c r="D75" s="6">
        <v>98.6</v>
      </c>
      <c r="E75" s="5"/>
      <c r="F75" s="5"/>
      <c r="G75" s="5"/>
    </row>
    <row r="76" spans="1:7" x14ac:dyDescent="0.25">
      <c r="A76" s="10">
        <v>6</v>
      </c>
      <c r="B76" s="6">
        <v>22.1</v>
      </c>
      <c r="C76" s="6">
        <v>57</v>
      </c>
      <c r="D76" s="6">
        <v>92.9</v>
      </c>
      <c r="E76" s="5"/>
      <c r="F76" s="5"/>
      <c r="G76" s="5"/>
    </row>
    <row r="77" spans="1:7" x14ac:dyDescent="0.25">
      <c r="A77" s="10">
        <v>7</v>
      </c>
      <c r="B77" s="6">
        <v>34</v>
      </c>
      <c r="C77" s="6">
        <v>50.6</v>
      </c>
      <c r="D77" s="6">
        <v>80.3</v>
      </c>
      <c r="E77" s="5"/>
      <c r="F77" s="5"/>
      <c r="G77" s="5"/>
    </row>
    <row r="78" spans="1:7" x14ac:dyDescent="0.25">
      <c r="A78" s="10">
        <v>8</v>
      </c>
      <c r="B78" s="6">
        <v>36.200000000000003</v>
      </c>
      <c r="C78" s="6">
        <v>55.3</v>
      </c>
      <c r="D78" s="6">
        <v>68.099999999999994</v>
      </c>
      <c r="E78" s="5"/>
      <c r="F78" s="5"/>
      <c r="G78" s="5"/>
    </row>
    <row r="79" spans="1:7" x14ac:dyDescent="0.25">
      <c r="A79" s="10">
        <v>9</v>
      </c>
      <c r="B79" s="6">
        <v>25.1</v>
      </c>
      <c r="C79" s="6">
        <v>62</v>
      </c>
      <c r="D79" s="6">
        <v>103.2</v>
      </c>
      <c r="E79" s="5"/>
      <c r="F79" s="5"/>
      <c r="G79" s="5"/>
    </row>
    <row r="80" spans="1:7" x14ac:dyDescent="0.25">
      <c r="A80" s="10">
        <v>10</v>
      </c>
      <c r="B80" s="6">
        <v>24.5</v>
      </c>
      <c r="C80" s="6">
        <v>61</v>
      </c>
      <c r="D80" s="6">
        <v>102.7</v>
      </c>
      <c r="E80" s="5"/>
      <c r="F80" s="5"/>
      <c r="G80" s="5"/>
    </row>
    <row r="81" spans="1:7" x14ac:dyDescent="0.25">
      <c r="A81" s="10">
        <v>11</v>
      </c>
      <c r="B81" s="6">
        <v>33.6</v>
      </c>
      <c r="C81" s="6">
        <v>50.1</v>
      </c>
      <c r="D81" s="6">
        <v>87.9</v>
      </c>
      <c r="E81" s="5"/>
      <c r="F81" s="5"/>
      <c r="G81" s="5"/>
    </row>
    <row r="82" spans="1:7" x14ac:dyDescent="0.25">
      <c r="A82" s="10">
        <v>12</v>
      </c>
      <c r="B82" s="6">
        <v>31.9</v>
      </c>
      <c r="C82" s="6">
        <v>55.3</v>
      </c>
      <c r="D82" s="6">
        <v>97.6</v>
      </c>
      <c r="E82" s="5"/>
      <c r="F82" s="5"/>
      <c r="G82" s="5"/>
    </row>
    <row r="83" spans="1:7" x14ac:dyDescent="0.25">
      <c r="A83" s="10">
        <v>13</v>
      </c>
      <c r="B83" s="6">
        <v>33.1</v>
      </c>
      <c r="C83" s="6">
        <v>45.1</v>
      </c>
      <c r="D83" s="6">
        <v>89.9</v>
      </c>
      <c r="E83" s="5"/>
      <c r="F83" s="5"/>
      <c r="G83" s="5"/>
    </row>
    <row r="84" spans="1:7" x14ac:dyDescent="0.25">
      <c r="A84" s="10">
        <v>14</v>
      </c>
      <c r="B84" s="6">
        <v>22.1</v>
      </c>
      <c r="C84" s="6">
        <v>58.4</v>
      </c>
      <c r="D84" s="6">
        <v>72.900000000000006</v>
      </c>
      <c r="E84" s="5"/>
      <c r="F84" s="5"/>
      <c r="G84" s="5"/>
    </row>
    <row r="85" spans="1:7" x14ac:dyDescent="0.25">
      <c r="A85" s="10">
        <v>15</v>
      </c>
      <c r="B85" s="6">
        <v>42.7</v>
      </c>
      <c r="C85" s="6">
        <v>60</v>
      </c>
      <c r="D85" s="6">
        <v>71.7</v>
      </c>
      <c r="E85" s="5"/>
      <c r="F85" s="5"/>
      <c r="G85" s="5"/>
    </row>
    <row r="86" spans="1:7" x14ac:dyDescent="0.25">
      <c r="A86" s="10">
        <v>16</v>
      </c>
      <c r="B86" s="6">
        <v>31.9</v>
      </c>
      <c r="C86" s="6">
        <v>51.7</v>
      </c>
      <c r="D86" s="6">
        <v>102.6</v>
      </c>
      <c r="E86" s="5"/>
      <c r="F86" s="5"/>
      <c r="G86" s="5"/>
    </row>
    <row r="87" spans="1:7" x14ac:dyDescent="0.25">
      <c r="A87" s="10">
        <v>17</v>
      </c>
      <c r="B87" s="6">
        <v>30.7</v>
      </c>
      <c r="C87" s="6">
        <v>45.6</v>
      </c>
      <c r="D87" s="6">
        <v>71.7</v>
      </c>
      <c r="E87" s="5"/>
      <c r="F87" s="5"/>
      <c r="G87" s="5"/>
    </row>
    <row r="88" spans="1:7" x14ac:dyDescent="0.25">
      <c r="A88" s="10">
        <v>18</v>
      </c>
      <c r="B88" s="6">
        <v>20.100000000000001</v>
      </c>
      <c r="C88" s="6">
        <v>46</v>
      </c>
      <c r="D88" s="6">
        <v>96.7</v>
      </c>
      <c r="E88" s="5"/>
      <c r="F88" s="5"/>
      <c r="G88" s="5"/>
    </row>
    <row r="89" spans="1:7" x14ac:dyDescent="0.25">
      <c r="A89" s="10">
        <v>19</v>
      </c>
      <c r="B89" s="6">
        <v>43.6</v>
      </c>
      <c r="C89" s="6">
        <v>63.3</v>
      </c>
      <c r="D89" s="6">
        <v>103.8</v>
      </c>
      <c r="E89" s="5"/>
      <c r="F89" s="5"/>
      <c r="G89" s="5"/>
    </row>
    <row r="90" spans="1:7" x14ac:dyDescent="0.25">
      <c r="A90" s="10">
        <v>20</v>
      </c>
      <c r="B90" s="6">
        <v>38.9</v>
      </c>
      <c r="C90" s="6">
        <v>63.1</v>
      </c>
      <c r="D90" s="6">
        <v>97.6</v>
      </c>
      <c r="E90" s="5"/>
      <c r="F90" s="5"/>
      <c r="G90" s="5"/>
    </row>
    <row r="91" spans="1:7" x14ac:dyDescent="0.25">
      <c r="A91" s="10">
        <v>21</v>
      </c>
      <c r="B91" s="6">
        <v>22.4</v>
      </c>
      <c r="C91" s="6">
        <v>50.9</v>
      </c>
      <c r="D91" s="6">
        <v>98.8</v>
      </c>
      <c r="E91" s="5"/>
      <c r="F91" s="5"/>
      <c r="G91" s="5"/>
    </row>
    <row r="92" spans="1:7" x14ac:dyDescent="0.25">
      <c r="A92" s="10">
        <v>22</v>
      </c>
      <c r="B92" s="6">
        <v>37.4</v>
      </c>
      <c r="C92" s="6">
        <v>60.3</v>
      </c>
      <c r="D92" s="6">
        <v>87.3</v>
      </c>
      <c r="E92" s="5"/>
      <c r="F92" s="5"/>
      <c r="G92" s="5"/>
    </row>
    <row r="93" spans="1:7" x14ac:dyDescent="0.25">
      <c r="A93" s="10">
        <v>23</v>
      </c>
      <c r="B93" s="6">
        <v>23.7</v>
      </c>
      <c r="C93" s="6">
        <v>50.8</v>
      </c>
      <c r="D93" s="6">
        <v>70.8</v>
      </c>
      <c r="E93" s="5"/>
      <c r="F93" s="5"/>
      <c r="G93" s="5"/>
    </row>
    <row r="94" spans="1:7" x14ac:dyDescent="0.25">
      <c r="A94" s="10">
        <v>24</v>
      </c>
      <c r="B94" s="6">
        <v>27.8</v>
      </c>
      <c r="C94" s="6">
        <v>62.6</v>
      </c>
      <c r="D94" s="6">
        <v>77.7</v>
      </c>
      <c r="E94" s="5"/>
      <c r="F94" s="5"/>
      <c r="G94" s="5"/>
    </row>
    <row r="95" spans="1:7" x14ac:dyDescent="0.25">
      <c r="A95" s="10">
        <v>25</v>
      </c>
      <c r="B95" s="6">
        <v>45</v>
      </c>
      <c r="C95" s="6">
        <v>64.5</v>
      </c>
      <c r="D95" s="6">
        <v>88.6</v>
      </c>
      <c r="E95" s="5"/>
      <c r="F95" s="5"/>
      <c r="G95" s="5"/>
    </row>
    <row r="96" spans="1:7" x14ac:dyDescent="0.25">
      <c r="A96" s="10">
        <v>26</v>
      </c>
      <c r="B96" s="6">
        <v>37.200000000000003</v>
      </c>
      <c r="C96" s="6">
        <v>52.8</v>
      </c>
      <c r="D96" s="6">
        <v>75.3</v>
      </c>
      <c r="E96" s="14"/>
      <c r="F96" s="14"/>
      <c r="G96" s="14"/>
    </row>
    <row r="97" spans="1:7" x14ac:dyDescent="0.25">
      <c r="A97" s="10">
        <v>27</v>
      </c>
      <c r="B97" s="6">
        <v>23.8</v>
      </c>
      <c r="C97" s="6">
        <v>51.4</v>
      </c>
      <c r="D97" s="6">
        <v>84.2</v>
      </c>
      <c r="E97" s="14"/>
      <c r="F97" s="14"/>
      <c r="G97" s="14"/>
    </row>
    <row r="98" spans="1:7" x14ac:dyDescent="0.25">
      <c r="A98" s="10">
        <v>28</v>
      </c>
      <c r="B98" s="6">
        <v>43.3</v>
      </c>
      <c r="C98" s="6">
        <v>53.9</v>
      </c>
      <c r="D98" s="6">
        <v>74.7</v>
      </c>
      <c r="E98" s="14"/>
      <c r="F98" s="14"/>
      <c r="G98" s="14"/>
    </row>
    <row r="99" spans="1:7" x14ac:dyDescent="0.25">
      <c r="A99" s="10">
        <v>29</v>
      </c>
      <c r="B99" s="6">
        <v>32.4</v>
      </c>
      <c r="C99" s="6">
        <v>47.4</v>
      </c>
      <c r="D99" s="6">
        <v>99.3</v>
      </c>
      <c r="E99" s="5"/>
      <c r="F99" s="5"/>
      <c r="G99" s="5"/>
    </row>
    <row r="100" spans="1:7" x14ac:dyDescent="0.25">
      <c r="A100" s="10">
        <v>30</v>
      </c>
      <c r="B100" s="6">
        <v>43.8</v>
      </c>
      <c r="C100" s="6">
        <v>55.4</v>
      </c>
      <c r="D100" s="6">
        <v>78.900000000000006</v>
      </c>
      <c r="E100" s="1"/>
      <c r="F100" s="1"/>
      <c r="G100" s="1"/>
    </row>
    <row r="101" spans="1:7" x14ac:dyDescent="0.25">
      <c r="A101" s="10">
        <v>31</v>
      </c>
      <c r="B101" s="6">
        <v>42.7</v>
      </c>
      <c r="C101" s="6">
        <v>57.2</v>
      </c>
      <c r="D101" s="6">
        <v>69.900000000000006</v>
      </c>
      <c r="E101" s="1"/>
      <c r="F101" s="1"/>
      <c r="G101" s="1"/>
    </row>
    <row r="102" spans="1:7" x14ac:dyDescent="0.25">
      <c r="A102" s="10">
        <v>32</v>
      </c>
      <c r="B102" s="6">
        <v>28.2</v>
      </c>
      <c r="C102" s="6">
        <v>63.9</v>
      </c>
      <c r="D102" s="6">
        <v>92.4</v>
      </c>
      <c r="E102" s="1"/>
      <c r="F102" s="1"/>
      <c r="G102" s="1"/>
    </row>
    <row r="103" spans="1:7" x14ac:dyDescent="0.25">
      <c r="A103" s="10">
        <v>33</v>
      </c>
      <c r="B103" s="6">
        <v>35.799999999999997</v>
      </c>
      <c r="C103" s="6">
        <v>47.6</v>
      </c>
      <c r="D103" s="6">
        <v>85.9</v>
      </c>
      <c r="E103" s="1"/>
      <c r="F103" s="1"/>
      <c r="G103" s="1"/>
    </row>
    <row r="104" spans="1:7" x14ac:dyDescent="0.25">
      <c r="A104" s="10">
        <v>34</v>
      </c>
      <c r="B104" s="6">
        <v>22.2</v>
      </c>
      <c r="C104" s="6">
        <v>62</v>
      </c>
      <c r="D104" s="6">
        <v>98.7</v>
      </c>
      <c r="E104" s="1"/>
      <c r="F104" s="1"/>
      <c r="G104" s="1"/>
    </row>
    <row r="105" spans="1:7" x14ac:dyDescent="0.25">
      <c r="A105" s="10">
        <v>35</v>
      </c>
      <c r="B105" s="6">
        <v>44</v>
      </c>
      <c r="C105" s="6">
        <v>55.6</v>
      </c>
      <c r="D105" s="6">
        <v>67.099999999999994</v>
      </c>
      <c r="E105" s="1"/>
      <c r="F105" s="1"/>
      <c r="G105" s="1"/>
    </row>
    <row r="106" spans="1:7" x14ac:dyDescent="0.25">
      <c r="A106" s="10">
        <v>36</v>
      </c>
      <c r="B106" s="6">
        <v>24.2</v>
      </c>
      <c r="C106" s="6">
        <v>49.9</v>
      </c>
      <c r="D106" s="6">
        <v>95.8</v>
      </c>
      <c r="E106" s="1"/>
      <c r="F106" s="1"/>
      <c r="G106" s="1"/>
    </row>
    <row r="107" spans="1:7" x14ac:dyDescent="0.25">
      <c r="A107" s="10">
        <v>37</v>
      </c>
      <c r="B107" s="6">
        <v>35.799999999999997</v>
      </c>
      <c r="C107" s="6">
        <v>50.1</v>
      </c>
      <c r="D107" s="6">
        <v>79.599999999999994</v>
      </c>
      <c r="E107" s="1"/>
      <c r="F107" s="1"/>
      <c r="G107" s="1"/>
    </row>
    <row r="108" spans="1:7" x14ac:dyDescent="0.25">
      <c r="A108" s="10">
        <v>38</v>
      </c>
      <c r="B108" s="6">
        <v>40.9</v>
      </c>
      <c r="C108" s="6">
        <v>56.5</v>
      </c>
      <c r="D108" s="6">
        <v>79.5</v>
      </c>
      <c r="E108" s="1"/>
      <c r="F108" s="1"/>
      <c r="G108" s="1"/>
    </row>
    <row r="109" spans="1:7" x14ac:dyDescent="0.25">
      <c r="A109" s="10">
        <v>39</v>
      </c>
      <c r="B109" s="6">
        <v>40.6</v>
      </c>
      <c r="C109" s="6">
        <v>63.5</v>
      </c>
      <c r="D109" s="6">
        <v>102.1</v>
      </c>
      <c r="E109" s="1"/>
      <c r="F109" s="1"/>
      <c r="G109" s="1"/>
    </row>
    <row r="110" spans="1:7" x14ac:dyDescent="0.25">
      <c r="A110" s="10">
        <v>40</v>
      </c>
      <c r="B110" s="6">
        <v>25.2</v>
      </c>
      <c r="C110" s="6">
        <v>54.4</v>
      </c>
      <c r="D110" s="6">
        <v>71.2</v>
      </c>
      <c r="E110" s="1"/>
      <c r="F110" s="1"/>
      <c r="G110" s="1"/>
    </row>
    <row r="111" spans="1:7" x14ac:dyDescent="0.25">
      <c r="A111" s="10">
        <v>41</v>
      </c>
      <c r="B111" s="6">
        <v>29.9</v>
      </c>
      <c r="C111" s="6">
        <v>63.3</v>
      </c>
      <c r="D111" s="6">
        <v>107.6</v>
      </c>
      <c r="E111" s="1"/>
      <c r="F111" s="1"/>
      <c r="G111" s="1"/>
    </row>
    <row r="112" spans="1:7" x14ac:dyDescent="0.25">
      <c r="A112" s="10">
        <v>42</v>
      </c>
      <c r="B112" s="6">
        <v>44.7</v>
      </c>
      <c r="C112" s="6">
        <v>57.2</v>
      </c>
      <c r="D112" s="6">
        <v>94.2</v>
      </c>
      <c r="E112" s="1"/>
      <c r="F112" s="1"/>
      <c r="G112" s="1"/>
    </row>
    <row r="113" spans="1:7" x14ac:dyDescent="0.25">
      <c r="A113" s="10">
        <v>43</v>
      </c>
      <c r="B113" s="6">
        <v>27</v>
      </c>
      <c r="C113" s="6">
        <v>57.3</v>
      </c>
      <c r="D113" s="6">
        <v>81.599999999999994</v>
      </c>
      <c r="E113" s="1"/>
      <c r="F113" s="1"/>
      <c r="G113" s="1"/>
    </row>
    <row r="114" spans="1:7" x14ac:dyDescent="0.25">
      <c r="A114" s="10">
        <v>44</v>
      </c>
      <c r="B114" s="6">
        <v>20.2</v>
      </c>
      <c r="C114" s="6">
        <v>47</v>
      </c>
      <c r="D114" s="6">
        <v>104</v>
      </c>
      <c r="E114" s="1"/>
      <c r="F114" s="1"/>
      <c r="G114" s="1"/>
    </row>
    <row r="115" spans="1:7" x14ac:dyDescent="0.25">
      <c r="A115" s="10">
        <v>45</v>
      </c>
      <c r="B115" s="6">
        <v>37.4</v>
      </c>
      <c r="C115" s="6">
        <v>45.1</v>
      </c>
      <c r="D115" s="6">
        <v>104.7</v>
      </c>
      <c r="E115" s="1"/>
      <c r="F115" s="1"/>
      <c r="G115" s="1"/>
    </row>
    <row r="116" spans="1:7" x14ac:dyDescent="0.25">
      <c r="A116" s="10">
        <v>46</v>
      </c>
      <c r="B116" s="6">
        <v>22</v>
      </c>
      <c r="C116" s="6">
        <v>48.7</v>
      </c>
      <c r="D116" s="6">
        <v>81.099999999999994</v>
      </c>
      <c r="E116" s="1"/>
      <c r="F116" s="1"/>
      <c r="G116" s="1"/>
    </row>
    <row r="117" spans="1:7" x14ac:dyDescent="0.25">
      <c r="A117" s="10">
        <v>47</v>
      </c>
      <c r="B117" s="6">
        <v>39.200000000000003</v>
      </c>
      <c r="C117" s="6">
        <v>57.7</v>
      </c>
      <c r="D117" s="6">
        <v>74.900000000000006</v>
      </c>
      <c r="E117" s="1"/>
      <c r="F117" s="1"/>
      <c r="G117" s="1"/>
    </row>
    <row r="118" spans="1:7" x14ac:dyDescent="0.25">
      <c r="A118" s="10">
        <v>48</v>
      </c>
      <c r="B118" s="6">
        <v>38.6</v>
      </c>
      <c r="C118" s="6">
        <v>57.6</v>
      </c>
      <c r="D118" s="6">
        <v>77.2</v>
      </c>
      <c r="E118" s="1"/>
      <c r="F118" s="1"/>
      <c r="G118" s="1"/>
    </row>
    <row r="119" spans="1:7" x14ac:dyDescent="0.25">
      <c r="A119" s="10">
        <v>49</v>
      </c>
      <c r="B119" s="6">
        <v>32.700000000000003</v>
      </c>
      <c r="C119" s="6">
        <v>49.4</v>
      </c>
      <c r="D119" s="6">
        <v>82.3</v>
      </c>
      <c r="E119" s="1"/>
      <c r="F119" s="1"/>
      <c r="G119" s="1"/>
    </row>
    <row r="120" spans="1:7" x14ac:dyDescent="0.25">
      <c r="A120" s="10">
        <v>50</v>
      </c>
      <c r="B120" s="6">
        <v>24.2</v>
      </c>
      <c r="C120" s="6">
        <v>64</v>
      </c>
      <c r="D120" s="6">
        <v>97.5</v>
      </c>
      <c r="E120" s="1"/>
      <c r="F120" s="1"/>
      <c r="G120" s="1"/>
    </row>
    <row r="121" spans="1:7" x14ac:dyDescent="0.25">
      <c r="A121" s="10">
        <v>51</v>
      </c>
      <c r="B121" s="6">
        <v>44</v>
      </c>
      <c r="C121" s="6">
        <v>57</v>
      </c>
      <c r="D121" s="6">
        <v>65.8</v>
      </c>
      <c r="E121" s="1"/>
      <c r="F121" s="1"/>
      <c r="G121" s="1"/>
    </row>
    <row r="122" spans="1:7" x14ac:dyDescent="0.25">
      <c r="A122" s="10">
        <v>52</v>
      </c>
      <c r="B122" s="6">
        <v>31.8</v>
      </c>
      <c r="C122" s="6">
        <v>49.2</v>
      </c>
      <c r="D122" s="6">
        <v>87.8</v>
      </c>
      <c r="E122" s="1"/>
      <c r="F122" s="1"/>
      <c r="G122" s="1"/>
    </row>
    <row r="123" spans="1:7" x14ac:dyDescent="0.25">
      <c r="A123" s="10">
        <v>53</v>
      </c>
      <c r="B123" s="6">
        <v>21.5</v>
      </c>
      <c r="C123" s="6">
        <v>64.8</v>
      </c>
      <c r="D123" s="6">
        <v>79.900000000000006</v>
      </c>
      <c r="E123" s="1"/>
      <c r="F123" s="1"/>
      <c r="G123" s="1"/>
    </row>
    <row r="124" spans="1:7" x14ac:dyDescent="0.25">
      <c r="A124" s="10">
        <v>54</v>
      </c>
      <c r="B124" s="6">
        <v>45</v>
      </c>
      <c r="C124" s="6">
        <v>48.7</v>
      </c>
      <c r="D124" s="6">
        <v>90.7</v>
      </c>
      <c r="E124" s="1"/>
      <c r="F124" s="1"/>
      <c r="G124" s="1"/>
    </row>
    <row r="125" spans="1:7" x14ac:dyDescent="0.25">
      <c r="A125" s="10">
        <v>55</v>
      </c>
      <c r="B125" s="6">
        <v>45</v>
      </c>
      <c r="C125" s="6">
        <v>58.7</v>
      </c>
      <c r="D125" s="6">
        <v>95.8</v>
      </c>
      <c r="E125" s="1"/>
      <c r="F125" s="1"/>
      <c r="G125" s="1"/>
    </row>
    <row r="126" spans="1:7" x14ac:dyDescent="0.25">
      <c r="A126" s="10">
        <v>56</v>
      </c>
      <c r="B126" s="6">
        <v>33.1</v>
      </c>
      <c r="C126" s="6">
        <v>60.4</v>
      </c>
      <c r="D126" s="6">
        <v>93.7</v>
      </c>
      <c r="E126" s="1"/>
      <c r="F126" s="1"/>
      <c r="G126" s="1"/>
    </row>
    <row r="127" spans="1:7" x14ac:dyDescent="0.25">
      <c r="A127" s="10">
        <v>57</v>
      </c>
      <c r="B127" s="6">
        <v>34</v>
      </c>
      <c r="C127" s="6">
        <v>64.7</v>
      </c>
      <c r="D127" s="6">
        <v>87.6</v>
      </c>
      <c r="E127" s="1"/>
      <c r="F127" s="1"/>
      <c r="G127" s="1"/>
    </row>
    <row r="128" spans="1:7" x14ac:dyDescent="0.25">
      <c r="A128" s="10">
        <v>58</v>
      </c>
      <c r="B128" s="6">
        <v>29.1</v>
      </c>
      <c r="C128" s="6">
        <v>55</v>
      </c>
      <c r="D128" s="6">
        <v>96.6</v>
      </c>
      <c r="E128" s="1"/>
      <c r="F128" s="1"/>
      <c r="G128" s="1"/>
    </row>
    <row r="129" spans="1:7" x14ac:dyDescent="0.25">
      <c r="A129" s="10">
        <v>59</v>
      </c>
      <c r="B129" s="6">
        <v>21.2</v>
      </c>
      <c r="C129" s="6">
        <v>60.9</v>
      </c>
      <c r="D129" s="6">
        <v>84.6</v>
      </c>
      <c r="E129" s="1"/>
      <c r="F129" s="1"/>
      <c r="G129" s="1"/>
    </row>
    <row r="130" spans="1:7" x14ac:dyDescent="0.25">
      <c r="A130" s="10">
        <v>60</v>
      </c>
      <c r="B130" s="6">
        <v>27.6</v>
      </c>
      <c r="C130" s="6">
        <v>50.3</v>
      </c>
      <c r="D130" s="6">
        <v>72.3</v>
      </c>
      <c r="E130" s="1"/>
      <c r="F130" s="1"/>
      <c r="G130" s="1"/>
    </row>
    <row r="131" spans="1:7" x14ac:dyDescent="0.25">
      <c r="A131" s="10">
        <v>61</v>
      </c>
      <c r="B131" s="6">
        <v>37.200000000000003</v>
      </c>
      <c r="C131" s="6">
        <v>54.1</v>
      </c>
      <c r="D131" s="6">
        <v>90.1</v>
      </c>
      <c r="E131" s="1"/>
      <c r="F131" s="1"/>
      <c r="G131" s="1"/>
    </row>
    <row r="132" spans="1:7" x14ac:dyDescent="0.25">
      <c r="A132" s="10">
        <v>62</v>
      </c>
      <c r="B132" s="6">
        <v>21.1</v>
      </c>
      <c r="C132" s="6">
        <v>45.3</v>
      </c>
      <c r="D132" s="6">
        <v>92.8</v>
      </c>
      <c r="E132" s="1"/>
      <c r="F132" s="1"/>
      <c r="G132" s="1"/>
    </row>
    <row r="133" spans="1:7" ht="14.5" thickBot="1" x14ac:dyDescent="0.3">
      <c r="A133" s="11">
        <v>63</v>
      </c>
      <c r="B133" s="6">
        <v>26.1</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57.9</v>
      </c>
      <c r="C138" s="330">
        <f>ROUNDDOWN(AVERAGE(E5:G20),1)</f>
        <v>70.400000000000006</v>
      </c>
      <c r="D138" s="328">
        <f>'2022.01'!D138</f>
        <v>8254</v>
      </c>
      <c r="E138" s="328">
        <f>'[2]NLT-applied'!$C$27</f>
        <v>15935</v>
      </c>
      <c r="F138" s="328">
        <f>B138*D138</f>
        <v>477906.6</v>
      </c>
      <c r="G138" s="328">
        <f>C138*E138</f>
        <v>1121824</v>
      </c>
    </row>
    <row r="139" spans="1:7" x14ac:dyDescent="0.25">
      <c r="A139" s="329" t="str">
        <f>A21</f>
        <v>Dongtai Jianggang Swine farm</v>
      </c>
      <c r="B139" s="330">
        <f>ROUNDDOWN(AVERAGE(B24:D33),1)</f>
        <v>58.1</v>
      </c>
      <c r="C139" s="330">
        <f>ROUNDDOWN(AVERAGE(E24:G52),1)</f>
        <v>73</v>
      </c>
      <c r="D139" s="328">
        <f>'2022.01'!D139</f>
        <v>9392</v>
      </c>
      <c r="E139" s="328">
        <f>'[2]NLT-applied'!$E$27</f>
        <v>29468</v>
      </c>
      <c r="F139" s="328">
        <f t="shared" ref="F139:G141" si="0">B139*D139</f>
        <v>545675.20000000007</v>
      </c>
      <c r="G139" s="328">
        <f t="shared" si="0"/>
        <v>2151164</v>
      </c>
    </row>
    <row r="140" spans="1:7" x14ac:dyDescent="0.25">
      <c r="A140" s="329" t="str">
        <f>A53</f>
        <v>Sheyang Linhai Swine farm</v>
      </c>
      <c r="B140" s="330">
        <f>ROUNDDOWN(AVERAGE(B56:D67),1)</f>
        <v>59.5</v>
      </c>
      <c r="C140" s="330">
        <f>ROUNDDOWN(AVERAGE(E56:G62),1)</f>
        <v>74.900000000000006</v>
      </c>
      <c r="D140" s="328">
        <f>'2022.01'!D140</f>
        <v>12135</v>
      </c>
      <c r="E140" s="328">
        <f>'[2]NLT-applied'!$G$27</f>
        <v>6427</v>
      </c>
      <c r="F140" s="328">
        <f t="shared" si="0"/>
        <v>722032.5</v>
      </c>
      <c r="G140" s="328">
        <f t="shared" si="0"/>
        <v>481382.30000000005</v>
      </c>
    </row>
    <row r="141" spans="1:7" x14ac:dyDescent="0.25">
      <c r="A141" s="329" t="str">
        <f>A68</f>
        <v>Siyang Nanliuji Swine farm</v>
      </c>
      <c r="B141" s="330">
        <f>ROUNDDOWN(AVERAGE(B71:D133),1)</f>
        <v>58.1</v>
      </c>
      <c r="C141" s="328">
        <f>ROUNDDOWN(AVERAGE(0),1)</f>
        <v>0</v>
      </c>
      <c r="D141" s="328">
        <f>'2022.01'!D141</f>
        <v>64445</v>
      </c>
      <c r="E141" s="328">
        <f>'[3]NLT-applied'!$I$27</f>
        <v>0</v>
      </c>
      <c r="F141" s="328">
        <f t="shared" si="0"/>
        <v>3744254.5</v>
      </c>
      <c r="G141" s="328">
        <f t="shared" si="0"/>
        <v>0</v>
      </c>
    </row>
    <row r="142" spans="1:7" x14ac:dyDescent="0.25">
      <c r="A142" s="504" t="s">
        <v>343</v>
      </c>
      <c r="B142" s="510"/>
      <c r="C142" s="505"/>
      <c r="D142" s="328">
        <f>SUM(D138:D141)</f>
        <v>94226</v>
      </c>
      <c r="E142" s="328">
        <f>SUM(E138:E141)</f>
        <v>51830</v>
      </c>
      <c r="F142" s="328">
        <f>SUM(F138:F141)</f>
        <v>5489868.7999999998</v>
      </c>
      <c r="G142" s="328">
        <f>SUM(G138:G141)</f>
        <v>3754370.3</v>
      </c>
    </row>
    <row r="144" spans="1:7" x14ac:dyDescent="0.25">
      <c r="C144" s="504" t="s">
        <v>344</v>
      </c>
      <c r="D144" s="505"/>
    </row>
    <row r="145" spans="3:4" x14ac:dyDescent="0.25">
      <c r="C145" s="328" t="s">
        <v>341</v>
      </c>
      <c r="D145" s="328" t="s">
        <v>342</v>
      </c>
    </row>
    <row r="146" spans="3:4" x14ac:dyDescent="0.25">
      <c r="C146" s="331">
        <f>ROUNDDOWN(F142/D142,1)</f>
        <v>58.2</v>
      </c>
      <c r="D146" s="331">
        <f>ROUNDDOWN(G142/E142,1)</f>
        <v>72.400000000000006</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DC95-AC63-4A87-A546-1ABFC0579E66}">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20.5</v>
      </c>
      <c r="C5" s="6">
        <v>60.7</v>
      </c>
      <c r="D5" s="6">
        <v>75</v>
      </c>
      <c r="E5" s="6">
        <v>44</v>
      </c>
      <c r="F5" s="6">
        <v>82</v>
      </c>
      <c r="G5" s="6">
        <v>94</v>
      </c>
    </row>
    <row r="6" spans="1:7" x14ac:dyDescent="0.25">
      <c r="A6" s="10">
        <v>2</v>
      </c>
      <c r="B6" s="6">
        <v>23.7</v>
      </c>
      <c r="C6" s="6">
        <v>46.2</v>
      </c>
      <c r="D6" s="6">
        <v>78.5</v>
      </c>
      <c r="E6" s="6">
        <v>37.5</v>
      </c>
      <c r="F6" s="6">
        <v>82.5</v>
      </c>
      <c r="G6" s="6">
        <v>98.9</v>
      </c>
    </row>
    <row r="7" spans="1:7" x14ac:dyDescent="0.25">
      <c r="A7" s="10">
        <v>3</v>
      </c>
      <c r="B7" s="6">
        <v>31.2</v>
      </c>
      <c r="C7" s="6">
        <v>60.1</v>
      </c>
      <c r="D7" s="6">
        <v>69.599999999999994</v>
      </c>
      <c r="E7" s="6">
        <v>30.2</v>
      </c>
      <c r="F7" s="6">
        <v>61.2</v>
      </c>
      <c r="G7" s="6">
        <v>111.3</v>
      </c>
    </row>
    <row r="8" spans="1:7" x14ac:dyDescent="0.25">
      <c r="A8" s="10">
        <v>4</v>
      </c>
      <c r="B8" s="6">
        <v>32</v>
      </c>
      <c r="C8" s="6">
        <v>50.5</v>
      </c>
      <c r="D8" s="6">
        <v>84.4</v>
      </c>
      <c r="E8" s="6">
        <v>40.1</v>
      </c>
      <c r="F8" s="6">
        <v>67.3</v>
      </c>
      <c r="G8" s="6">
        <v>89.5</v>
      </c>
    </row>
    <row r="9" spans="1:7" x14ac:dyDescent="0.25">
      <c r="A9" s="10">
        <v>5</v>
      </c>
      <c r="B9" s="6">
        <v>26.2</v>
      </c>
      <c r="C9" s="6">
        <v>56.4</v>
      </c>
      <c r="D9" s="6">
        <v>71.900000000000006</v>
      </c>
      <c r="E9" s="6">
        <v>27.9</v>
      </c>
      <c r="F9" s="6">
        <v>82.4</v>
      </c>
      <c r="G9" s="6">
        <v>97.3</v>
      </c>
    </row>
    <row r="10" spans="1:7" x14ac:dyDescent="0.25">
      <c r="A10" s="10">
        <v>6</v>
      </c>
      <c r="B10" s="6">
        <v>41.2</v>
      </c>
      <c r="C10" s="6">
        <v>58.7</v>
      </c>
      <c r="D10" s="6">
        <v>67.900000000000006</v>
      </c>
      <c r="E10" s="6">
        <v>60</v>
      </c>
      <c r="F10" s="6">
        <v>62.3</v>
      </c>
      <c r="G10" s="6">
        <v>109.5</v>
      </c>
    </row>
    <row r="11" spans="1:7" x14ac:dyDescent="0.25">
      <c r="A11" s="10">
        <v>7</v>
      </c>
      <c r="B11" s="6">
        <v>38.9</v>
      </c>
      <c r="C11" s="6">
        <v>58.4</v>
      </c>
      <c r="D11" s="6">
        <v>96.8</v>
      </c>
      <c r="E11" s="6">
        <v>54.1</v>
      </c>
      <c r="F11" s="6">
        <v>81.8</v>
      </c>
      <c r="G11" s="6">
        <v>93.7</v>
      </c>
    </row>
    <row r="12" spans="1:7" x14ac:dyDescent="0.25">
      <c r="A12" s="10">
        <v>8</v>
      </c>
      <c r="B12" s="6">
        <v>34.5</v>
      </c>
      <c r="C12" s="6">
        <v>63.8</v>
      </c>
      <c r="D12" s="6">
        <v>67.3</v>
      </c>
      <c r="E12" s="6">
        <v>32.6</v>
      </c>
      <c r="F12" s="6">
        <v>80.099999999999994</v>
      </c>
      <c r="G12" s="6">
        <v>104.7</v>
      </c>
    </row>
    <row r="13" spans="1:7" x14ac:dyDescent="0.25">
      <c r="A13" s="10">
        <v>9</v>
      </c>
      <c r="B13" s="6">
        <v>42.8</v>
      </c>
      <c r="C13" s="6">
        <v>57.5</v>
      </c>
      <c r="D13" s="6">
        <v>70.099999999999994</v>
      </c>
      <c r="E13" s="6">
        <v>26.9</v>
      </c>
      <c r="F13" s="6">
        <v>69.599999999999994</v>
      </c>
      <c r="G13" s="6">
        <v>103</v>
      </c>
    </row>
    <row r="14" spans="1:7" x14ac:dyDescent="0.25">
      <c r="A14" s="10">
        <v>10</v>
      </c>
      <c r="B14" s="6"/>
      <c r="C14" s="6"/>
      <c r="D14" s="6"/>
      <c r="E14" s="6">
        <v>35.6</v>
      </c>
      <c r="F14" s="6">
        <v>69.8</v>
      </c>
      <c r="G14" s="6">
        <v>114.3</v>
      </c>
    </row>
    <row r="15" spans="1:7" x14ac:dyDescent="0.25">
      <c r="A15" s="10">
        <v>11</v>
      </c>
      <c r="B15" s="6"/>
      <c r="C15" s="6"/>
      <c r="D15" s="6"/>
      <c r="E15" s="6">
        <v>45.6</v>
      </c>
      <c r="F15" s="6">
        <v>81.5</v>
      </c>
      <c r="G15" s="6">
        <v>112.9</v>
      </c>
    </row>
    <row r="16" spans="1:7" x14ac:dyDescent="0.25">
      <c r="A16" s="10">
        <v>12</v>
      </c>
      <c r="B16" s="6"/>
      <c r="C16" s="6"/>
      <c r="D16" s="6"/>
      <c r="E16" s="6">
        <v>30.4</v>
      </c>
      <c r="F16" s="6">
        <v>78.099999999999994</v>
      </c>
      <c r="G16" s="6">
        <v>98.8</v>
      </c>
    </row>
    <row r="17" spans="1:7" x14ac:dyDescent="0.25">
      <c r="A17" s="10">
        <v>13</v>
      </c>
      <c r="B17" s="6"/>
      <c r="C17" s="6"/>
      <c r="D17" s="6"/>
      <c r="E17" s="6">
        <v>31.7</v>
      </c>
      <c r="F17" s="6">
        <v>63.3</v>
      </c>
      <c r="G17" s="6">
        <v>104.6</v>
      </c>
    </row>
    <row r="18" spans="1:7" x14ac:dyDescent="0.25">
      <c r="A18" s="10">
        <v>14</v>
      </c>
      <c r="B18" s="6"/>
      <c r="C18" s="6"/>
      <c r="D18" s="6"/>
      <c r="E18" s="6">
        <v>40.700000000000003</v>
      </c>
      <c r="F18" s="6">
        <v>79.400000000000006</v>
      </c>
      <c r="G18" s="6">
        <v>100.8</v>
      </c>
    </row>
    <row r="19" spans="1:7" x14ac:dyDescent="0.25">
      <c r="A19" s="10">
        <v>15</v>
      </c>
      <c r="B19" s="6"/>
      <c r="C19" s="6"/>
      <c r="D19" s="6"/>
      <c r="E19" s="6">
        <v>41.4</v>
      </c>
      <c r="F19" s="6">
        <v>74</v>
      </c>
      <c r="G19" s="6">
        <v>99.2</v>
      </c>
    </row>
    <row r="20" spans="1:7" ht="14.5" thickBot="1" x14ac:dyDescent="0.3">
      <c r="A20" s="11">
        <v>16</v>
      </c>
      <c r="B20" s="12"/>
      <c r="C20" s="12"/>
      <c r="D20" s="12"/>
      <c r="E20" s="6">
        <v>45.2</v>
      </c>
      <c r="F20" s="6">
        <v>76.599999999999994</v>
      </c>
      <c r="G20" s="6">
        <v>98</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43.2</v>
      </c>
      <c r="C24" s="6">
        <v>47.8</v>
      </c>
      <c r="D24" s="6">
        <v>66.3</v>
      </c>
      <c r="E24" s="6">
        <v>43.9</v>
      </c>
      <c r="F24" s="6">
        <v>70.8</v>
      </c>
      <c r="G24" s="6">
        <v>114.4</v>
      </c>
    </row>
    <row r="25" spans="1:7" x14ac:dyDescent="0.25">
      <c r="A25" s="10">
        <v>2</v>
      </c>
      <c r="B25" s="6">
        <v>37.299999999999997</v>
      </c>
      <c r="C25" s="6">
        <v>56.5</v>
      </c>
      <c r="D25" s="6">
        <v>94.5</v>
      </c>
      <c r="E25" s="6">
        <v>53.3</v>
      </c>
      <c r="F25" s="6">
        <v>66.2</v>
      </c>
      <c r="G25" s="6">
        <v>106.2</v>
      </c>
    </row>
    <row r="26" spans="1:7" x14ac:dyDescent="0.25">
      <c r="A26" s="10">
        <v>3</v>
      </c>
      <c r="B26" s="6">
        <v>22.4</v>
      </c>
      <c r="C26" s="6">
        <v>53.9</v>
      </c>
      <c r="D26" s="6">
        <v>73.5</v>
      </c>
      <c r="E26" s="6">
        <v>31.5</v>
      </c>
      <c r="F26" s="6">
        <v>60.4</v>
      </c>
      <c r="G26" s="6">
        <v>102.9</v>
      </c>
    </row>
    <row r="27" spans="1:7" x14ac:dyDescent="0.25">
      <c r="A27" s="10">
        <v>4</v>
      </c>
      <c r="B27" s="6">
        <v>37</v>
      </c>
      <c r="C27" s="6">
        <v>58</v>
      </c>
      <c r="D27" s="6">
        <v>84.3</v>
      </c>
      <c r="E27" s="6">
        <v>59.5</v>
      </c>
      <c r="F27" s="6">
        <v>69</v>
      </c>
      <c r="G27" s="6">
        <v>111</v>
      </c>
    </row>
    <row r="28" spans="1:7" x14ac:dyDescent="0.25">
      <c r="A28" s="10">
        <v>5</v>
      </c>
      <c r="B28" s="6">
        <v>38.700000000000003</v>
      </c>
      <c r="C28" s="6">
        <v>49.4</v>
      </c>
      <c r="D28" s="6">
        <v>67.900000000000006</v>
      </c>
      <c r="E28" s="6">
        <v>25.3</v>
      </c>
      <c r="F28" s="6">
        <v>65.7</v>
      </c>
      <c r="G28" s="6">
        <v>98.4</v>
      </c>
    </row>
    <row r="29" spans="1:7" x14ac:dyDescent="0.25">
      <c r="A29" s="10">
        <v>6</v>
      </c>
      <c r="B29" s="6">
        <v>23.1</v>
      </c>
      <c r="C29" s="6">
        <v>57.4</v>
      </c>
      <c r="D29" s="6">
        <v>80.900000000000006</v>
      </c>
      <c r="E29" s="6">
        <v>39</v>
      </c>
      <c r="F29" s="6">
        <v>60.1</v>
      </c>
      <c r="G29" s="6">
        <v>100.7</v>
      </c>
    </row>
    <row r="30" spans="1:7" x14ac:dyDescent="0.25">
      <c r="A30" s="10">
        <v>7</v>
      </c>
      <c r="B30" s="6">
        <v>23.3</v>
      </c>
      <c r="C30" s="6">
        <v>46.7</v>
      </c>
      <c r="D30" s="6">
        <v>65.400000000000006</v>
      </c>
      <c r="E30" s="6">
        <v>26</v>
      </c>
      <c r="F30" s="6">
        <v>63</v>
      </c>
      <c r="G30" s="6">
        <v>114.8</v>
      </c>
    </row>
    <row r="31" spans="1:7" x14ac:dyDescent="0.25">
      <c r="A31" s="10">
        <v>8</v>
      </c>
      <c r="B31" s="6">
        <v>43</v>
      </c>
      <c r="C31" s="6">
        <v>46.9</v>
      </c>
      <c r="D31" s="6">
        <v>103.3</v>
      </c>
      <c r="E31" s="6">
        <v>30.8</v>
      </c>
      <c r="F31" s="6">
        <v>76.8</v>
      </c>
      <c r="G31" s="6">
        <v>86.3</v>
      </c>
    </row>
    <row r="32" spans="1:7" x14ac:dyDescent="0.25">
      <c r="A32" s="10">
        <v>9</v>
      </c>
      <c r="B32" s="6">
        <v>44.5</v>
      </c>
      <c r="C32" s="6">
        <v>60.2</v>
      </c>
      <c r="D32" s="6">
        <v>108.8</v>
      </c>
      <c r="E32" s="6">
        <v>28</v>
      </c>
      <c r="F32" s="6">
        <v>76.3</v>
      </c>
      <c r="G32" s="6">
        <v>115.6</v>
      </c>
    </row>
    <row r="33" spans="1:7" x14ac:dyDescent="0.25">
      <c r="A33" s="10">
        <v>10</v>
      </c>
      <c r="B33" s="6">
        <v>26.2</v>
      </c>
      <c r="C33" s="6">
        <v>53.2</v>
      </c>
      <c r="D33" s="6">
        <v>97.3</v>
      </c>
      <c r="E33" s="6">
        <v>53.6</v>
      </c>
      <c r="F33" s="6">
        <v>63.8</v>
      </c>
      <c r="G33" s="6">
        <v>112.1</v>
      </c>
    </row>
    <row r="34" spans="1:7" x14ac:dyDescent="0.25">
      <c r="A34" s="10">
        <v>11</v>
      </c>
      <c r="B34" s="6"/>
      <c r="C34" s="6"/>
      <c r="D34" s="6"/>
      <c r="E34" s="6">
        <v>54</v>
      </c>
      <c r="F34" s="6">
        <v>75</v>
      </c>
      <c r="G34" s="6">
        <v>96.1</v>
      </c>
    </row>
    <row r="35" spans="1:7" x14ac:dyDescent="0.25">
      <c r="A35" s="10">
        <v>12</v>
      </c>
      <c r="B35" s="6"/>
      <c r="C35" s="6"/>
      <c r="D35" s="6"/>
      <c r="E35" s="6">
        <v>33.200000000000003</v>
      </c>
      <c r="F35" s="6">
        <v>80.3</v>
      </c>
      <c r="G35" s="6">
        <v>93.7</v>
      </c>
    </row>
    <row r="36" spans="1:7" x14ac:dyDescent="0.25">
      <c r="A36" s="10">
        <v>13</v>
      </c>
      <c r="B36" s="6"/>
      <c r="C36" s="6"/>
      <c r="D36" s="6"/>
      <c r="E36" s="6">
        <v>51.1</v>
      </c>
      <c r="F36" s="6">
        <v>63.6</v>
      </c>
      <c r="G36" s="6">
        <v>109.1</v>
      </c>
    </row>
    <row r="37" spans="1:7" x14ac:dyDescent="0.25">
      <c r="A37" s="10">
        <v>14</v>
      </c>
      <c r="B37" s="6"/>
      <c r="C37" s="6"/>
      <c r="D37" s="6"/>
      <c r="E37" s="6">
        <v>43.1</v>
      </c>
      <c r="F37" s="6">
        <v>71.3</v>
      </c>
      <c r="G37" s="6">
        <v>113.2</v>
      </c>
    </row>
    <row r="38" spans="1:7" x14ac:dyDescent="0.25">
      <c r="A38" s="10">
        <v>15</v>
      </c>
      <c r="B38" s="6"/>
      <c r="C38" s="6"/>
      <c r="D38" s="6"/>
      <c r="E38" s="6">
        <v>52.2</v>
      </c>
      <c r="F38" s="6">
        <v>64.7</v>
      </c>
      <c r="G38" s="6">
        <v>101.9</v>
      </c>
    </row>
    <row r="39" spans="1:7" x14ac:dyDescent="0.25">
      <c r="A39" s="10">
        <v>16</v>
      </c>
      <c r="B39" s="6"/>
      <c r="C39" s="6"/>
      <c r="D39" s="6"/>
      <c r="E39" s="6">
        <v>51</v>
      </c>
      <c r="F39" s="6">
        <v>67.7</v>
      </c>
      <c r="G39" s="6">
        <v>86.2</v>
      </c>
    </row>
    <row r="40" spans="1:7" x14ac:dyDescent="0.25">
      <c r="A40" s="10">
        <v>17</v>
      </c>
      <c r="B40" s="6"/>
      <c r="C40" s="6"/>
      <c r="D40" s="6"/>
      <c r="E40" s="6">
        <v>50</v>
      </c>
      <c r="F40" s="6">
        <v>63.4</v>
      </c>
      <c r="G40" s="6">
        <v>117.8</v>
      </c>
    </row>
    <row r="41" spans="1:7" x14ac:dyDescent="0.25">
      <c r="A41" s="10">
        <v>18</v>
      </c>
      <c r="B41" s="6"/>
      <c r="C41" s="6"/>
      <c r="D41" s="6"/>
      <c r="E41" s="6">
        <v>35.9</v>
      </c>
      <c r="F41" s="6">
        <v>81.8</v>
      </c>
      <c r="G41" s="6">
        <v>102.5</v>
      </c>
    </row>
    <row r="42" spans="1:7" x14ac:dyDescent="0.25">
      <c r="A42" s="10">
        <v>19</v>
      </c>
      <c r="B42" s="6"/>
      <c r="C42" s="6"/>
      <c r="D42" s="6"/>
      <c r="E42" s="6">
        <v>26.6</v>
      </c>
      <c r="F42" s="6">
        <v>63.5</v>
      </c>
      <c r="G42" s="6">
        <v>108.7</v>
      </c>
    </row>
    <row r="43" spans="1:7" x14ac:dyDescent="0.25">
      <c r="A43" s="10">
        <v>20</v>
      </c>
      <c r="B43" s="6"/>
      <c r="C43" s="6"/>
      <c r="D43" s="6"/>
      <c r="E43" s="6">
        <v>26.3</v>
      </c>
      <c r="F43" s="6">
        <v>64.099999999999994</v>
      </c>
      <c r="G43" s="6">
        <v>93.3</v>
      </c>
    </row>
    <row r="44" spans="1:7" x14ac:dyDescent="0.25">
      <c r="A44" s="10">
        <v>21</v>
      </c>
      <c r="B44" s="6"/>
      <c r="C44" s="6"/>
      <c r="D44" s="6"/>
      <c r="E44" s="6">
        <v>52.7</v>
      </c>
      <c r="F44" s="6">
        <v>67.599999999999994</v>
      </c>
      <c r="G44" s="6">
        <v>110.6</v>
      </c>
    </row>
    <row r="45" spans="1:7" x14ac:dyDescent="0.25">
      <c r="A45" s="10">
        <v>22</v>
      </c>
      <c r="B45" s="6"/>
      <c r="C45" s="6"/>
      <c r="D45" s="6"/>
      <c r="E45" s="6">
        <v>43.1</v>
      </c>
      <c r="F45" s="6">
        <v>73.3</v>
      </c>
      <c r="G45" s="6">
        <v>119.2</v>
      </c>
    </row>
    <row r="46" spans="1:7" x14ac:dyDescent="0.25">
      <c r="A46" s="10">
        <v>23</v>
      </c>
      <c r="B46" s="6"/>
      <c r="C46" s="6"/>
      <c r="D46" s="6"/>
      <c r="E46" s="6">
        <v>50.4</v>
      </c>
      <c r="F46" s="6">
        <v>72.599999999999994</v>
      </c>
      <c r="G46" s="6">
        <v>89.7</v>
      </c>
    </row>
    <row r="47" spans="1:7" x14ac:dyDescent="0.25">
      <c r="A47" s="10">
        <v>24</v>
      </c>
      <c r="B47" s="6"/>
      <c r="C47" s="6"/>
      <c r="D47" s="6"/>
      <c r="E47" s="6">
        <v>41.9</v>
      </c>
      <c r="F47" s="6">
        <v>64.8</v>
      </c>
      <c r="G47" s="6">
        <v>96.9</v>
      </c>
    </row>
    <row r="48" spans="1:7" x14ac:dyDescent="0.25">
      <c r="A48" s="10">
        <v>25</v>
      </c>
      <c r="B48" s="6"/>
      <c r="C48" s="6"/>
      <c r="D48" s="6"/>
      <c r="E48" s="6">
        <v>45.3</v>
      </c>
      <c r="F48" s="6">
        <v>81.099999999999994</v>
      </c>
      <c r="G48" s="6">
        <v>102.3</v>
      </c>
    </row>
    <row r="49" spans="1:7" x14ac:dyDescent="0.25">
      <c r="A49" s="10">
        <v>26</v>
      </c>
      <c r="B49" s="6"/>
      <c r="C49" s="13"/>
      <c r="D49" s="6"/>
      <c r="E49" s="6">
        <v>53.1</v>
      </c>
      <c r="F49" s="6">
        <v>68.5</v>
      </c>
      <c r="G49" s="6">
        <v>106.3</v>
      </c>
    </row>
    <row r="50" spans="1:7" x14ac:dyDescent="0.25">
      <c r="A50" s="10">
        <v>27</v>
      </c>
      <c r="B50" s="6"/>
      <c r="C50" s="13"/>
      <c r="D50" s="6"/>
      <c r="E50" s="6">
        <v>38.700000000000003</v>
      </c>
      <c r="F50" s="6">
        <v>61.1</v>
      </c>
      <c r="G50" s="6">
        <v>103.5</v>
      </c>
    </row>
    <row r="51" spans="1:7" x14ac:dyDescent="0.25">
      <c r="A51" s="10">
        <v>28</v>
      </c>
      <c r="B51" s="6"/>
      <c r="C51" s="14"/>
      <c r="D51" s="6"/>
      <c r="E51" s="6">
        <v>27.9</v>
      </c>
      <c r="F51" s="6">
        <v>60.3</v>
      </c>
      <c r="G51" s="6">
        <v>90.1</v>
      </c>
    </row>
    <row r="52" spans="1:7" ht="14.5" thickBot="1" x14ac:dyDescent="0.3">
      <c r="A52" s="11">
        <v>29</v>
      </c>
      <c r="B52" s="15"/>
      <c r="C52" s="15"/>
      <c r="D52" s="12"/>
      <c r="E52" s="6">
        <v>51.9</v>
      </c>
      <c r="F52" s="6">
        <v>61.2</v>
      </c>
      <c r="G52" s="6">
        <v>115</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38.700000000000003</v>
      </c>
      <c r="C56" s="6">
        <v>51.5</v>
      </c>
      <c r="D56" s="6">
        <v>87.9</v>
      </c>
      <c r="E56" s="6">
        <v>28.7</v>
      </c>
      <c r="F56" s="6">
        <v>65</v>
      </c>
      <c r="G56" s="6">
        <v>100.1</v>
      </c>
    </row>
    <row r="57" spans="1:7" x14ac:dyDescent="0.25">
      <c r="A57" s="10">
        <v>2</v>
      </c>
      <c r="B57" s="6">
        <v>38.799999999999997</v>
      </c>
      <c r="C57" s="6">
        <v>51.2</v>
      </c>
      <c r="D57" s="6">
        <v>90.5</v>
      </c>
      <c r="E57" s="6">
        <v>53.2</v>
      </c>
      <c r="F57" s="6">
        <v>61.8</v>
      </c>
      <c r="G57" s="6">
        <v>110.4</v>
      </c>
    </row>
    <row r="58" spans="1:7" x14ac:dyDescent="0.25">
      <c r="A58" s="10">
        <v>3</v>
      </c>
      <c r="B58" s="6">
        <v>40.1</v>
      </c>
      <c r="C58" s="6">
        <v>49.8</v>
      </c>
      <c r="D58" s="6">
        <v>73.5</v>
      </c>
      <c r="E58" s="6">
        <v>34.799999999999997</v>
      </c>
      <c r="F58" s="6">
        <v>68.8</v>
      </c>
      <c r="G58" s="6">
        <v>87.3</v>
      </c>
    </row>
    <row r="59" spans="1:7" x14ac:dyDescent="0.25">
      <c r="A59" s="10">
        <v>4</v>
      </c>
      <c r="B59" s="6">
        <v>28.6</v>
      </c>
      <c r="C59" s="6">
        <v>63.3</v>
      </c>
      <c r="D59" s="6">
        <v>94</v>
      </c>
      <c r="E59" s="6">
        <v>44.4</v>
      </c>
      <c r="F59" s="6">
        <v>83.3</v>
      </c>
      <c r="G59" s="6">
        <v>93.9</v>
      </c>
    </row>
    <row r="60" spans="1:7" x14ac:dyDescent="0.25">
      <c r="A60" s="10">
        <v>5</v>
      </c>
      <c r="B60" s="6">
        <v>34.5</v>
      </c>
      <c r="C60" s="6">
        <v>64.599999999999994</v>
      </c>
      <c r="D60" s="6">
        <v>100.3</v>
      </c>
      <c r="E60" s="6">
        <v>49.5</v>
      </c>
      <c r="F60" s="6">
        <v>62.7</v>
      </c>
      <c r="G60" s="6">
        <v>106.4</v>
      </c>
    </row>
    <row r="61" spans="1:7" x14ac:dyDescent="0.25">
      <c r="A61" s="10">
        <v>6</v>
      </c>
      <c r="B61" s="6">
        <v>20.9</v>
      </c>
      <c r="C61" s="6">
        <v>47.7</v>
      </c>
      <c r="D61" s="6">
        <v>84.6</v>
      </c>
      <c r="E61" s="6">
        <v>49.6</v>
      </c>
      <c r="F61" s="6">
        <v>66.8</v>
      </c>
      <c r="G61" s="6">
        <v>106.9</v>
      </c>
    </row>
    <row r="62" spans="1:7" x14ac:dyDescent="0.25">
      <c r="A62" s="10">
        <v>7</v>
      </c>
      <c r="B62" s="6">
        <v>30.5</v>
      </c>
      <c r="C62" s="6">
        <v>47.9</v>
      </c>
      <c r="D62" s="6">
        <v>93.6</v>
      </c>
      <c r="E62" s="6">
        <v>42.6</v>
      </c>
      <c r="F62" s="6">
        <v>64.900000000000006</v>
      </c>
      <c r="G62" s="6">
        <v>112.3</v>
      </c>
    </row>
    <row r="63" spans="1:7" x14ac:dyDescent="0.25">
      <c r="A63" s="10">
        <v>8</v>
      </c>
      <c r="B63" s="6">
        <v>35.6</v>
      </c>
      <c r="C63" s="6">
        <v>45.9</v>
      </c>
      <c r="D63" s="6">
        <v>72.2</v>
      </c>
      <c r="E63" s="6"/>
      <c r="F63" s="6"/>
      <c r="G63" s="6"/>
    </row>
    <row r="64" spans="1:7" x14ac:dyDescent="0.25">
      <c r="A64" s="10">
        <v>9</v>
      </c>
      <c r="B64" s="6">
        <v>33</v>
      </c>
      <c r="C64" s="6">
        <v>60.7</v>
      </c>
      <c r="D64" s="6">
        <v>101.2</v>
      </c>
      <c r="E64" s="6"/>
      <c r="F64" s="6"/>
      <c r="G64" s="6"/>
    </row>
    <row r="65" spans="1:7" x14ac:dyDescent="0.25">
      <c r="A65" s="10">
        <v>10</v>
      </c>
      <c r="B65" s="6">
        <v>42.7</v>
      </c>
      <c r="C65" s="6">
        <v>51.1</v>
      </c>
      <c r="D65" s="6">
        <v>104.4</v>
      </c>
      <c r="E65" s="6"/>
      <c r="F65" s="6"/>
      <c r="G65" s="6"/>
    </row>
    <row r="66" spans="1:7" x14ac:dyDescent="0.25">
      <c r="A66" s="10">
        <v>11</v>
      </c>
      <c r="B66" s="6">
        <v>33</v>
      </c>
      <c r="C66" s="6">
        <v>58</v>
      </c>
      <c r="D66" s="6">
        <v>93.8</v>
      </c>
      <c r="E66" s="6"/>
      <c r="F66" s="6"/>
      <c r="G66" s="6"/>
    </row>
    <row r="67" spans="1:7" ht="14.5" thickBot="1" x14ac:dyDescent="0.3">
      <c r="A67" s="11">
        <v>12</v>
      </c>
      <c r="B67" s="6">
        <v>28.1</v>
      </c>
      <c r="C67" s="6">
        <v>55.4</v>
      </c>
      <c r="D67" s="6">
        <v>96.2</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30</v>
      </c>
      <c r="C71" s="6">
        <v>47</v>
      </c>
      <c r="D71" s="6">
        <v>93.5</v>
      </c>
      <c r="E71" s="6"/>
      <c r="F71" s="6"/>
      <c r="G71" s="6"/>
    </row>
    <row r="72" spans="1:7" x14ac:dyDescent="0.25">
      <c r="A72" s="10">
        <v>2</v>
      </c>
      <c r="B72" s="6">
        <v>30.3</v>
      </c>
      <c r="C72" s="6">
        <v>52.5</v>
      </c>
      <c r="D72" s="6">
        <v>73.2</v>
      </c>
      <c r="E72" s="5"/>
      <c r="F72" s="5"/>
      <c r="G72" s="6"/>
    </row>
    <row r="73" spans="1:7" x14ac:dyDescent="0.25">
      <c r="A73" s="10">
        <v>3</v>
      </c>
      <c r="B73" s="6">
        <v>44.8</v>
      </c>
      <c r="C73" s="6">
        <v>45.4</v>
      </c>
      <c r="D73" s="6">
        <v>75</v>
      </c>
      <c r="E73" s="5"/>
      <c r="F73" s="5"/>
      <c r="G73" s="5"/>
    </row>
    <row r="74" spans="1:7" x14ac:dyDescent="0.25">
      <c r="A74" s="10">
        <v>4</v>
      </c>
      <c r="B74" s="6">
        <v>21.7</v>
      </c>
      <c r="C74" s="6">
        <v>64</v>
      </c>
      <c r="D74" s="6">
        <v>71.8</v>
      </c>
      <c r="E74" s="5"/>
      <c r="F74" s="5"/>
      <c r="G74" s="5"/>
    </row>
    <row r="75" spans="1:7" x14ac:dyDescent="0.25">
      <c r="A75" s="10">
        <v>5</v>
      </c>
      <c r="B75" s="6">
        <v>43</v>
      </c>
      <c r="C75" s="6">
        <v>46.2</v>
      </c>
      <c r="D75" s="6">
        <v>78.400000000000006</v>
      </c>
      <c r="E75" s="5"/>
      <c r="F75" s="5"/>
      <c r="G75" s="5"/>
    </row>
    <row r="76" spans="1:7" x14ac:dyDescent="0.25">
      <c r="A76" s="10">
        <v>6</v>
      </c>
      <c r="B76" s="6">
        <v>30.8</v>
      </c>
      <c r="C76" s="6">
        <v>61.6</v>
      </c>
      <c r="D76" s="6">
        <v>107.9</v>
      </c>
      <c r="E76" s="5"/>
      <c r="F76" s="5"/>
      <c r="G76" s="5"/>
    </row>
    <row r="77" spans="1:7" x14ac:dyDescent="0.25">
      <c r="A77" s="10">
        <v>7</v>
      </c>
      <c r="B77" s="6">
        <v>39.799999999999997</v>
      </c>
      <c r="C77" s="6">
        <v>58.3</v>
      </c>
      <c r="D77" s="6">
        <v>102.3</v>
      </c>
      <c r="E77" s="5"/>
      <c r="F77" s="5"/>
      <c r="G77" s="5"/>
    </row>
    <row r="78" spans="1:7" x14ac:dyDescent="0.25">
      <c r="A78" s="10">
        <v>8</v>
      </c>
      <c r="B78" s="6">
        <v>29.3</v>
      </c>
      <c r="C78" s="6">
        <v>52.6</v>
      </c>
      <c r="D78" s="6">
        <v>88.9</v>
      </c>
      <c r="E78" s="5"/>
      <c r="F78" s="5"/>
      <c r="G78" s="5"/>
    </row>
    <row r="79" spans="1:7" x14ac:dyDescent="0.25">
      <c r="A79" s="10">
        <v>9</v>
      </c>
      <c r="B79" s="6">
        <v>40.799999999999997</v>
      </c>
      <c r="C79" s="6">
        <v>60.7</v>
      </c>
      <c r="D79" s="6">
        <v>104</v>
      </c>
      <c r="E79" s="5"/>
      <c r="F79" s="5"/>
      <c r="G79" s="5"/>
    </row>
    <row r="80" spans="1:7" x14ac:dyDescent="0.25">
      <c r="A80" s="10">
        <v>10</v>
      </c>
      <c r="B80" s="6">
        <v>22</v>
      </c>
      <c r="C80" s="6">
        <v>60.4</v>
      </c>
      <c r="D80" s="6">
        <v>83.6</v>
      </c>
      <c r="E80" s="5"/>
      <c r="F80" s="5"/>
      <c r="G80" s="5"/>
    </row>
    <row r="81" spans="1:7" x14ac:dyDescent="0.25">
      <c r="A81" s="10">
        <v>11</v>
      </c>
      <c r="B81" s="6">
        <v>33.4</v>
      </c>
      <c r="C81" s="6">
        <v>49.4</v>
      </c>
      <c r="D81" s="6">
        <v>98.6</v>
      </c>
      <c r="E81" s="5"/>
      <c r="F81" s="5"/>
      <c r="G81" s="5"/>
    </row>
    <row r="82" spans="1:7" x14ac:dyDescent="0.25">
      <c r="A82" s="10">
        <v>12</v>
      </c>
      <c r="B82" s="6">
        <v>21.4</v>
      </c>
      <c r="C82" s="6">
        <v>45.5</v>
      </c>
      <c r="D82" s="6">
        <v>88.2</v>
      </c>
      <c r="E82" s="5"/>
      <c r="F82" s="5"/>
      <c r="G82" s="5"/>
    </row>
    <row r="83" spans="1:7" x14ac:dyDescent="0.25">
      <c r="A83" s="10">
        <v>13</v>
      </c>
      <c r="B83" s="6">
        <v>25.8</v>
      </c>
      <c r="C83" s="6">
        <v>58.4</v>
      </c>
      <c r="D83" s="6">
        <v>101.3</v>
      </c>
      <c r="E83" s="5"/>
      <c r="F83" s="5"/>
      <c r="G83" s="5"/>
    </row>
    <row r="84" spans="1:7" x14ac:dyDescent="0.25">
      <c r="A84" s="10">
        <v>14</v>
      </c>
      <c r="B84" s="6">
        <v>22.8</v>
      </c>
      <c r="C84" s="6">
        <v>57.4</v>
      </c>
      <c r="D84" s="6">
        <v>71.7</v>
      </c>
      <c r="E84" s="5"/>
      <c r="F84" s="5"/>
      <c r="G84" s="5"/>
    </row>
    <row r="85" spans="1:7" x14ac:dyDescent="0.25">
      <c r="A85" s="10">
        <v>15</v>
      </c>
      <c r="B85" s="6">
        <v>40.5</v>
      </c>
      <c r="C85" s="6">
        <v>55.2</v>
      </c>
      <c r="D85" s="6">
        <v>81.099999999999994</v>
      </c>
      <c r="E85" s="5"/>
      <c r="F85" s="5"/>
      <c r="G85" s="5"/>
    </row>
    <row r="86" spans="1:7" x14ac:dyDescent="0.25">
      <c r="A86" s="10">
        <v>16</v>
      </c>
      <c r="B86" s="6">
        <v>29</v>
      </c>
      <c r="C86" s="6">
        <v>53.7</v>
      </c>
      <c r="D86" s="6">
        <v>89</v>
      </c>
      <c r="E86" s="5"/>
      <c r="F86" s="5"/>
      <c r="G86" s="5"/>
    </row>
    <row r="87" spans="1:7" x14ac:dyDescent="0.25">
      <c r="A87" s="10">
        <v>17</v>
      </c>
      <c r="B87" s="6">
        <v>42.5</v>
      </c>
      <c r="C87" s="6">
        <v>45</v>
      </c>
      <c r="D87" s="6">
        <v>75.8</v>
      </c>
      <c r="E87" s="5"/>
      <c r="F87" s="5"/>
      <c r="G87" s="5"/>
    </row>
    <row r="88" spans="1:7" x14ac:dyDescent="0.25">
      <c r="A88" s="10">
        <v>18</v>
      </c>
      <c r="B88" s="6">
        <v>34.799999999999997</v>
      </c>
      <c r="C88" s="6">
        <v>61.4</v>
      </c>
      <c r="D88" s="6">
        <v>75.8</v>
      </c>
      <c r="E88" s="5"/>
      <c r="F88" s="5"/>
      <c r="G88" s="5"/>
    </row>
    <row r="89" spans="1:7" x14ac:dyDescent="0.25">
      <c r="A89" s="10">
        <v>19</v>
      </c>
      <c r="B89" s="6">
        <v>22.3</v>
      </c>
      <c r="C89" s="6">
        <v>47.5</v>
      </c>
      <c r="D89" s="6">
        <v>83.9</v>
      </c>
      <c r="E89" s="5"/>
      <c r="F89" s="5"/>
      <c r="G89" s="5"/>
    </row>
    <row r="90" spans="1:7" x14ac:dyDescent="0.25">
      <c r="A90" s="10">
        <v>20</v>
      </c>
      <c r="B90" s="6">
        <v>38.299999999999997</v>
      </c>
      <c r="C90" s="6">
        <v>52.7</v>
      </c>
      <c r="D90" s="6">
        <v>97.8</v>
      </c>
      <c r="E90" s="5"/>
      <c r="F90" s="5"/>
      <c r="G90" s="5"/>
    </row>
    <row r="91" spans="1:7" x14ac:dyDescent="0.25">
      <c r="A91" s="10">
        <v>21</v>
      </c>
      <c r="B91" s="6">
        <v>35.5</v>
      </c>
      <c r="C91" s="6">
        <v>64.7</v>
      </c>
      <c r="D91" s="6">
        <v>86.6</v>
      </c>
      <c r="E91" s="5"/>
      <c r="F91" s="5"/>
      <c r="G91" s="5"/>
    </row>
    <row r="92" spans="1:7" x14ac:dyDescent="0.25">
      <c r="A92" s="10">
        <v>22</v>
      </c>
      <c r="B92" s="6">
        <v>22.2</v>
      </c>
      <c r="C92" s="6">
        <v>64.2</v>
      </c>
      <c r="D92" s="6">
        <v>80.2</v>
      </c>
      <c r="E92" s="5"/>
      <c r="F92" s="5"/>
      <c r="G92" s="5"/>
    </row>
    <row r="93" spans="1:7" x14ac:dyDescent="0.25">
      <c r="A93" s="10">
        <v>23</v>
      </c>
      <c r="B93" s="6">
        <v>26.9</v>
      </c>
      <c r="C93" s="6">
        <v>51</v>
      </c>
      <c r="D93" s="6">
        <v>82.6</v>
      </c>
      <c r="E93" s="5"/>
      <c r="F93" s="5"/>
      <c r="G93" s="5"/>
    </row>
    <row r="94" spans="1:7" x14ac:dyDescent="0.25">
      <c r="A94" s="10">
        <v>24</v>
      </c>
      <c r="B94" s="6">
        <v>37.200000000000003</v>
      </c>
      <c r="C94" s="6">
        <v>60.1</v>
      </c>
      <c r="D94" s="6">
        <v>70.400000000000006</v>
      </c>
      <c r="E94" s="5"/>
      <c r="F94" s="5"/>
      <c r="G94" s="5"/>
    </row>
    <row r="95" spans="1:7" x14ac:dyDescent="0.25">
      <c r="A95" s="10">
        <v>25</v>
      </c>
      <c r="B95" s="6">
        <v>38.1</v>
      </c>
      <c r="C95" s="6">
        <v>63.7</v>
      </c>
      <c r="D95" s="6">
        <v>100.4</v>
      </c>
      <c r="E95" s="5"/>
      <c r="F95" s="5"/>
      <c r="G95" s="5"/>
    </row>
    <row r="96" spans="1:7" x14ac:dyDescent="0.25">
      <c r="A96" s="10">
        <v>26</v>
      </c>
      <c r="B96" s="6">
        <v>27</v>
      </c>
      <c r="C96" s="6">
        <v>54.4</v>
      </c>
      <c r="D96" s="6">
        <v>109.8</v>
      </c>
      <c r="E96" s="14"/>
      <c r="F96" s="14"/>
      <c r="G96" s="14"/>
    </row>
    <row r="97" spans="1:7" x14ac:dyDescent="0.25">
      <c r="A97" s="10">
        <v>27</v>
      </c>
      <c r="B97" s="6">
        <v>42</v>
      </c>
      <c r="C97" s="6">
        <v>61.9</v>
      </c>
      <c r="D97" s="6">
        <v>105.8</v>
      </c>
      <c r="E97" s="14"/>
      <c r="F97" s="14"/>
      <c r="G97" s="14"/>
    </row>
    <row r="98" spans="1:7" x14ac:dyDescent="0.25">
      <c r="A98" s="10">
        <v>28</v>
      </c>
      <c r="B98" s="6">
        <v>38.5</v>
      </c>
      <c r="C98" s="6">
        <v>48.9</v>
      </c>
      <c r="D98" s="6">
        <v>82.5</v>
      </c>
      <c r="E98" s="14"/>
      <c r="F98" s="14"/>
      <c r="G98" s="14"/>
    </row>
    <row r="99" spans="1:7" x14ac:dyDescent="0.25">
      <c r="A99" s="10">
        <v>29</v>
      </c>
      <c r="B99" s="6">
        <v>20.9</v>
      </c>
      <c r="C99" s="6">
        <v>55.4</v>
      </c>
      <c r="D99" s="6">
        <v>87.4</v>
      </c>
      <c r="E99" s="5"/>
      <c r="F99" s="5"/>
      <c r="G99" s="5"/>
    </row>
    <row r="100" spans="1:7" x14ac:dyDescent="0.25">
      <c r="A100" s="10">
        <v>30</v>
      </c>
      <c r="B100" s="6">
        <v>40.5</v>
      </c>
      <c r="C100" s="6">
        <v>63.6</v>
      </c>
      <c r="D100" s="6">
        <v>76.900000000000006</v>
      </c>
      <c r="E100" s="1"/>
      <c r="F100" s="1"/>
      <c r="G100" s="1"/>
    </row>
    <row r="101" spans="1:7" x14ac:dyDescent="0.25">
      <c r="A101" s="10">
        <v>31</v>
      </c>
      <c r="B101" s="6">
        <v>31.6</v>
      </c>
      <c r="C101" s="6">
        <v>57.8</v>
      </c>
      <c r="D101" s="6">
        <v>103.8</v>
      </c>
      <c r="E101" s="1"/>
      <c r="F101" s="1"/>
      <c r="G101" s="1"/>
    </row>
    <row r="102" spans="1:7" x14ac:dyDescent="0.25">
      <c r="A102" s="10">
        <v>32</v>
      </c>
      <c r="B102" s="6">
        <v>33.200000000000003</v>
      </c>
      <c r="C102" s="6">
        <v>60.2</v>
      </c>
      <c r="D102" s="6">
        <v>94.8</v>
      </c>
      <c r="E102" s="1"/>
      <c r="F102" s="1"/>
      <c r="G102" s="1"/>
    </row>
    <row r="103" spans="1:7" x14ac:dyDescent="0.25">
      <c r="A103" s="10">
        <v>33</v>
      </c>
      <c r="B103" s="6">
        <v>38.299999999999997</v>
      </c>
      <c r="C103" s="6">
        <v>51.9</v>
      </c>
      <c r="D103" s="6">
        <v>67</v>
      </c>
      <c r="E103" s="1"/>
      <c r="F103" s="1"/>
      <c r="G103" s="1"/>
    </row>
    <row r="104" spans="1:7" x14ac:dyDescent="0.25">
      <c r="A104" s="10">
        <v>34</v>
      </c>
      <c r="B104" s="6">
        <v>43.7</v>
      </c>
      <c r="C104" s="6">
        <v>58.5</v>
      </c>
      <c r="D104" s="6">
        <v>69.599999999999994</v>
      </c>
      <c r="E104" s="1"/>
      <c r="F104" s="1"/>
      <c r="G104" s="1"/>
    </row>
    <row r="105" spans="1:7" x14ac:dyDescent="0.25">
      <c r="A105" s="10">
        <v>35</v>
      </c>
      <c r="B105" s="6">
        <v>27.9</v>
      </c>
      <c r="C105" s="6">
        <v>55.6</v>
      </c>
      <c r="D105" s="6">
        <v>78.900000000000006</v>
      </c>
      <c r="E105" s="1"/>
      <c r="F105" s="1"/>
      <c r="G105" s="1"/>
    </row>
    <row r="106" spans="1:7" x14ac:dyDescent="0.25">
      <c r="A106" s="10">
        <v>36</v>
      </c>
      <c r="B106" s="6">
        <v>36.9</v>
      </c>
      <c r="C106" s="6">
        <v>65</v>
      </c>
      <c r="D106" s="6">
        <v>74.2</v>
      </c>
      <c r="E106" s="1"/>
      <c r="F106" s="1"/>
      <c r="G106" s="1"/>
    </row>
    <row r="107" spans="1:7" x14ac:dyDescent="0.25">
      <c r="A107" s="10">
        <v>37</v>
      </c>
      <c r="B107" s="6">
        <v>20.2</v>
      </c>
      <c r="C107" s="6">
        <v>45.5</v>
      </c>
      <c r="D107" s="6">
        <v>74.2</v>
      </c>
      <c r="E107" s="1"/>
      <c r="F107" s="1"/>
      <c r="G107" s="1"/>
    </row>
    <row r="108" spans="1:7" x14ac:dyDescent="0.25">
      <c r="A108" s="10">
        <v>38</v>
      </c>
      <c r="B108" s="6">
        <v>22.7</v>
      </c>
      <c r="C108" s="6">
        <v>52.2</v>
      </c>
      <c r="D108" s="6">
        <v>81.099999999999994</v>
      </c>
      <c r="E108" s="1"/>
      <c r="F108" s="1"/>
      <c r="G108" s="1"/>
    </row>
    <row r="109" spans="1:7" x14ac:dyDescent="0.25">
      <c r="A109" s="10">
        <v>39</v>
      </c>
      <c r="B109" s="6">
        <v>26.8</v>
      </c>
      <c r="C109" s="6">
        <v>53.4</v>
      </c>
      <c r="D109" s="6">
        <v>83.5</v>
      </c>
      <c r="E109" s="1"/>
      <c r="F109" s="1"/>
      <c r="G109" s="1"/>
    </row>
    <row r="110" spans="1:7" x14ac:dyDescent="0.25">
      <c r="A110" s="10">
        <v>40</v>
      </c>
      <c r="B110" s="6">
        <v>30.4</v>
      </c>
      <c r="C110" s="6">
        <v>58.5</v>
      </c>
      <c r="D110" s="6">
        <v>77.7</v>
      </c>
      <c r="E110" s="1"/>
      <c r="F110" s="1"/>
      <c r="G110" s="1"/>
    </row>
    <row r="111" spans="1:7" x14ac:dyDescent="0.25">
      <c r="A111" s="10">
        <v>41</v>
      </c>
      <c r="B111" s="6">
        <v>40.5</v>
      </c>
      <c r="C111" s="6">
        <v>63.7</v>
      </c>
      <c r="D111" s="6">
        <v>83.1</v>
      </c>
      <c r="E111" s="1"/>
      <c r="F111" s="1"/>
      <c r="G111" s="1"/>
    </row>
    <row r="112" spans="1:7" x14ac:dyDescent="0.25">
      <c r="A112" s="10">
        <v>42</v>
      </c>
      <c r="B112" s="6">
        <v>40.700000000000003</v>
      </c>
      <c r="C112" s="6">
        <v>56.3</v>
      </c>
      <c r="D112" s="6">
        <v>71.400000000000006</v>
      </c>
      <c r="E112" s="1"/>
      <c r="F112" s="1"/>
      <c r="G112" s="1"/>
    </row>
    <row r="113" spans="1:7" x14ac:dyDescent="0.25">
      <c r="A113" s="10">
        <v>43</v>
      </c>
      <c r="B113" s="6">
        <v>21.8</v>
      </c>
      <c r="C113" s="6">
        <v>49</v>
      </c>
      <c r="D113" s="6">
        <v>66.400000000000006</v>
      </c>
      <c r="E113" s="1"/>
      <c r="F113" s="1"/>
      <c r="G113" s="1"/>
    </row>
    <row r="114" spans="1:7" x14ac:dyDescent="0.25">
      <c r="A114" s="10">
        <v>44</v>
      </c>
      <c r="B114" s="6">
        <v>26.5</v>
      </c>
      <c r="C114" s="6">
        <v>62.5</v>
      </c>
      <c r="D114" s="6">
        <v>98.4</v>
      </c>
      <c r="E114" s="1"/>
      <c r="F114" s="1"/>
      <c r="G114" s="1"/>
    </row>
    <row r="115" spans="1:7" x14ac:dyDescent="0.25">
      <c r="A115" s="10">
        <v>45</v>
      </c>
      <c r="B115" s="6">
        <v>20.5</v>
      </c>
      <c r="C115" s="6">
        <v>55.1</v>
      </c>
      <c r="D115" s="6">
        <v>98.7</v>
      </c>
      <c r="E115" s="1"/>
      <c r="F115" s="1"/>
      <c r="G115" s="1"/>
    </row>
    <row r="116" spans="1:7" x14ac:dyDescent="0.25">
      <c r="A116" s="10">
        <v>46</v>
      </c>
      <c r="B116" s="6">
        <v>39.4</v>
      </c>
      <c r="C116" s="6">
        <v>50.8</v>
      </c>
      <c r="D116" s="6">
        <v>81.7</v>
      </c>
      <c r="E116" s="1"/>
      <c r="F116" s="1"/>
      <c r="G116" s="1"/>
    </row>
    <row r="117" spans="1:7" x14ac:dyDescent="0.25">
      <c r="A117" s="10">
        <v>47</v>
      </c>
      <c r="B117" s="6">
        <v>40.700000000000003</v>
      </c>
      <c r="C117" s="6">
        <v>46.3</v>
      </c>
      <c r="D117" s="6">
        <v>80.599999999999994</v>
      </c>
      <c r="E117" s="1"/>
      <c r="F117" s="1"/>
      <c r="G117" s="1"/>
    </row>
    <row r="118" spans="1:7" x14ac:dyDescent="0.25">
      <c r="A118" s="10">
        <v>48</v>
      </c>
      <c r="B118" s="6">
        <v>31.9</v>
      </c>
      <c r="C118" s="6">
        <v>63.7</v>
      </c>
      <c r="D118" s="6">
        <v>97.8</v>
      </c>
      <c r="E118" s="1"/>
      <c r="F118" s="1"/>
      <c r="G118" s="1"/>
    </row>
    <row r="119" spans="1:7" x14ac:dyDescent="0.25">
      <c r="A119" s="10">
        <v>49</v>
      </c>
      <c r="B119" s="6">
        <v>35.799999999999997</v>
      </c>
      <c r="C119" s="6">
        <v>63</v>
      </c>
      <c r="D119" s="6">
        <v>75.099999999999994</v>
      </c>
      <c r="E119" s="1"/>
      <c r="F119" s="1"/>
      <c r="G119" s="1"/>
    </row>
    <row r="120" spans="1:7" x14ac:dyDescent="0.25">
      <c r="A120" s="10">
        <v>50</v>
      </c>
      <c r="B120" s="6">
        <v>41.6</v>
      </c>
      <c r="C120" s="6">
        <v>57.8</v>
      </c>
      <c r="D120" s="6">
        <v>80.8</v>
      </c>
      <c r="E120" s="1"/>
      <c r="F120" s="1"/>
      <c r="G120" s="1"/>
    </row>
    <row r="121" spans="1:7" x14ac:dyDescent="0.25">
      <c r="A121" s="10">
        <v>51</v>
      </c>
      <c r="B121" s="6">
        <v>37.200000000000003</v>
      </c>
      <c r="C121" s="6">
        <v>58.3</v>
      </c>
      <c r="D121" s="6">
        <v>83.8</v>
      </c>
      <c r="E121" s="1"/>
      <c r="F121" s="1"/>
      <c r="G121" s="1"/>
    </row>
    <row r="122" spans="1:7" x14ac:dyDescent="0.25">
      <c r="A122" s="10">
        <v>52</v>
      </c>
      <c r="B122" s="6">
        <v>25.6</v>
      </c>
      <c r="C122" s="6">
        <v>55.8</v>
      </c>
      <c r="D122" s="6">
        <v>75.3</v>
      </c>
      <c r="E122" s="1"/>
      <c r="F122" s="1"/>
      <c r="G122" s="1"/>
    </row>
    <row r="123" spans="1:7" x14ac:dyDescent="0.25">
      <c r="A123" s="10">
        <v>53</v>
      </c>
      <c r="B123" s="6">
        <v>20</v>
      </c>
      <c r="C123" s="6">
        <v>56.3</v>
      </c>
      <c r="D123" s="6">
        <v>65.8</v>
      </c>
      <c r="E123" s="1"/>
      <c r="F123" s="1"/>
      <c r="G123" s="1"/>
    </row>
    <row r="124" spans="1:7" x14ac:dyDescent="0.25">
      <c r="A124" s="10">
        <v>54</v>
      </c>
      <c r="B124" s="6">
        <v>38.9</v>
      </c>
      <c r="C124" s="6">
        <v>58.4</v>
      </c>
      <c r="D124" s="6">
        <v>67.400000000000006</v>
      </c>
      <c r="E124" s="1"/>
      <c r="F124" s="1"/>
      <c r="G124" s="1"/>
    </row>
    <row r="125" spans="1:7" x14ac:dyDescent="0.25">
      <c r="A125" s="10">
        <v>55</v>
      </c>
      <c r="B125" s="6">
        <v>38.1</v>
      </c>
      <c r="C125" s="6">
        <v>64.3</v>
      </c>
      <c r="D125" s="6">
        <v>92.6</v>
      </c>
      <c r="E125" s="1"/>
      <c r="F125" s="1"/>
      <c r="G125" s="1"/>
    </row>
    <row r="126" spans="1:7" x14ac:dyDescent="0.25">
      <c r="A126" s="10">
        <v>56</v>
      </c>
      <c r="B126" s="6">
        <v>37.299999999999997</v>
      </c>
      <c r="C126" s="6">
        <v>63</v>
      </c>
      <c r="D126" s="6">
        <v>90.8</v>
      </c>
      <c r="E126" s="1"/>
      <c r="F126" s="1"/>
      <c r="G126" s="1"/>
    </row>
    <row r="127" spans="1:7" x14ac:dyDescent="0.25">
      <c r="A127" s="10">
        <v>57</v>
      </c>
      <c r="B127" s="6">
        <v>36.1</v>
      </c>
      <c r="C127" s="6">
        <v>61.7</v>
      </c>
      <c r="D127" s="6">
        <v>97.4</v>
      </c>
      <c r="E127" s="1"/>
      <c r="F127" s="1"/>
      <c r="G127" s="1"/>
    </row>
    <row r="128" spans="1:7" x14ac:dyDescent="0.25">
      <c r="A128" s="10">
        <v>58</v>
      </c>
      <c r="B128" s="6">
        <v>26.5</v>
      </c>
      <c r="C128" s="6">
        <v>61.3</v>
      </c>
      <c r="D128" s="6">
        <v>66.5</v>
      </c>
      <c r="E128" s="1"/>
      <c r="F128" s="1"/>
      <c r="G128" s="1"/>
    </row>
    <row r="129" spans="1:7" x14ac:dyDescent="0.25">
      <c r="A129" s="10">
        <v>59</v>
      </c>
      <c r="B129" s="6">
        <v>20.2</v>
      </c>
      <c r="C129" s="6">
        <v>50.5</v>
      </c>
      <c r="D129" s="6">
        <v>81.099999999999994</v>
      </c>
      <c r="E129" s="1"/>
      <c r="F129" s="1"/>
      <c r="G129" s="1"/>
    </row>
    <row r="130" spans="1:7" x14ac:dyDescent="0.25">
      <c r="A130" s="10">
        <v>60</v>
      </c>
      <c r="B130" s="6">
        <v>36.9</v>
      </c>
      <c r="C130" s="6">
        <v>58.3</v>
      </c>
      <c r="D130" s="6">
        <v>66.599999999999994</v>
      </c>
      <c r="E130" s="1"/>
      <c r="F130" s="1"/>
      <c r="G130" s="1"/>
    </row>
    <row r="131" spans="1:7" x14ac:dyDescent="0.25">
      <c r="A131" s="10">
        <v>61</v>
      </c>
      <c r="B131" s="6">
        <v>34.9</v>
      </c>
      <c r="C131" s="6">
        <v>61.2</v>
      </c>
      <c r="D131" s="6">
        <v>94.8</v>
      </c>
      <c r="E131" s="1"/>
      <c r="F131" s="1"/>
      <c r="G131" s="1"/>
    </row>
    <row r="132" spans="1:7" x14ac:dyDescent="0.25">
      <c r="A132" s="10">
        <v>62</v>
      </c>
      <c r="B132" s="6">
        <v>36.799999999999997</v>
      </c>
      <c r="C132" s="6">
        <v>49.9</v>
      </c>
      <c r="D132" s="6">
        <v>75.400000000000006</v>
      </c>
      <c r="E132" s="1"/>
      <c r="F132" s="1"/>
      <c r="G132" s="1"/>
    </row>
    <row r="133" spans="1:7" ht="14.5" thickBot="1" x14ac:dyDescent="0.3">
      <c r="A133" s="11">
        <v>63</v>
      </c>
      <c r="B133" s="6">
        <v>21.3</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54.9</v>
      </c>
      <c r="C138" s="330">
        <f>ROUNDDOWN(AVERAGE(E5:G20),1)</f>
        <v>71.7</v>
      </c>
      <c r="D138" s="328">
        <f>'2022.01'!D138</f>
        <v>8254</v>
      </c>
      <c r="E138" s="328">
        <f>'[2]NLT-applied'!$C$28</f>
        <v>15428</v>
      </c>
      <c r="F138" s="328">
        <f>B138*D138</f>
        <v>453144.6</v>
      </c>
      <c r="G138" s="328">
        <f>C138*E138</f>
        <v>1106187.6000000001</v>
      </c>
    </row>
    <row r="139" spans="1:7" x14ac:dyDescent="0.25">
      <c r="A139" s="329" t="str">
        <f>A21</f>
        <v>Dongtai Jianggang Swine farm</v>
      </c>
      <c r="B139" s="330">
        <f>ROUNDDOWN(AVERAGE(B24:D33),1)</f>
        <v>57</v>
      </c>
      <c r="C139" s="330">
        <f>ROUNDDOWN(AVERAGE(E24:G52),1)</f>
        <v>71.400000000000006</v>
      </c>
      <c r="D139" s="328">
        <f>'2022.01'!D139</f>
        <v>9392</v>
      </c>
      <c r="E139" s="328">
        <f>'[2]NLT-applied'!$E$28</f>
        <v>29472</v>
      </c>
      <c r="F139" s="328">
        <f t="shared" ref="F139:G141" si="0">B139*D139</f>
        <v>535344</v>
      </c>
      <c r="G139" s="328">
        <f t="shared" si="0"/>
        <v>2104300.8000000003</v>
      </c>
    </row>
    <row r="140" spans="1:7" x14ac:dyDescent="0.25">
      <c r="A140" s="329" t="str">
        <f>A53</f>
        <v>Sheyang Linhai Swine farm</v>
      </c>
      <c r="B140" s="330">
        <f>ROUNDDOWN(AVERAGE(B56:D67),1)</f>
        <v>59.5</v>
      </c>
      <c r="C140" s="330">
        <f>ROUNDDOWN(AVERAGE(E56:G62),1)</f>
        <v>71.099999999999994</v>
      </c>
      <c r="D140" s="328">
        <f>'2022.01'!D140</f>
        <v>12135</v>
      </c>
      <c r="E140" s="328">
        <f>'[2]NLT-applied'!$G$28</f>
        <v>6118</v>
      </c>
      <c r="F140" s="328">
        <f t="shared" si="0"/>
        <v>722032.5</v>
      </c>
      <c r="G140" s="328">
        <f t="shared" si="0"/>
        <v>434989.8</v>
      </c>
    </row>
    <row r="141" spans="1:7" x14ac:dyDescent="0.25">
      <c r="A141" s="329" t="str">
        <f>A68</f>
        <v>Siyang Nanliuji Swine farm</v>
      </c>
      <c r="B141" s="330">
        <f>ROUNDDOWN(AVERAGE(B71:D133),1)</f>
        <v>57.4</v>
      </c>
      <c r="C141" s="328">
        <f>ROUNDDOWN(AVERAGE(0),1)</f>
        <v>0</v>
      </c>
      <c r="D141" s="328">
        <f>'2022.01'!D141</f>
        <v>64445</v>
      </c>
      <c r="E141" s="328">
        <f>'[3]NLT-applied'!$I$27</f>
        <v>0</v>
      </c>
      <c r="F141" s="328">
        <f t="shared" si="0"/>
        <v>3699143</v>
      </c>
      <c r="G141" s="328">
        <f t="shared" si="0"/>
        <v>0</v>
      </c>
    </row>
    <row r="142" spans="1:7" x14ac:dyDescent="0.25">
      <c r="A142" s="504" t="s">
        <v>343</v>
      </c>
      <c r="B142" s="510"/>
      <c r="C142" s="505"/>
      <c r="D142" s="328">
        <f>SUM(D138:D141)</f>
        <v>94226</v>
      </c>
      <c r="E142" s="328">
        <f>SUM(E138:E141)</f>
        <v>51018</v>
      </c>
      <c r="F142" s="328">
        <f>SUM(F138:F141)</f>
        <v>5409664.0999999996</v>
      </c>
      <c r="G142" s="328">
        <f>SUM(G138:G141)</f>
        <v>3645478.2</v>
      </c>
    </row>
    <row r="144" spans="1:7" x14ac:dyDescent="0.25">
      <c r="C144" s="504" t="s">
        <v>344</v>
      </c>
      <c r="D144" s="505"/>
    </row>
    <row r="145" spans="3:4" x14ac:dyDescent="0.25">
      <c r="C145" s="328" t="s">
        <v>341</v>
      </c>
      <c r="D145" s="328" t="s">
        <v>342</v>
      </c>
    </row>
    <row r="146" spans="3:4" x14ac:dyDescent="0.25">
      <c r="C146" s="331">
        <f>ROUNDDOWN(F142/D142,1)</f>
        <v>57.4</v>
      </c>
      <c r="D146" s="331">
        <f>ROUNDDOWN(G142/E142,1)</f>
        <v>71.400000000000006</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0AA78-B978-4697-B4F4-EAB59145ACA2}">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30.6</v>
      </c>
      <c r="C5" s="6">
        <v>50.7</v>
      </c>
      <c r="D5" s="6">
        <v>83.7</v>
      </c>
      <c r="E5" s="6">
        <v>37.299999999999997</v>
      </c>
      <c r="F5" s="6">
        <v>69.900000000000006</v>
      </c>
      <c r="G5" s="6">
        <v>87.9</v>
      </c>
    </row>
    <row r="6" spans="1:7" x14ac:dyDescent="0.25">
      <c r="A6" s="10">
        <v>2</v>
      </c>
      <c r="B6" s="6">
        <v>33.200000000000003</v>
      </c>
      <c r="C6" s="6">
        <v>53.6</v>
      </c>
      <c r="D6" s="6">
        <v>102.9</v>
      </c>
      <c r="E6" s="6">
        <v>55.7</v>
      </c>
      <c r="F6" s="6">
        <v>62.4</v>
      </c>
      <c r="G6" s="6">
        <v>92.3</v>
      </c>
    </row>
    <row r="7" spans="1:7" x14ac:dyDescent="0.25">
      <c r="A7" s="10">
        <v>3</v>
      </c>
      <c r="B7" s="6">
        <v>34.200000000000003</v>
      </c>
      <c r="C7" s="6">
        <v>63.9</v>
      </c>
      <c r="D7" s="6">
        <v>91.8</v>
      </c>
      <c r="E7" s="6">
        <v>53.3</v>
      </c>
      <c r="F7" s="6">
        <v>84.2</v>
      </c>
      <c r="G7" s="6">
        <v>114.5</v>
      </c>
    </row>
    <row r="8" spans="1:7" x14ac:dyDescent="0.25">
      <c r="A8" s="10">
        <v>4</v>
      </c>
      <c r="B8" s="6">
        <v>36.1</v>
      </c>
      <c r="C8" s="6">
        <v>62</v>
      </c>
      <c r="D8" s="6">
        <v>80.5</v>
      </c>
      <c r="E8" s="6">
        <v>43.1</v>
      </c>
      <c r="F8" s="6">
        <v>78.099999999999994</v>
      </c>
      <c r="G8" s="6">
        <v>116.9</v>
      </c>
    </row>
    <row r="9" spans="1:7" x14ac:dyDescent="0.25">
      <c r="A9" s="10">
        <v>5</v>
      </c>
      <c r="B9" s="6">
        <v>30</v>
      </c>
      <c r="C9" s="6">
        <v>50.1</v>
      </c>
      <c r="D9" s="6">
        <v>103.1</v>
      </c>
      <c r="E9" s="6">
        <v>47.9</v>
      </c>
      <c r="F9" s="6">
        <v>75.099999999999994</v>
      </c>
      <c r="G9" s="6">
        <v>112.8</v>
      </c>
    </row>
    <row r="10" spans="1:7" x14ac:dyDescent="0.25">
      <c r="A10" s="10">
        <v>6</v>
      </c>
      <c r="B10" s="6">
        <v>42.7</v>
      </c>
      <c r="C10" s="6">
        <v>45.6</v>
      </c>
      <c r="D10" s="6">
        <v>69.3</v>
      </c>
      <c r="E10" s="6">
        <v>45.8</v>
      </c>
      <c r="F10" s="6">
        <v>74.599999999999994</v>
      </c>
      <c r="G10" s="6">
        <v>97.8</v>
      </c>
    </row>
    <row r="11" spans="1:7" x14ac:dyDescent="0.25">
      <c r="A11" s="10">
        <v>7</v>
      </c>
      <c r="B11" s="6">
        <v>34.1</v>
      </c>
      <c r="C11" s="6">
        <v>60.2</v>
      </c>
      <c r="D11" s="6">
        <v>89.7</v>
      </c>
      <c r="E11" s="6">
        <v>42.4</v>
      </c>
      <c r="F11" s="6">
        <v>82.8</v>
      </c>
      <c r="G11" s="6">
        <v>113.5</v>
      </c>
    </row>
    <row r="12" spans="1:7" x14ac:dyDescent="0.25">
      <c r="A12" s="10">
        <v>8</v>
      </c>
      <c r="B12" s="6">
        <v>31.3</v>
      </c>
      <c r="C12" s="6">
        <v>62.4</v>
      </c>
      <c r="D12" s="6">
        <v>79.8</v>
      </c>
      <c r="E12" s="6">
        <v>48.8</v>
      </c>
      <c r="F12" s="6">
        <v>61</v>
      </c>
      <c r="G12" s="6">
        <v>103.9</v>
      </c>
    </row>
    <row r="13" spans="1:7" x14ac:dyDescent="0.25">
      <c r="A13" s="10">
        <v>9</v>
      </c>
      <c r="B13" s="6">
        <v>37.6</v>
      </c>
      <c r="C13" s="6">
        <v>59</v>
      </c>
      <c r="D13" s="6">
        <v>96.1</v>
      </c>
      <c r="E13" s="6">
        <v>49.3</v>
      </c>
      <c r="F13" s="6">
        <v>73.8</v>
      </c>
      <c r="G13" s="6">
        <v>118.6</v>
      </c>
    </row>
    <row r="14" spans="1:7" x14ac:dyDescent="0.25">
      <c r="A14" s="10">
        <v>10</v>
      </c>
      <c r="B14" s="6"/>
      <c r="C14" s="6"/>
      <c r="D14" s="6"/>
      <c r="E14" s="6">
        <v>26.1</v>
      </c>
      <c r="F14" s="6">
        <v>62.6</v>
      </c>
      <c r="G14" s="6">
        <v>104.5</v>
      </c>
    </row>
    <row r="15" spans="1:7" x14ac:dyDescent="0.25">
      <c r="A15" s="10">
        <v>11</v>
      </c>
      <c r="B15" s="6"/>
      <c r="C15" s="6"/>
      <c r="D15" s="6"/>
      <c r="E15" s="6">
        <v>26.3</v>
      </c>
      <c r="F15" s="6">
        <v>67.900000000000006</v>
      </c>
      <c r="G15" s="6">
        <v>119.1</v>
      </c>
    </row>
    <row r="16" spans="1:7" x14ac:dyDescent="0.25">
      <c r="A16" s="10">
        <v>12</v>
      </c>
      <c r="B16" s="6"/>
      <c r="C16" s="6"/>
      <c r="D16" s="6"/>
      <c r="E16" s="6">
        <v>48.2</v>
      </c>
      <c r="F16" s="6">
        <v>81.900000000000006</v>
      </c>
      <c r="G16" s="6">
        <v>103.6</v>
      </c>
    </row>
    <row r="17" spans="1:7" x14ac:dyDescent="0.25">
      <c r="A17" s="10">
        <v>13</v>
      </c>
      <c r="B17" s="6"/>
      <c r="C17" s="6"/>
      <c r="D17" s="6"/>
      <c r="E17" s="6">
        <v>56.6</v>
      </c>
      <c r="F17" s="6">
        <v>60.7</v>
      </c>
      <c r="G17" s="6">
        <v>89.6</v>
      </c>
    </row>
    <row r="18" spans="1:7" x14ac:dyDescent="0.25">
      <c r="A18" s="10">
        <v>14</v>
      </c>
      <c r="B18" s="6"/>
      <c r="C18" s="6"/>
      <c r="D18" s="6"/>
      <c r="E18" s="6">
        <v>31.7</v>
      </c>
      <c r="F18" s="6">
        <v>74.2</v>
      </c>
      <c r="G18" s="6">
        <v>91.2</v>
      </c>
    </row>
    <row r="19" spans="1:7" x14ac:dyDescent="0.25">
      <c r="A19" s="10">
        <v>15</v>
      </c>
      <c r="B19" s="6"/>
      <c r="C19" s="6"/>
      <c r="D19" s="6"/>
      <c r="E19" s="6">
        <v>47.2</v>
      </c>
      <c r="F19" s="6">
        <v>70.599999999999994</v>
      </c>
      <c r="G19" s="6">
        <v>91.5</v>
      </c>
    </row>
    <row r="20" spans="1:7" ht="14.5" thickBot="1" x14ac:dyDescent="0.3">
      <c r="A20" s="11">
        <v>16</v>
      </c>
      <c r="B20" s="12"/>
      <c r="C20" s="12"/>
      <c r="D20" s="12"/>
      <c r="E20" s="6">
        <v>53.5</v>
      </c>
      <c r="F20" s="6">
        <v>66.5</v>
      </c>
      <c r="G20" s="6">
        <v>90.9</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38.799999999999997</v>
      </c>
      <c r="C24" s="6">
        <v>49.8</v>
      </c>
      <c r="D24" s="6">
        <v>70.099999999999994</v>
      </c>
      <c r="E24" s="6">
        <v>27.9</v>
      </c>
      <c r="F24" s="6">
        <v>70.7</v>
      </c>
      <c r="G24" s="6">
        <v>93.7</v>
      </c>
    </row>
    <row r="25" spans="1:7" x14ac:dyDescent="0.25">
      <c r="A25" s="10">
        <v>2</v>
      </c>
      <c r="B25" s="6">
        <v>29.7</v>
      </c>
      <c r="C25" s="6">
        <v>55.5</v>
      </c>
      <c r="D25" s="6">
        <v>78</v>
      </c>
      <c r="E25" s="6">
        <v>34</v>
      </c>
      <c r="F25" s="6">
        <v>76.2</v>
      </c>
      <c r="G25" s="6">
        <v>116.4</v>
      </c>
    </row>
    <row r="26" spans="1:7" x14ac:dyDescent="0.25">
      <c r="A26" s="10">
        <v>3</v>
      </c>
      <c r="B26" s="6">
        <v>27.4</v>
      </c>
      <c r="C26" s="6">
        <v>45.5</v>
      </c>
      <c r="D26" s="6">
        <v>96.5</v>
      </c>
      <c r="E26" s="6">
        <v>36.6</v>
      </c>
      <c r="F26" s="6">
        <v>79.099999999999994</v>
      </c>
      <c r="G26" s="6">
        <v>102.9</v>
      </c>
    </row>
    <row r="27" spans="1:7" x14ac:dyDescent="0.25">
      <c r="A27" s="10">
        <v>4</v>
      </c>
      <c r="B27" s="6">
        <v>38.9</v>
      </c>
      <c r="C27" s="6">
        <v>47.1</v>
      </c>
      <c r="D27" s="6">
        <v>92</v>
      </c>
      <c r="E27" s="6">
        <v>52.9</v>
      </c>
      <c r="F27" s="6">
        <v>66.3</v>
      </c>
      <c r="G27" s="6">
        <v>88.6</v>
      </c>
    </row>
    <row r="28" spans="1:7" x14ac:dyDescent="0.25">
      <c r="A28" s="10">
        <v>5</v>
      </c>
      <c r="B28" s="6">
        <v>34.5</v>
      </c>
      <c r="C28" s="6">
        <v>46.1</v>
      </c>
      <c r="D28" s="6">
        <v>106.9</v>
      </c>
      <c r="E28" s="6">
        <v>48.6</v>
      </c>
      <c r="F28" s="6">
        <v>70.3</v>
      </c>
      <c r="G28" s="6">
        <v>94.8</v>
      </c>
    </row>
    <row r="29" spans="1:7" x14ac:dyDescent="0.25">
      <c r="A29" s="10">
        <v>6</v>
      </c>
      <c r="B29" s="6">
        <v>21.2</v>
      </c>
      <c r="C29" s="6">
        <v>45.2</v>
      </c>
      <c r="D29" s="6">
        <v>101.2</v>
      </c>
      <c r="E29" s="6">
        <v>37.299999999999997</v>
      </c>
      <c r="F29" s="6">
        <v>69.400000000000006</v>
      </c>
      <c r="G29" s="6">
        <v>119.9</v>
      </c>
    </row>
    <row r="30" spans="1:7" x14ac:dyDescent="0.25">
      <c r="A30" s="10">
        <v>7</v>
      </c>
      <c r="B30" s="6">
        <v>41.9</v>
      </c>
      <c r="C30" s="6">
        <v>57.5</v>
      </c>
      <c r="D30" s="6">
        <v>104.8</v>
      </c>
      <c r="E30" s="6">
        <v>56.3</v>
      </c>
      <c r="F30" s="6">
        <v>83.8</v>
      </c>
      <c r="G30" s="6">
        <v>110.3</v>
      </c>
    </row>
    <row r="31" spans="1:7" x14ac:dyDescent="0.25">
      <c r="A31" s="10">
        <v>8</v>
      </c>
      <c r="B31" s="6">
        <v>30.2</v>
      </c>
      <c r="C31" s="6">
        <v>55.5</v>
      </c>
      <c r="D31" s="6">
        <v>68.8</v>
      </c>
      <c r="E31" s="6">
        <v>31.9</v>
      </c>
      <c r="F31" s="6">
        <v>77.099999999999994</v>
      </c>
      <c r="G31" s="6">
        <v>106.3</v>
      </c>
    </row>
    <row r="32" spans="1:7" x14ac:dyDescent="0.25">
      <c r="A32" s="10">
        <v>9</v>
      </c>
      <c r="B32" s="6">
        <v>24.8</v>
      </c>
      <c r="C32" s="6">
        <v>60.9</v>
      </c>
      <c r="D32" s="6">
        <v>96.3</v>
      </c>
      <c r="E32" s="6">
        <v>37.6</v>
      </c>
      <c r="F32" s="6">
        <v>82.6</v>
      </c>
      <c r="G32" s="6">
        <v>110.4</v>
      </c>
    </row>
    <row r="33" spans="1:7" x14ac:dyDescent="0.25">
      <c r="A33" s="10">
        <v>10</v>
      </c>
      <c r="B33" s="6">
        <v>33.700000000000003</v>
      </c>
      <c r="C33" s="6">
        <v>57.9</v>
      </c>
      <c r="D33" s="6">
        <v>103.1</v>
      </c>
      <c r="E33" s="6">
        <v>51.2</v>
      </c>
      <c r="F33" s="6">
        <v>70.900000000000006</v>
      </c>
      <c r="G33" s="6">
        <v>92.9</v>
      </c>
    </row>
    <row r="34" spans="1:7" x14ac:dyDescent="0.25">
      <c r="A34" s="10">
        <v>11</v>
      </c>
      <c r="B34" s="6"/>
      <c r="C34" s="6"/>
      <c r="D34" s="6"/>
      <c r="E34" s="6">
        <v>45.8</v>
      </c>
      <c r="F34" s="6">
        <v>79.8</v>
      </c>
      <c r="G34" s="6">
        <v>118.5</v>
      </c>
    </row>
    <row r="35" spans="1:7" x14ac:dyDescent="0.25">
      <c r="A35" s="10">
        <v>12</v>
      </c>
      <c r="B35" s="6"/>
      <c r="C35" s="6"/>
      <c r="D35" s="6"/>
      <c r="E35" s="6">
        <v>32.4</v>
      </c>
      <c r="F35" s="6">
        <v>77.400000000000006</v>
      </c>
      <c r="G35" s="6">
        <v>113.6</v>
      </c>
    </row>
    <row r="36" spans="1:7" x14ac:dyDescent="0.25">
      <c r="A36" s="10">
        <v>13</v>
      </c>
      <c r="B36" s="6"/>
      <c r="C36" s="6"/>
      <c r="D36" s="6"/>
      <c r="E36" s="6">
        <v>38.299999999999997</v>
      </c>
      <c r="F36" s="6">
        <v>73.2</v>
      </c>
      <c r="G36" s="6">
        <v>111.2</v>
      </c>
    </row>
    <row r="37" spans="1:7" x14ac:dyDescent="0.25">
      <c r="A37" s="10">
        <v>14</v>
      </c>
      <c r="B37" s="6"/>
      <c r="C37" s="6"/>
      <c r="D37" s="6"/>
      <c r="E37" s="6">
        <v>55.4</v>
      </c>
      <c r="F37" s="6">
        <v>66.8</v>
      </c>
      <c r="G37" s="6">
        <v>100.6</v>
      </c>
    </row>
    <row r="38" spans="1:7" x14ac:dyDescent="0.25">
      <c r="A38" s="10">
        <v>15</v>
      </c>
      <c r="B38" s="6"/>
      <c r="C38" s="6"/>
      <c r="D38" s="6"/>
      <c r="E38" s="6">
        <v>44.9</v>
      </c>
      <c r="F38" s="6">
        <v>60.5</v>
      </c>
      <c r="G38" s="6">
        <v>105.5</v>
      </c>
    </row>
    <row r="39" spans="1:7" x14ac:dyDescent="0.25">
      <c r="A39" s="10">
        <v>16</v>
      </c>
      <c r="B39" s="6"/>
      <c r="C39" s="6"/>
      <c r="D39" s="6"/>
      <c r="E39" s="6">
        <v>51.6</v>
      </c>
      <c r="F39" s="6">
        <v>60.2</v>
      </c>
      <c r="G39" s="6">
        <v>108.7</v>
      </c>
    </row>
    <row r="40" spans="1:7" x14ac:dyDescent="0.25">
      <c r="A40" s="10">
        <v>17</v>
      </c>
      <c r="B40" s="6"/>
      <c r="C40" s="6"/>
      <c r="D40" s="6"/>
      <c r="E40" s="6">
        <v>49.3</v>
      </c>
      <c r="F40" s="6">
        <v>83.3</v>
      </c>
      <c r="G40" s="6">
        <v>101.9</v>
      </c>
    </row>
    <row r="41" spans="1:7" x14ac:dyDescent="0.25">
      <c r="A41" s="10">
        <v>18</v>
      </c>
      <c r="B41" s="6"/>
      <c r="C41" s="6"/>
      <c r="D41" s="6"/>
      <c r="E41" s="6">
        <v>38.299999999999997</v>
      </c>
      <c r="F41" s="6">
        <v>60.3</v>
      </c>
      <c r="G41" s="6">
        <v>107.4</v>
      </c>
    </row>
    <row r="42" spans="1:7" x14ac:dyDescent="0.25">
      <c r="A42" s="10">
        <v>19</v>
      </c>
      <c r="B42" s="6"/>
      <c r="C42" s="6"/>
      <c r="D42" s="6"/>
      <c r="E42" s="6">
        <v>46.6</v>
      </c>
      <c r="F42" s="6">
        <v>69.5</v>
      </c>
      <c r="G42" s="6">
        <v>110.3</v>
      </c>
    </row>
    <row r="43" spans="1:7" x14ac:dyDescent="0.25">
      <c r="A43" s="10">
        <v>20</v>
      </c>
      <c r="B43" s="6"/>
      <c r="C43" s="6"/>
      <c r="D43" s="6"/>
      <c r="E43" s="6">
        <v>48.6</v>
      </c>
      <c r="F43" s="6">
        <v>76</v>
      </c>
      <c r="G43" s="6">
        <v>97.6</v>
      </c>
    </row>
    <row r="44" spans="1:7" x14ac:dyDescent="0.25">
      <c r="A44" s="10">
        <v>21</v>
      </c>
      <c r="B44" s="6"/>
      <c r="C44" s="6"/>
      <c r="D44" s="6"/>
      <c r="E44" s="6">
        <v>55.6</v>
      </c>
      <c r="F44" s="6">
        <v>69.3</v>
      </c>
      <c r="G44" s="6">
        <v>96.2</v>
      </c>
    </row>
    <row r="45" spans="1:7" x14ac:dyDescent="0.25">
      <c r="A45" s="10">
        <v>22</v>
      </c>
      <c r="B45" s="6"/>
      <c r="C45" s="6"/>
      <c r="D45" s="6"/>
      <c r="E45" s="6">
        <v>40.5</v>
      </c>
      <c r="F45" s="6">
        <v>78.099999999999994</v>
      </c>
      <c r="G45" s="6">
        <v>111.6</v>
      </c>
    </row>
    <row r="46" spans="1:7" x14ac:dyDescent="0.25">
      <c r="A46" s="10">
        <v>23</v>
      </c>
      <c r="B46" s="6"/>
      <c r="C46" s="6"/>
      <c r="D46" s="6"/>
      <c r="E46" s="6">
        <v>25.6</v>
      </c>
      <c r="F46" s="6">
        <v>80.2</v>
      </c>
      <c r="G46" s="6">
        <v>117.6</v>
      </c>
    </row>
    <row r="47" spans="1:7" x14ac:dyDescent="0.25">
      <c r="A47" s="10">
        <v>24</v>
      </c>
      <c r="B47" s="6"/>
      <c r="C47" s="6"/>
      <c r="D47" s="6"/>
      <c r="E47" s="6">
        <v>51.9</v>
      </c>
      <c r="F47" s="6">
        <v>81.400000000000006</v>
      </c>
      <c r="G47" s="6">
        <v>101</v>
      </c>
    </row>
    <row r="48" spans="1:7" x14ac:dyDescent="0.25">
      <c r="A48" s="10">
        <v>25</v>
      </c>
      <c r="B48" s="6"/>
      <c r="C48" s="6"/>
      <c r="D48" s="6"/>
      <c r="E48" s="6">
        <v>58.2</v>
      </c>
      <c r="F48" s="6">
        <v>78.400000000000006</v>
      </c>
      <c r="G48" s="6">
        <v>90.9</v>
      </c>
    </row>
    <row r="49" spans="1:7" x14ac:dyDescent="0.25">
      <c r="A49" s="10">
        <v>26</v>
      </c>
      <c r="B49" s="6"/>
      <c r="C49" s="13"/>
      <c r="D49" s="6"/>
      <c r="E49" s="6">
        <v>30.1</v>
      </c>
      <c r="F49" s="6">
        <v>75</v>
      </c>
      <c r="G49" s="6">
        <v>111.6</v>
      </c>
    </row>
    <row r="50" spans="1:7" x14ac:dyDescent="0.25">
      <c r="A50" s="10">
        <v>27</v>
      </c>
      <c r="B50" s="6"/>
      <c r="C50" s="13"/>
      <c r="D50" s="6"/>
      <c r="E50" s="6">
        <v>34.1</v>
      </c>
      <c r="F50" s="6">
        <v>82.4</v>
      </c>
      <c r="G50" s="6">
        <v>100.2</v>
      </c>
    </row>
    <row r="51" spans="1:7" x14ac:dyDescent="0.25">
      <c r="A51" s="10">
        <v>28</v>
      </c>
      <c r="B51" s="6"/>
      <c r="C51" s="14"/>
      <c r="D51" s="6"/>
      <c r="E51" s="6">
        <v>30.4</v>
      </c>
      <c r="F51" s="6">
        <v>63.9</v>
      </c>
      <c r="G51" s="6">
        <v>88.6</v>
      </c>
    </row>
    <row r="52" spans="1:7" ht="14.5" thickBot="1" x14ac:dyDescent="0.3">
      <c r="A52" s="11">
        <v>29</v>
      </c>
      <c r="B52" s="15"/>
      <c r="C52" s="15"/>
      <c r="D52" s="12"/>
      <c r="E52" s="6">
        <v>43.4</v>
      </c>
      <c r="F52" s="6">
        <v>73.900000000000006</v>
      </c>
      <c r="G52" s="6">
        <v>104.5</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32.1</v>
      </c>
      <c r="C56" s="6">
        <v>46.5</v>
      </c>
      <c r="D56" s="6">
        <v>77.099999999999994</v>
      </c>
      <c r="E56" s="6">
        <v>40.200000000000003</v>
      </c>
      <c r="F56" s="6">
        <v>76.3</v>
      </c>
      <c r="G56" s="6">
        <v>107.6</v>
      </c>
    </row>
    <row r="57" spans="1:7" x14ac:dyDescent="0.25">
      <c r="A57" s="10">
        <v>2</v>
      </c>
      <c r="B57" s="6">
        <v>32.4</v>
      </c>
      <c r="C57" s="6">
        <v>61.1</v>
      </c>
      <c r="D57" s="6">
        <v>68.099999999999994</v>
      </c>
      <c r="E57" s="6">
        <v>29.3</v>
      </c>
      <c r="F57" s="6">
        <v>78.8</v>
      </c>
      <c r="G57" s="6">
        <v>115.6</v>
      </c>
    </row>
    <row r="58" spans="1:7" x14ac:dyDescent="0.25">
      <c r="A58" s="10">
        <v>3</v>
      </c>
      <c r="B58" s="6">
        <v>21.1</v>
      </c>
      <c r="C58" s="6">
        <v>57.1</v>
      </c>
      <c r="D58" s="6">
        <v>80.7</v>
      </c>
      <c r="E58" s="6">
        <v>43.2</v>
      </c>
      <c r="F58" s="6">
        <v>63.5</v>
      </c>
      <c r="G58" s="6">
        <v>88.7</v>
      </c>
    </row>
    <row r="59" spans="1:7" x14ac:dyDescent="0.25">
      <c r="A59" s="10">
        <v>4</v>
      </c>
      <c r="B59" s="6">
        <v>29.1</v>
      </c>
      <c r="C59" s="6">
        <v>59.8</v>
      </c>
      <c r="D59" s="6">
        <v>75.8</v>
      </c>
      <c r="E59" s="6">
        <v>51.3</v>
      </c>
      <c r="F59" s="6">
        <v>84.3</v>
      </c>
      <c r="G59" s="6">
        <v>103.2</v>
      </c>
    </row>
    <row r="60" spans="1:7" x14ac:dyDescent="0.25">
      <c r="A60" s="10">
        <v>5</v>
      </c>
      <c r="B60" s="6">
        <v>31.2</v>
      </c>
      <c r="C60" s="6">
        <v>62.6</v>
      </c>
      <c r="D60" s="6">
        <v>78.400000000000006</v>
      </c>
      <c r="E60" s="6">
        <v>36</v>
      </c>
      <c r="F60" s="6">
        <v>61.5</v>
      </c>
      <c r="G60" s="6">
        <v>93.5</v>
      </c>
    </row>
    <row r="61" spans="1:7" x14ac:dyDescent="0.25">
      <c r="A61" s="10">
        <v>6</v>
      </c>
      <c r="B61" s="6">
        <v>20.6</v>
      </c>
      <c r="C61" s="6">
        <v>62.3</v>
      </c>
      <c r="D61" s="6">
        <v>79.3</v>
      </c>
      <c r="E61" s="6">
        <v>38.200000000000003</v>
      </c>
      <c r="F61" s="6">
        <v>82.7</v>
      </c>
      <c r="G61" s="6">
        <v>106.3</v>
      </c>
    </row>
    <row r="62" spans="1:7" x14ac:dyDescent="0.25">
      <c r="A62" s="10">
        <v>7</v>
      </c>
      <c r="B62" s="6">
        <v>28.9</v>
      </c>
      <c r="C62" s="6">
        <v>48.2</v>
      </c>
      <c r="D62" s="6">
        <v>96</v>
      </c>
      <c r="E62" s="6">
        <v>55.5</v>
      </c>
      <c r="F62" s="6">
        <v>60.3</v>
      </c>
      <c r="G62" s="6">
        <v>87.1</v>
      </c>
    </row>
    <row r="63" spans="1:7" x14ac:dyDescent="0.25">
      <c r="A63" s="10">
        <v>8</v>
      </c>
      <c r="B63" s="6">
        <v>28.5</v>
      </c>
      <c r="C63" s="6">
        <v>57.6</v>
      </c>
      <c r="D63" s="6">
        <v>89.2</v>
      </c>
      <c r="E63" s="6"/>
      <c r="F63" s="6"/>
      <c r="G63" s="6"/>
    </row>
    <row r="64" spans="1:7" x14ac:dyDescent="0.25">
      <c r="A64" s="10">
        <v>9</v>
      </c>
      <c r="B64" s="6">
        <v>43.9</v>
      </c>
      <c r="C64" s="6">
        <v>60.6</v>
      </c>
      <c r="D64" s="6">
        <v>86.1</v>
      </c>
      <c r="E64" s="6"/>
      <c r="F64" s="6"/>
      <c r="G64" s="6"/>
    </row>
    <row r="65" spans="1:7" x14ac:dyDescent="0.25">
      <c r="A65" s="10">
        <v>10</v>
      </c>
      <c r="B65" s="6">
        <v>20.8</v>
      </c>
      <c r="C65" s="6">
        <v>56.1</v>
      </c>
      <c r="D65" s="6">
        <v>72.400000000000006</v>
      </c>
      <c r="E65" s="6"/>
      <c r="F65" s="6"/>
      <c r="G65" s="6"/>
    </row>
    <row r="66" spans="1:7" x14ac:dyDescent="0.25">
      <c r="A66" s="10">
        <v>11</v>
      </c>
      <c r="B66" s="6">
        <v>24.5</v>
      </c>
      <c r="C66" s="6">
        <v>47.7</v>
      </c>
      <c r="D66" s="6">
        <v>65.599999999999994</v>
      </c>
      <c r="E66" s="6"/>
      <c r="F66" s="6"/>
      <c r="G66" s="6"/>
    </row>
    <row r="67" spans="1:7" ht="14.5" thickBot="1" x14ac:dyDescent="0.3">
      <c r="A67" s="11">
        <v>12</v>
      </c>
      <c r="B67" s="6">
        <v>32.299999999999997</v>
      </c>
      <c r="C67" s="6">
        <v>48.5</v>
      </c>
      <c r="D67" s="6">
        <v>102.4</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38.299999999999997</v>
      </c>
      <c r="C71" s="6">
        <v>51</v>
      </c>
      <c r="D71" s="6">
        <v>95.5</v>
      </c>
      <c r="E71" s="6"/>
      <c r="F71" s="6"/>
      <c r="G71" s="6"/>
    </row>
    <row r="72" spans="1:7" x14ac:dyDescent="0.25">
      <c r="A72" s="10">
        <v>2</v>
      </c>
      <c r="B72" s="6">
        <v>36.6</v>
      </c>
      <c r="C72" s="6">
        <v>49.2</v>
      </c>
      <c r="D72" s="6">
        <v>77.3</v>
      </c>
      <c r="E72" s="5"/>
      <c r="F72" s="5"/>
      <c r="G72" s="6"/>
    </row>
    <row r="73" spans="1:7" x14ac:dyDescent="0.25">
      <c r="A73" s="10">
        <v>3</v>
      </c>
      <c r="B73" s="6">
        <v>27.4</v>
      </c>
      <c r="C73" s="6">
        <v>54.4</v>
      </c>
      <c r="D73" s="6">
        <v>100.9</v>
      </c>
      <c r="E73" s="5"/>
      <c r="F73" s="5"/>
      <c r="G73" s="5"/>
    </row>
    <row r="74" spans="1:7" x14ac:dyDescent="0.25">
      <c r="A74" s="10">
        <v>4</v>
      </c>
      <c r="B74" s="6">
        <v>38.5</v>
      </c>
      <c r="C74" s="6">
        <v>57.5</v>
      </c>
      <c r="D74" s="6">
        <v>82.2</v>
      </c>
      <c r="E74" s="5"/>
      <c r="F74" s="5"/>
      <c r="G74" s="5"/>
    </row>
    <row r="75" spans="1:7" x14ac:dyDescent="0.25">
      <c r="A75" s="10">
        <v>5</v>
      </c>
      <c r="B75" s="6">
        <v>24.7</v>
      </c>
      <c r="C75" s="6">
        <v>63.3</v>
      </c>
      <c r="D75" s="6">
        <v>93.6</v>
      </c>
      <c r="E75" s="5"/>
      <c r="F75" s="5"/>
      <c r="G75" s="5"/>
    </row>
    <row r="76" spans="1:7" x14ac:dyDescent="0.25">
      <c r="A76" s="10">
        <v>6</v>
      </c>
      <c r="B76" s="6">
        <v>20.6</v>
      </c>
      <c r="C76" s="6">
        <v>58.7</v>
      </c>
      <c r="D76" s="6">
        <v>94.6</v>
      </c>
      <c r="E76" s="5"/>
      <c r="F76" s="5"/>
      <c r="G76" s="5"/>
    </row>
    <row r="77" spans="1:7" x14ac:dyDescent="0.25">
      <c r="A77" s="10">
        <v>7</v>
      </c>
      <c r="B77" s="6">
        <v>37.6</v>
      </c>
      <c r="C77" s="6">
        <v>58.9</v>
      </c>
      <c r="D77" s="6">
        <v>71.7</v>
      </c>
      <c r="E77" s="5"/>
      <c r="F77" s="5"/>
      <c r="G77" s="5"/>
    </row>
    <row r="78" spans="1:7" x14ac:dyDescent="0.25">
      <c r="A78" s="10">
        <v>8</v>
      </c>
      <c r="B78" s="6">
        <v>44.4</v>
      </c>
      <c r="C78" s="6">
        <v>52</v>
      </c>
      <c r="D78" s="6">
        <v>92.2</v>
      </c>
      <c r="E78" s="5"/>
      <c r="F78" s="5"/>
      <c r="G78" s="5"/>
    </row>
    <row r="79" spans="1:7" x14ac:dyDescent="0.25">
      <c r="A79" s="10">
        <v>9</v>
      </c>
      <c r="B79" s="6">
        <v>39.9</v>
      </c>
      <c r="C79" s="6">
        <v>53.4</v>
      </c>
      <c r="D79" s="6">
        <v>90.7</v>
      </c>
      <c r="E79" s="5"/>
      <c r="F79" s="5"/>
      <c r="G79" s="5"/>
    </row>
    <row r="80" spans="1:7" x14ac:dyDescent="0.25">
      <c r="A80" s="10">
        <v>10</v>
      </c>
      <c r="B80" s="6">
        <v>30.6</v>
      </c>
      <c r="C80" s="6">
        <v>52.6</v>
      </c>
      <c r="D80" s="6">
        <v>109.9</v>
      </c>
      <c r="E80" s="5"/>
      <c r="F80" s="5"/>
      <c r="G80" s="5"/>
    </row>
    <row r="81" spans="1:7" x14ac:dyDescent="0.25">
      <c r="A81" s="10">
        <v>11</v>
      </c>
      <c r="B81" s="6">
        <v>35.700000000000003</v>
      </c>
      <c r="C81" s="6">
        <v>59</v>
      </c>
      <c r="D81" s="6">
        <v>73.400000000000006</v>
      </c>
      <c r="E81" s="5"/>
      <c r="F81" s="5"/>
      <c r="G81" s="5"/>
    </row>
    <row r="82" spans="1:7" x14ac:dyDescent="0.25">
      <c r="A82" s="10">
        <v>12</v>
      </c>
      <c r="B82" s="6">
        <v>29.4</v>
      </c>
      <c r="C82" s="6">
        <v>60.5</v>
      </c>
      <c r="D82" s="6">
        <v>67.400000000000006</v>
      </c>
      <c r="E82" s="5"/>
      <c r="F82" s="5"/>
      <c r="G82" s="5"/>
    </row>
    <row r="83" spans="1:7" x14ac:dyDescent="0.25">
      <c r="A83" s="10">
        <v>13</v>
      </c>
      <c r="B83" s="6">
        <v>24.6</v>
      </c>
      <c r="C83" s="6">
        <v>48.7</v>
      </c>
      <c r="D83" s="6">
        <v>107</v>
      </c>
      <c r="E83" s="5"/>
      <c r="F83" s="5"/>
      <c r="G83" s="5"/>
    </row>
    <row r="84" spans="1:7" x14ac:dyDescent="0.25">
      <c r="A84" s="10">
        <v>14</v>
      </c>
      <c r="B84" s="6">
        <v>21.7</v>
      </c>
      <c r="C84" s="6">
        <v>50.9</v>
      </c>
      <c r="D84" s="6">
        <v>82.5</v>
      </c>
      <c r="E84" s="5"/>
      <c r="F84" s="5"/>
      <c r="G84" s="5"/>
    </row>
    <row r="85" spans="1:7" x14ac:dyDescent="0.25">
      <c r="A85" s="10">
        <v>15</v>
      </c>
      <c r="B85" s="6">
        <v>27.7</v>
      </c>
      <c r="C85" s="6">
        <v>53.6</v>
      </c>
      <c r="D85" s="6">
        <v>74.7</v>
      </c>
      <c r="E85" s="5"/>
      <c r="F85" s="5"/>
      <c r="G85" s="5"/>
    </row>
    <row r="86" spans="1:7" x14ac:dyDescent="0.25">
      <c r="A86" s="10">
        <v>16</v>
      </c>
      <c r="B86" s="6">
        <v>43.3</v>
      </c>
      <c r="C86" s="6">
        <v>50.2</v>
      </c>
      <c r="D86" s="6">
        <v>71.5</v>
      </c>
      <c r="E86" s="5"/>
      <c r="F86" s="5"/>
      <c r="G86" s="5"/>
    </row>
    <row r="87" spans="1:7" x14ac:dyDescent="0.25">
      <c r="A87" s="10">
        <v>17</v>
      </c>
      <c r="B87" s="6">
        <v>33.4</v>
      </c>
      <c r="C87" s="6">
        <v>45.6</v>
      </c>
      <c r="D87" s="6">
        <v>67.8</v>
      </c>
      <c r="E87" s="5"/>
      <c r="F87" s="5"/>
      <c r="G87" s="5"/>
    </row>
    <row r="88" spans="1:7" x14ac:dyDescent="0.25">
      <c r="A88" s="10">
        <v>18</v>
      </c>
      <c r="B88" s="6">
        <v>20.8</v>
      </c>
      <c r="C88" s="6">
        <v>53.8</v>
      </c>
      <c r="D88" s="6">
        <v>71.5</v>
      </c>
      <c r="E88" s="5"/>
      <c r="F88" s="5"/>
      <c r="G88" s="5"/>
    </row>
    <row r="89" spans="1:7" x14ac:dyDescent="0.25">
      <c r="A89" s="10">
        <v>19</v>
      </c>
      <c r="B89" s="6">
        <v>42.1</v>
      </c>
      <c r="C89" s="6">
        <v>59.4</v>
      </c>
      <c r="D89" s="6">
        <v>92.1</v>
      </c>
      <c r="E89" s="5"/>
      <c r="F89" s="5"/>
      <c r="G89" s="5"/>
    </row>
    <row r="90" spans="1:7" x14ac:dyDescent="0.25">
      <c r="A90" s="10">
        <v>20</v>
      </c>
      <c r="B90" s="6">
        <v>38.1</v>
      </c>
      <c r="C90" s="6">
        <v>49.1</v>
      </c>
      <c r="D90" s="6">
        <v>86.2</v>
      </c>
      <c r="E90" s="5"/>
      <c r="F90" s="5"/>
      <c r="G90" s="5"/>
    </row>
    <row r="91" spans="1:7" x14ac:dyDescent="0.25">
      <c r="A91" s="10">
        <v>21</v>
      </c>
      <c r="B91" s="6">
        <v>20.3</v>
      </c>
      <c r="C91" s="6">
        <v>58.7</v>
      </c>
      <c r="D91" s="6">
        <v>96.9</v>
      </c>
      <c r="E91" s="5"/>
      <c r="F91" s="5"/>
      <c r="G91" s="5"/>
    </row>
    <row r="92" spans="1:7" x14ac:dyDescent="0.25">
      <c r="A92" s="10">
        <v>22</v>
      </c>
      <c r="B92" s="6">
        <v>26.1</v>
      </c>
      <c r="C92" s="6">
        <v>59.7</v>
      </c>
      <c r="D92" s="6">
        <v>97.6</v>
      </c>
      <c r="E92" s="5"/>
      <c r="F92" s="5"/>
      <c r="G92" s="5"/>
    </row>
    <row r="93" spans="1:7" x14ac:dyDescent="0.25">
      <c r="A93" s="10">
        <v>23</v>
      </c>
      <c r="B93" s="6">
        <v>20</v>
      </c>
      <c r="C93" s="6">
        <v>61.7</v>
      </c>
      <c r="D93" s="6">
        <v>68.2</v>
      </c>
      <c r="E93" s="5"/>
      <c r="F93" s="5"/>
      <c r="G93" s="5"/>
    </row>
    <row r="94" spans="1:7" x14ac:dyDescent="0.25">
      <c r="A94" s="10">
        <v>24</v>
      </c>
      <c r="B94" s="6">
        <v>30.8</v>
      </c>
      <c r="C94" s="6">
        <v>60.7</v>
      </c>
      <c r="D94" s="6">
        <v>68.900000000000006</v>
      </c>
      <c r="E94" s="5"/>
      <c r="F94" s="5"/>
      <c r="G94" s="5"/>
    </row>
    <row r="95" spans="1:7" x14ac:dyDescent="0.25">
      <c r="A95" s="10">
        <v>25</v>
      </c>
      <c r="B95" s="6">
        <v>21.9</v>
      </c>
      <c r="C95" s="6">
        <v>63.4</v>
      </c>
      <c r="D95" s="6">
        <v>103.9</v>
      </c>
      <c r="E95" s="5"/>
      <c r="F95" s="5"/>
      <c r="G95" s="5"/>
    </row>
    <row r="96" spans="1:7" x14ac:dyDescent="0.25">
      <c r="A96" s="10">
        <v>26</v>
      </c>
      <c r="B96" s="6">
        <v>34</v>
      </c>
      <c r="C96" s="6">
        <v>47.2</v>
      </c>
      <c r="D96" s="6">
        <v>84.3</v>
      </c>
      <c r="E96" s="14"/>
      <c r="F96" s="14"/>
      <c r="G96" s="14"/>
    </row>
    <row r="97" spans="1:7" x14ac:dyDescent="0.25">
      <c r="A97" s="10">
        <v>27</v>
      </c>
      <c r="B97" s="6">
        <v>27.2</v>
      </c>
      <c r="C97" s="6">
        <v>47.8</v>
      </c>
      <c r="D97" s="6">
        <v>78.900000000000006</v>
      </c>
      <c r="E97" s="14"/>
      <c r="F97" s="14"/>
      <c r="G97" s="14"/>
    </row>
    <row r="98" spans="1:7" x14ac:dyDescent="0.25">
      <c r="A98" s="10">
        <v>28</v>
      </c>
      <c r="B98" s="6">
        <v>43.5</v>
      </c>
      <c r="C98" s="6">
        <v>53.5</v>
      </c>
      <c r="D98" s="6">
        <v>83.4</v>
      </c>
      <c r="E98" s="14"/>
      <c r="F98" s="14"/>
      <c r="G98" s="14"/>
    </row>
    <row r="99" spans="1:7" x14ac:dyDescent="0.25">
      <c r="A99" s="10">
        <v>29</v>
      </c>
      <c r="B99" s="6">
        <v>44.3</v>
      </c>
      <c r="C99" s="6">
        <v>59.5</v>
      </c>
      <c r="D99" s="6">
        <v>103.4</v>
      </c>
      <c r="E99" s="5"/>
      <c r="F99" s="5"/>
      <c r="G99" s="5"/>
    </row>
    <row r="100" spans="1:7" x14ac:dyDescent="0.25">
      <c r="A100" s="10">
        <v>30</v>
      </c>
      <c r="B100" s="6">
        <v>40.6</v>
      </c>
      <c r="C100" s="6">
        <v>53.3</v>
      </c>
      <c r="D100" s="6">
        <v>81.599999999999994</v>
      </c>
      <c r="E100" s="1"/>
      <c r="F100" s="1"/>
      <c r="G100" s="1"/>
    </row>
    <row r="101" spans="1:7" x14ac:dyDescent="0.25">
      <c r="A101" s="10">
        <v>31</v>
      </c>
      <c r="B101" s="6">
        <v>27.3</v>
      </c>
      <c r="C101" s="6">
        <v>63.2</v>
      </c>
      <c r="D101" s="6">
        <v>67.8</v>
      </c>
      <c r="E101" s="1"/>
      <c r="F101" s="1"/>
      <c r="G101" s="1"/>
    </row>
    <row r="102" spans="1:7" x14ac:dyDescent="0.25">
      <c r="A102" s="10">
        <v>32</v>
      </c>
      <c r="B102" s="6">
        <v>28.7</v>
      </c>
      <c r="C102" s="6">
        <v>54.9</v>
      </c>
      <c r="D102" s="6">
        <v>79.099999999999994</v>
      </c>
      <c r="E102" s="1"/>
      <c r="F102" s="1"/>
      <c r="G102" s="1"/>
    </row>
    <row r="103" spans="1:7" x14ac:dyDescent="0.25">
      <c r="A103" s="10">
        <v>33</v>
      </c>
      <c r="B103" s="6">
        <v>26.5</v>
      </c>
      <c r="C103" s="6">
        <v>65</v>
      </c>
      <c r="D103" s="6">
        <v>72.599999999999994</v>
      </c>
      <c r="E103" s="1"/>
      <c r="F103" s="1"/>
      <c r="G103" s="1"/>
    </row>
    <row r="104" spans="1:7" x14ac:dyDescent="0.25">
      <c r="A104" s="10">
        <v>34</v>
      </c>
      <c r="B104" s="6">
        <v>28.2</v>
      </c>
      <c r="C104" s="6">
        <v>47.4</v>
      </c>
      <c r="D104" s="6">
        <v>86.8</v>
      </c>
      <c r="E104" s="1"/>
      <c r="F104" s="1"/>
      <c r="G104" s="1"/>
    </row>
    <row r="105" spans="1:7" x14ac:dyDescent="0.25">
      <c r="A105" s="10">
        <v>35</v>
      </c>
      <c r="B105" s="6">
        <v>42.2</v>
      </c>
      <c r="C105" s="6">
        <v>63.1</v>
      </c>
      <c r="D105" s="6">
        <v>109.6</v>
      </c>
      <c r="E105" s="1"/>
      <c r="F105" s="1"/>
      <c r="G105" s="1"/>
    </row>
    <row r="106" spans="1:7" x14ac:dyDescent="0.25">
      <c r="A106" s="10">
        <v>36</v>
      </c>
      <c r="B106" s="6">
        <v>29.8</v>
      </c>
      <c r="C106" s="6">
        <v>59.7</v>
      </c>
      <c r="D106" s="6">
        <v>74.8</v>
      </c>
      <c r="E106" s="1"/>
      <c r="F106" s="1"/>
      <c r="G106" s="1"/>
    </row>
    <row r="107" spans="1:7" x14ac:dyDescent="0.25">
      <c r="A107" s="10">
        <v>37</v>
      </c>
      <c r="B107" s="6">
        <v>42</v>
      </c>
      <c r="C107" s="6">
        <v>51.5</v>
      </c>
      <c r="D107" s="6">
        <v>76.5</v>
      </c>
      <c r="E107" s="1"/>
      <c r="F107" s="1"/>
      <c r="G107" s="1"/>
    </row>
    <row r="108" spans="1:7" x14ac:dyDescent="0.25">
      <c r="A108" s="10">
        <v>38</v>
      </c>
      <c r="B108" s="6">
        <v>41.2</v>
      </c>
      <c r="C108" s="6">
        <v>52.3</v>
      </c>
      <c r="D108" s="6">
        <v>71.5</v>
      </c>
      <c r="E108" s="1"/>
      <c r="F108" s="1"/>
      <c r="G108" s="1"/>
    </row>
    <row r="109" spans="1:7" x14ac:dyDescent="0.25">
      <c r="A109" s="10">
        <v>39</v>
      </c>
      <c r="B109" s="6">
        <v>40.4</v>
      </c>
      <c r="C109" s="6">
        <v>50.8</v>
      </c>
      <c r="D109" s="6">
        <v>67.900000000000006</v>
      </c>
      <c r="E109" s="1"/>
      <c r="F109" s="1"/>
      <c r="G109" s="1"/>
    </row>
    <row r="110" spans="1:7" x14ac:dyDescent="0.25">
      <c r="A110" s="10">
        <v>40</v>
      </c>
      <c r="B110" s="6">
        <v>36.9</v>
      </c>
      <c r="C110" s="6">
        <v>62.8</v>
      </c>
      <c r="D110" s="6">
        <v>98.5</v>
      </c>
      <c r="E110" s="1"/>
      <c r="F110" s="1"/>
      <c r="G110" s="1"/>
    </row>
    <row r="111" spans="1:7" x14ac:dyDescent="0.25">
      <c r="A111" s="10">
        <v>41</v>
      </c>
      <c r="B111" s="6">
        <v>28</v>
      </c>
      <c r="C111" s="6">
        <v>51.4</v>
      </c>
      <c r="D111" s="6">
        <v>109.9</v>
      </c>
      <c r="E111" s="1"/>
      <c r="F111" s="1"/>
      <c r="G111" s="1"/>
    </row>
    <row r="112" spans="1:7" x14ac:dyDescent="0.25">
      <c r="A112" s="10">
        <v>42</v>
      </c>
      <c r="B112" s="6">
        <v>24.2</v>
      </c>
      <c r="C112" s="6">
        <v>55</v>
      </c>
      <c r="D112" s="6">
        <v>67.2</v>
      </c>
      <c r="E112" s="1"/>
      <c r="F112" s="1"/>
      <c r="G112" s="1"/>
    </row>
    <row r="113" spans="1:7" x14ac:dyDescent="0.25">
      <c r="A113" s="10">
        <v>43</v>
      </c>
      <c r="B113" s="6">
        <v>38.1</v>
      </c>
      <c r="C113" s="6">
        <v>52.1</v>
      </c>
      <c r="D113" s="6">
        <v>97.9</v>
      </c>
      <c r="E113" s="1"/>
      <c r="F113" s="1"/>
      <c r="G113" s="1"/>
    </row>
    <row r="114" spans="1:7" x14ac:dyDescent="0.25">
      <c r="A114" s="10">
        <v>44</v>
      </c>
      <c r="B114" s="6">
        <v>41.5</v>
      </c>
      <c r="C114" s="6">
        <v>63.7</v>
      </c>
      <c r="D114" s="6">
        <v>67</v>
      </c>
      <c r="E114" s="1"/>
      <c r="F114" s="1"/>
      <c r="G114" s="1"/>
    </row>
    <row r="115" spans="1:7" x14ac:dyDescent="0.25">
      <c r="A115" s="10">
        <v>45</v>
      </c>
      <c r="B115" s="6">
        <v>21.1</v>
      </c>
      <c r="C115" s="6">
        <v>56.2</v>
      </c>
      <c r="D115" s="6">
        <v>78.7</v>
      </c>
      <c r="E115" s="1"/>
      <c r="F115" s="1"/>
      <c r="G115" s="1"/>
    </row>
    <row r="116" spans="1:7" x14ac:dyDescent="0.25">
      <c r="A116" s="10">
        <v>46</v>
      </c>
      <c r="B116" s="6">
        <v>28.5</v>
      </c>
      <c r="C116" s="6">
        <v>49.2</v>
      </c>
      <c r="D116" s="6">
        <v>86.4</v>
      </c>
      <c r="E116" s="1"/>
      <c r="F116" s="1"/>
      <c r="G116" s="1"/>
    </row>
    <row r="117" spans="1:7" x14ac:dyDescent="0.25">
      <c r="A117" s="10">
        <v>47</v>
      </c>
      <c r="B117" s="6">
        <v>42.6</v>
      </c>
      <c r="C117" s="6">
        <v>57.5</v>
      </c>
      <c r="D117" s="6">
        <v>103.3</v>
      </c>
      <c r="E117" s="1"/>
      <c r="F117" s="1"/>
      <c r="G117" s="1"/>
    </row>
    <row r="118" spans="1:7" x14ac:dyDescent="0.25">
      <c r="A118" s="10">
        <v>48</v>
      </c>
      <c r="B118" s="6">
        <v>28.5</v>
      </c>
      <c r="C118" s="6">
        <v>55.7</v>
      </c>
      <c r="D118" s="6">
        <v>69.3</v>
      </c>
      <c r="E118" s="1"/>
      <c r="F118" s="1"/>
      <c r="G118" s="1"/>
    </row>
    <row r="119" spans="1:7" x14ac:dyDescent="0.25">
      <c r="A119" s="10">
        <v>49</v>
      </c>
      <c r="B119" s="6">
        <v>43</v>
      </c>
      <c r="C119" s="6">
        <v>53.3</v>
      </c>
      <c r="D119" s="6">
        <v>74.3</v>
      </c>
      <c r="E119" s="1"/>
      <c r="F119" s="1"/>
      <c r="G119" s="1"/>
    </row>
    <row r="120" spans="1:7" x14ac:dyDescent="0.25">
      <c r="A120" s="10">
        <v>50</v>
      </c>
      <c r="B120" s="6">
        <v>35.799999999999997</v>
      </c>
      <c r="C120" s="6">
        <v>55.3</v>
      </c>
      <c r="D120" s="6">
        <v>105.6</v>
      </c>
      <c r="E120" s="1"/>
      <c r="F120" s="1"/>
      <c r="G120" s="1"/>
    </row>
    <row r="121" spans="1:7" x14ac:dyDescent="0.25">
      <c r="A121" s="10">
        <v>51</v>
      </c>
      <c r="B121" s="6">
        <v>26.5</v>
      </c>
      <c r="C121" s="6">
        <v>57.4</v>
      </c>
      <c r="D121" s="6">
        <v>108.3</v>
      </c>
      <c r="E121" s="1"/>
      <c r="F121" s="1"/>
      <c r="G121" s="1"/>
    </row>
    <row r="122" spans="1:7" x14ac:dyDescent="0.25">
      <c r="A122" s="10">
        <v>52</v>
      </c>
      <c r="B122" s="6">
        <v>42.1</v>
      </c>
      <c r="C122" s="6">
        <v>56.5</v>
      </c>
      <c r="D122" s="6">
        <v>89.1</v>
      </c>
      <c r="E122" s="1"/>
      <c r="F122" s="1"/>
      <c r="G122" s="1"/>
    </row>
    <row r="123" spans="1:7" x14ac:dyDescent="0.25">
      <c r="A123" s="10">
        <v>53</v>
      </c>
      <c r="B123" s="6">
        <v>28.7</v>
      </c>
      <c r="C123" s="6">
        <v>49.2</v>
      </c>
      <c r="D123" s="6">
        <v>65.599999999999994</v>
      </c>
      <c r="E123" s="1"/>
      <c r="F123" s="1"/>
      <c r="G123" s="1"/>
    </row>
    <row r="124" spans="1:7" x14ac:dyDescent="0.25">
      <c r="A124" s="10">
        <v>54</v>
      </c>
      <c r="B124" s="6">
        <v>44.9</v>
      </c>
      <c r="C124" s="6">
        <v>48.9</v>
      </c>
      <c r="D124" s="6">
        <v>103.1</v>
      </c>
      <c r="E124" s="1"/>
      <c r="F124" s="1"/>
      <c r="G124" s="1"/>
    </row>
    <row r="125" spans="1:7" x14ac:dyDescent="0.25">
      <c r="A125" s="10">
        <v>55</v>
      </c>
      <c r="B125" s="6">
        <v>24.5</v>
      </c>
      <c r="C125" s="6">
        <v>63.1</v>
      </c>
      <c r="D125" s="6">
        <v>93.2</v>
      </c>
      <c r="E125" s="1"/>
      <c r="F125" s="1"/>
      <c r="G125" s="1"/>
    </row>
    <row r="126" spans="1:7" x14ac:dyDescent="0.25">
      <c r="A126" s="10">
        <v>56</v>
      </c>
      <c r="B126" s="6">
        <v>34.9</v>
      </c>
      <c r="C126" s="6">
        <v>56</v>
      </c>
      <c r="D126" s="6">
        <v>100</v>
      </c>
      <c r="E126" s="1"/>
      <c r="F126" s="1"/>
      <c r="G126" s="1"/>
    </row>
    <row r="127" spans="1:7" x14ac:dyDescent="0.25">
      <c r="A127" s="10">
        <v>57</v>
      </c>
      <c r="B127" s="6">
        <v>27</v>
      </c>
      <c r="C127" s="6">
        <v>51.2</v>
      </c>
      <c r="D127" s="6">
        <v>99.8</v>
      </c>
      <c r="E127" s="1"/>
      <c r="F127" s="1"/>
      <c r="G127" s="1"/>
    </row>
    <row r="128" spans="1:7" x14ac:dyDescent="0.25">
      <c r="A128" s="10">
        <v>58</v>
      </c>
      <c r="B128" s="6">
        <v>28</v>
      </c>
      <c r="C128" s="6">
        <v>61.5</v>
      </c>
      <c r="D128" s="6">
        <v>86.9</v>
      </c>
      <c r="E128" s="1"/>
      <c r="F128" s="1"/>
      <c r="G128" s="1"/>
    </row>
    <row r="129" spans="1:7" x14ac:dyDescent="0.25">
      <c r="A129" s="10">
        <v>59</v>
      </c>
      <c r="B129" s="6">
        <v>35.9</v>
      </c>
      <c r="C129" s="6">
        <v>57.7</v>
      </c>
      <c r="D129" s="6">
        <v>104.7</v>
      </c>
      <c r="E129" s="1"/>
      <c r="F129" s="1"/>
      <c r="G129" s="1"/>
    </row>
    <row r="130" spans="1:7" x14ac:dyDescent="0.25">
      <c r="A130" s="10">
        <v>60</v>
      </c>
      <c r="B130" s="6">
        <v>27.7</v>
      </c>
      <c r="C130" s="6">
        <v>51.9</v>
      </c>
      <c r="D130" s="6">
        <v>70.2</v>
      </c>
      <c r="E130" s="1"/>
      <c r="F130" s="1"/>
      <c r="G130" s="1"/>
    </row>
    <row r="131" spans="1:7" x14ac:dyDescent="0.25">
      <c r="A131" s="10">
        <v>61</v>
      </c>
      <c r="B131" s="6">
        <v>29.1</v>
      </c>
      <c r="C131" s="6">
        <v>65</v>
      </c>
      <c r="D131" s="6">
        <v>77.2</v>
      </c>
      <c r="E131" s="1"/>
      <c r="F131" s="1"/>
      <c r="G131" s="1"/>
    </row>
    <row r="132" spans="1:7" x14ac:dyDescent="0.25">
      <c r="A132" s="10">
        <v>62</v>
      </c>
      <c r="B132" s="6">
        <v>42.9</v>
      </c>
      <c r="C132" s="6">
        <v>58.3</v>
      </c>
      <c r="D132" s="6">
        <v>80.3</v>
      </c>
      <c r="E132" s="1"/>
      <c r="F132" s="1"/>
      <c r="G132" s="1"/>
    </row>
    <row r="133" spans="1:7" ht="14.5" thickBot="1" x14ac:dyDescent="0.3">
      <c r="A133" s="11">
        <v>63</v>
      </c>
      <c r="B133" s="6">
        <v>27.6</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59.7</v>
      </c>
      <c r="C138" s="330">
        <f>ROUNDDOWN(AVERAGE(E5:G20),1)</f>
        <v>73</v>
      </c>
      <c r="D138" s="328">
        <f>'2022.01'!D138</f>
        <v>8254</v>
      </c>
      <c r="E138" s="328">
        <f>'[2]NLT-applied'!$C$29</f>
        <v>15950</v>
      </c>
      <c r="F138" s="328">
        <f>B138*D138</f>
        <v>492763.80000000005</v>
      </c>
      <c r="G138" s="328">
        <f>C138*E138</f>
        <v>1164350</v>
      </c>
    </row>
    <row r="139" spans="1:7" x14ac:dyDescent="0.25">
      <c r="A139" s="329" t="str">
        <f>A21</f>
        <v>Dongtai Jianggang Swine farm</v>
      </c>
      <c r="B139" s="330">
        <f>ROUNDDOWN(AVERAGE(B24:D33),1)</f>
        <v>58.6</v>
      </c>
      <c r="C139" s="330">
        <f>ROUNDDOWN(AVERAGE(E24:G52),1)</f>
        <v>73.599999999999994</v>
      </c>
      <c r="D139" s="328">
        <f>'2022.01'!D139</f>
        <v>9392</v>
      </c>
      <c r="E139" s="328">
        <f>'[2]NLT-applied'!$E$29</f>
        <v>29463</v>
      </c>
      <c r="F139" s="328">
        <f t="shared" ref="F139:G141" si="0">B139*D139</f>
        <v>550371.20000000007</v>
      </c>
      <c r="G139" s="328">
        <f t="shared" si="0"/>
        <v>2168476.7999999998</v>
      </c>
    </row>
    <row r="140" spans="1:7" x14ac:dyDescent="0.25">
      <c r="A140" s="329" t="str">
        <f>A53</f>
        <v>Sheyang Linhai Swine farm</v>
      </c>
      <c r="B140" s="330">
        <f>ROUNDDOWN(AVERAGE(B56:D67),1)</f>
        <v>55.1</v>
      </c>
      <c r="C140" s="330">
        <f>ROUNDDOWN(AVERAGE(E56:G62),1)</f>
        <v>71.5</v>
      </c>
      <c r="D140" s="328">
        <f>'2022.01'!D140</f>
        <v>12135</v>
      </c>
      <c r="E140" s="328">
        <f>'[2]NLT-applied'!$G$29</f>
        <v>6413</v>
      </c>
      <c r="F140" s="328">
        <f t="shared" si="0"/>
        <v>668638.5</v>
      </c>
      <c r="G140" s="328">
        <f t="shared" si="0"/>
        <v>458529.5</v>
      </c>
    </row>
    <row r="141" spans="1:7" x14ac:dyDescent="0.25">
      <c r="A141" s="329" t="str">
        <f>A68</f>
        <v>Siyang Nanliuji Swine farm</v>
      </c>
      <c r="B141" s="330">
        <f>ROUNDDOWN(AVERAGE(B71:D133),1)</f>
        <v>57.8</v>
      </c>
      <c r="C141" s="328">
        <f>ROUNDDOWN(AVERAGE(0),1)</f>
        <v>0</v>
      </c>
      <c r="D141" s="328">
        <f>'2022.01'!D141</f>
        <v>64445</v>
      </c>
      <c r="E141" s="328">
        <f>'[3]NLT-applied'!$I$27</f>
        <v>0</v>
      </c>
      <c r="F141" s="328">
        <f t="shared" si="0"/>
        <v>3724921</v>
      </c>
      <c r="G141" s="328">
        <f t="shared" si="0"/>
        <v>0</v>
      </c>
    </row>
    <row r="142" spans="1:7" x14ac:dyDescent="0.25">
      <c r="A142" s="504" t="s">
        <v>343</v>
      </c>
      <c r="B142" s="510"/>
      <c r="C142" s="505"/>
      <c r="D142" s="328">
        <f>SUM(D138:D141)</f>
        <v>94226</v>
      </c>
      <c r="E142" s="328">
        <f>SUM(E138:E141)</f>
        <v>51826</v>
      </c>
      <c r="F142" s="328">
        <f>SUM(F138:F141)</f>
        <v>5436694.5</v>
      </c>
      <c r="G142" s="328">
        <f>SUM(G138:G141)</f>
        <v>3791356.3</v>
      </c>
    </row>
    <row r="144" spans="1:7" x14ac:dyDescent="0.25">
      <c r="C144" s="504" t="s">
        <v>344</v>
      </c>
      <c r="D144" s="505"/>
    </row>
    <row r="145" spans="3:4" x14ac:dyDescent="0.25">
      <c r="C145" s="328" t="s">
        <v>341</v>
      </c>
      <c r="D145" s="328" t="s">
        <v>342</v>
      </c>
    </row>
    <row r="146" spans="3:4" x14ac:dyDescent="0.25">
      <c r="C146" s="331">
        <f>ROUNDDOWN(F142/D142,1)</f>
        <v>57.6</v>
      </c>
      <c r="D146" s="331">
        <f>ROUNDDOWN(G142/E142,1)</f>
        <v>73.099999999999994</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FD01-C325-4E0B-8B80-109F0CBF08A6}">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25.2</v>
      </c>
      <c r="C5" s="6">
        <v>54.6</v>
      </c>
      <c r="D5" s="6">
        <v>69.099999999999994</v>
      </c>
      <c r="E5" s="6">
        <v>47</v>
      </c>
      <c r="F5" s="6">
        <v>61.8</v>
      </c>
      <c r="G5" s="6">
        <v>101.1</v>
      </c>
    </row>
    <row r="6" spans="1:7" x14ac:dyDescent="0.25">
      <c r="A6" s="10">
        <v>2</v>
      </c>
      <c r="B6" s="6">
        <v>30.4</v>
      </c>
      <c r="C6" s="6">
        <v>49.8</v>
      </c>
      <c r="D6" s="6">
        <v>79.099999999999994</v>
      </c>
      <c r="E6" s="6">
        <v>48.6</v>
      </c>
      <c r="F6" s="6">
        <v>74.2</v>
      </c>
      <c r="G6" s="6">
        <v>119.3</v>
      </c>
    </row>
    <row r="7" spans="1:7" x14ac:dyDescent="0.25">
      <c r="A7" s="10">
        <v>3</v>
      </c>
      <c r="B7" s="6">
        <v>21.1</v>
      </c>
      <c r="C7" s="6">
        <v>47</v>
      </c>
      <c r="D7" s="6">
        <v>70.5</v>
      </c>
      <c r="E7" s="6">
        <v>46.5</v>
      </c>
      <c r="F7" s="6">
        <v>78.400000000000006</v>
      </c>
      <c r="G7" s="6">
        <v>96.5</v>
      </c>
    </row>
    <row r="8" spans="1:7" x14ac:dyDescent="0.25">
      <c r="A8" s="10">
        <v>4</v>
      </c>
      <c r="B8" s="6">
        <v>44.5</v>
      </c>
      <c r="C8" s="6">
        <v>48</v>
      </c>
      <c r="D8" s="6">
        <v>97.5</v>
      </c>
      <c r="E8" s="6">
        <v>35.299999999999997</v>
      </c>
      <c r="F8" s="6">
        <v>78.900000000000006</v>
      </c>
      <c r="G8" s="6">
        <v>117.8</v>
      </c>
    </row>
    <row r="9" spans="1:7" x14ac:dyDescent="0.25">
      <c r="A9" s="10">
        <v>5</v>
      </c>
      <c r="B9" s="6">
        <v>44.6</v>
      </c>
      <c r="C9" s="6">
        <v>47.1</v>
      </c>
      <c r="D9" s="6">
        <v>73</v>
      </c>
      <c r="E9" s="6">
        <v>29.7</v>
      </c>
      <c r="F9" s="6">
        <v>83.3</v>
      </c>
      <c r="G9" s="6">
        <v>109.9</v>
      </c>
    </row>
    <row r="10" spans="1:7" x14ac:dyDescent="0.25">
      <c r="A10" s="10">
        <v>6</v>
      </c>
      <c r="B10" s="6">
        <v>38.5</v>
      </c>
      <c r="C10" s="6">
        <v>50.9</v>
      </c>
      <c r="D10" s="6">
        <v>87.6</v>
      </c>
      <c r="E10" s="6">
        <v>36.799999999999997</v>
      </c>
      <c r="F10" s="6">
        <v>73.3</v>
      </c>
      <c r="G10" s="6">
        <v>119.7</v>
      </c>
    </row>
    <row r="11" spans="1:7" x14ac:dyDescent="0.25">
      <c r="A11" s="10">
        <v>7</v>
      </c>
      <c r="B11" s="6">
        <v>42.6</v>
      </c>
      <c r="C11" s="6">
        <v>48.1</v>
      </c>
      <c r="D11" s="6">
        <v>80.099999999999994</v>
      </c>
      <c r="E11" s="6">
        <v>58.9</v>
      </c>
      <c r="F11" s="6">
        <v>82.7</v>
      </c>
      <c r="G11" s="6">
        <v>92.7</v>
      </c>
    </row>
    <row r="12" spans="1:7" x14ac:dyDescent="0.25">
      <c r="A12" s="10">
        <v>8</v>
      </c>
      <c r="B12" s="6">
        <v>32.299999999999997</v>
      </c>
      <c r="C12" s="6">
        <v>61.6</v>
      </c>
      <c r="D12" s="6">
        <v>83.9</v>
      </c>
      <c r="E12" s="6">
        <v>53.6</v>
      </c>
      <c r="F12" s="6">
        <v>71.400000000000006</v>
      </c>
      <c r="G12" s="6">
        <v>99.1</v>
      </c>
    </row>
    <row r="13" spans="1:7" x14ac:dyDescent="0.25">
      <c r="A13" s="10">
        <v>9</v>
      </c>
      <c r="B13" s="6">
        <v>35.700000000000003</v>
      </c>
      <c r="C13" s="6">
        <v>47.5</v>
      </c>
      <c r="D13" s="6">
        <v>86.7</v>
      </c>
      <c r="E13" s="6">
        <v>44.4</v>
      </c>
      <c r="F13" s="6">
        <v>62.1</v>
      </c>
      <c r="G13" s="6">
        <v>111.4</v>
      </c>
    </row>
    <row r="14" spans="1:7" x14ac:dyDescent="0.25">
      <c r="A14" s="10">
        <v>10</v>
      </c>
      <c r="B14" s="6"/>
      <c r="C14" s="6"/>
      <c r="D14" s="6"/>
      <c r="E14" s="6">
        <v>52.6</v>
      </c>
      <c r="F14" s="6">
        <v>77.2</v>
      </c>
      <c r="G14" s="6">
        <v>107.3</v>
      </c>
    </row>
    <row r="15" spans="1:7" x14ac:dyDescent="0.25">
      <c r="A15" s="10">
        <v>11</v>
      </c>
      <c r="B15" s="6"/>
      <c r="C15" s="6"/>
      <c r="D15" s="6"/>
      <c r="E15" s="6">
        <v>38.6</v>
      </c>
      <c r="F15" s="6">
        <v>61.5</v>
      </c>
      <c r="G15" s="6">
        <v>119.4</v>
      </c>
    </row>
    <row r="16" spans="1:7" x14ac:dyDescent="0.25">
      <c r="A16" s="10">
        <v>12</v>
      </c>
      <c r="B16" s="6"/>
      <c r="C16" s="6"/>
      <c r="D16" s="6"/>
      <c r="E16" s="6">
        <v>29.2</v>
      </c>
      <c r="F16" s="6">
        <v>79.400000000000006</v>
      </c>
      <c r="G16" s="6">
        <v>103</v>
      </c>
    </row>
    <row r="17" spans="1:7" x14ac:dyDescent="0.25">
      <c r="A17" s="10">
        <v>13</v>
      </c>
      <c r="B17" s="6"/>
      <c r="C17" s="6"/>
      <c r="D17" s="6"/>
      <c r="E17" s="6">
        <v>30.5</v>
      </c>
      <c r="F17" s="6">
        <v>83.7</v>
      </c>
      <c r="G17" s="6">
        <v>104</v>
      </c>
    </row>
    <row r="18" spans="1:7" x14ac:dyDescent="0.25">
      <c r="A18" s="10">
        <v>14</v>
      </c>
      <c r="B18" s="6"/>
      <c r="C18" s="6"/>
      <c r="D18" s="6"/>
      <c r="E18" s="6">
        <v>46.6</v>
      </c>
      <c r="F18" s="6">
        <v>81.2</v>
      </c>
      <c r="G18" s="6">
        <v>96.5</v>
      </c>
    </row>
    <row r="19" spans="1:7" x14ac:dyDescent="0.25">
      <c r="A19" s="10">
        <v>15</v>
      </c>
      <c r="B19" s="6"/>
      <c r="C19" s="6"/>
      <c r="D19" s="6"/>
      <c r="E19" s="6">
        <v>53.9</v>
      </c>
      <c r="F19" s="6">
        <v>61</v>
      </c>
      <c r="G19" s="6">
        <v>98.5</v>
      </c>
    </row>
    <row r="20" spans="1:7" ht="14.5" thickBot="1" x14ac:dyDescent="0.3">
      <c r="A20" s="11">
        <v>16</v>
      </c>
      <c r="B20" s="12"/>
      <c r="C20" s="12"/>
      <c r="D20" s="12"/>
      <c r="E20" s="6">
        <v>43.9</v>
      </c>
      <c r="F20" s="6">
        <v>69.3</v>
      </c>
      <c r="G20" s="6">
        <v>104.8</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35.200000000000003</v>
      </c>
      <c r="C24" s="6">
        <v>59.5</v>
      </c>
      <c r="D24" s="6">
        <v>92.5</v>
      </c>
      <c r="E24" s="6">
        <v>37.9</v>
      </c>
      <c r="F24" s="6">
        <v>71.2</v>
      </c>
      <c r="G24" s="6">
        <v>89.8</v>
      </c>
    </row>
    <row r="25" spans="1:7" x14ac:dyDescent="0.25">
      <c r="A25" s="10">
        <v>2</v>
      </c>
      <c r="B25" s="6">
        <v>40.200000000000003</v>
      </c>
      <c r="C25" s="6">
        <v>56.6</v>
      </c>
      <c r="D25" s="6">
        <v>82.2</v>
      </c>
      <c r="E25" s="6">
        <v>55.6</v>
      </c>
      <c r="F25" s="6">
        <v>82.6</v>
      </c>
      <c r="G25" s="6">
        <v>111.2</v>
      </c>
    </row>
    <row r="26" spans="1:7" x14ac:dyDescent="0.25">
      <c r="A26" s="10">
        <v>3</v>
      </c>
      <c r="B26" s="6">
        <v>26.5</v>
      </c>
      <c r="C26" s="6">
        <v>47.6</v>
      </c>
      <c r="D26" s="6">
        <v>95.1</v>
      </c>
      <c r="E26" s="6">
        <v>26.9</v>
      </c>
      <c r="F26" s="6">
        <v>73.2</v>
      </c>
      <c r="G26" s="6">
        <v>92.8</v>
      </c>
    </row>
    <row r="27" spans="1:7" x14ac:dyDescent="0.25">
      <c r="A27" s="10">
        <v>4</v>
      </c>
      <c r="B27" s="6">
        <v>30.6</v>
      </c>
      <c r="C27" s="6">
        <v>62.1</v>
      </c>
      <c r="D27" s="6">
        <v>83.4</v>
      </c>
      <c r="E27" s="6">
        <v>43.4</v>
      </c>
      <c r="F27" s="6">
        <v>81.900000000000006</v>
      </c>
      <c r="G27" s="6">
        <v>95.5</v>
      </c>
    </row>
    <row r="28" spans="1:7" x14ac:dyDescent="0.25">
      <c r="A28" s="10">
        <v>5</v>
      </c>
      <c r="B28" s="6">
        <v>40.4</v>
      </c>
      <c r="C28" s="6">
        <v>62</v>
      </c>
      <c r="D28" s="6">
        <v>84.5</v>
      </c>
      <c r="E28" s="6">
        <v>39.6</v>
      </c>
      <c r="F28" s="6">
        <v>73.3</v>
      </c>
      <c r="G28" s="6">
        <v>119.9</v>
      </c>
    </row>
    <row r="29" spans="1:7" x14ac:dyDescent="0.25">
      <c r="A29" s="10">
        <v>6</v>
      </c>
      <c r="B29" s="6">
        <v>26.5</v>
      </c>
      <c r="C29" s="6">
        <v>58.9</v>
      </c>
      <c r="D29" s="6">
        <v>75.599999999999994</v>
      </c>
      <c r="E29" s="6">
        <v>49.5</v>
      </c>
      <c r="F29" s="6">
        <v>84.8</v>
      </c>
      <c r="G29" s="6">
        <v>112.9</v>
      </c>
    </row>
    <row r="30" spans="1:7" x14ac:dyDescent="0.25">
      <c r="A30" s="10">
        <v>7</v>
      </c>
      <c r="B30" s="6">
        <v>29.2</v>
      </c>
      <c r="C30" s="6">
        <v>46.8</v>
      </c>
      <c r="D30" s="6">
        <v>86.2</v>
      </c>
      <c r="E30" s="6">
        <v>53.5</v>
      </c>
      <c r="F30" s="6">
        <v>62.8</v>
      </c>
      <c r="G30" s="6">
        <v>115.9</v>
      </c>
    </row>
    <row r="31" spans="1:7" x14ac:dyDescent="0.25">
      <c r="A31" s="10">
        <v>8</v>
      </c>
      <c r="B31" s="6">
        <v>41.7</v>
      </c>
      <c r="C31" s="6">
        <v>50.8</v>
      </c>
      <c r="D31" s="6">
        <v>94.4</v>
      </c>
      <c r="E31" s="6">
        <v>36.1</v>
      </c>
      <c r="F31" s="6">
        <v>69.900000000000006</v>
      </c>
      <c r="G31" s="6">
        <v>112.9</v>
      </c>
    </row>
    <row r="32" spans="1:7" x14ac:dyDescent="0.25">
      <c r="A32" s="10">
        <v>9</v>
      </c>
      <c r="B32" s="6">
        <v>26.4</v>
      </c>
      <c r="C32" s="6">
        <v>55.1</v>
      </c>
      <c r="D32" s="6">
        <v>96.4</v>
      </c>
      <c r="E32" s="6">
        <v>25.5</v>
      </c>
      <c r="F32" s="6">
        <v>71.5</v>
      </c>
      <c r="G32" s="6">
        <v>90.1</v>
      </c>
    </row>
    <row r="33" spans="1:7" x14ac:dyDescent="0.25">
      <c r="A33" s="10">
        <v>10</v>
      </c>
      <c r="B33" s="6">
        <v>29.8</v>
      </c>
      <c r="C33" s="6">
        <v>50.4</v>
      </c>
      <c r="D33" s="6">
        <v>95</v>
      </c>
      <c r="E33" s="6">
        <v>27.3</v>
      </c>
      <c r="F33" s="6">
        <v>84.5</v>
      </c>
      <c r="G33" s="6">
        <v>108.3</v>
      </c>
    </row>
    <row r="34" spans="1:7" x14ac:dyDescent="0.25">
      <c r="A34" s="10">
        <v>11</v>
      </c>
      <c r="B34" s="6"/>
      <c r="C34" s="6"/>
      <c r="D34" s="6"/>
      <c r="E34" s="6">
        <v>39.200000000000003</v>
      </c>
      <c r="F34" s="6">
        <v>60.1</v>
      </c>
      <c r="G34" s="6">
        <v>119.4</v>
      </c>
    </row>
    <row r="35" spans="1:7" x14ac:dyDescent="0.25">
      <c r="A35" s="10">
        <v>12</v>
      </c>
      <c r="B35" s="6"/>
      <c r="C35" s="6"/>
      <c r="D35" s="6"/>
      <c r="E35" s="6">
        <v>58.1</v>
      </c>
      <c r="F35" s="6">
        <v>83.2</v>
      </c>
      <c r="G35" s="6">
        <v>106.1</v>
      </c>
    </row>
    <row r="36" spans="1:7" x14ac:dyDescent="0.25">
      <c r="A36" s="10">
        <v>13</v>
      </c>
      <c r="B36" s="6"/>
      <c r="C36" s="6"/>
      <c r="D36" s="6"/>
      <c r="E36" s="6">
        <v>42.7</v>
      </c>
      <c r="F36" s="6">
        <v>77.8</v>
      </c>
      <c r="G36" s="6">
        <v>91.1</v>
      </c>
    </row>
    <row r="37" spans="1:7" x14ac:dyDescent="0.25">
      <c r="A37" s="10">
        <v>14</v>
      </c>
      <c r="B37" s="6"/>
      <c r="C37" s="6"/>
      <c r="D37" s="6"/>
      <c r="E37" s="6">
        <v>53.7</v>
      </c>
      <c r="F37" s="6">
        <v>78.2</v>
      </c>
      <c r="G37" s="6">
        <v>118.1</v>
      </c>
    </row>
    <row r="38" spans="1:7" x14ac:dyDescent="0.25">
      <c r="A38" s="10">
        <v>15</v>
      </c>
      <c r="B38" s="6"/>
      <c r="C38" s="6"/>
      <c r="D38" s="6"/>
      <c r="E38" s="6">
        <v>49.7</v>
      </c>
      <c r="F38" s="6">
        <v>81.8</v>
      </c>
      <c r="G38" s="6">
        <v>117.5</v>
      </c>
    </row>
    <row r="39" spans="1:7" x14ac:dyDescent="0.25">
      <c r="A39" s="10">
        <v>16</v>
      </c>
      <c r="B39" s="6"/>
      <c r="C39" s="6"/>
      <c r="D39" s="6"/>
      <c r="E39" s="6">
        <v>35.700000000000003</v>
      </c>
      <c r="F39" s="6">
        <v>71.400000000000006</v>
      </c>
      <c r="G39" s="6">
        <v>92.9</v>
      </c>
    </row>
    <row r="40" spans="1:7" x14ac:dyDescent="0.25">
      <c r="A40" s="10">
        <v>17</v>
      </c>
      <c r="B40" s="6"/>
      <c r="C40" s="6"/>
      <c r="D40" s="6"/>
      <c r="E40" s="6">
        <v>55.1</v>
      </c>
      <c r="F40" s="6">
        <v>60.4</v>
      </c>
      <c r="G40" s="6">
        <v>93.6</v>
      </c>
    </row>
    <row r="41" spans="1:7" x14ac:dyDescent="0.25">
      <c r="A41" s="10">
        <v>18</v>
      </c>
      <c r="B41" s="6"/>
      <c r="C41" s="6"/>
      <c r="D41" s="6"/>
      <c r="E41" s="6">
        <v>56.2</v>
      </c>
      <c r="F41" s="6">
        <v>74.599999999999994</v>
      </c>
      <c r="G41" s="6">
        <v>89.5</v>
      </c>
    </row>
    <row r="42" spans="1:7" x14ac:dyDescent="0.25">
      <c r="A42" s="10">
        <v>19</v>
      </c>
      <c r="B42" s="6"/>
      <c r="C42" s="6"/>
      <c r="D42" s="6"/>
      <c r="E42" s="6">
        <v>36.9</v>
      </c>
      <c r="F42" s="6">
        <v>82.5</v>
      </c>
      <c r="G42" s="6">
        <v>119.2</v>
      </c>
    </row>
    <row r="43" spans="1:7" x14ac:dyDescent="0.25">
      <c r="A43" s="10">
        <v>20</v>
      </c>
      <c r="B43" s="6"/>
      <c r="C43" s="6"/>
      <c r="D43" s="6"/>
      <c r="E43" s="6">
        <v>26.1</v>
      </c>
      <c r="F43" s="6">
        <v>63.1</v>
      </c>
      <c r="G43" s="6">
        <v>85.7</v>
      </c>
    </row>
    <row r="44" spans="1:7" x14ac:dyDescent="0.25">
      <c r="A44" s="10">
        <v>21</v>
      </c>
      <c r="B44" s="6"/>
      <c r="C44" s="6"/>
      <c r="D44" s="6"/>
      <c r="E44" s="6">
        <v>25.1</v>
      </c>
      <c r="F44" s="6">
        <v>81.599999999999994</v>
      </c>
      <c r="G44" s="6">
        <v>88.9</v>
      </c>
    </row>
    <row r="45" spans="1:7" x14ac:dyDescent="0.25">
      <c r="A45" s="10">
        <v>22</v>
      </c>
      <c r="B45" s="6"/>
      <c r="C45" s="6"/>
      <c r="D45" s="6"/>
      <c r="E45" s="6">
        <v>38</v>
      </c>
      <c r="F45" s="6">
        <v>79.2</v>
      </c>
      <c r="G45" s="6">
        <v>109.2</v>
      </c>
    </row>
    <row r="46" spans="1:7" x14ac:dyDescent="0.25">
      <c r="A46" s="10">
        <v>23</v>
      </c>
      <c r="B46" s="6"/>
      <c r="C46" s="6"/>
      <c r="D46" s="6"/>
      <c r="E46" s="6">
        <v>51.4</v>
      </c>
      <c r="F46" s="6">
        <v>67.8</v>
      </c>
      <c r="G46" s="6">
        <v>108.3</v>
      </c>
    </row>
    <row r="47" spans="1:7" x14ac:dyDescent="0.25">
      <c r="A47" s="10">
        <v>24</v>
      </c>
      <c r="B47" s="6"/>
      <c r="C47" s="6"/>
      <c r="D47" s="6"/>
      <c r="E47" s="6">
        <v>51</v>
      </c>
      <c r="F47" s="6">
        <v>74.5</v>
      </c>
      <c r="G47" s="6">
        <v>119.5</v>
      </c>
    </row>
    <row r="48" spans="1:7" x14ac:dyDescent="0.25">
      <c r="A48" s="10">
        <v>25</v>
      </c>
      <c r="B48" s="6"/>
      <c r="C48" s="6"/>
      <c r="D48" s="6"/>
      <c r="E48" s="6">
        <v>55.7</v>
      </c>
      <c r="F48" s="6">
        <v>62.2</v>
      </c>
      <c r="G48" s="6">
        <v>98.7</v>
      </c>
    </row>
    <row r="49" spans="1:7" x14ac:dyDescent="0.25">
      <c r="A49" s="10">
        <v>26</v>
      </c>
      <c r="B49" s="6"/>
      <c r="C49" s="13"/>
      <c r="D49" s="6"/>
      <c r="E49" s="6">
        <v>38</v>
      </c>
      <c r="F49" s="6">
        <v>65.599999999999994</v>
      </c>
      <c r="G49" s="6">
        <v>117.9</v>
      </c>
    </row>
    <row r="50" spans="1:7" x14ac:dyDescent="0.25">
      <c r="A50" s="10">
        <v>27</v>
      </c>
      <c r="B50" s="6"/>
      <c r="C50" s="13"/>
      <c r="D50" s="6"/>
      <c r="E50" s="6">
        <v>41.6</v>
      </c>
      <c r="F50" s="6">
        <v>81.7</v>
      </c>
      <c r="G50" s="6">
        <v>96.7</v>
      </c>
    </row>
    <row r="51" spans="1:7" x14ac:dyDescent="0.25">
      <c r="A51" s="10">
        <v>28</v>
      </c>
      <c r="B51" s="6"/>
      <c r="C51" s="14"/>
      <c r="D51" s="6"/>
      <c r="E51" s="6">
        <v>48</v>
      </c>
      <c r="F51" s="6">
        <v>68.2</v>
      </c>
      <c r="G51" s="6">
        <v>97.4</v>
      </c>
    </row>
    <row r="52" spans="1:7" ht="14.5" thickBot="1" x14ac:dyDescent="0.3">
      <c r="A52" s="11">
        <v>29</v>
      </c>
      <c r="B52" s="15"/>
      <c r="C52" s="15"/>
      <c r="D52" s="12"/>
      <c r="E52" s="6">
        <v>31.4</v>
      </c>
      <c r="F52" s="6">
        <v>74.2</v>
      </c>
      <c r="G52" s="6">
        <v>93.4</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31</v>
      </c>
      <c r="C56" s="6">
        <v>45.6</v>
      </c>
      <c r="D56" s="6">
        <v>96.3</v>
      </c>
      <c r="E56" s="6">
        <v>59.9</v>
      </c>
      <c r="F56" s="6">
        <v>77.7</v>
      </c>
      <c r="G56" s="6">
        <v>113.6</v>
      </c>
    </row>
    <row r="57" spans="1:7" x14ac:dyDescent="0.25">
      <c r="A57" s="10">
        <v>2</v>
      </c>
      <c r="B57" s="6">
        <v>44</v>
      </c>
      <c r="C57" s="6">
        <v>46.9</v>
      </c>
      <c r="D57" s="6">
        <v>67.099999999999994</v>
      </c>
      <c r="E57" s="6">
        <v>47.9</v>
      </c>
      <c r="F57" s="6">
        <v>81.599999999999994</v>
      </c>
      <c r="G57" s="6">
        <v>99.1</v>
      </c>
    </row>
    <row r="58" spans="1:7" x14ac:dyDescent="0.25">
      <c r="A58" s="10">
        <v>3</v>
      </c>
      <c r="B58" s="6">
        <v>34.299999999999997</v>
      </c>
      <c r="C58" s="6">
        <v>52.4</v>
      </c>
      <c r="D58" s="6">
        <v>99.3</v>
      </c>
      <c r="E58" s="6">
        <v>48</v>
      </c>
      <c r="F58" s="6">
        <v>69.2</v>
      </c>
      <c r="G58" s="6">
        <v>119.1</v>
      </c>
    </row>
    <row r="59" spans="1:7" x14ac:dyDescent="0.25">
      <c r="A59" s="10">
        <v>4</v>
      </c>
      <c r="B59" s="6">
        <v>29.2</v>
      </c>
      <c r="C59" s="6">
        <v>54.6</v>
      </c>
      <c r="D59" s="6">
        <v>96.1</v>
      </c>
      <c r="E59" s="6">
        <v>42.8</v>
      </c>
      <c r="F59" s="6">
        <v>78</v>
      </c>
      <c r="G59" s="6">
        <v>96.1</v>
      </c>
    </row>
    <row r="60" spans="1:7" x14ac:dyDescent="0.25">
      <c r="A60" s="10">
        <v>5</v>
      </c>
      <c r="B60" s="6">
        <v>21.5</v>
      </c>
      <c r="C60" s="6">
        <v>48.2</v>
      </c>
      <c r="D60" s="6">
        <v>70.3</v>
      </c>
      <c r="E60" s="6">
        <v>57.3</v>
      </c>
      <c r="F60" s="6">
        <v>64.5</v>
      </c>
      <c r="G60" s="6">
        <v>85.2</v>
      </c>
    </row>
    <row r="61" spans="1:7" x14ac:dyDescent="0.25">
      <c r="A61" s="10">
        <v>6</v>
      </c>
      <c r="B61" s="6">
        <v>22.2</v>
      </c>
      <c r="C61" s="6">
        <v>59.2</v>
      </c>
      <c r="D61" s="6">
        <v>66.8</v>
      </c>
      <c r="E61" s="6">
        <v>30.3</v>
      </c>
      <c r="F61" s="6">
        <v>74.400000000000006</v>
      </c>
      <c r="G61" s="6">
        <v>116.1</v>
      </c>
    </row>
    <row r="62" spans="1:7" x14ac:dyDescent="0.25">
      <c r="A62" s="10">
        <v>7</v>
      </c>
      <c r="B62" s="6">
        <v>36.799999999999997</v>
      </c>
      <c r="C62" s="6">
        <v>52</v>
      </c>
      <c r="D62" s="6">
        <v>80.099999999999994</v>
      </c>
      <c r="E62" s="6">
        <v>30.5</v>
      </c>
      <c r="F62" s="6">
        <v>65.3</v>
      </c>
      <c r="G62" s="6">
        <v>111</v>
      </c>
    </row>
    <row r="63" spans="1:7" x14ac:dyDescent="0.25">
      <c r="A63" s="10">
        <v>8</v>
      </c>
      <c r="B63" s="6">
        <v>31.7</v>
      </c>
      <c r="C63" s="6">
        <v>58.3</v>
      </c>
      <c r="D63" s="6">
        <v>99.5</v>
      </c>
      <c r="E63" s="6"/>
      <c r="F63" s="6"/>
      <c r="G63" s="6"/>
    </row>
    <row r="64" spans="1:7" x14ac:dyDescent="0.25">
      <c r="A64" s="10">
        <v>9</v>
      </c>
      <c r="B64" s="6">
        <v>22.8</v>
      </c>
      <c r="C64" s="6">
        <v>47.9</v>
      </c>
      <c r="D64" s="6">
        <v>100.5</v>
      </c>
      <c r="E64" s="6"/>
      <c r="F64" s="6"/>
      <c r="G64" s="6"/>
    </row>
    <row r="65" spans="1:7" x14ac:dyDescent="0.25">
      <c r="A65" s="10">
        <v>10</v>
      </c>
      <c r="B65" s="6">
        <v>31.6</v>
      </c>
      <c r="C65" s="6">
        <v>60.8</v>
      </c>
      <c r="D65" s="6">
        <v>79.8</v>
      </c>
      <c r="E65" s="6"/>
      <c r="F65" s="6"/>
      <c r="G65" s="6"/>
    </row>
    <row r="66" spans="1:7" x14ac:dyDescent="0.25">
      <c r="A66" s="10">
        <v>11</v>
      </c>
      <c r="B66" s="6">
        <v>42.4</v>
      </c>
      <c r="C66" s="6">
        <v>46.7</v>
      </c>
      <c r="D66" s="6">
        <v>67.599999999999994</v>
      </c>
      <c r="E66" s="6"/>
      <c r="F66" s="6"/>
      <c r="G66" s="6"/>
    </row>
    <row r="67" spans="1:7" ht="14.5" thickBot="1" x14ac:dyDescent="0.3">
      <c r="A67" s="11">
        <v>12</v>
      </c>
      <c r="B67" s="6">
        <v>21.4</v>
      </c>
      <c r="C67" s="6">
        <v>47.9</v>
      </c>
      <c r="D67" s="6">
        <v>105.1</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28.3</v>
      </c>
      <c r="C71" s="6">
        <v>52.2</v>
      </c>
      <c r="D71" s="6">
        <v>71.5</v>
      </c>
      <c r="E71" s="6"/>
      <c r="F71" s="6"/>
      <c r="G71" s="6"/>
    </row>
    <row r="72" spans="1:7" x14ac:dyDescent="0.25">
      <c r="A72" s="10">
        <v>2</v>
      </c>
      <c r="B72" s="6">
        <v>37.5</v>
      </c>
      <c r="C72" s="6">
        <v>51.5</v>
      </c>
      <c r="D72" s="6">
        <v>69</v>
      </c>
      <c r="E72" s="5"/>
      <c r="F72" s="5"/>
      <c r="G72" s="6"/>
    </row>
    <row r="73" spans="1:7" x14ac:dyDescent="0.25">
      <c r="A73" s="10">
        <v>3</v>
      </c>
      <c r="B73" s="6">
        <v>37.4</v>
      </c>
      <c r="C73" s="6">
        <v>45.7</v>
      </c>
      <c r="D73" s="6">
        <v>69.5</v>
      </c>
      <c r="E73" s="5"/>
      <c r="F73" s="5"/>
      <c r="G73" s="5"/>
    </row>
    <row r="74" spans="1:7" x14ac:dyDescent="0.25">
      <c r="A74" s="10">
        <v>4</v>
      </c>
      <c r="B74" s="6">
        <v>24.9</v>
      </c>
      <c r="C74" s="6">
        <v>49.4</v>
      </c>
      <c r="D74" s="6">
        <v>75.5</v>
      </c>
      <c r="E74" s="5"/>
      <c r="F74" s="5"/>
      <c r="G74" s="5"/>
    </row>
    <row r="75" spans="1:7" x14ac:dyDescent="0.25">
      <c r="A75" s="10">
        <v>5</v>
      </c>
      <c r="B75" s="6">
        <v>40.299999999999997</v>
      </c>
      <c r="C75" s="6">
        <v>56.8</v>
      </c>
      <c r="D75" s="6">
        <v>79.5</v>
      </c>
      <c r="E75" s="5"/>
      <c r="F75" s="5"/>
      <c r="G75" s="5"/>
    </row>
    <row r="76" spans="1:7" x14ac:dyDescent="0.25">
      <c r="A76" s="10">
        <v>6</v>
      </c>
      <c r="B76" s="6">
        <v>38.299999999999997</v>
      </c>
      <c r="C76" s="6">
        <v>57.9</v>
      </c>
      <c r="D76" s="6">
        <v>66.3</v>
      </c>
      <c r="E76" s="5"/>
      <c r="F76" s="5"/>
      <c r="G76" s="5"/>
    </row>
    <row r="77" spans="1:7" x14ac:dyDescent="0.25">
      <c r="A77" s="10">
        <v>7</v>
      </c>
      <c r="B77" s="6">
        <v>26.7</v>
      </c>
      <c r="C77" s="6">
        <v>53.7</v>
      </c>
      <c r="D77" s="6">
        <v>107.3</v>
      </c>
      <c r="E77" s="5"/>
      <c r="F77" s="5"/>
      <c r="G77" s="5"/>
    </row>
    <row r="78" spans="1:7" x14ac:dyDescent="0.25">
      <c r="A78" s="10">
        <v>8</v>
      </c>
      <c r="B78" s="6">
        <v>38.4</v>
      </c>
      <c r="C78" s="6">
        <v>54</v>
      </c>
      <c r="D78" s="6">
        <v>92.5</v>
      </c>
      <c r="E78" s="5"/>
      <c r="F78" s="5"/>
      <c r="G78" s="5"/>
    </row>
    <row r="79" spans="1:7" x14ac:dyDescent="0.25">
      <c r="A79" s="10">
        <v>9</v>
      </c>
      <c r="B79" s="6">
        <v>27.3</v>
      </c>
      <c r="C79" s="6">
        <v>57.7</v>
      </c>
      <c r="D79" s="6">
        <v>75.7</v>
      </c>
      <c r="E79" s="5"/>
      <c r="F79" s="5"/>
      <c r="G79" s="5"/>
    </row>
    <row r="80" spans="1:7" x14ac:dyDescent="0.25">
      <c r="A80" s="10">
        <v>10</v>
      </c>
      <c r="B80" s="6">
        <v>21.4</v>
      </c>
      <c r="C80" s="6">
        <v>59.9</v>
      </c>
      <c r="D80" s="6">
        <v>72.2</v>
      </c>
      <c r="E80" s="5"/>
      <c r="F80" s="5"/>
      <c r="G80" s="5"/>
    </row>
    <row r="81" spans="1:7" x14ac:dyDescent="0.25">
      <c r="A81" s="10">
        <v>11</v>
      </c>
      <c r="B81" s="6">
        <v>28.9</v>
      </c>
      <c r="C81" s="6">
        <v>57.2</v>
      </c>
      <c r="D81" s="6">
        <v>106.1</v>
      </c>
      <c r="E81" s="5"/>
      <c r="F81" s="5"/>
      <c r="G81" s="5"/>
    </row>
    <row r="82" spans="1:7" x14ac:dyDescent="0.25">
      <c r="A82" s="10">
        <v>12</v>
      </c>
      <c r="B82" s="6">
        <v>24.7</v>
      </c>
      <c r="C82" s="6">
        <v>51.4</v>
      </c>
      <c r="D82" s="6">
        <v>97.7</v>
      </c>
      <c r="E82" s="5"/>
      <c r="F82" s="5"/>
      <c r="G82" s="5"/>
    </row>
    <row r="83" spans="1:7" x14ac:dyDescent="0.25">
      <c r="A83" s="10">
        <v>13</v>
      </c>
      <c r="B83" s="6">
        <v>34.6</v>
      </c>
      <c r="C83" s="6">
        <v>60</v>
      </c>
      <c r="D83" s="6">
        <v>71.400000000000006</v>
      </c>
      <c r="E83" s="5"/>
      <c r="F83" s="5"/>
      <c r="G83" s="5"/>
    </row>
    <row r="84" spans="1:7" x14ac:dyDescent="0.25">
      <c r="A84" s="10">
        <v>14</v>
      </c>
      <c r="B84" s="6">
        <v>27.3</v>
      </c>
      <c r="C84" s="6">
        <v>63.1</v>
      </c>
      <c r="D84" s="6">
        <v>84.5</v>
      </c>
      <c r="E84" s="5"/>
      <c r="F84" s="5"/>
      <c r="G84" s="5"/>
    </row>
    <row r="85" spans="1:7" x14ac:dyDescent="0.25">
      <c r="A85" s="10">
        <v>15</v>
      </c>
      <c r="B85" s="6">
        <v>40.9</v>
      </c>
      <c r="C85" s="6">
        <v>45</v>
      </c>
      <c r="D85" s="6">
        <v>89.9</v>
      </c>
      <c r="E85" s="5"/>
      <c r="F85" s="5"/>
      <c r="G85" s="5"/>
    </row>
    <row r="86" spans="1:7" x14ac:dyDescent="0.25">
      <c r="A86" s="10">
        <v>16</v>
      </c>
      <c r="B86" s="6">
        <v>29.7</v>
      </c>
      <c r="C86" s="6">
        <v>58.8</v>
      </c>
      <c r="D86" s="6">
        <v>75.8</v>
      </c>
      <c r="E86" s="5"/>
      <c r="F86" s="5"/>
      <c r="G86" s="5"/>
    </row>
    <row r="87" spans="1:7" x14ac:dyDescent="0.25">
      <c r="A87" s="10">
        <v>17</v>
      </c>
      <c r="B87" s="6">
        <v>25.2</v>
      </c>
      <c r="C87" s="6">
        <v>61.9</v>
      </c>
      <c r="D87" s="6">
        <v>72.5</v>
      </c>
      <c r="E87" s="5"/>
      <c r="F87" s="5"/>
      <c r="G87" s="5"/>
    </row>
    <row r="88" spans="1:7" x14ac:dyDescent="0.25">
      <c r="A88" s="10">
        <v>18</v>
      </c>
      <c r="B88" s="6">
        <v>38.6</v>
      </c>
      <c r="C88" s="6">
        <v>50.1</v>
      </c>
      <c r="D88" s="6">
        <v>69.7</v>
      </c>
      <c r="E88" s="5"/>
      <c r="F88" s="5"/>
      <c r="G88" s="5"/>
    </row>
    <row r="89" spans="1:7" x14ac:dyDescent="0.25">
      <c r="A89" s="10">
        <v>19</v>
      </c>
      <c r="B89" s="6">
        <v>37.1</v>
      </c>
      <c r="C89" s="6">
        <v>52.6</v>
      </c>
      <c r="D89" s="6">
        <v>107.7</v>
      </c>
      <c r="E89" s="5"/>
      <c r="F89" s="5"/>
      <c r="G89" s="5"/>
    </row>
    <row r="90" spans="1:7" x14ac:dyDescent="0.25">
      <c r="A90" s="10">
        <v>20</v>
      </c>
      <c r="B90" s="6">
        <v>41.9</v>
      </c>
      <c r="C90" s="6">
        <v>51.2</v>
      </c>
      <c r="D90" s="6">
        <v>107.5</v>
      </c>
      <c r="E90" s="5"/>
      <c r="F90" s="5"/>
      <c r="G90" s="5"/>
    </row>
    <row r="91" spans="1:7" x14ac:dyDescent="0.25">
      <c r="A91" s="10">
        <v>21</v>
      </c>
      <c r="B91" s="6">
        <v>44.7</v>
      </c>
      <c r="C91" s="6">
        <v>59.3</v>
      </c>
      <c r="D91" s="6">
        <v>78.3</v>
      </c>
      <c r="E91" s="5"/>
      <c r="F91" s="5"/>
      <c r="G91" s="5"/>
    </row>
    <row r="92" spans="1:7" x14ac:dyDescent="0.25">
      <c r="A92" s="10">
        <v>22</v>
      </c>
      <c r="B92" s="6">
        <v>44.2</v>
      </c>
      <c r="C92" s="6">
        <v>58.9</v>
      </c>
      <c r="D92" s="6">
        <v>103.9</v>
      </c>
      <c r="E92" s="5"/>
      <c r="F92" s="5"/>
      <c r="G92" s="5"/>
    </row>
    <row r="93" spans="1:7" x14ac:dyDescent="0.25">
      <c r="A93" s="10">
        <v>23</v>
      </c>
      <c r="B93" s="6">
        <v>39</v>
      </c>
      <c r="C93" s="6">
        <v>54.9</v>
      </c>
      <c r="D93" s="6">
        <v>83.8</v>
      </c>
      <c r="E93" s="5"/>
      <c r="F93" s="5"/>
      <c r="G93" s="5"/>
    </row>
    <row r="94" spans="1:7" x14ac:dyDescent="0.25">
      <c r="A94" s="10">
        <v>24</v>
      </c>
      <c r="B94" s="6">
        <v>36.799999999999997</v>
      </c>
      <c r="C94" s="6">
        <v>61.1</v>
      </c>
      <c r="D94" s="6">
        <v>88.2</v>
      </c>
      <c r="E94" s="5"/>
      <c r="F94" s="5"/>
      <c r="G94" s="5"/>
    </row>
    <row r="95" spans="1:7" x14ac:dyDescent="0.25">
      <c r="A95" s="10">
        <v>25</v>
      </c>
      <c r="B95" s="6">
        <v>41.8</v>
      </c>
      <c r="C95" s="6">
        <v>64.599999999999994</v>
      </c>
      <c r="D95" s="6">
        <v>102.2</v>
      </c>
      <c r="E95" s="5"/>
      <c r="F95" s="5"/>
      <c r="G95" s="5"/>
    </row>
    <row r="96" spans="1:7" x14ac:dyDescent="0.25">
      <c r="A96" s="10">
        <v>26</v>
      </c>
      <c r="B96" s="6">
        <v>37.1</v>
      </c>
      <c r="C96" s="6">
        <v>64.3</v>
      </c>
      <c r="D96" s="6">
        <v>68.5</v>
      </c>
      <c r="E96" s="14"/>
      <c r="F96" s="14"/>
      <c r="G96" s="14"/>
    </row>
    <row r="97" spans="1:7" x14ac:dyDescent="0.25">
      <c r="A97" s="10">
        <v>27</v>
      </c>
      <c r="B97" s="6">
        <v>41</v>
      </c>
      <c r="C97" s="6">
        <v>60.8</v>
      </c>
      <c r="D97" s="6">
        <v>102.2</v>
      </c>
      <c r="E97" s="14"/>
      <c r="F97" s="14"/>
      <c r="G97" s="14"/>
    </row>
    <row r="98" spans="1:7" x14ac:dyDescent="0.25">
      <c r="A98" s="10">
        <v>28</v>
      </c>
      <c r="B98" s="6">
        <v>22.3</v>
      </c>
      <c r="C98" s="6">
        <v>55.4</v>
      </c>
      <c r="D98" s="6">
        <v>74</v>
      </c>
      <c r="E98" s="14"/>
      <c r="F98" s="14"/>
      <c r="G98" s="14"/>
    </row>
    <row r="99" spans="1:7" x14ac:dyDescent="0.25">
      <c r="A99" s="10">
        <v>29</v>
      </c>
      <c r="B99" s="6">
        <v>34.700000000000003</v>
      </c>
      <c r="C99" s="6">
        <v>46.4</v>
      </c>
      <c r="D99" s="6">
        <v>106.9</v>
      </c>
      <c r="E99" s="5"/>
      <c r="F99" s="5"/>
      <c r="G99" s="5"/>
    </row>
    <row r="100" spans="1:7" x14ac:dyDescent="0.25">
      <c r="A100" s="10">
        <v>30</v>
      </c>
      <c r="B100" s="6">
        <v>36.9</v>
      </c>
      <c r="C100" s="6">
        <v>51.1</v>
      </c>
      <c r="D100" s="6">
        <v>93.3</v>
      </c>
      <c r="E100" s="1"/>
      <c r="F100" s="1"/>
      <c r="G100" s="1"/>
    </row>
    <row r="101" spans="1:7" x14ac:dyDescent="0.25">
      <c r="A101" s="10">
        <v>31</v>
      </c>
      <c r="B101" s="6">
        <v>31.8</v>
      </c>
      <c r="C101" s="6">
        <v>52.4</v>
      </c>
      <c r="D101" s="6">
        <v>81</v>
      </c>
      <c r="E101" s="1"/>
      <c r="F101" s="1"/>
      <c r="G101" s="1"/>
    </row>
    <row r="102" spans="1:7" x14ac:dyDescent="0.25">
      <c r="A102" s="10">
        <v>32</v>
      </c>
      <c r="B102" s="6">
        <v>30.3</v>
      </c>
      <c r="C102" s="6">
        <v>62.6</v>
      </c>
      <c r="D102" s="6">
        <v>109.3</v>
      </c>
      <c r="E102" s="1"/>
      <c r="F102" s="1"/>
      <c r="G102" s="1"/>
    </row>
    <row r="103" spans="1:7" x14ac:dyDescent="0.25">
      <c r="A103" s="10">
        <v>33</v>
      </c>
      <c r="B103" s="6">
        <v>40.6</v>
      </c>
      <c r="C103" s="6">
        <v>45.4</v>
      </c>
      <c r="D103" s="6">
        <v>72.2</v>
      </c>
      <c r="E103" s="1"/>
      <c r="F103" s="1"/>
      <c r="G103" s="1"/>
    </row>
    <row r="104" spans="1:7" x14ac:dyDescent="0.25">
      <c r="A104" s="10">
        <v>34</v>
      </c>
      <c r="B104" s="6">
        <v>27.8</v>
      </c>
      <c r="C104" s="6">
        <v>56.8</v>
      </c>
      <c r="D104" s="6">
        <v>91</v>
      </c>
      <c r="E104" s="1"/>
      <c r="F104" s="1"/>
      <c r="G104" s="1"/>
    </row>
    <row r="105" spans="1:7" x14ac:dyDescent="0.25">
      <c r="A105" s="10">
        <v>35</v>
      </c>
      <c r="B105" s="6">
        <v>20.9</v>
      </c>
      <c r="C105" s="6">
        <v>60.4</v>
      </c>
      <c r="D105" s="6">
        <v>103.9</v>
      </c>
      <c r="E105" s="1"/>
      <c r="F105" s="1"/>
      <c r="G105" s="1"/>
    </row>
    <row r="106" spans="1:7" x14ac:dyDescent="0.25">
      <c r="A106" s="10">
        <v>36</v>
      </c>
      <c r="B106" s="6">
        <v>39.5</v>
      </c>
      <c r="C106" s="6">
        <v>57.6</v>
      </c>
      <c r="D106" s="6">
        <v>92.4</v>
      </c>
      <c r="E106" s="1"/>
      <c r="F106" s="1"/>
      <c r="G106" s="1"/>
    </row>
    <row r="107" spans="1:7" x14ac:dyDescent="0.25">
      <c r="A107" s="10">
        <v>37</v>
      </c>
      <c r="B107" s="6">
        <v>26.1</v>
      </c>
      <c r="C107" s="6">
        <v>59.5</v>
      </c>
      <c r="D107" s="6">
        <v>102.1</v>
      </c>
      <c r="E107" s="1"/>
      <c r="F107" s="1"/>
      <c r="G107" s="1"/>
    </row>
    <row r="108" spans="1:7" x14ac:dyDescent="0.25">
      <c r="A108" s="10">
        <v>38</v>
      </c>
      <c r="B108" s="6">
        <v>34</v>
      </c>
      <c r="C108" s="6">
        <v>62.5</v>
      </c>
      <c r="D108" s="6">
        <v>99.6</v>
      </c>
      <c r="E108" s="1"/>
      <c r="F108" s="1"/>
      <c r="G108" s="1"/>
    </row>
    <row r="109" spans="1:7" x14ac:dyDescent="0.25">
      <c r="A109" s="10">
        <v>39</v>
      </c>
      <c r="B109" s="6">
        <v>22.4</v>
      </c>
      <c r="C109" s="6">
        <v>62.1</v>
      </c>
      <c r="D109" s="6">
        <v>80.599999999999994</v>
      </c>
      <c r="E109" s="1"/>
      <c r="F109" s="1"/>
      <c r="G109" s="1"/>
    </row>
    <row r="110" spans="1:7" x14ac:dyDescent="0.25">
      <c r="A110" s="10">
        <v>40</v>
      </c>
      <c r="B110" s="6">
        <v>38</v>
      </c>
      <c r="C110" s="6">
        <v>56.4</v>
      </c>
      <c r="D110" s="6">
        <v>101.1</v>
      </c>
      <c r="E110" s="1"/>
      <c r="F110" s="1"/>
      <c r="G110" s="1"/>
    </row>
    <row r="111" spans="1:7" x14ac:dyDescent="0.25">
      <c r="A111" s="10">
        <v>41</v>
      </c>
      <c r="B111" s="6">
        <v>23.6</v>
      </c>
      <c r="C111" s="6">
        <v>64.400000000000006</v>
      </c>
      <c r="D111" s="6">
        <v>95.1</v>
      </c>
      <c r="E111" s="1"/>
      <c r="F111" s="1"/>
      <c r="G111" s="1"/>
    </row>
    <row r="112" spans="1:7" x14ac:dyDescent="0.25">
      <c r="A112" s="10">
        <v>42</v>
      </c>
      <c r="B112" s="6">
        <v>29.2</v>
      </c>
      <c r="C112" s="6">
        <v>62.8</v>
      </c>
      <c r="D112" s="6">
        <v>80.099999999999994</v>
      </c>
      <c r="E112" s="1"/>
      <c r="F112" s="1"/>
      <c r="G112" s="1"/>
    </row>
    <row r="113" spans="1:7" x14ac:dyDescent="0.25">
      <c r="A113" s="10">
        <v>43</v>
      </c>
      <c r="B113" s="6">
        <v>26.5</v>
      </c>
      <c r="C113" s="6">
        <v>64</v>
      </c>
      <c r="D113" s="6">
        <v>76.599999999999994</v>
      </c>
      <c r="E113" s="1"/>
      <c r="F113" s="1"/>
      <c r="G113" s="1"/>
    </row>
    <row r="114" spans="1:7" x14ac:dyDescent="0.25">
      <c r="A114" s="10">
        <v>44</v>
      </c>
      <c r="B114" s="6">
        <v>35</v>
      </c>
      <c r="C114" s="6">
        <v>45.2</v>
      </c>
      <c r="D114" s="6">
        <v>80.3</v>
      </c>
      <c r="E114" s="1"/>
      <c r="F114" s="1"/>
      <c r="G114" s="1"/>
    </row>
    <row r="115" spans="1:7" x14ac:dyDescent="0.25">
      <c r="A115" s="10">
        <v>45</v>
      </c>
      <c r="B115" s="6">
        <v>40.799999999999997</v>
      </c>
      <c r="C115" s="6">
        <v>54</v>
      </c>
      <c r="D115" s="6">
        <v>84.9</v>
      </c>
      <c r="E115" s="1"/>
      <c r="F115" s="1"/>
      <c r="G115" s="1"/>
    </row>
    <row r="116" spans="1:7" x14ac:dyDescent="0.25">
      <c r="A116" s="10">
        <v>46</v>
      </c>
      <c r="B116" s="6">
        <v>44.7</v>
      </c>
      <c r="C116" s="6">
        <v>54.1</v>
      </c>
      <c r="D116" s="6">
        <v>98.2</v>
      </c>
      <c r="E116" s="1"/>
      <c r="F116" s="1"/>
      <c r="G116" s="1"/>
    </row>
    <row r="117" spans="1:7" x14ac:dyDescent="0.25">
      <c r="A117" s="10">
        <v>47</v>
      </c>
      <c r="B117" s="6">
        <v>27.7</v>
      </c>
      <c r="C117" s="6">
        <v>55.8</v>
      </c>
      <c r="D117" s="6">
        <v>81.400000000000006</v>
      </c>
      <c r="E117" s="1"/>
      <c r="F117" s="1"/>
      <c r="G117" s="1"/>
    </row>
    <row r="118" spans="1:7" x14ac:dyDescent="0.25">
      <c r="A118" s="10">
        <v>48</v>
      </c>
      <c r="B118" s="6">
        <v>32.5</v>
      </c>
      <c r="C118" s="6">
        <v>54.2</v>
      </c>
      <c r="D118" s="6">
        <v>96.9</v>
      </c>
      <c r="E118" s="1"/>
      <c r="F118" s="1"/>
      <c r="G118" s="1"/>
    </row>
    <row r="119" spans="1:7" x14ac:dyDescent="0.25">
      <c r="A119" s="10">
        <v>49</v>
      </c>
      <c r="B119" s="6">
        <v>28</v>
      </c>
      <c r="C119" s="6">
        <v>58.3</v>
      </c>
      <c r="D119" s="6">
        <v>109.6</v>
      </c>
      <c r="E119" s="1"/>
      <c r="F119" s="1"/>
      <c r="G119" s="1"/>
    </row>
    <row r="120" spans="1:7" x14ac:dyDescent="0.25">
      <c r="A120" s="10">
        <v>50</v>
      </c>
      <c r="B120" s="6">
        <v>41.2</v>
      </c>
      <c r="C120" s="6">
        <v>64.599999999999994</v>
      </c>
      <c r="D120" s="6">
        <v>92</v>
      </c>
      <c r="E120" s="1"/>
      <c r="F120" s="1"/>
      <c r="G120" s="1"/>
    </row>
    <row r="121" spans="1:7" x14ac:dyDescent="0.25">
      <c r="A121" s="10">
        <v>51</v>
      </c>
      <c r="B121" s="6">
        <v>29.9</v>
      </c>
      <c r="C121" s="6">
        <v>55.6</v>
      </c>
      <c r="D121" s="6">
        <v>66.8</v>
      </c>
      <c r="E121" s="1"/>
      <c r="F121" s="1"/>
      <c r="G121" s="1"/>
    </row>
    <row r="122" spans="1:7" x14ac:dyDescent="0.25">
      <c r="A122" s="10">
        <v>52</v>
      </c>
      <c r="B122" s="6">
        <v>21.3</v>
      </c>
      <c r="C122" s="6">
        <v>60.7</v>
      </c>
      <c r="D122" s="6">
        <v>73.900000000000006</v>
      </c>
      <c r="E122" s="1"/>
      <c r="F122" s="1"/>
      <c r="G122" s="1"/>
    </row>
    <row r="123" spans="1:7" x14ac:dyDescent="0.25">
      <c r="A123" s="10">
        <v>53</v>
      </c>
      <c r="B123" s="6">
        <v>37.799999999999997</v>
      </c>
      <c r="C123" s="6">
        <v>54.5</v>
      </c>
      <c r="D123" s="6">
        <v>103.8</v>
      </c>
      <c r="E123" s="1"/>
      <c r="F123" s="1"/>
      <c r="G123" s="1"/>
    </row>
    <row r="124" spans="1:7" x14ac:dyDescent="0.25">
      <c r="A124" s="10">
        <v>54</v>
      </c>
      <c r="B124" s="6">
        <v>24.8</v>
      </c>
      <c r="C124" s="6">
        <v>62.2</v>
      </c>
      <c r="D124" s="6">
        <v>99.6</v>
      </c>
      <c r="E124" s="1"/>
      <c r="F124" s="1"/>
      <c r="G124" s="1"/>
    </row>
    <row r="125" spans="1:7" x14ac:dyDescent="0.25">
      <c r="A125" s="10">
        <v>55</v>
      </c>
      <c r="B125" s="6">
        <v>24.5</v>
      </c>
      <c r="C125" s="6">
        <v>45.5</v>
      </c>
      <c r="D125" s="6">
        <v>97.4</v>
      </c>
      <c r="E125" s="1"/>
      <c r="F125" s="1"/>
      <c r="G125" s="1"/>
    </row>
    <row r="126" spans="1:7" x14ac:dyDescent="0.25">
      <c r="A126" s="10">
        <v>56</v>
      </c>
      <c r="B126" s="6">
        <v>37.1</v>
      </c>
      <c r="C126" s="6">
        <v>61.4</v>
      </c>
      <c r="D126" s="6">
        <v>107.6</v>
      </c>
      <c r="E126" s="1"/>
      <c r="F126" s="1"/>
      <c r="G126" s="1"/>
    </row>
    <row r="127" spans="1:7" x14ac:dyDescent="0.25">
      <c r="A127" s="10">
        <v>57</v>
      </c>
      <c r="B127" s="6">
        <v>25.2</v>
      </c>
      <c r="C127" s="6">
        <v>47.7</v>
      </c>
      <c r="D127" s="6">
        <v>77.900000000000006</v>
      </c>
      <c r="E127" s="1"/>
      <c r="F127" s="1"/>
      <c r="G127" s="1"/>
    </row>
    <row r="128" spans="1:7" x14ac:dyDescent="0.25">
      <c r="A128" s="10">
        <v>58</v>
      </c>
      <c r="B128" s="6">
        <v>27.5</v>
      </c>
      <c r="C128" s="6">
        <v>45.4</v>
      </c>
      <c r="D128" s="6">
        <v>104.7</v>
      </c>
      <c r="E128" s="1"/>
      <c r="F128" s="1"/>
      <c r="G128" s="1"/>
    </row>
    <row r="129" spans="1:7" x14ac:dyDescent="0.25">
      <c r="A129" s="10">
        <v>59</v>
      </c>
      <c r="B129" s="6">
        <v>36.1</v>
      </c>
      <c r="C129" s="6">
        <v>49.8</v>
      </c>
      <c r="D129" s="6">
        <v>103.2</v>
      </c>
      <c r="E129" s="1"/>
      <c r="F129" s="1"/>
      <c r="G129" s="1"/>
    </row>
    <row r="130" spans="1:7" x14ac:dyDescent="0.25">
      <c r="A130" s="10">
        <v>60</v>
      </c>
      <c r="B130" s="6">
        <v>30.7</v>
      </c>
      <c r="C130" s="6">
        <v>56.4</v>
      </c>
      <c r="D130" s="6">
        <v>89.9</v>
      </c>
      <c r="E130" s="1"/>
      <c r="F130" s="1"/>
      <c r="G130" s="1"/>
    </row>
    <row r="131" spans="1:7" x14ac:dyDescent="0.25">
      <c r="A131" s="10">
        <v>61</v>
      </c>
      <c r="B131" s="6">
        <v>28</v>
      </c>
      <c r="C131" s="6">
        <v>53.4</v>
      </c>
      <c r="D131" s="6">
        <v>71.7</v>
      </c>
      <c r="E131" s="1"/>
      <c r="F131" s="1"/>
      <c r="G131" s="1"/>
    </row>
    <row r="132" spans="1:7" x14ac:dyDescent="0.25">
      <c r="A132" s="10">
        <v>62</v>
      </c>
      <c r="B132" s="6">
        <v>36.299999999999997</v>
      </c>
      <c r="C132" s="6">
        <v>58.9</v>
      </c>
      <c r="D132" s="6">
        <v>102</v>
      </c>
      <c r="E132" s="1"/>
      <c r="F132" s="1"/>
      <c r="G132" s="1"/>
    </row>
    <row r="133" spans="1:7" ht="14.5" thickBot="1" x14ac:dyDescent="0.3">
      <c r="A133" s="11">
        <v>63</v>
      </c>
      <c r="B133" s="6">
        <v>38.700000000000003</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55.4</v>
      </c>
      <c r="C138" s="330">
        <f>ROUNDDOWN(AVERAGE(E5:G20),1)</f>
        <v>74.5</v>
      </c>
      <c r="D138" s="328">
        <f>'2022.01'!D138</f>
        <v>8254</v>
      </c>
      <c r="E138" s="328">
        <f>'[2]NLT-applied'!$C$30</f>
        <v>15929</v>
      </c>
      <c r="F138" s="328">
        <f>B138*D138</f>
        <v>457271.6</v>
      </c>
      <c r="G138" s="328">
        <f>C138*E138</f>
        <v>1186710.5</v>
      </c>
    </row>
    <row r="139" spans="1:7" x14ac:dyDescent="0.25">
      <c r="A139" s="329" t="str">
        <f>A21</f>
        <v>Dongtai Jianggang Swine farm</v>
      </c>
      <c r="B139" s="330">
        <f>ROUNDDOWN(AVERAGE(B24:D33),1)</f>
        <v>58.7</v>
      </c>
      <c r="C139" s="330">
        <f>ROUNDDOWN(AVERAGE(E24:G52),1)</f>
        <v>73.3</v>
      </c>
      <c r="D139" s="328">
        <f>'2022.01'!D139</f>
        <v>9392</v>
      </c>
      <c r="E139" s="328">
        <f>'[2]NLT-applied'!$E$30</f>
        <v>29465</v>
      </c>
      <c r="F139" s="328">
        <f t="shared" ref="F139:G141" si="0">B139*D139</f>
        <v>551310.4</v>
      </c>
      <c r="G139" s="328">
        <f t="shared" si="0"/>
        <v>2159784.5</v>
      </c>
    </row>
    <row r="140" spans="1:7" x14ac:dyDescent="0.25">
      <c r="A140" s="329" t="str">
        <f>A53</f>
        <v>Sheyang Linhai Swine farm</v>
      </c>
      <c r="B140" s="330">
        <f>ROUNDDOWN(AVERAGE(B56:D67),1)</f>
        <v>56</v>
      </c>
      <c r="C140" s="330">
        <f>ROUNDDOWN(AVERAGE(E56:G62),1)</f>
        <v>74.599999999999994</v>
      </c>
      <c r="D140" s="328">
        <f>'2022.01'!D140</f>
        <v>12135</v>
      </c>
      <c r="E140" s="328">
        <f>'[2]NLT-applied'!$G$30</f>
        <v>6412</v>
      </c>
      <c r="F140" s="328">
        <f t="shared" si="0"/>
        <v>679560</v>
      </c>
      <c r="G140" s="328">
        <f t="shared" si="0"/>
        <v>478335.19999999995</v>
      </c>
    </row>
    <row r="141" spans="1:7" x14ac:dyDescent="0.25">
      <c r="A141" s="329" t="str">
        <f>A68</f>
        <v>Siyang Nanliuji Swine farm</v>
      </c>
      <c r="B141" s="330">
        <f>ROUNDDOWN(AVERAGE(B71:D133),1)</f>
        <v>58.9</v>
      </c>
      <c r="C141" s="328">
        <f>ROUNDDOWN(AVERAGE(0),1)</f>
        <v>0</v>
      </c>
      <c r="D141" s="328">
        <f>'2022.01'!D141</f>
        <v>64445</v>
      </c>
      <c r="E141" s="328">
        <f>'[3]NLT-applied'!$I$27</f>
        <v>0</v>
      </c>
      <c r="F141" s="328">
        <f t="shared" si="0"/>
        <v>3795810.5</v>
      </c>
      <c r="G141" s="328">
        <f t="shared" si="0"/>
        <v>0</v>
      </c>
    </row>
    <row r="142" spans="1:7" x14ac:dyDescent="0.25">
      <c r="A142" s="504" t="s">
        <v>343</v>
      </c>
      <c r="B142" s="510"/>
      <c r="C142" s="505"/>
      <c r="D142" s="328">
        <f>SUM(D138:D141)</f>
        <v>94226</v>
      </c>
      <c r="E142" s="328">
        <f>SUM(E138:E141)</f>
        <v>51806</v>
      </c>
      <c r="F142" s="328">
        <f>SUM(F138:F141)</f>
        <v>5483952.5</v>
      </c>
      <c r="G142" s="328">
        <f>SUM(G138:G141)</f>
        <v>3824830.2</v>
      </c>
    </row>
    <row r="144" spans="1:7" x14ac:dyDescent="0.25">
      <c r="C144" s="504" t="s">
        <v>344</v>
      </c>
      <c r="D144" s="505"/>
    </row>
    <row r="145" spans="3:4" x14ac:dyDescent="0.25">
      <c r="C145" s="328" t="s">
        <v>341</v>
      </c>
      <c r="D145" s="328" t="s">
        <v>342</v>
      </c>
    </row>
    <row r="146" spans="3:4" x14ac:dyDescent="0.25">
      <c r="C146" s="331">
        <f>ROUNDDOWN(F142/D142,1)</f>
        <v>58.1</v>
      </c>
      <c r="D146" s="331">
        <f>ROUNDDOWN(G142/E142,1)</f>
        <v>73.8</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F413-8B1D-4FF9-A87C-89D761B74F08}">
  <dimension ref="A1:G146"/>
  <sheetViews>
    <sheetView workbookViewId="0">
      <selection activeCell="G133"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32.9</v>
      </c>
      <c r="C5" s="6">
        <v>61.7</v>
      </c>
      <c r="D5" s="6">
        <v>85.9</v>
      </c>
      <c r="E5" s="6">
        <v>49.4</v>
      </c>
      <c r="F5" s="6">
        <v>70.8</v>
      </c>
      <c r="G5" s="6">
        <v>109.6</v>
      </c>
    </row>
    <row r="6" spans="1:7" x14ac:dyDescent="0.25">
      <c r="A6" s="10">
        <v>2</v>
      </c>
      <c r="B6" s="6">
        <v>37.799999999999997</v>
      </c>
      <c r="C6" s="6">
        <v>50.2</v>
      </c>
      <c r="D6" s="6">
        <v>98.4</v>
      </c>
      <c r="E6" s="6">
        <v>33.799999999999997</v>
      </c>
      <c r="F6" s="6">
        <v>69.7</v>
      </c>
      <c r="G6" s="6">
        <v>102.7</v>
      </c>
    </row>
    <row r="7" spans="1:7" x14ac:dyDescent="0.25">
      <c r="A7" s="10">
        <v>3</v>
      </c>
      <c r="B7" s="6">
        <v>42.5</v>
      </c>
      <c r="C7" s="6">
        <v>54.3</v>
      </c>
      <c r="D7" s="6">
        <v>79.2</v>
      </c>
      <c r="E7" s="6">
        <v>57.7</v>
      </c>
      <c r="F7" s="6">
        <v>81.5</v>
      </c>
      <c r="G7" s="6">
        <v>88.2</v>
      </c>
    </row>
    <row r="8" spans="1:7" x14ac:dyDescent="0.25">
      <c r="A8" s="10">
        <v>4</v>
      </c>
      <c r="B8" s="6">
        <v>38.200000000000003</v>
      </c>
      <c r="C8" s="6">
        <v>46.5</v>
      </c>
      <c r="D8" s="6">
        <v>96.3</v>
      </c>
      <c r="E8" s="6">
        <v>36.1</v>
      </c>
      <c r="F8" s="6">
        <v>81.7</v>
      </c>
      <c r="G8" s="6">
        <v>113.8</v>
      </c>
    </row>
    <row r="9" spans="1:7" x14ac:dyDescent="0.25">
      <c r="A9" s="10">
        <v>5</v>
      </c>
      <c r="B9" s="6">
        <v>32.5</v>
      </c>
      <c r="C9" s="6">
        <v>59.9</v>
      </c>
      <c r="D9" s="6">
        <v>95.9</v>
      </c>
      <c r="E9" s="6">
        <v>50.4</v>
      </c>
      <c r="F9" s="6">
        <v>74.400000000000006</v>
      </c>
      <c r="G9" s="6">
        <v>118.5</v>
      </c>
    </row>
    <row r="10" spans="1:7" x14ac:dyDescent="0.25">
      <c r="A10" s="10">
        <v>6</v>
      </c>
      <c r="B10" s="6">
        <v>22.8</v>
      </c>
      <c r="C10" s="6">
        <v>53.9</v>
      </c>
      <c r="D10" s="6">
        <v>77.599999999999994</v>
      </c>
      <c r="E10" s="6">
        <v>56.9</v>
      </c>
      <c r="F10" s="6">
        <v>75.7</v>
      </c>
      <c r="G10" s="6">
        <v>104.7</v>
      </c>
    </row>
    <row r="11" spans="1:7" x14ac:dyDescent="0.25">
      <c r="A11" s="10">
        <v>7</v>
      </c>
      <c r="B11" s="6">
        <v>36</v>
      </c>
      <c r="C11" s="6">
        <v>50.1</v>
      </c>
      <c r="D11" s="6">
        <v>109.7</v>
      </c>
      <c r="E11" s="6">
        <v>30.3</v>
      </c>
      <c r="F11" s="6">
        <v>73.400000000000006</v>
      </c>
      <c r="G11" s="6">
        <v>86.5</v>
      </c>
    </row>
    <row r="12" spans="1:7" x14ac:dyDescent="0.25">
      <c r="A12" s="10">
        <v>8</v>
      </c>
      <c r="B12" s="6">
        <v>35.1</v>
      </c>
      <c r="C12" s="6">
        <v>57.8</v>
      </c>
      <c r="D12" s="6">
        <v>68.900000000000006</v>
      </c>
      <c r="E12" s="6">
        <v>52.2</v>
      </c>
      <c r="F12" s="6">
        <v>61.5</v>
      </c>
      <c r="G12" s="6">
        <v>97.7</v>
      </c>
    </row>
    <row r="13" spans="1:7" x14ac:dyDescent="0.25">
      <c r="A13" s="10">
        <v>9</v>
      </c>
      <c r="B13" s="6">
        <v>27.7</v>
      </c>
      <c r="C13" s="6">
        <v>53.4</v>
      </c>
      <c r="D13" s="6">
        <v>99.6</v>
      </c>
      <c r="E13" s="6">
        <v>51</v>
      </c>
      <c r="F13" s="6">
        <v>78.7</v>
      </c>
      <c r="G13" s="6">
        <v>113</v>
      </c>
    </row>
    <row r="14" spans="1:7" x14ac:dyDescent="0.25">
      <c r="A14" s="10">
        <v>10</v>
      </c>
      <c r="B14" s="6"/>
      <c r="C14" s="6"/>
      <c r="D14" s="6"/>
      <c r="E14" s="6">
        <v>40.799999999999997</v>
      </c>
      <c r="F14" s="6">
        <v>75.5</v>
      </c>
      <c r="G14" s="6">
        <v>86.6</v>
      </c>
    </row>
    <row r="15" spans="1:7" x14ac:dyDescent="0.25">
      <c r="A15" s="10">
        <v>11</v>
      </c>
      <c r="B15" s="6"/>
      <c r="C15" s="6"/>
      <c r="D15" s="6"/>
      <c r="E15" s="6">
        <v>39.299999999999997</v>
      </c>
      <c r="F15" s="6">
        <v>65.5</v>
      </c>
      <c r="G15" s="6">
        <v>105.7</v>
      </c>
    </row>
    <row r="16" spans="1:7" x14ac:dyDescent="0.25">
      <c r="A16" s="10">
        <v>12</v>
      </c>
      <c r="B16" s="6"/>
      <c r="C16" s="6"/>
      <c r="D16" s="6"/>
      <c r="E16" s="6">
        <v>47.6</v>
      </c>
      <c r="F16" s="6">
        <v>68.2</v>
      </c>
      <c r="G16" s="6">
        <v>101.4</v>
      </c>
    </row>
    <row r="17" spans="1:7" x14ac:dyDescent="0.25">
      <c r="A17" s="10">
        <v>13</v>
      </c>
      <c r="B17" s="6"/>
      <c r="C17" s="6"/>
      <c r="D17" s="6"/>
      <c r="E17" s="6">
        <v>43.1</v>
      </c>
      <c r="F17" s="6">
        <v>78.900000000000006</v>
      </c>
      <c r="G17" s="6">
        <v>109.8</v>
      </c>
    </row>
    <row r="18" spans="1:7" x14ac:dyDescent="0.25">
      <c r="A18" s="10">
        <v>14</v>
      </c>
      <c r="B18" s="6"/>
      <c r="C18" s="6"/>
      <c r="D18" s="6"/>
      <c r="E18" s="6">
        <v>51.6</v>
      </c>
      <c r="F18" s="6">
        <v>77.3</v>
      </c>
      <c r="G18" s="6">
        <v>90.3</v>
      </c>
    </row>
    <row r="19" spans="1:7" x14ac:dyDescent="0.25">
      <c r="A19" s="10">
        <v>15</v>
      </c>
      <c r="B19" s="6"/>
      <c r="C19" s="6"/>
      <c r="D19" s="6"/>
      <c r="E19" s="6">
        <v>50.1</v>
      </c>
      <c r="F19" s="6">
        <v>72.400000000000006</v>
      </c>
      <c r="G19" s="6">
        <v>85</v>
      </c>
    </row>
    <row r="20" spans="1:7" ht="14.5" thickBot="1" x14ac:dyDescent="0.3">
      <c r="A20" s="11">
        <v>16</v>
      </c>
      <c r="B20" s="12"/>
      <c r="C20" s="12"/>
      <c r="D20" s="12"/>
      <c r="E20" s="6">
        <v>55.9</v>
      </c>
      <c r="F20" s="6">
        <v>74.3</v>
      </c>
      <c r="G20" s="6">
        <v>109.9</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44.8</v>
      </c>
      <c r="C24" s="6">
        <v>57</v>
      </c>
      <c r="D24" s="6">
        <v>73.400000000000006</v>
      </c>
      <c r="E24" s="6">
        <v>43.3</v>
      </c>
      <c r="F24" s="6">
        <v>68.900000000000006</v>
      </c>
      <c r="G24" s="6">
        <v>92.7</v>
      </c>
    </row>
    <row r="25" spans="1:7" x14ac:dyDescent="0.25">
      <c r="A25" s="10">
        <v>2</v>
      </c>
      <c r="B25" s="6">
        <v>32.1</v>
      </c>
      <c r="C25" s="6">
        <v>60</v>
      </c>
      <c r="D25" s="6">
        <v>79.5</v>
      </c>
      <c r="E25" s="6">
        <v>55</v>
      </c>
      <c r="F25" s="6">
        <v>72.2</v>
      </c>
      <c r="G25" s="6">
        <v>90.1</v>
      </c>
    </row>
    <row r="26" spans="1:7" x14ac:dyDescent="0.25">
      <c r="A26" s="10">
        <v>3</v>
      </c>
      <c r="B26" s="6">
        <v>44</v>
      </c>
      <c r="C26" s="6">
        <v>52.1</v>
      </c>
      <c r="D26" s="6">
        <v>84.1</v>
      </c>
      <c r="E26" s="6">
        <v>34.9</v>
      </c>
      <c r="F26" s="6">
        <v>61.4</v>
      </c>
      <c r="G26" s="6">
        <v>95.3</v>
      </c>
    </row>
    <row r="27" spans="1:7" x14ac:dyDescent="0.25">
      <c r="A27" s="10">
        <v>4</v>
      </c>
      <c r="B27" s="6">
        <v>38.799999999999997</v>
      </c>
      <c r="C27" s="6">
        <v>59.8</v>
      </c>
      <c r="D27" s="6">
        <v>81.7</v>
      </c>
      <c r="E27" s="6">
        <v>26.8</v>
      </c>
      <c r="F27" s="6">
        <v>62.3</v>
      </c>
      <c r="G27" s="6">
        <v>100.3</v>
      </c>
    </row>
    <row r="28" spans="1:7" x14ac:dyDescent="0.25">
      <c r="A28" s="10">
        <v>5</v>
      </c>
      <c r="B28" s="6">
        <v>45</v>
      </c>
      <c r="C28" s="6">
        <v>62</v>
      </c>
      <c r="D28" s="6">
        <v>86.7</v>
      </c>
      <c r="E28" s="6">
        <v>50.3</v>
      </c>
      <c r="F28" s="6">
        <v>77.7</v>
      </c>
      <c r="G28" s="6">
        <v>103.5</v>
      </c>
    </row>
    <row r="29" spans="1:7" x14ac:dyDescent="0.25">
      <c r="A29" s="10">
        <v>6</v>
      </c>
      <c r="B29" s="6">
        <v>26.4</v>
      </c>
      <c r="C29" s="6">
        <v>64.099999999999994</v>
      </c>
      <c r="D29" s="6">
        <v>75.5</v>
      </c>
      <c r="E29" s="6">
        <v>38</v>
      </c>
      <c r="F29" s="6">
        <v>75.8</v>
      </c>
      <c r="G29" s="6">
        <v>107.1</v>
      </c>
    </row>
    <row r="30" spans="1:7" x14ac:dyDescent="0.25">
      <c r="A30" s="10">
        <v>7</v>
      </c>
      <c r="B30" s="6">
        <v>36</v>
      </c>
      <c r="C30" s="6">
        <v>57.8</v>
      </c>
      <c r="D30" s="6">
        <v>75.599999999999994</v>
      </c>
      <c r="E30" s="6">
        <v>42.8</v>
      </c>
      <c r="F30" s="6">
        <v>68.8</v>
      </c>
      <c r="G30" s="6">
        <v>108.8</v>
      </c>
    </row>
    <row r="31" spans="1:7" x14ac:dyDescent="0.25">
      <c r="A31" s="10">
        <v>8</v>
      </c>
      <c r="B31" s="6">
        <v>23.6</v>
      </c>
      <c r="C31" s="6">
        <v>58</v>
      </c>
      <c r="D31" s="6">
        <v>99.4</v>
      </c>
      <c r="E31" s="6">
        <v>45.5</v>
      </c>
      <c r="F31" s="6">
        <v>62.4</v>
      </c>
      <c r="G31" s="6">
        <v>115.6</v>
      </c>
    </row>
    <row r="32" spans="1:7" x14ac:dyDescent="0.25">
      <c r="A32" s="10">
        <v>9</v>
      </c>
      <c r="B32" s="6">
        <v>30.8</v>
      </c>
      <c r="C32" s="6">
        <v>53.3</v>
      </c>
      <c r="D32" s="6">
        <v>76.2</v>
      </c>
      <c r="E32" s="6">
        <v>35.4</v>
      </c>
      <c r="F32" s="6">
        <v>84.3</v>
      </c>
      <c r="G32" s="6">
        <v>99.3</v>
      </c>
    </row>
    <row r="33" spans="1:7" x14ac:dyDescent="0.25">
      <c r="A33" s="10">
        <v>10</v>
      </c>
      <c r="B33" s="6">
        <v>25.5</v>
      </c>
      <c r="C33" s="6">
        <v>60.5</v>
      </c>
      <c r="D33" s="6">
        <v>102.7</v>
      </c>
      <c r="E33" s="6">
        <v>31.5</v>
      </c>
      <c r="F33" s="6">
        <v>66.400000000000006</v>
      </c>
      <c r="G33" s="6">
        <v>117.7</v>
      </c>
    </row>
    <row r="34" spans="1:7" x14ac:dyDescent="0.25">
      <c r="A34" s="10">
        <v>11</v>
      </c>
      <c r="B34" s="6"/>
      <c r="C34" s="6"/>
      <c r="D34" s="6"/>
      <c r="E34" s="6">
        <v>27.8</v>
      </c>
      <c r="F34" s="6">
        <v>73.7</v>
      </c>
      <c r="G34" s="6">
        <v>87.7</v>
      </c>
    </row>
    <row r="35" spans="1:7" x14ac:dyDescent="0.25">
      <c r="A35" s="10">
        <v>12</v>
      </c>
      <c r="B35" s="6"/>
      <c r="C35" s="6"/>
      <c r="D35" s="6"/>
      <c r="E35" s="6">
        <v>27.5</v>
      </c>
      <c r="F35" s="6">
        <v>76.7</v>
      </c>
      <c r="G35" s="6">
        <v>100.5</v>
      </c>
    </row>
    <row r="36" spans="1:7" x14ac:dyDescent="0.25">
      <c r="A36" s="10">
        <v>13</v>
      </c>
      <c r="B36" s="6"/>
      <c r="C36" s="6"/>
      <c r="D36" s="6"/>
      <c r="E36" s="6">
        <v>26.9</v>
      </c>
      <c r="F36" s="6">
        <v>65.2</v>
      </c>
      <c r="G36" s="6">
        <v>115.7</v>
      </c>
    </row>
    <row r="37" spans="1:7" x14ac:dyDescent="0.25">
      <c r="A37" s="10">
        <v>14</v>
      </c>
      <c r="B37" s="6"/>
      <c r="C37" s="6"/>
      <c r="D37" s="6"/>
      <c r="E37" s="6">
        <v>33.4</v>
      </c>
      <c r="F37" s="6">
        <v>79.7</v>
      </c>
      <c r="G37" s="6">
        <v>98.7</v>
      </c>
    </row>
    <row r="38" spans="1:7" x14ac:dyDescent="0.25">
      <c r="A38" s="10">
        <v>15</v>
      </c>
      <c r="B38" s="6"/>
      <c r="C38" s="6"/>
      <c r="D38" s="6"/>
      <c r="E38" s="6">
        <v>46.4</v>
      </c>
      <c r="F38" s="6">
        <v>82.6</v>
      </c>
      <c r="G38" s="6">
        <v>105.3</v>
      </c>
    </row>
    <row r="39" spans="1:7" x14ac:dyDescent="0.25">
      <c r="A39" s="10">
        <v>16</v>
      </c>
      <c r="B39" s="6"/>
      <c r="C39" s="6"/>
      <c r="D39" s="6"/>
      <c r="E39" s="6">
        <v>57.4</v>
      </c>
      <c r="F39" s="6">
        <v>74.5</v>
      </c>
      <c r="G39" s="6">
        <v>103.2</v>
      </c>
    </row>
    <row r="40" spans="1:7" x14ac:dyDescent="0.25">
      <c r="A40" s="10">
        <v>17</v>
      </c>
      <c r="B40" s="6"/>
      <c r="C40" s="6"/>
      <c r="D40" s="6"/>
      <c r="E40" s="6">
        <v>52.2</v>
      </c>
      <c r="F40" s="6">
        <v>82.5</v>
      </c>
      <c r="G40" s="6">
        <v>116.1</v>
      </c>
    </row>
    <row r="41" spans="1:7" x14ac:dyDescent="0.25">
      <c r="A41" s="10">
        <v>18</v>
      </c>
      <c r="B41" s="6"/>
      <c r="C41" s="6"/>
      <c r="D41" s="6"/>
      <c r="E41" s="6">
        <v>47</v>
      </c>
      <c r="F41" s="6">
        <v>71.599999999999994</v>
      </c>
      <c r="G41" s="6">
        <v>97.3</v>
      </c>
    </row>
    <row r="42" spans="1:7" x14ac:dyDescent="0.25">
      <c r="A42" s="10">
        <v>19</v>
      </c>
      <c r="B42" s="6"/>
      <c r="C42" s="6"/>
      <c r="D42" s="6"/>
      <c r="E42" s="6">
        <v>45.4</v>
      </c>
      <c r="F42" s="6">
        <v>76.400000000000006</v>
      </c>
      <c r="G42" s="6">
        <v>101.9</v>
      </c>
    </row>
    <row r="43" spans="1:7" x14ac:dyDescent="0.25">
      <c r="A43" s="10">
        <v>20</v>
      </c>
      <c r="B43" s="6"/>
      <c r="C43" s="6"/>
      <c r="D43" s="6"/>
      <c r="E43" s="6">
        <v>43.6</v>
      </c>
      <c r="F43" s="6">
        <v>69.7</v>
      </c>
      <c r="G43" s="6">
        <v>88.8</v>
      </c>
    </row>
    <row r="44" spans="1:7" x14ac:dyDescent="0.25">
      <c r="A44" s="10">
        <v>21</v>
      </c>
      <c r="B44" s="6"/>
      <c r="C44" s="6"/>
      <c r="D44" s="6"/>
      <c r="E44" s="6">
        <v>56.9</v>
      </c>
      <c r="F44" s="6">
        <v>71.7</v>
      </c>
      <c r="G44" s="6">
        <v>107.9</v>
      </c>
    </row>
    <row r="45" spans="1:7" x14ac:dyDescent="0.25">
      <c r="A45" s="10">
        <v>22</v>
      </c>
      <c r="B45" s="6"/>
      <c r="C45" s="6"/>
      <c r="D45" s="6"/>
      <c r="E45" s="6">
        <v>42</v>
      </c>
      <c r="F45" s="6">
        <v>68.2</v>
      </c>
      <c r="G45" s="6">
        <v>115.5</v>
      </c>
    </row>
    <row r="46" spans="1:7" x14ac:dyDescent="0.25">
      <c r="A46" s="10">
        <v>23</v>
      </c>
      <c r="B46" s="6"/>
      <c r="C46" s="6"/>
      <c r="D46" s="6"/>
      <c r="E46" s="6">
        <v>55.9</v>
      </c>
      <c r="F46" s="6">
        <v>83.4</v>
      </c>
      <c r="G46" s="6">
        <v>110.1</v>
      </c>
    </row>
    <row r="47" spans="1:7" x14ac:dyDescent="0.25">
      <c r="A47" s="10">
        <v>24</v>
      </c>
      <c r="B47" s="6"/>
      <c r="C47" s="6"/>
      <c r="D47" s="6"/>
      <c r="E47" s="6">
        <v>49</v>
      </c>
      <c r="F47" s="6">
        <v>66.5</v>
      </c>
      <c r="G47" s="6">
        <v>110</v>
      </c>
    </row>
    <row r="48" spans="1:7" x14ac:dyDescent="0.25">
      <c r="A48" s="10">
        <v>25</v>
      </c>
      <c r="B48" s="6"/>
      <c r="C48" s="6"/>
      <c r="D48" s="6"/>
      <c r="E48" s="6">
        <v>57.7</v>
      </c>
      <c r="F48" s="6">
        <v>73.7</v>
      </c>
      <c r="G48" s="6">
        <v>113.8</v>
      </c>
    </row>
    <row r="49" spans="1:7" x14ac:dyDescent="0.25">
      <c r="A49" s="10">
        <v>26</v>
      </c>
      <c r="B49" s="6"/>
      <c r="C49" s="13"/>
      <c r="D49" s="6"/>
      <c r="E49" s="6">
        <v>40.1</v>
      </c>
      <c r="F49" s="6">
        <v>66.7</v>
      </c>
      <c r="G49" s="6">
        <v>118.6</v>
      </c>
    </row>
    <row r="50" spans="1:7" x14ac:dyDescent="0.25">
      <c r="A50" s="10">
        <v>27</v>
      </c>
      <c r="B50" s="6"/>
      <c r="C50" s="13"/>
      <c r="D50" s="6"/>
      <c r="E50" s="6">
        <v>28.6</v>
      </c>
      <c r="F50" s="6">
        <v>68.8</v>
      </c>
      <c r="G50" s="6">
        <v>115.9</v>
      </c>
    </row>
    <row r="51" spans="1:7" x14ac:dyDescent="0.25">
      <c r="A51" s="10">
        <v>28</v>
      </c>
      <c r="B51" s="6"/>
      <c r="C51" s="14"/>
      <c r="D51" s="6"/>
      <c r="E51" s="6">
        <v>49.4</v>
      </c>
      <c r="F51" s="6">
        <v>61.1</v>
      </c>
      <c r="G51" s="6">
        <v>114.3</v>
      </c>
    </row>
    <row r="52" spans="1:7" ht="14.5" thickBot="1" x14ac:dyDescent="0.3">
      <c r="A52" s="11">
        <v>29</v>
      </c>
      <c r="B52" s="15"/>
      <c r="C52" s="15"/>
      <c r="D52" s="12"/>
      <c r="E52" s="6">
        <v>25.5</v>
      </c>
      <c r="F52" s="6">
        <v>61.8</v>
      </c>
      <c r="G52" s="6">
        <v>85.2</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37.1</v>
      </c>
      <c r="C56" s="6">
        <v>51</v>
      </c>
      <c r="D56" s="6">
        <v>87</v>
      </c>
      <c r="E56" s="6">
        <v>47.9</v>
      </c>
      <c r="F56" s="6">
        <v>76.7</v>
      </c>
      <c r="G56" s="6">
        <v>100.3</v>
      </c>
    </row>
    <row r="57" spans="1:7" x14ac:dyDescent="0.25">
      <c r="A57" s="10">
        <v>2</v>
      </c>
      <c r="B57" s="6">
        <v>41.2</v>
      </c>
      <c r="C57" s="6">
        <v>61</v>
      </c>
      <c r="D57" s="6">
        <v>78.3</v>
      </c>
      <c r="E57" s="6">
        <v>47.7</v>
      </c>
      <c r="F57" s="6">
        <v>60.2</v>
      </c>
      <c r="G57" s="6">
        <v>89.9</v>
      </c>
    </row>
    <row r="58" spans="1:7" x14ac:dyDescent="0.25">
      <c r="A58" s="10">
        <v>3</v>
      </c>
      <c r="B58" s="6">
        <v>26</v>
      </c>
      <c r="C58" s="6">
        <v>47.6</v>
      </c>
      <c r="D58" s="6">
        <v>76.599999999999994</v>
      </c>
      <c r="E58" s="6">
        <v>54.7</v>
      </c>
      <c r="F58" s="6">
        <v>80.8</v>
      </c>
      <c r="G58" s="6">
        <v>110.8</v>
      </c>
    </row>
    <row r="59" spans="1:7" x14ac:dyDescent="0.25">
      <c r="A59" s="10">
        <v>4</v>
      </c>
      <c r="B59" s="6">
        <v>41.6</v>
      </c>
      <c r="C59" s="6">
        <v>46.3</v>
      </c>
      <c r="D59" s="6">
        <v>86.7</v>
      </c>
      <c r="E59" s="6">
        <v>31.4</v>
      </c>
      <c r="F59" s="6">
        <v>80.5</v>
      </c>
      <c r="G59" s="6">
        <v>113.3</v>
      </c>
    </row>
    <row r="60" spans="1:7" x14ac:dyDescent="0.25">
      <c r="A60" s="10">
        <v>5</v>
      </c>
      <c r="B60" s="6">
        <v>40.9</v>
      </c>
      <c r="C60" s="6">
        <v>60</v>
      </c>
      <c r="D60" s="6">
        <v>66.7</v>
      </c>
      <c r="E60" s="6">
        <v>48.4</v>
      </c>
      <c r="F60" s="6">
        <v>73</v>
      </c>
      <c r="G60" s="6">
        <v>85.7</v>
      </c>
    </row>
    <row r="61" spans="1:7" x14ac:dyDescent="0.25">
      <c r="A61" s="10">
        <v>6</v>
      </c>
      <c r="B61" s="6">
        <v>23.9</v>
      </c>
      <c r="C61" s="6">
        <v>46.5</v>
      </c>
      <c r="D61" s="6">
        <v>89.7</v>
      </c>
      <c r="E61" s="6">
        <v>53</v>
      </c>
      <c r="F61" s="6">
        <v>63.3</v>
      </c>
      <c r="G61" s="6">
        <v>96.4</v>
      </c>
    </row>
    <row r="62" spans="1:7" x14ac:dyDescent="0.25">
      <c r="A62" s="10">
        <v>7</v>
      </c>
      <c r="B62" s="6">
        <v>33.200000000000003</v>
      </c>
      <c r="C62" s="6">
        <v>64</v>
      </c>
      <c r="D62" s="6">
        <v>98.2</v>
      </c>
      <c r="E62" s="6">
        <v>43.6</v>
      </c>
      <c r="F62" s="6">
        <v>65.400000000000006</v>
      </c>
      <c r="G62" s="6">
        <v>95.9</v>
      </c>
    </row>
    <row r="63" spans="1:7" x14ac:dyDescent="0.25">
      <c r="A63" s="10">
        <v>8</v>
      </c>
      <c r="B63" s="6">
        <v>37</v>
      </c>
      <c r="C63" s="6">
        <v>46.4</v>
      </c>
      <c r="D63" s="6">
        <v>84</v>
      </c>
      <c r="E63" s="6"/>
      <c r="F63" s="6"/>
      <c r="G63" s="6"/>
    </row>
    <row r="64" spans="1:7" x14ac:dyDescent="0.25">
      <c r="A64" s="10">
        <v>9</v>
      </c>
      <c r="B64" s="6">
        <v>34.5</v>
      </c>
      <c r="C64" s="6">
        <v>60.8</v>
      </c>
      <c r="D64" s="6">
        <v>93.2</v>
      </c>
      <c r="E64" s="6"/>
      <c r="F64" s="6"/>
      <c r="G64" s="6"/>
    </row>
    <row r="65" spans="1:7" x14ac:dyDescent="0.25">
      <c r="A65" s="10">
        <v>10</v>
      </c>
      <c r="B65" s="6">
        <v>39.9</v>
      </c>
      <c r="C65" s="6">
        <v>61</v>
      </c>
      <c r="D65" s="6">
        <v>81.3</v>
      </c>
      <c r="E65" s="6"/>
      <c r="F65" s="6"/>
      <c r="G65" s="6"/>
    </row>
    <row r="66" spans="1:7" x14ac:dyDescent="0.25">
      <c r="A66" s="10">
        <v>11</v>
      </c>
      <c r="B66" s="6">
        <v>26.5</v>
      </c>
      <c r="C66" s="6">
        <v>45.1</v>
      </c>
      <c r="D66" s="6">
        <v>90.8</v>
      </c>
      <c r="E66" s="6"/>
      <c r="F66" s="6"/>
      <c r="G66" s="6"/>
    </row>
    <row r="67" spans="1:7" ht="14.5" thickBot="1" x14ac:dyDescent="0.3">
      <c r="A67" s="11">
        <v>12</v>
      </c>
      <c r="B67" s="6">
        <v>40</v>
      </c>
      <c r="C67" s="6">
        <v>51.5</v>
      </c>
      <c r="D67" s="6">
        <v>104.3</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38.200000000000003</v>
      </c>
      <c r="C71" s="6">
        <v>47.8</v>
      </c>
      <c r="D71" s="6">
        <v>98</v>
      </c>
      <c r="E71" s="6"/>
      <c r="F71" s="6"/>
      <c r="G71" s="6"/>
    </row>
    <row r="72" spans="1:7" x14ac:dyDescent="0.25">
      <c r="A72" s="10">
        <v>2</v>
      </c>
      <c r="B72" s="6">
        <v>38.200000000000003</v>
      </c>
      <c r="C72" s="6">
        <v>45.4</v>
      </c>
      <c r="D72" s="6">
        <v>94</v>
      </c>
      <c r="E72" s="5"/>
      <c r="F72" s="5"/>
      <c r="G72" s="6"/>
    </row>
    <row r="73" spans="1:7" x14ac:dyDescent="0.25">
      <c r="A73" s="10">
        <v>3</v>
      </c>
      <c r="B73" s="6">
        <v>42.2</v>
      </c>
      <c r="C73" s="6">
        <v>50.8</v>
      </c>
      <c r="D73" s="6">
        <v>102.9</v>
      </c>
      <c r="E73" s="5"/>
      <c r="F73" s="5"/>
      <c r="G73" s="5"/>
    </row>
    <row r="74" spans="1:7" x14ac:dyDescent="0.25">
      <c r="A74" s="10">
        <v>4</v>
      </c>
      <c r="B74" s="6">
        <v>33</v>
      </c>
      <c r="C74" s="6">
        <v>60.6</v>
      </c>
      <c r="D74" s="6">
        <v>98.9</v>
      </c>
      <c r="E74" s="5"/>
      <c r="F74" s="5"/>
      <c r="G74" s="5"/>
    </row>
    <row r="75" spans="1:7" x14ac:dyDescent="0.25">
      <c r="A75" s="10">
        <v>5</v>
      </c>
      <c r="B75" s="6">
        <v>41.1</v>
      </c>
      <c r="C75" s="6">
        <v>51.1</v>
      </c>
      <c r="D75" s="6">
        <v>80.8</v>
      </c>
      <c r="E75" s="5"/>
      <c r="F75" s="5"/>
      <c r="G75" s="5"/>
    </row>
    <row r="76" spans="1:7" x14ac:dyDescent="0.25">
      <c r="A76" s="10">
        <v>6</v>
      </c>
      <c r="B76" s="6">
        <v>42.3</v>
      </c>
      <c r="C76" s="6">
        <v>58</v>
      </c>
      <c r="D76" s="6">
        <v>103.5</v>
      </c>
      <c r="E76" s="5"/>
      <c r="F76" s="5"/>
      <c r="G76" s="5"/>
    </row>
    <row r="77" spans="1:7" x14ac:dyDescent="0.25">
      <c r="A77" s="10">
        <v>7</v>
      </c>
      <c r="B77" s="6">
        <v>33.5</v>
      </c>
      <c r="C77" s="6">
        <v>58.3</v>
      </c>
      <c r="D77" s="6">
        <v>94</v>
      </c>
      <c r="E77" s="5"/>
      <c r="F77" s="5"/>
      <c r="G77" s="5"/>
    </row>
    <row r="78" spans="1:7" x14ac:dyDescent="0.25">
      <c r="A78" s="10">
        <v>8</v>
      </c>
      <c r="B78" s="6">
        <v>43.8</v>
      </c>
      <c r="C78" s="6">
        <v>59.6</v>
      </c>
      <c r="D78" s="6">
        <v>101.3</v>
      </c>
      <c r="E78" s="5"/>
      <c r="F78" s="5"/>
      <c r="G78" s="5"/>
    </row>
    <row r="79" spans="1:7" x14ac:dyDescent="0.25">
      <c r="A79" s="10">
        <v>9</v>
      </c>
      <c r="B79" s="6">
        <v>38.4</v>
      </c>
      <c r="C79" s="6">
        <v>54.7</v>
      </c>
      <c r="D79" s="6">
        <v>104.3</v>
      </c>
      <c r="E79" s="5"/>
      <c r="F79" s="5"/>
      <c r="G79" s="5"/>
    </row>
    <row r="80" spans="1:7" x14ac:dyDescent="0.25">
      <c r="A80" s="10">
        <v>10</v>
      </c>
      <c r="B80" s="6">
        <v>44.6</v>
      </c>
      <c r="C80" s="6">
        <v>52.7</v>
      </c>
      <c r="D80" s="6">
        <v>95.9</v>
      </c>
      <c r="E80" s="5"/>
      <c r="F80" s="5"/>
      <c r="G80" s="5"/>
    </row>
    <row r="81" spans="1:7" x14ac:dyDescent="0.25">
      <c r="A81" s="10">
        <v>11</v>
      </c>
      <c r="B81" s="6">
        <v>22.2</v>
      </c>
      <c r="C81" s="6">
        <v>64.2</v>
      </c>
      <c r="D81" s="6">
        <v>70.7</v>
      </c>
      <c r="E81" s="5"/>
      <c r="F81" s="5"/>
      <c r="G81" s="5"/>
    </row>
    <row r="82" spans="1:7" x14ac:dyDescent="0.25">
      <c r="A82" s="10">
        <v>12</v>
      </c>
      <c r="B82" s="6">
        <v>30.4</v>
      </c>
      <c r="C82" s="6">
        <v>48.1</v>
      </c>
      <c r="D82" s="6">
        <v>93.1</v>
      </c>
      <c r="E82" s="5"/>
      <c r="F82" s="5"/>
      <c r="G82" s="5"/>
    </row>
    <row r="83" spans="1:7" x14ac:dyDescent="0.25">
      <c r="A83" s="10">
        <v>13</v>
      </c>
      <c r="B83" s="6">
        <v>27</v>
      </c>
      <c r="C83" s="6">
        <v>58.8</v>
      </c>
      <c r="D83" s="6">
        <v>80.3</v>
      </c>
      <c r="E83" s="5"/>
      <c r="F83" s="5"/>
      <c r="G83" s="5"/>
    </row>
    <row r="84" spans="1:7" x14ac:dyDescent="0.25">
      <c r="A84" s="10">
        <v>14</v>
      </c>
      <c r="B84" s="6">
        <v>33.799999999999997</v>
      </c>
      <c r="C84" s="6">
        <v>47.3</v>
      </c>
      <c r="D84" s="6">
        <v>72.2</v>
      </c>
      <c r="E84" s="5"/>
      <c r="F84" s="5"/>
      <c r="G84" s="5"/>
    </row>
    <row r="85" spans="1:7" x14ac:dyDescent="0.25">
      <c r="A85" s="10">
        <v>15</v>
      </c>
      <c r="B85" s="6">
        <v>24.5</v>
      </c>
      <c r="C85" s="6">
        <v>61.6</v>
      </c>
      <c r="D85" s="6">
        <v>100.4</v>
      </c>
      <c r="E85" s="5"/>
      <c r="F85" s="5"/>
      <c r="G85" s="5"/>
    </row>
    <row r="86" spans="1:7" x14ac:dyDescent="0.25">
      <c r="A86" s="10">
        <v>16</v>
      </c>
      <c r="B86" s="6">
        <v>44.5</v>
      </c>
      <c r="C86" s="6">
        <v>48.9</v>
      </c>
      <c r="D86" s="6">
        <v>91.5</v>
      </c>
      <c r="E86" s="5"/>
      <c r="F86" s="5"/>
      <c r="G86" s="5"/>
    </row>
    <row r="87" spans="1:7" x14ac:dyDescent="0.25">
      <c r="A87" s="10">
        <v>17</v>
      </c>
      <c r="B87" s="6">
        <v>38.9</v>
      </c>
      <c r="C87" s="6">
        <v>49.5</v>
      </c>
      <c r="D87" s="6">
        <v>105.8</v>
      </c>
      <c r="E87" s="5"/>
      <c r="F87" s="5"/>
      <c r="G87" s="5"/>
    </row>
    <row r="88" spans="1:7" x14ac:dyDescent="0.25">
      <c r="A88" s="10">
        <v>18</v>
      </c>
      <c r="B88" s="6">
        <v>35.299999999999997</v>
      </c>
      <c r="C88" s="6">
        <v>48.3</v>
      </c>
      <c r="D88" s="6">
        <v>109.4</v>
      </c>
      <c r="E88" s="5"/>
      <c r="F88" s="5"/>
      <c r="G88" s="5"/>
    </row>
    <row r="89" spans="1:7" x14ac:dyDescent="0.25">
      <c r="A89" s="10">
        <v>19</v>
      </c>
      <c r="B89" s="6">
        <v>21.8</v>
      </c>
      <c r="C89" s="6">
        <v>45.2</v>
      </c>
      <c r="D89" s="6">
        <v>69.7</v>
      </c>
      <c r="E89" s="5"/>
      <c r="F89" s="5"/>
      <c r="G89" s="5"/>
    </row>
    <row r="90" spans="1:7" x14ac:dyDescent="0.25">
      <c r="A90" s="10">
        <v>20</v>
      </c>
      <c r="B90" s="6">
        <v>27.3</v>
      </c>
      <c r="C90" s="6">
        <v>64.400000000000006</v>
      </c>
      <c r="D90" s="6">
        <v>81.099999999999994</v>
      </c>
      <c r="E90" s="5"/>
      <c r="F90" s="5"/>
      <c r="G90" s="5"/>
    </row>
    <row r="91" spans="1:7" x14ac:dyDescent="0.25">
      <c r="A91" s="10">
        <v>21</v>
      </c>
      <c r="B91" s="6">
        <v>34.4</v>
      </c>
      <c r="C91" s="6">
        <v>58.3</v>
      </c>
      <c r="D91" s="6">
        <v>94.6</v>
      </c>
      <c r="E91" s="5"/>
      <c r="F91" s="5"/>
      <c r="G91" s="5"/>
    </row>
    <row r="92" spans="1:7" x14ac:dyDescent="0.25">
      <c r="A92" s="10">
        <v>22</v>
      </c>
      <c r="B92" s="6">
        <v>30.5</v>
      </c>
      <c r="C92" s="6">
        <v>61.7</v>
      </c>
      <c r="D92" s="6">
        <v>90.6</v>
      </c>
      <c r="E92" s="5"/>
      <c r="F92" s="5"/>
      <c r="G92" s="5"/>
    </row>
    <row r="93" spans="1:7" x14ac:dyDescent="0.25">
      <c r="A93" s="10">
        <v>23</v>
      </c>
      <c r="B93" s="6">
        <v>35.1</v>
      </c>
      <c r="C93" s="6">
        <v>48.4</v>
      </c>
      <c r="D93" s="6">
        <v>100.2</v>
      </c>
      <c r="E93" s="5"/>
      <c r="F93" s="5"/>
      <c r="G93" s="5"/>
    </row>
    <row r="94" spans="1:7" x14ac:dyDescent="0.25">
      <c r="A94" s="10">
        <v>24</v>
      </c>
      <c r="B94" s="6">
        <v>23.2</v>
      </c>
      <c r="C94" s="6">
        <v>52.4</v>
      </c>
      <c r="D94" s="6">
        <v>92.3</v>
      </c>
      <c r="E94" s="5"/>
      <c r="F94" s="5"/>
      <c r="G94" s="5"/>
    </row>
    <row r="95" spans="1:7" x14ac:dyDescent="0.25">
      <c r="A95" s="10">
        <v>25</v>
      </c>
      <c r="B95" s="6">
        <v>41.2</v>
      </c>
      <c r="C95" s="6">
        <v>60.1</v>
      </c>
      <c r="D95" s="6">
        <v>86.3</v>
      </c>
      <c r="E95" s="5"/>
      <c r="F95" s="5"/>
      <c r="G95" s="5"/>
    </row>
    <row r="96" spans="1:7" x14ac:dyDescent="0.25">
      <c r="A96" s="10">
        <v>26</v>
      </c>
      <c r="B96" s="6">
        <v>36.1</v>
      </c>
      <c r="C96" s="6">
        <v>58.1</v>
      </c>
      <c r="D96" s="6">
        <v>88.3</v>
      </c>
      <c r="E96" s="14"/>
      <c r="F96" s="14"/>
      <c r="G96" s="14"/>
    </row>
    <row r="97" spans="1:7" x14ac:dyDescent="0.25">
      <c r="A97" s="10">
        <v>27</v>
      </c>
      <c r="B97" s="6">
        <v>36</v>
      </c>
      <c r="C97" s="6">
        <v>56.1</v>
      </c>
      <c r="D97" s="6">
        <v>80.400000000000006</v>
      </c>
      <c r="E97" s="14"/>
      <c r="F97" s="14"/>
      <c r="G97" s="14"/>
    </row>
    <row r="98" spans="1:7" x14ac:dyDescent="0.25">
      <c r="A98" s="10">
        <v>28</v>
      </c>
      <c r="B98" s="6">
        <v>32.6</v>
      </c>
      <c r="C98" s="6">
        <v>58.4</v>
      </c>
      <c r="D98" s="6">
        <v>73.2</v>
      </c>
      <c r="E98" s="14"/>
      <c r="F98" s="14"/>
      <c r="G98" s="14"/>
    </row>
    <row r="99" spans="1:7" x14ac:dyDescent="0.25">
      <c r="A99" s="10">
        <v>29</v>
      </c>
      <c r="B99" s="6">
        <v>38.700000000000003</v>
      </c>
      <c r="C99" s="6">
        <v>52.5</v>
      </c>
      <c r="D99" s="6">
        <v>81.7</v>
      </c>
      <c r="E99" s="5"/>
      <c r="F99" s="5"/>
      <c r="G99" s="5"/>
    </row>
    <row r="100" spans="1:7" x14ac:dyDescent="0.25">
      <c r="A100" s="10">
        <v>30</v>
      </c>
      <c r="B100" s="6">
        <v>40.200000000000003</v>
      </c>
      <c r="C100" s="6">
        <v>56.5</v>
      </c>
      <c r="D100" s="6">
        <v>83.4</v>
      </c>
      <c r="E100" s="1"/>
      <c r="F100" s="1"/>
      <c r="G100" s="1"/>
    </row>
    <row r="101" spans="1:7" x14ac:dyDescent="0.25">
      <c r="A101" s="10">
        <v>31</v>
      </c>
      <c r="B101" s="6">
        <v>20.7</v>
      </c>
      <c r="C101" s="6">
        <v>50.6</v>
      </c>
      <c r="D101" s="6">
        <v>96</v>
      </c>
      <c r="E101" s="1"/>
      <c r="F101" s="1"/>
      <c r="G101" s="1"/>
    </row>
    <row r="102" spans="1:7" x14ac:dyDescent="0.25">
      <c r="A102" s="10">
        <v>32</v>
      </c>
      <c r="B102" s="6">
        <v>36.200000000000003</v>
      </c>
      <c r="C102" s="6">
        <v>63.8</v>
      </c>
      <c r="D102" s="6">
        <v>96.5</v>
      </c>
      <c r="E102" s="1"/>
      <c r="F102" s="1"/>
      <c r="G102" s="1"/>
    </row>
    <row r="103" spans="1:7" x14ac:dyDescent="0.25">
      <c r="A103" s="10">
        <v>33</v>
      </c>
      <c r="B103" s="6">
        <v>44.6</v>
      </c>
      <c r="C103" s="6">
        <v>53.9</v>
      </c>
      <c r="D103" s="6">
        <v>109.2</v>
      </c>
      <c r="E103" s="1"/>
      <c r="F103" s="1"/>
      <c r="G103" s="1"/>
    </row>
    <row r="104" spans="1:7" x14ac:dyDescent="0.25">
      <c r="A104" s="10">
        <v>34</v>
      </c>
      <c r="B104" s="6">
        <v>30.3</v>
      </c>
      <c r="C104" s="6">
        <v>55</v>
      </c>
      <c r="D104" s="6">
        <v>68</v>
      </c>
      <c r="E104" s="1"/>
      <c r="F104" s="1"/>
      <c r="G104" s="1"/>
    </row>
    <row r="105" spans="1:7" x14ac:dyDescent="0.25">
      <c r="A105" s="10">
        <v>35</v>
      </c>
      <c r="B105" s="6">
        <v>23</v>
      </c>
      <c r="C105" s="6">
        <v>48.4</v>
      </c>
      <c r="D105" s="6">
        <v>81.099999999999994</v>
      </c>
      <c r="E105" s="1"/>
      <c r="F105" s="1"/>
      <c r="G105" s="1"/>
    </row>
    <row r="106" spans="1:7" x14ac:dyDescent="0.25">
      <c r="A106" s="10">
        <v>36</v>
      </c>
      <c r="B106" s="6">
        <v>31.3</v>
      </c>
      <c r="C106" s="6">
        <v>51</v>
      </c>
      <c r="D106" s="6">
        <v>71.599999999999994</v>
      </c>
      <c r="E106" s="1"/>
      <c r="F106" s="1"/>
      <c r="G106" s="1"/>
    </row>
    <row r="107" spans="1:7" x14ac:dyDescent="0.25">
      <c r="A107" s="10">
        <v>37</v>
      </c>
      <c r="B107" s="6">
        <v>29.6</v>
      </c>
      <c r="C107" s="6">
        <v>64.900000000000006</v>
      </c>
      <c r="D107" s="6">
        <v>71</v>
      </c>
      <c r="E107" s="1"/>
      <c r="F107" s="1"/>
      <c r="G107" s="1"/>
    </row>
    <row r="108" spans="1:7" x14ac:dyDescent="0.25">
      <c r="A108" s="10">
        <v>38</v>
      </c>
      <c r="B108" s="6">
        <v>24.2</v>
      </c>
      <c r="C108" s="6">
        <v>63.2</v>
      </c>
      <c r="D108" s="6">
        <v>95</v>
      </c>
      <c r="E108" s="1"/>
      <c r="F108" s="1"/>
      <c r="G108" s="1"/>
    </row>
    <row r="109" spans="1:7" x14ac:dyDescent="0.25">
      <c r="A109" s="10">
        <v>39</v>
      </c>
      <c r="B109" s="6">
        <v>43.4</v>
      </c>
      <c r="C109" s="6">
        <v>62.7</v>
      </c>
      <c r="D109" s="6">
        <v>106.5</v>
      </c>
      <c r="E109" s="1"/>
      <c r="F109" s="1"/>
      <c r="G109" s="1"/>
    </row>
    <row r="110" spans="1:7" x14ac:dyDescent="0.25">
      <c r="A110" s="10">
        <v>40</v>
      </c>
      <c r="B110" s="6">
        <v>36.299999999999997</v>
      </c>
      <c r="C110" s="6">
        <v>48.2</v>
      </c>
      <c r="D110" s="6">
        <v>104.3</v>
      </c>
      <c r="E110" s="1"/>
      <c r="F110" s="1"/>
      <c r="G110" s="1"/>
    </row>
    <row r="111" spans="1:7" x14ac:dyDescent="0.25">
      <c r="A111" s="10">
        <v>41</v>
      </c>
      <c r="B111" s="6">
        <v>43.6</v>
      </c>
      <c r="C111" s="6">
        <v>64.599999999999994</v>
      </c>
      <c r="D111" s="6">
        <v>90</v>
      </c>
      <c r="E111" s="1"/>
      <c r="F111" s="1"/>
      <c r="G111" s="1"/>
    </row>
    <row r="112" spans="1:7" x14ac:dyDescent="0.25">
      <c r="A112" s="10">
        <v>42</v>
      </c>
      <c r="B112" s="6">
        <v>30</v>
      </c>
      <c r="C112" s="6">
        <v>57.5</v>
      </c>
      <c r="D112" s="6">
        <v>95</v>
      </c>
      <c r="E112" s="1"/>
      <c r="F112" s="1"/>
      <c r="G112" s="1"/>
    </row>
    <row r="113" spans="1:7" x14ac:dyDescent="0.25">
      <c r="A113" s="10">
        <v>43</v>
      </c>
      <c r="B113" s="6">
        <v>20</v>
      </c>
      <c r="C113" s="6">
        <v>55.5</v>
      </c>
      <c r="D113" s="6">
        <v>74.8</v>
      </c>
      <c r="E113" s="1"/>
      <c r="F113" s="1"/>
      <c r="G113" s="1"/>
    </row>
    <row r="114" spans="1:7" x14ac:dyDescent="0.25">
      <c r="A114" s="10">
        <v>44</v>
      </c>
      <c r="B114" s="6">
        <v>42.2</v>
      </c>
      <c r="C114" s="6">
        <v>61.3</v>
      </c>
      <c r="D114" s="6">
        <v>106.3</v>
      </c>
      <c r="E114" s="1"/>
      <c r="F114" s="1"/>
      <c r="G114" s="1"/>
    </row>
    <row r="115" spans="1:7" x14ac:dyDescent="0.25">
      <c r="A115" s="10">
        <v>45</v>
      </c>
      <c r="B115" s="6">
        <v>40</v>
      </c>
      <c r="C115" s="6">
        <v>48</v>
      </c>
      <c r="D115" s="6">
        <v>73</v>
      </c>
      <c r="E115" s="1"/>
      <c r="F115" s="1"/>
      <c r="G115" s="1"/>
    </row>
    <row r="116" spans="1:7" x14ac:dyDescent="0.25">
      <c r="A116" s="10">
        <v>46</v>
      </c>
      <c r="B116" s="6">
        <v>45</v>
      </c>
      <c r="C116" s="6">
        <v>47.4</v>
      </c>
      <c r="D116" s="6">
        <v>93.6</v>
      </c>
      <c r="E116" s="1"/>
      <c r="F116" s="1"/>
      <c r="G116" s="1"/>
    </row>
    <row r="117" spans="1:7" x14ac:dyDescent="0.25">
      <c r="A117" s="10">
        <v>47</v>
      </c>
      <c r="B117" s="6">
        <v>42.7</v>
      </c>
      <c r="C117" s="6">
        <v>60.6</v>
      </c>
      <c r="D117" s="6">
        <v>68.7</v>
      </c>
      <c r="E117" s="1"/>
      <c r="F117" s="1"/>
      <c r="G117" s="1"/>
    </row>
    <row r="118" spans="1:7" x14ac:dyDescent="0.25">
      <c r="A118" s="10">
        <v>48</v>
      </c>
      <c r="B118" s="6">
        <v>21.8</v>
      </c>
      <c r="C118" s="6">
        <v>64.400000000000006</v>
      </c>
      <c r="D118" s="6">
        <v>72.5</v>
      </c>
      <c r="E118" s="1"/>
      <c r="F118" s="1"/>
      <c r="G118" s="1"/>
    </row>
    <row r="119" spans="1:7" x14ac:dyDescent="0.25">
      <c r="A119" s="10">
        <v>49</v>
      </c>
      <c r="B119" s="6">
        <v>24.4</v>
      </c>
      <c r="C119" s="6">
        <v>51</v>
      </c>
      <c r="D119" s="6">
        <v>66.3</v>
      </c>
      <c r="E119" s="1"/>
      <c r="F119" s="1"/>
      <c r="G119" s="1"/>
    </row>
    <row r="120" spans="1:7" x14ac:dyDescent="0.25">
      <c r="A120" s="10">
        <v>50</v>
      </c>
      <c r="B120" s="6">
        <v>29.1</v>
      </c>
      <c r="C120" s="6">
        <v>55.6</v>
      </c>
      <c r="D120" s="6">
        <v>71</v>
      </c>
      <c r="E120" s="1"/>
      <c r="F120" s="1"/>
      <c r="G120" s="1"/>
    </row>
    <row r="121" spans="1:7" x14ac:dyDescent="0.25">
      <c r="A121" s="10">
        <v>51</v>
      </c>
      <c r="B121" s="6">
        <v>22.1</v>
      </c>
      <c r="C121" s="6">
        <v>59</v>
      </c>
      <c r="D121" s="6">
        <v>106.2</v>
      </c>
      <c r="E121" s="1"/>
      <c r="F121" s="1"/>
      <c r="G121" s="1"/>
    </row>
    <row r="122" spans="1:7" x14ac:dyDescent="0.25">
      <c r="A122" s="10">
        <v>52</v>
      </c>
      <c r="B122" s="6">
        <v>31</v>
      </c>
      <c r="C122" s="6">
        <v>50.2</v>
      </c>
      <c r="D122" s="6">
        <v>101.5</v>
      </c>
      <c r="E122" s="1"/>
      <c r="F122" s="1"/>
      <c r="G122" s="1"/>
    </row>
    <row r="123" spans="1:7" x14ac:dyDescent="0.25">
      <c r="A123" s="10">
        <v>53</v>
      </c>
      <c r="B123" s="6">
        <v>25.5</v>
      </c>
      <c r="C123" s="6">
        <v>58.7</v>
      </c>
      <c r="D123" s="6">
        <v>96.6</v>
      </c>
      <c r="E123" s="1"/>
      <c r="F123" s="1"/>
      <c r="G123" s="1"/>
    </row>
    <row r="124" spans="1:7" x14ac:dyDescent="0.25">
      <c r="A124" s="10">
        <v>54</v>
      </c>
      <c r="B124" s="6">
        <v>31.4</v>
      </c>
      <c r="C124" s="6">
        <v>64.599999999999994</v>
      </c>
      <c r="D124" s="6">
        <v>94.8</v>
      </c>
      <c r="E124" s="1"/>
      <c r="F124" s="1"/>
      <c r="G124" s="1"/>
    </row>
    <row r="125" spans="1:7" x14ac:dyDescent="0.25">
      <c r="A125" s="10">
        <v>55</v>
      </c>
      <c r="B125" s="6">
        <v>37.6</v>
      </c>
      <c r="C125" s="6">
        <v>54.9</v>
      </c>
      <c r="D125" s="6">
        <v>68.8</v>
      </c>
      <c r="E125" s="1"/>
      <c r="F125" s="1"/>
      <c r="G125" s="1"/>
    </row>
    <row r="126" spans="1:7" x14ac:dyDescent="0.25">
      <c r="A126" s="10">
        <v>56</v>
      </c>
      <c r="B126" s="6">
        <v>40.6</v>
      </c>
      <c r="C126" s="6">
        <v>56</v>
      </c>
      <c r="D126" s="6">
        <v>85.2</v>
      </c>
      <c r="E126" s="1"/>
      <c r="F126" s="1"/>
      <c r="G126" s="1"/>
    </row>
    <row r="127" spans="1:7" x14ac:dyDescent="0.25">
      <c r="A127" s="10">
        <v>57</v>
      </c>
      <c r="B127" s="6">
        <v>38.799999999999997</v>
      </c>
      <c r="C127" s="6">
        <v>47.3</v>
      </c>
      <c r="D127" s="6">
        <v>91.4</v>
      </c>
      <c r="E127" s="1"/>
      <c r="F127" s="1"/>
      <c r="G127" s="1"/>
    </row>
    <row r="128" spans="1:7" x14ac:dyDescent="0.25">
      <c r="A128" s="10">
        <v>58</v>
      </c>
      <c r="B128" s="6">
        <v>29.4</v>
      </c>
      <c r="C128" s="6">
        <v>65</v>
      </c>
      <c r="D128" s="6">
        <v>66.599999999999994</v>
      </c>
      <c r="E128" s="1"/>
      <c r="F128" s="1"/>
      <c r="G128" s="1"/>
    </row>
    <row r="129" spans="1:7" x14ac:dyDescent="0.25">
      <c r="A129" s="10">
        <v>59</v>
      </c>
      <c r="B129" s="6">
        <v>41.6</v>
      </c>
      <c r="C129" s="6">
        <v>47.1</v>
      </c>
      <c r="D129" s="6">
        <v>94.9</v>
      </c>
      <c r="E129" s="1"/>
      <c r="F129" s="1"/>
      <c r="G129" s="1"/>
    </row>
    <row r="130" spans="1:7" x14ac:dyDescent="0.25">
      <c r="A130" s="10">
        <v>60</v>
      </c>
      <c r="B130" s="6">
        <v>20.6</v>
      </c>
      <c r="C130" s="6">
        <v>45.4</v>
      </c>
      <c r="D130" s="6">
        <v>102.7</v>
      </c>
      <c r="E130" s="1"/>
      <c r="F130" s="1"/>
      <c r="G130" s="1"/>
    </row>
    <row r="131" spans="1:7" x14ac:dyDescent="0.25">
      <c r="A131" s="10">
        <v>61</v>
      </c>
      <c r="B131" s="6">
        <v>31.5</v>
      </c>
      <c r="C131" s="6">
        <v>50.4</v>
      </c>
      <c r="D131" s="6">
        <v>71.900000000000006</v>
      </c>
      <c r="E131" s="1"/>
      <c r="F131" s="1"/>
      <c r="G131" s="1"/>
    </row>
    <row r="132" spans="1:7" x14ac:dyDescent="0.25">
      <c r="A132" s="10">
        <v>62</v>
      </c>
      <c r="B132" s="6">
        <v>38.6</v>
      </c>
      <c r="C132" s="6">
        <v>47.3</v>
      </c>
      <c r="D132" s="6">
        <v>70</v>
      </c>
      <c r="E132" s="1"/>
      <c r="F132" s="1"/>
      <c r="G132" s="1"/>
    </row>
    <row r="133" spans="1:7" ht="14.5" thickBot="1" x14ac:dyDescent="0.3">
      <c r="A133" s="11">
        <v>63</v>
      </c>
      <c r="B133" s="6">
        <v>22.6</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59.4</v>
      </c>
      <c r="C138" s="330">
        <f>ROUNDDOWN(AVERAGE(E5:G20),1)</f>
        <v>73.900000000000006</v>
      </c>
      <c r="D138" s="328">
        <f>'2022.01'!D138</f>
        <v>8254</v>
      </c>
      <c r="E138" s="328">
        <f>'[2]NLT-applied'!$C$31</f>
        <v>15945</v>
      </c>
      <c r="F138" s="328">
        <f>B138*D138</f>
        <v>490287.6</v>
      </c>
      <c r="G138" s="328">
        <f>C138*E138</f>
        <v>1178335.5</v>
      </c>
    </row>
    <row r="139" spans="1:7" x14ac:dyDescent="0.25">
      <c r="A139" s="329" t="str">
        <f>A21</f>
        <v>Dongtai Jianggang Swine farm</v>
      </c>
      <c r="B139" s="330">
        <f>ROUNDDOWN(AVERAGE(B24:D33),1)</f>
        <v>58.8</v>
      </c>
      <c r="C139" s="330">
        <f>ROUNDDOWN(AVERAGE(E24:G52),1)</f>
        <v>72.7</v>
      </c>
      <c r="D139" s="328">
        <f>'2022.01'!D139</f>
        <v>9392</v>
      </c>
      <c r="E139" s="328">
        <f>'[2]NLT-applied'!$E$31</f>
        <v>29469</v>
      </c>
      <c r="F139" s="328">
        <f t="shared" ref="F139:G141" si="0">B139*D139</f>
        <v>552249.59999999998</v>
      </c>
      <c r="G139" s="328">
        <f t="shared" si="0"/>
        <v>2142396.3000000003</v>
      </c>
    </row>
    <row r="140" spans="1:7" x14ac:dyDescent="0.25">
      <c r="A140" s="329" t="str">
        <f>A53</f>
        <v>Sheyang Linhai Swine farm</v>
      </c>
      <c r="B140" s="330">
        <f>ROUNDDOWN(AVERAGE(B56:D67),1)</f>
        <v>58.3</v>
      </c>
      <c r="C140" s="330">
        <f>ROUNDDOWN(AVERAGE(E56:G62),1)</f>
        <v>72.3</v>
      </c>
      <c r="D140" s="328">
        <f>'2022.01'!D140</f>
        <v>12135</v>
      </c>
      <c r="E140" s="328">
        <f>'[2]NLT-applied'!$G$31</f>
        <v>6414</v>
      </c>
      <c r="F140" s="328">
        <f t="shared" si="0"/>
        <v>707470.5</v>
      </c>
      <c r="G140" s="328">
        <f t="shared" si="0"/>
        <v>463732.19999999995</v>
      </c>
    </row>
    <row r="141" spans="1:7" x14ac:dyDescent="0.25">
      <c r="A141" s="329" t="str">
        <f>A68</f>
        <v>Siyang Nanliuji Swine farm</v>
      </c>
      <c r="B141" s="330">
        <f>ROUNDDOWN(AVERAGE(B71:D133),1)</f>
        <v>58.8</v>
      </c>
      <c r="C141" s="328">
        <f>ROUNDDOWN(AVERAGE(0),1)</f>
        <v>0</v>
      </c>
      <c r="D141" s="328">
        <f>'2022.01'!D141</f>
        <v>64445</v>
      </c>
      <c r="E141" s="328">
        <f>'[3]NLT-applied'!$I$27</f>
        <v>0</v>
      </c>
      <c r="F141" s="328">
        <f t="shared" si="0"/>
        <v>3789366</v>
      </c>
      <c r="G141" s="328">
        <f t="shared" si="0"/>
        <v>0</v>
      </c>
    </row>
    <row r="142" spans="1:7" x14ac:dyDescent="0.25">
      <c r="A142" s="504" t="s">
        <v>343</v>
      </c>
      <c r="B142" s="510"/>
      <c r="C142" s="505"/>
      <c r="D142" s="328">
        <f>SUM(D138:D141)</f>
        <v>94226</v>
      </c>
      <c r="E142" s="328">
        <f>SUM(E138:E141)</f>
        <v>51828</v>
      </c>
      <c r="F142" s="328">
        <f>SUM(F138:F141)</f>
        <v>5539373.7000000002</v>
      </c>
      <c r="G142" s="328">
        <f>SUM(G138:G141)</f>
        <v>3784464</v>
      </c>
    </row>
    <row r="144" spans="1:7" x14ac:dyDescent="0.25">
      <c r="C144" s="504" t="s">
        <v>344</v>
      </c>
      <c r="D144" s="505"/>
    </row>
    <row r="145" spans="3:4" x14ac:dyDescent="0.25">
      <c r="C145" s="328" t="s">
        <v>341</v>
      </c>
      <c r="D145" s="328" t="s">
        <v>342</v>
      </c>
    </row>
    <row r="146" spans="3:4" x14ac:dyDescent="0.25">
      <c r="C146" s="331">
        <f>ROUNDDOWN(F142/D142,1)</f>
        <v>58.7</v>
      </c>
      <c r="D146" s="331">
        <f>ROUNDDOWN(G142/E142,1)</f>
        <v>73</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247"/>
  <sheetViews>
    <sheetView zoomScale="85" zoomScaleNormal="85" workbookViewId="0">
      <selection activeCell="J16" sqref="J16"/>
    </sheetView>
  </sheetViews>
  <sheetFormatPr defaultRowHeight="13.5" x14ac:dyDescent="0.35"/>
  <cols>
    <col min="1" max="1" width="41.1796875" style="44" bestFit="1" customWidth="1"/>
    <col min="2" max="2" width="15.1796875" style="44" customWidth="1"/>
    <col min="3" max="3" width="17.453125" style="44" bestFit="1" customWidth="1"/>
    <col min="4" max="4" width="31.453125" style="44" customWidth="1"/>
    <col min="5" max="5" width="61.1796875" style="44" customWidth="1"/>
    <col min="6" max="6" width="8.7265625" style="44"/>
    <col min="7" max="7" width="13.7265625" style="44" bestFit="1" customWidth="1"/>
    <col min="8" max="16384" width="8.7265625" style="44"/>
  </cols>
  <sheetData>
    <row r="1" spans="1:6" ht="16" x14ac:dyDescent="0.4">
      <c r="A1" s="189" t="s">
        <v>37</v>
      </c>
      <c r="B1" s="189"/>
      <c r="C1" s="190"/>
    </row>
    <row r="2" spans="1:6" ht="16" x14ac:dyDescent="0.4">
      <c r="A2" s="189"/>
      <c r="B2" s="189"/>
      <c r="C2" s="190"/>
      <c r="D2" s="191"/>
    </row>
    <row r="3" spans="1:6" ht="16" x14ac:dyDescent="0.4">
      <c r="A3" s="189"/>
      <c r="B3" s="189"/>
      <c r="C3" s="190"/>
    </row>
    <row r="4" spans="1:6" x14ac:dyDescent="0.35">
      <c r="A4" s="192" t="s">
        <v>38</v>
      </c>
      <c r="B4" s="190"/>
      <c r="C4" s="190"/>
    </row>
    <row r="5" spans="1:6" x14ac:dyDescent="0.35">
      <c r="A5" s="190"/>
      <c r="B5" s="190"/>
      <c r="E5" s="193"/>
    </row>
    <row r="6" spans="1:6" x14ac:dyDescent="0.35">
      <c r="A6" s="190"/>
      <c r="B6" s="190"/>
      <c r="E6" s="193"/>
    </row>
    <row r="7" spans="1:6" x14ac:dyDescent="0.35">
      <c r="A7" s="190"/>
      <c r="B7" s="190"/>
      <c r="E7" s="193"/>
    </row>
    <row r="8" spans="1:6" ht="14" thickBot="1" x14ac:dyDescent="0.4"/>
    <row r="9" spans="1:6" x14ac:dyDescent="0.35">
      <c r="A9" s="23" t="s">
        <v>3</v>
      </c>
      <c r="B9" s="24" t="s">
        <v>10</v>
      </c>
      <c r="C9" s="24"/>
      <c r="D9" s="24" t="s">
        <v>2</v>
      </c>
      <c r="E9" s="24" t="s">
        <v>4</v>
      </c>
      <c r="F9" s="194"/>
    </row>
    <row r="10" spans="1:6" x14ac:dyDescent="0.35">
      <c r="A10" s="25"/>
      <c r="B10" s="26" t="s">
        <v>79</v>
      </c>
      <c r="C10" s="26" t="s">
        <v>80</v>
      </c>
      <c r="D10" s="26"/>
      <c r="E10" s="27"/>
      <c r="F10" s="194"/>
    </row>
    <row r="11" spans="1:6" ht="15.5" x14ac:dyDescent="0.45">
      <c r="A11" s="28" t="s">
        <v>145</v>
      </c>
      <c r="B11" s="29">
        <v>28</v>
      </c>
      <c r="C11" s="29">
        <v>28</v>
      </c>
      <c r="D11" s="30" t="s">
        <v>146</v>
      </c>
      <c r="E11" s="31" t="s">
        <v>118</v>
      </c>
      <c r="F11" s="194"/>
    </row>
    <row r="12" spans="1:6" ht="16.5" x14ac:dyDescent="0.45">
      <c r="A12" s="28" t="s">
        <v>147</v>
      </c>
      <c r="B12" s="29">
        <v>6.7000000000000002E-4</v>
      </c>
      <c r="C12" s="29">
        <v>6.7000000000000002E-4</v>
      </c>
      <c r="D12" s="30" t="s">
        <v>148</v>
      </c>
      <c r="E12" s="31" t="s">
        <v>299</v>
      </c>
      <c r="F12" s="194"/>
    </row>
    <row r="13" spans="1:6" ht="15.5" x14ac:dyDescent="0.45">
      <c r="A13" s="28" t="s">
        <v>149</v>
      </c>
      <c r="B13" s="325">
        <f>74%*0.94</f>
        <v>0.6956</v>
      </c>
      <c r="C13" s="325">
        <f>B13</f>
        <v>0.6956</v>
      </c>
      <c r="D13" s="30" t="s">
        <v>1</v>
      </c>
      <c r="E13" s="31" t="s">
        <v>126</v>
      </c>
      <c r="F13" s="195"/>
    </row>
    <row r="14" spans="1:6" ht="16.5" x14ac:dyDescent="0.45">
      <c r="A14" s="28" t="s">
        <v>150</v>
      </c>
      <c r="B14" s="29">
        <v>0.28999999999999998</v>
      </c>
      <c r="C14" s="29">
        <v>0.28999999999999998</v>
      </c>
      <c r="D14" s="30" t="s">
        <v>151</v>
      </c>
      <c r="E14" s="31" t="s">
        <v>54</v>
      </c>
      <c r="F14" s="194"/>
    </row>
    <row r="15" spans="1:6" ht="15" customHeight="1" x14ac:dyDescent="0.35">
      <c r="A15" s="28" t="s">
        <v>152</v>
      </c>
      <c r="B15" s="33"/>
      <c r="C15" s="33"/>
      <c r="D15" s="382" t="s">
        <v>72</v>
      </c>
      <c r="E15" s="384" t="s">
        <v>301</v>
      </c>
      <c r="F15" s="194"/>
    </row>
    <row r="16" spans="1:6" ht="15" customHeight="1" x14ac:dyDescent="0.35">
      <c r="A16" s="40" t="str">
        <f>'monitoring results'!A29</f>
        <v>01-January-2022 to 31-January-2022</v>
      </c>
      <c r="B16" s="33">
        <f>'monitoring results'!B6</f>
        <v>94226</v>
      </c>
      <c r="C16" s="33">
        <f>'monitoring results'!C6</f>
        <v>51851</v>
      </c>
      <c r="D16" s="383"/>
      <c r="E16" s="385"/>
      <c r="F16" s="194"/>
    </row>
    <row r="17" spans="1:6" ht="15" customHeight="1" x14ac:dyDescent="0.35">
      <c r="A17" s="40" t="str">
        <f>'monitoring results'!A30</f>
        <v>01-February-2022 to 28-February-2022</v>
      </c>
      <c r="B17" s="33">
        <f>'monitoring results'!B7</f>
        <v>94226</v>
      </c>
      <c r="C17" s="33">
        <f>'monitoring results'!C7</f>
        <v>51422</v>
      </c>
      <c r="D17" s="383"/>
      <c r="E17" s="385"/>
      <c r="F17" s="194"/>
    </row>
    <row r="18" spans="1:6" ht="15" customHeight="1" x14ac:dyDescent="0.35">
      <c r="A18" s="40" t="str">
        <f>'monitoring results'!A31</f>
        <v>01-March-2022 to 31-March-2022</v>
      </c>
      <c r="B18" s="33">
        <f>'monitoring results'!B8</f>
        <v>94226</v>
      </c>
      <c r="C18" s="33">
        <f>'monitoring results'!C8</f>
        <v>51878</v>
      </c>
      <c r="D18" s="383"/>
      <c r="E18" s="385"/>
      <c r="F18" s="194"/>
    </row>
    <row r="19" spans="1:6" ht="15" customHeight="1" x14ac:dyDescent="0.35">
      <c r="A19" s="40" t="str">
        <f>'monitoring results'!A32</f>
        <v>01-April-2022 to 30-April-2022</v>
      </c>
      <c r="B19" s="33">
        <f>'monitoring results'!B9</f>
        <v>94226</v>
      </c>
      <c r="C19" s="33">
        <f>'monitoring results'!C9</f>
        <v>51867</v>
      </c>
      <c r="D19" s="383"/>
      <c r="E19" s="385"/>
      <c r="F19" s="194"/>
    </row>
    <row r="20" spans="1:6" ht="15" customHeight="1" x14ac:dyDescent="0.35">
      <c r="A20" s="40" t="str">
        <f>'monitoring results'!A33</f>
        <v>01-May-2022 to 31-May-2022</v>
      </c>
      <c r="B20" s="33">
        <f>'monitoring results'!B10</f>
        <v>94226</v>
      </c>
      <c r="C20" s="33">
        <f>'monitoring results'!C10</f>
        <v>51807</v>
      </c>
      <c r="D20" s="383"/>
      <c r="E20" s="385"/>
      <c r="F20" s="194"/>
    </row>
    <row r="21" spans="1:6" ht="15" customHeight="1" x14ac:dyDescent="0.35">
      <c r="A21" s="40" t="str">
        <f>'monitoring results'!A34</f>
        <v>01-June-2022 to 30-June-2022</v>
      </c>
      <c r="B21" s="33">
        <f>'monitoring results'!B11</f>
        <v>94226</v>
      </c>
      <c r="C21" s="33">
        <f>'monitoring results'!C11</f>
        <v>51827</v>
      </c>
      <c r="D21" s="383"/>
      <c r="E21" s="385"/>
      <c r="F21" s="194"/>
    </row>
    <row r="22" spans="1:6" ht="15" customHeight="1" x14ac:dyDescent="0.35">
      <c r="A22" s="40" t="str">
        <f>'monitoring results'!A35</f>
        <v>01-July-2022 to 31-July-2022</v>
      </c>
      <c r="B22" s="33">
        <f>'monitoring results'!B12</f>
        <v>94226</v>
      </c>
      <c r="C22" s="33">
        <f>'monitoring results'!C12</f>
        <v>51818</v>
      </c>
      <c r="D22" s="383"/>
      <c r="E22" s="385"/>
      <c r="F22" s="194"/>
    </row>
    <row r="23" spans="1:6" ht="15" customHeight="1" x14ac:dyDescent="0.35">
      <c r="A23" s="40" t="str">
        <f>'monitoring results'!A36</f>
        <v>01-August-2022 to 31-August-2022</v>
      </c>
      <c r="B23" s="33">
        <f>'monitoring results'!B13</f>
        <v>94226</v>
      </c>
      <c r="C23" s="33">
        <f>'monitoring results'!C13</f>
        <v>51830</v>
      </c>
      <c r="D23" s="383"/>
      <c r="E23" s="385"/>
      <c r="F23" s="194"/>
    </row>
    <row r="24" spans="1:6" ht="15" customHeight="1" x14ac:dyDescent="0.35">
      <c r="A24" s="40" t="str">
        <f>'monitoring results'!A37</f>
        <v>01-September-2022 to 30-September-2022</v>
      </c>
      <c r="B24" s="33">
        <f>'monitoring results'!B14</f>
        <v>94226</v>
      </c>
      <c r="C24" s="33">
        <f>'monitoring results'!C14</f>
        <v>51018</v>
      </c>
      <c r="D24" s="383"/>
      <c r="E24" s="385"/>
      <c r="F24" s="194"/>
    </row>
    <row r="25" spans="1:6" ht="15" customHeight="1" x14ac:dyDescent="0.35">
      <c r="A25" s="40" t="str">
        <f>'monitoring results'!A38</f>
        <v>01-October-2022 to 31-October-2022</v>
      </c>
      <c r="B25" s="33">
        <f>'monitoring results'!B15</f>
        <v>94226</v>
      </c>
      <c r="C25" s="33">
        <f>'monitoring results'!C15</f>
        <v>51826</v>
      </c>
      <c r="D25" s="383"/>
      <c r="E25" s="385"/>
      <c r="F25" s="194"/>
    </row>
    <row r="26" spans="1:6" ht="15" customHeight="1" x14ac:dyDescent="0.35">
      <c r="A26" s="40" t="str">
        <f>'monitoring results'!A39</f>
        <v>01-November-2022 to 30-November-2022</v>
      </c>
      <c r="B26" s="33">
        <f>'monitoring results'!B16</f>
        <v>94226</v>
      </c>
      <c r="C26" s="33">
        <f>'monitoring results'!C16</f>
        <v>51806</v>
      </c>
      <c r="D26" s="383"/>
      <c r="E26" s="385"/>
      <c r="F26" s="194"/>
    </row>
    <row r="27" spans="1:6" ht="15" customHeight="1" x14ac:dyDescent="0.35">
      <c r="A27" s="40" t="str">
        <f>'monitoring results'!A40</f>
        <v>01-December-2022 to 31-December-2022</v>
      </c>
      <c r="B27" s="33">
        <f>'monitoring results'!B17</f>
        <v>94226</v>
      </c>
      <c r="C27" s="33">
        <f>'monitoring results'!C17</f>
        <v>51828</v>
      </c>
      <c r="D27" s="383"/>
      <c r="E27" s="385"/>
      <c r="F27" s="194"/>
    </row>
    <row r="28" spans="1:6" ht="15" customHeight="1" x14ac:dyDescent="0.35">
      <c r="A28" s="35" t="s">
        <v>153</v>
      </c>
      <c r="B28" s="36"/>
      <c r="C28" s="36"/>
      <c r="D28" s="389" t="s">
        <v>97</v>
      </c>
      <c r="E28" s="379" t="s">
        <v>96</v>
      </c>
      <c r="F28" s="194"/>
    </row>
    <row r="29" spans="1:6" ht="15" customHeight="1" x14ac:dyDescent="0.35">
      <c r="A29" s="187" t="str">
        <f t="shared" ref="A29:A40" si="0">A16</f>
        <v>01-January-2022 to 31-January-2022</v>
      </c>
      <c r="B29" s="36">
        <f>'monitoring results'!D6</f>
        <v>57.6</v>
      </c>
      <c r="C29" s="36">
        <f>'monitoring results'!E6</f>
        <v>72</v>
      </c>
      <c r="D29" s="389"/>
      <c r="E29" s="379"/>
      <c r="F29" s="194"/>
    </row>
    <row r="30" spans="1:6" ht="15" customHeight="1" x14ac:dyDescent="0.35">
      <c r="A30" s="187" t="str">
        <f t="shared" si="0"/>
        <v>01-February-2022 to 28-February-2022</v>
      </c>
      <c r="B30" s="36">
        <f>'monitoring results'!D7</f>
        <v>57.8</v>
      </c>
      <c r="C30" s="36">
        <f>'monitoring results'!E7</f>
        <v>74.3</v>
      </c>
      <c r="D30" s="389"/>
      <c r="E30" s="379"/>
      <c r="F30" s="194"/>
    </row>
    <row r="31" spans="1:6" ht="15" customHeight="1" x14ac:dyDescent="0.35">
      <c r="A31" s="187" t="str">
        <f t="shared" si="0"/>
        <v>01-March-2022 to 31-March-2022</v>
      </c>
      <c r="B31" s="36">
        <f>'monitoring results'!D8</f>
        <v>58.6</v>
      </c>
      <c r="C31" s="36">
        <f>'monitoring results'!E8</f>
        <v>72.400000000000006</v>
      </c>
      <c r="D31" s="389"/>
      <c r="E31" s="379"/>
      <c r="F31" s="194"/>
    </row>
    <row r="32" spans="1:6" ht="15" customHeight="1" x14ac:dyDescent="0.35">
      <c r="A32" s="187" t="str">
        <f t="shared" si="0"/>
        <v>01-April-2022 to 30-April-2022</v>
      </c>
      <c r="B32" s="36">
        <f>'monitoring results'!D9</f>
        <v>58</v>
      </c>
      <c r="C32" s="36">
        <f>'monitoring results'!E9</f>
        <v>71.8</v>
      </c>
      <c r="D32" s="389"/>
      <c r="E32" s="379"/>
      <c r="F32" s="194"/>
    </row>
    <row r="33" spans="1:6" ht="15" customHeight="1" x14ac:dyDescent="0.35">
      <c r="A33" s="187" t="str">
        <f t="shared" si="0"/>
        <v>01-May-2022 to 31-May-2022</v>
      </c>
      <c r="B33" s="36">
        <f>'monitoring results'!D10</f>
        <v>57.9</v>
      </c>
      <c r="C33" s="36">
        <f>'monitoring results'!E10</f>
        <v>73.400000000000006</v>
      </c>
      <c r="D33" s="389"/>
      <c r="E33" s="379"/>
      <c r="F33" s="194"/>
    </row>
    <row r="34" spans="1:6" ht="15" customHeight="1" x14ac:dyDescent="0.35">
      <c r="A34" s="187" t="str">
        <f t="shared" si="0"/>
        <v>01-June-2022 to 30-June-2022</v>
      </c>
      <c r="B34" s="36">
        <f>'monitoring results'!D11</f>
        <v>58.9</v>
      </c>
      <c r="C34" s="36">
        <f>'monitoring results'!E11</f>
        <v>72.099999999999994</v>
      </c>
      <c r="D34" s="389"/>
      <c r="E34" s="379"/>
      <c r="F34" s="194"/>
    </row>
    <row r="35" spans="1:6" ht="15" customHeight="1" x14ac:dyDescent="0.35">
      <c r="A35" s="187" t="str">
        <f t="shared" si="0"/>
        <v>01-July-2022 to 31-July-2022</v>
      </c>
      <c r="B35" s="36">
        <f>'monitoring results'!D12</f>
        <v>59.1</v>
      </c>
      <c r="C35" s="36">
        <f>'monitoring results'!E12</f>
        <v>72.2</v>
      </c>
      <c r="D35" s="389"/>
      <c r="E35" s="379"/>
      <c r="F35" s="194"/>
    </row>
    <row r="36" spans="1:6" ht="15" customHeight="1" x14ac:dyDescent="0.35">
      <c r="A36" s="187" t="str">
        <f t="shared" si="0"/>
        <v>01-August-2022 to 31-August-2022</v>
      </c>
      <c r="B36" s="36">
        <f>'monitoring results'!D13</f>
        <v>58.2</v>
      </c>
      <c r="C36" s="36">
        <f>'monitoring results'!E13</f>
        <v>72.400000000000006</v>
      </c>
      <c r="D36" s="389"/>
      <c r="E36" s="379"/>
      <c r="F36" s="194"/>
    </row>
    <row r="37" spans="1:6" ht="15" customHeight="1" x14ac:dyDescent="0.35">
      <c r="A37" s="187" t="str">
        <f t="shared" si="0"/>
        <v>01-September-2022 to 30-September-2022</v>
      </c>
      <c r="B37" s="36">
        <f>'monitoring results'!D14</f>
        <v>57.4</v>
      </c>
      <c r="C37" s="36">
        <f>'monitoring results'!E14</f>
        <v>71.400000000000006</v>
      </c>
      <c r="D37" s="389"/>
      <c r="E37" s="379"/>
      <c r="F37" s="194"/>
    </row>
    <row r="38" spans="1:6" ht="15" customHeight="1" x14ac:dyDescent="0.35">
      <c r="A38" s="187" t="str">
        <f t="shared" si="0"/>
        <v>01-October-2022 to 31-October-2022</v>
      </c>
      <c r="B38" s="36">
        <f>'monitoring results'!D15</f>
        <v>57.6</v>
      </c>
      <c r="C38" s="36">
        <f>'monitoring results'!E15</f>
        <v>73.099999999999994</v>
      </c>
      <c r="D38" s="389"/>
      <c r="E38" s="379"/>
      <c r="F38" s="194"/>
    </row>
    <row r="39" spans="1:6" ht="15" customHeight="1" x14ac:dyDescent="0.35">
      <c r="A39" s="187" t="str">
        <f t="shared" si="0"/>
        <v>01-November-2022 to 30-November-2022</v>
      </c>
      <c r="B39" s="36">
        <f>'monitoring results'!D16</f>
        <v>58.1</v>
      </c>
      <c r="C39" s="36">
        <f>'monitoring results'!E16</f>
        <v>73.8</v>
      </c>
      <c r="D39" s="389"/>
      <c r="E39" s="379"/>
      <c r="F39" s="194"/>
    </row>
    <row r="40" spans="1:6" ht="15" customHeight="1" x14ac:dyDescent="0.35">
      <c r="A40" s="187" t="str">
        <f t="shared" si="0"/>
        <v>01-December-2022 to 31-December-2022</v>
      </c>
      <c r="B40" s="36">
        <f>'monitoring results'!D17</f>
        <v>58.7</v>
      </c>
      <c r="C40" s="36">
        <f>'monitoring results'!E17</f>
        <v>73</v>
      </c>
      <c r="D40" s="389"/>
      <c r="E40" s="379"/>
      <c r="F40" s="194"/>
    </row>
    <row r="41" spans="1:6" ht="15" customHeight="1" x14ac:dyDescent="0.45">
      <c r="A41" s="28" t="s">
        <v>154</v>
      </c>
      <c r="B41" s="33">
        <f>B128</f>
        <v>28</v>
      </c>
      <c r="C41" s="33">
        <f>C128</f>
        <v>28</v>
      </c>
      <c r="D41" s="30" t="s">
        <v>97</v>
      </c>
      <c r="E41" s="31" t="s">
        <v>54</v>
      </c>
      <c r="F41" s="194"/>
    </row>
    <row r="42" spans="1:6" x14ac:dyDescent="0.35">
      <c r="A42" s="37" t="s">
        <v>155</v>
      </c>
      <c r="B42" s="29">
        <v>0.3</v>
      </c>
      <c r="C42" s="29">
        <v>0.3</v>
      </c>
      <c r="D42" s="30" t="s">
        <v>6</v>
      </c>
      <c r="E42" s="31" t="str">
        <f>E14</f>
        <v>2006 IPCC guideline, volume 4, chapter 10, tbl. 10A-7</v>
      </c>
      <c r="F42" s="194"/>
    </row>
    <row r="43" spans="1:6" ht="20.5" customHeight="1" x14ac:dyDescent="0.35">
      <c r="A43" s="37" t="s">
        <v>156</v>
      </c>
      <c r="B43" s="38"/>
      <c r="C43" s="38"/>
      <c r="D43" s="30"/>
      <c r="E43" s="384" t="s">
        <v>98</v>
      </c>
      <c r="F43" s="194"/>
    </row>
    <row r="44" spans="1:6" x14ac:dyDescent="0.35">
      <c r="A44" s="187" t="str">
        <f t="shared" ref="A44:A55" si="1">A29</f>
        <v>01-January-2022 to 31-January-2022</v>
      </c>
      <c r="B44" s="38">
        <f t="shared" ref="B44:B55" si="2">(B29/$B$41)*$B$42*B58</f>
        <v>19.131428571428575</v>
      </c>
      <c r="C44" s="38">
        <f>(C29/$C$41)*$C$42*C58</f>
        <v>23.914285714285715</v>
      </c>
      <c r="D44" s="383"/>
      <c r="E44" s="385"/>
      <c r="F44" s="194"/>
    </row>
    <row r="45" spans="1:6" x14ac:dyDescent="0.35">
      <c r="A45" s="187" t="str">
        <f t="shared" si="1"/>
        <v>01-February-2022 to 28-February-2022</v>
      </c>
      <c r="B45" s="38">
        <f t="shared" si="2"/>
        <v>17.339999999999996</v>
      </c>
      <c r="C45" s="38">
        <f t="shared" ref="C45:C55" si="3">(C30/$C$41)*$C$42*C59</f>
        <v>22.29</v>
      </c>
      <c r="D45" s="383"/>
      <c r="E45" s="385"/>
      <c r="F45" s="194"/>
    </row>
    <row r="46" spans="1:6" x14ac:dyDescent="0.35">
      <c r="A46" s="187" t="str">
        <f t="shared" si="1"/>
        <v>01-March-2022 to 31-March-2022</v>
      </c>
      <c r="B46" s="38">
        <f t="shared" si="2"/>
        <v>19.463571428571431</v>
      </c>
      <c r="C46" s="38">
        <f t="shared" si="3"/>
        <v>24.047142857142855</v>
      </c>
      <c r="D46" s="383"/>
      <c r="E46" s="385"/>
      <c r="F46" s="194"/>
    </row>
    <row r="47" spans="1:6" x14ac:dyDescent="0.35">
      <c r="A47" s="187" t="str">
        <f t="shared" si="1"/>
        <v>01-April-2022 to 30-April-2022</v>
      </c>
      <c r="B47" s="38">
        <f t="shared" si="2"/>
        <v>18.642857142857142</v>
      </c>
      <c r="C47" s="38">
        <f t="shared" si="3"/>
        <v>23.078571428571426</v>
      </c>
      <c r="D47" s="383"/>
      <c r="E47" s="385"/>
      <c r="F47" s="194"/>
    </row>
    <row r="48" spans="1:6" x14ac:dyDescent="0.35">
      <c r="A48" s="187" t="str">
        <f t="shared" si="1"/>
        <v>01-May-2022 to 31-May-2022</v>
      </c>
      <c r="B48" s="38">
        <f t="shared" si="2"/>
        <v>19.231071428571425</v>
      </c>
      <c r="C48" s="38">
        <f t="shared" si="3"/>
        <v>24.379285714285711</v>
      </c>
      <c r="D48" s="383"/>
      <c r="E48" s="385"/>
      <c r="F48" s="194"/>
    </row>
    <row r="49" spans="1:7" x14ac:dyDescent="0.35">
      <c r="A49" s="187" t="str">
        <f t="shared" si="1"/>
        <v>01-June-2022 to 30-June-2022</v>
      </c>
      <c r="B49" s="38">
        <f t="shared" si="2"/>
        <v>18.932142857142857</v>
      </c>
      <c r="C49" s="38">
        <f t="shared" si="3"/>
        <v>23.174999999999997</v>
      </c>
      <c r="D49" s="383"/>
      <c r="E49" s="385"/>
      <c r="F49" s="194"/>
    </row>
    <row r="50" spans="1:7" x14ac:dyDescent="0.35">
      <c r="A50" s="187" t="str">
        <f t="shared" si="1"/>
        <v>01-July-2022 to 31-July-2022</v>
      </c>
      <c r="B50" s="38">
        <f t="shared" si="2"/>
        <v>19.629642857142859</v>
      </c>
      <c r="C50" s="38">
        <f t="shared" si="3"/>
        <v>23.980714285714285</v>
      </c>
      <c r="D50" s="383"/>
      <c r="E50" s="385"/>
      <c r="F50" s="194"/>
    </row>
    <row r="51" spans="1:7" x14ac:dyDescent="0.35">
      <c r="A51" s="187" t="str">
        <f t="shared" si="1"/>
        <v>01-August-2022 to 31-August-2022</v>
      </c>
      <c r="B51" s="38">
        <f t="shared" si="2"/>
        <v>19.330714285714286</v>
      </c>
      <c r="C51" s="38">
        <f t="shared" si="3"/>
        <v>24.047142857142855</v>
      </c>
      <c r="D51" s="383"/>
      <c r="E51" s="385"/>
      <c r="F51" s="194"/>
    </row>
    <row r="52" spans="1:7" x14ac:dyDescent="0.35">
      <c r="A52" s="187" t="str">
        <f t="shared" si="1"/>
        <v>01-September-2022 to 30-September-2022</v>
      </c>
      <c r="B52" s="38">
        <f t="shared" si="2"/>
        <v>18.449999999999996</v>
      </c>
      <c r="C52" s="38">
        <f t="shared" si="3"/>
        <v>22.95</v>
      </c>
      <c r="D52" s="383"/>
      <c r="E52" s="385"/>
      <c r="F52" s="194"/>
      <c r="G52" s="53"/>
    </row>
    <row r="53" spans="1:7" x14ac:dyDescent="0.35">
      <c r="A53" s="187" t="str">
        <f t="shared" si="1"/>
        <v>01-October-2022 to 31-October-2022</v>
      </c>
      <c r="B53" s="38">
        <f t="shared" si="2"/>
        <v>19.131428571428575</v>
      </c>
      <c r="C53" s="38">
        <f t="shared" si="3"/>
        <v>24.27964285714285</v>
      </c>
      <c r="D53" s="383"/>
      <c r="E53" s="385"/>
      <c r="F53" s="194"/>
      <c r="G53" s="53"/>
    </row>
    <row r="54" spans="1:7" x14ac:dyDescent="0.35">
      <c r="A54" s="187" t="str">
        <f t="shared" si="1"/>
        <v>01-November-2022 to 30-November-2022</v>
      </c>
      <c r="B54" s="38">
        <f t="shared" si="2"/>
        <v>18.675000000000001</v>
      </c>
      <c r="C54" s="38">
        <f t="shared" si="3"/>
        <v>23.721428571428572</v>
      </c>
      <c r="D54" s="383"/>
      <c r="E54" s="385"/>
      <c r="F54" s="194"/>
    </row>
    <row r="55" spans="1:7" x14ac:dyDescent="0.35">
      <c r="A55" s="187" t="str">
        <f t="shared" si="1"/>
        <v>01-December-2022 to 31-December-2022</v>
      </c>
      <c r="B55" s="38">
        <f t="shared" si="2"/>
        <v>19.496785714285714</v>
      </c>
      <c r="C55" s="38">
        <f t="shared" si="3"/>
        <v>24.24642857142857</v>
      </c>
      <c r="D55" s="383"/>
      <c r="E55" s="385"/>
      <c r="F55" s="194"/>
    </row>
    <row r="56" spans="1:7" x14ac:dyDescent="0.35">
      <c r="A56" s="28" t="s">
        <v>157</v>
      </c>
      <c r="B56" s="32">
        <v>1</v>
      </c>
      <c r="C56" s="32">
        <v>1</v>
      </c>
      <c r="D56" s="30" t="s">
        <v>1</v>
      </c>
      <c r="E56" s="31" t="s">
        <v>99</v>
      </c>
      <c r="F56" s="194"/>
    </row>
    <row r="57" spans="1:7" ht="15.5" x14ac:dyDescent="0.45">
      <c r="A57" s="28" t="s">
        <v>158</v>
      </c>
      <c r="B57" s="29"/>
      <c r="C57" s="29"/>
      <c r="D57" s="382" t="s">
        <v>56</v>
      </c>
      <c r="E57" s="384" t="s">
        <v>317</v>
      </c>
      <c r="F57" s="194"/>
    </row>
    <row r="58" spans="1:7" x14ac:dyDescent="0.35">
      <c r="A58" s="40" t="str">
        <f t="shared" ref="A58:A69" si="4">A44</f>
        <v>01-January-2022 to 31-January-2022</v>
      </c>
      <c r="B58" s="29">
        <v>31</v>
      </c>
      <c r="C58" s="29">
        <f t="shared" ref="C58:C69" si="5">B58</f>
        <v>31</v>
      </c>
      <c r="D58" s="383"/>
      <c r="E58" s="385"/>
      <c r="F58" s="194"/>
    </row>
    <row r="59" spans="1:7" x14ac:dyDescent="0.35">
      <c r="A59" s="40" t="str">
        <f t="shared" si="4"/>
        <v>01-February-2022 to 28-February-2022</v>
      </c>
      <c r="B59" s="29">
        <v>28</v>
      </c>
      <c r="C59" s="29">
        <f t="shared" si="5"/>
        <v>28</v>
      </c>
      <c r="D59" s="383"/>
      <c r="E59" s="385"/>
      <c r="F59" s="194"/>
    </row>
    <row r="60" spans="1:7" x14ac:dyDescent="0.35">
      <c r="A60" s="40" t="str">
        <f t="shared" si="4"/>
        <v>01-March-2022 to 31-March-2022</v>
      </c>
      <c r="B60" s="29">
        <v>31</v>
      </c>
      <c r="C60" s="29">
        <f t="shared" si="5"/>
        <v>31</v>
      </c>
      <c r="D60" s="383"/>
      <c r="E60" s="385"/>
      <c r="F60" s="194"/>
    </row>
    <row r="61" spans="1:7" x14ac:dyDescent="0.35">
      <c r="A61" s="40" t="str">
        <f t="shared" si="4"/>
        <v>01-April-2022 to 30-April-2022</v>
      </c>
      <c r="B61" s="29">
        <v>30</v>
      </c>
      <c r="C61" s="29">
        <f t="shared" si="5"/>
        <v>30</v>
      </c>
      <c r="D61" s="383"/>
      <c r="E61" s="385"/>
      <c r="F61" s="194"/>
    </row>
    <row r="62" spans="1:7" x14ac:dyDescent="0.35">
      <c r="A62" s="40" t="str">
        <f t="shared" si="4"/>
        <v>01-May-2022 to 31-May-2022</v>
      </c>
      <c r="B62" s="29">
        <v>31</v>
      </c>
      <c r="C62" s="29">
        <f t="shared" si="5"/>
        <v>31</v>
      </c>
      <c r="D62" s="383"/>
      <c r="E62" s="385"/>
      <c r="F62" s="194"/>
    </row>
    <row r="63" spans="1:7" x14ac:dyDescent="0.35">
      <c r="A63" s="40" t="str">
        <f t="shared" si="4"/>
        <v>01-June-2022 to 30-June-2022</v>
      </c>
      <c r="B63" s="29">
        <v>30</v>
      </c>
      <c r="C63" s="29">
        <f t="shared" si="5"/>
        <v>30</v>
      </c>
      <c r="D63" s="383"/>
      <c r="E63" s="385"/>
      <c r="F63" s="194"/>
    </row>
    <row r="64" spans="1:7" x14ac:dyDescent="0.35">
      <c r="A64" s="40" t="str">
        <f t="shared" si="4"/>
        <v>01-July-2022 to 31-July-2022</v>
      </c>
      <c r="B64" s="29">
        <f>31</f>
        <v>31</v>
      </c>
      <c r="C64" s="29">
        <f t="shared" si="5"/>
        <v>31</v>
      </c>
      <c r="D64" s="383"/>
      <c r="E64" s="385"/>
      <c r="F64" s="194"/>
    </row>
    <row r="65" spans="1:6" x14ac:dyDescent="0.35">
      <c r="A65" s="40" t="str">
        <f t="shared" si="4"/>
        <v>01-August-2022 to 31-August-2022</v>
      </c>
      <c r="B65" s="29">
        <v>31</v>
      </c>
      <c r="C65" s="29">
        <f t="shared" si="5"/>
        <v>31</v>
      </c>
      <c r="D65" s="383"/>
      <c r="E65" s="385"/>
      <c r="F65" s="194"/>
    </row>
    <row r="66" spans="1:6" x14ac:dyDescent="0.35">
      <c r="A66" s="40" t="str">
        <f t="shared" si="4"/>
        <v>01-September-2022 to 30-September-2022</v>
      </c>
      <c r="B66" s="29">
        <v>30</v>
      </c>
      <c r="C66" s="29">
        <f t="shared" si="5"/>
        <v>30</v>
      </c>
      <c r="D66" s="383"/>
      <c r="E66" s="385"/>
      <c r="F66" s="194"/>
    </row>
    <row r="67" spans="1:6" x14ac:dyDescent="0.35">
      <c r="A67" s="40" t="str">
        <f t="shared" si="4"/>
        <v>01-October-2022 to 31-October-2022</v>
      </c>
      <c r="B67" s="29">
        <v>31</v>
      </c>
      <c r="C67" s="29">
        <f t="shared" si="5"/>
        <v>31</v>
      </c>
      <c r="D67" s="383"/>
      <c r="E67" s="385"/>
      <c r="F67" s="194"/>
    </row>
    <row r="68" spans="1:6" x14ac:dyDescent="0.35">
      <c r="A68" s="40" t="str">
        <f t="shared" si="4"/>
        <v>01-November-2022 to 30-November-2022</v>
      </c>
      <c r="B68" s="29">
        <v>30</v>
      </c>
      <c r="C68" s="29">
        <f t="shared" si="5"/>
        <v>30</v>
      </c>
      <c r="D68" s="383"/>
      <c r="E68" s="385"/>
      <c r="F68" s="194"/>
    </row>
    <row r="69" spans="1:6" x14ac:dyDescent="0.35">
      <c r="A69" s="40" t="str">
        <f t="shared" si="4"/>
        <v>01-December-2022 to 31-December-2022</v>
      </c>
      <c r="B69" s="29">
        <v>31</v>
      </c>
      <c r="C69" s="29">
        <f t="shared" si="5"/>
        <v>31</v>
      </c>
      <c r="D69" s="383"/>
      <c r="E69" s="385"/>
      <c r="F69" s="194"/>
    </row>
    <row r="70" spans="1:6" ht="15.5" x14ac:dyDescent="0.45">
      <c r="A70" s="28" t="s">
        <v>159</v>
      </c>
      <c r="B70" s="29"/>
      <c r="C70" s="29"/>
      <c r="D70" s="30"/>
      <c r="E70" s="39"/>
      <c r="F70" s="194"/>
    </row>
    <row r="71" spans="1:6" ht="15.5" x14ac:dyDescent="0.45">
      <c r="A71" s="40" t="str">
        <f t="shared" ref="A71:A82" si="6">A58</f>
        <v>01-January-2022 to 31-January-2022</v>
      </c>
      <c r="B71" s="29">
        <f t="shared" ref="B71:B82" si="7">ROUNDDOWN($B$11*$B$12*$B$13*$B$14*B16*B44*$B$56,0)</f>
        <v>6821</v>
      </c>
      <c r="C71" s="29">
        <f>ROUNDDOWN($C$11*$C$12*$C$13*$C$14*C16*C44*$C$56,0)</f>
        <v>4692</v>
      </c>
      <c r="D71" s="30" t="s">
        <v>160</v>
      </c>
      <c r="E71" s="384" t="s">
        <v>101</v>
      </c>
      <c r="F71" s="194"/>
    </row>
    <row r="72" spans="1:6" ht="15.5" x14ac:dyDescent="0.45">
      <c r="A72" s="40" t="str">
        <f t="shared" si="6"/>
        <v>01-February-2022 to 28-February-2022</v>
      </c>
      <c r="B72" s="29">
        <f t="shared" si="7"/>
        <v>6183</v>
      </c>
      <c r="C72" s="29">
        <f t="shared" ref="C72:C82" si="8">ROUNDDOWN($C$11*$C$12*$C$13*$C$14*C17*C45*$C$56,0)</f>
        <v>4337</v>
      </c>
      <c r="D72" s="30" t="s">
        <v>160</v>
      </c>
      <c r="E72" s="385"/>
      <c r="F72" s="194"/>
    </row>
    <row r="73" spans="1:6" ht="15.5" x14ac:dyDescent="0.45">
      <c r="A73" s="40" t="str">
        <f t="shared" si="6"/>
        <v>01-March-2022 to 31-March-2022</v>
      </c>
      <c r="B73" s="29">
        <f t="shared" si="7"/>
        <v>6940</v>
      </c>
      <c r="C73" s="29">
        <f t="shared" si="8"/>
        <v>4721</v>
      </c>
      <c r="D73" s="30" t="s">
        <v>160</v>
      </c>
      <c r="E73" s="385"/>
      <c r="F73" s="194"/>
    </row>
    <row r="74" spans="1:6" ht="15.5" x14ac:dyDescent="0.45">
      <c r="A74" s="40" t="str">
        <f t="shared" si="6"/>
        <v>01-April-2022 to 30-April-2022</v>
      </c>
      <c r="B74" s="29">
        <f t="shared" si="7"/>
        <v>6647</v>
      </c>
      <c r="C74" s="29">
        <f t="shared" si="8"/>
        <v>4529</v>
      </c>
      <c r="D74" s="30" t="s">
        <v>160</v>
      </c>
      <c r="E74" s="385"/>
      <c r="F74" s="194"/>
    </row>
    <row r="75" spans="1:6" ht="15.5" x14ac:dyDescent="0.45">
      <c r="A75" s="40" t="str">
        <f t="shared" si="6"/>
        <v>01-May-2022 to 31-May-2022</v>
      </c>
      <c r="B75" s="29">
        <f t="shared" si="7"/>
        <v>6857</v>
      </c>
      <c r="C75" s="29">
        <f t="shared" si="8"/>
        <v>4779</v>
      </c>
      <c r="D75" s="30" t="s">
        <v>160</v>
      </c>
      <c r="E75" s="385"/>
      <c r="F75" s="194"/>
    </row>
    <row r="76" spans="1:6" ht="15.5" x14ac:dyDescent="0.45">
      <c r="A76" s="40" t="str">
        <f t="shared" si="6"/>
        <v>01-June-2022 to 30-June-2022</v>
      </c>
      <c r="B76" s="29">
        <f t="shared" si="7"/>
        <v>6750</v>
      </c>
      <c r="C76" s="29">
        <f t="shared" si="8"/>
        <v>4545</v>
      </c>
      <c r="D76" s="30" t="s">
        <v>160</v>
      </c>
      <c r="E76" s="385"/>
      <c r="F76" s="194"/>
    </row>
    <row r="77" spans="1:6" ht="15.5" x14ac:dyDescent="0.45">
      <c r="A77" s="40" t="str">
        <f t="shared" si="6"/>
        <v>01-July-2022 to 31-July-2022</v>
      </c>
      <c r="B77" s="29">
        <f t="shared" si="7"/>
        <v>6999</v>
      </c>
      <c r="C77" s="29">
        <f t="shared" si="8"/>
        <v>4702</v>
      </c>
      <c r="D77" s="30" t="s">
        <v>160</v>
      </c>
      <c r="E77" s="385"/>
      <c r="F77" s="194"/>
    </row>
    <row r="78" spans="1:6" ht="15.5" x14ac:dyDescent="0.45">
      <c r="A78" s="40" t="str">
        <f t="shared" si="6"/>
        <v>01-August-2022 to 31-August-2022</v>
      </c>
      <c r="B78" s="29">
        <f t="shared" si="7"/>
        <v>6893</v>
      </c>
      <c r="C78" s="29">
        <f t="shared" si="8"/>
        <v>4716</v>
      </c>
      <c r="D78" s="30" t="s">
        <v>160</v>
      </c>
      <c r="E78" s="385"/>
      <c r="F78" s="194"/>
    </row>
    <row r="79" spans="1:6" ht="15.5" x14ac:dyDescent="0.45">
      <c r="A79" s="40" t="str">
        <f t="shared" si="6"/>
        <v>01-September-2022 to 30-September-2022</v>
      </c>
      <c r="B79" s="29">
        <f t="shared" si="7"/>
        <v>6578</v>
      </c>
      <c r="C79" s="29">
        <f t="shared" si="8"/>
        <v>4430</v>
      </c>
      <c r="D79" s="30" t="s">
        <v>160</v>
      </c>
      <c r="E79" s="385"/>
      <c r="F79" s="194"/>
    </row>
    <row r="80" spans="1:6" ht="15.5" x14ac:dyDescent="0.45">
      <c r="A80" s="40" t="str">
        <f t="shared" si="6"/>
        <v>01-October-2022 to 31-October-2022</v>
      </c>
      <c r="B80" s="29">
        <f t="shared" si="7"/>
        <v>6821</v>
      </c>
      <c r="C80" s="29">
        <f t="shared" si="8"/>
        <v>4761</v>
      </c>
      <c r="D80" s="30" t="s">
        <v>160</v>
      </c>
      <c r="E80" s="385"/>
      <c r="F80" s="194"/>
    </row>
    <row r="81" spans="1:6" ht="15.5" x14ac:dyDescent="0.45">
      <c r="A81" s="40" t="str">
        <f t="shared" si="6"/>
        <v>01-November-2022 to 30-November-2022</v>
      </c>
      <c r="B81" s="29">
        <f t="shared" si="7"/>
        <v>6659</v>
      </c>
      <c r="C81" s="29">
        <f t="shared" si="8"/>
        <v>4650</v>
      </c>
      <c r="D81" s="30" t="s">
        <v>160</v>
      </c>
      <c r="E81" s="385"/>
      <c r="F81" s="194"/>
    </row>
    <row r="82" spans="1:6" ht="15.5" x14ac:dyDescent="0.45">
      <c r="A82" s="40" t="str">
        <f t="shared" si="6"/>
        <v>01-December-2022 to 31-December-2022</v>
      </c>
      <c r="B82" s="29">
        <f t="shared" si="7"/>
        <v>6952</v>
      </c>
      <c r="C82" s="29">
        <f t="shared" si="8"/>
        <v>4755</v>
      </c>
      <c r="D82" s="30" t="s">
        <v>160</v>
      </c>
      <c r="E82" s="385"/>
      <c r="F82" s="194"/>
    </row>
    <row r="83" spans="1:6" ht="15.5" x14ac:dyDescent="0.45">
      <c r="A83" s="34" t="s">
        <v>345</v>
      </c>
      <c r="B83" s="391">
        <f>SUM(B71:C82)</f>
        <v>136717</v>
      </c>
      <c r="C83" s="391"/>
      <c r="D83" s="30" t="s">
        <v>160</v>
      </c>
      <c r="E83" s="385"/>
      <c r="F83" s="194"/>
    </row>
    <row r="84" spans="1:6" ht="16" thickBot="1" x14ac:dyDescent="0.5">
      <c r="A84" s="34" t="s">
        <v>161</v>
      </c>
      <c r="B84" s="393">
        <f>B83</f>
        <v>136717</v>
      </c>
      <c r="C84" s="394"/>
      <c r="D84" s="41" t="s">
        <v>92</v>
      </c>
      <c r="E84" s="396"/>
      <c r="F84" s="194"/>
    </row>
    <row r="85" spans="1:6" x14ac:dyDescent="0.35">
      <c r="D85" s="97"/>
    </row>
    <row r="86" spans="1:6" x14ac:dyDescent="0.35">
      <c r="A86" s="192" t="s">
        <v>39</v>
      </c>
      <c r="B86" s="190"/>
    </row>
    <row r="87" spans="1:6" x14ac:dyDescent="0.35">
      <c r="A87" s="377"/>
      <c r="B87" s="378"/>
      <c r="C87" s="378"/>
      <c r="D87" s="378"/>
      <c r="E87" s="197"/>
    </row>
    <row r="88" spans="1:6" x14ac:dyDescent="0.35">
      <c r="A88" s="196"/>
      <c r="E88" s="197"/>
    </row>
    <row r="89" spans="1:6" x14ac:dyDescent="0.35">
      <c r="A89" s="196"/>
    </row>
    <row r="90" spans="1:6" x14ac:dyDescent="0.35">
      <c r="A90" s="190" t="s">
        <v>8</v>
      </c>
      <c r="B90" s="190"/>
    </row>
    <row r="91" spans="1:6" ht="12.75" customHeight="1" x14ac:dyDescent="0.35">
      <c r="A91" s="196"/>
      <c r="B91" s="198"/>
      <c r="C91" s="198"/>
      <c r="D91" s="198"/>
      <c r="E91" s="197"/>
    </row>
    <row r="92" spans="1:6" ht="12.75" customHeight="1" x14ac:dyDescent="0.35">
      <c r="A92" s="196"/>
      <c r="B92" s="198"/>
      <c r="C92" s="198"/>
      <c r="D92" s="198"/>
      <c r="E92" s="197"/>
    </row>
    <row r="93" spans="1:6" ht="12.75" customHeight="1" x14ac:dyDescent="0.35">
      <c r="A93" s="196"/>
      <c r="B93" s="198"/>
      <c r="C93" s="198"/>
      <c r="D93" s="198"/>
      <c r="E93" s="115"/>
    </row>
    <row r="94" spans="1:6" ht="12.75" customHeight="1" x14ac:dyDescent="0.35">
      <c r="A94" s="196"/>
      <c r="B94" s="198"/>
      <c r="C94" s="198"/>
      <c r="D94" s="198"/>
      <c r="E94" s="197"/>
    </row>
    <row r="95" spans="1:6" ht="12.75" customHeight="1" x14ac:dyDescent="0.35">
      <c r="A95" s="196"/>
      <c r="B95" s="198"/>
      <c r="C95" s="198"/>
      <c r="D95" s="198"/>
      <c r="E95" s="197"/>
    </row>
    <row r="96" spans="1:6" ht="14" thickBot="1" x14ac:dyDescent="0.4"/>
    <row r="97" spans="1:5" x14ac:dyDescent="0.35">
      <c r="A97" s="42" t="s">
        <v>3</v>
      </c>
      <c r="B97" s="43" t="s">
        <v>9</v>
      </c>
      <c r="C97" s="43"/>
      <c r="D97" s="43" t="s">
        <v>2</v>
      </c>
      <c r="E97" s="43" t="s">
        <v>4</v>
      </c>
    </row>
    <row r="98" spans="1:5" x14ac:dyDescent="0.35">
      <c r="A98" s="62"/>
      <c r="B98" s="63" t="str">
        <f>B10</f>
        <v>Market Swine</v>
      </c>
      <c r="C98" s="63" t="str">
        <f>C10</f>
        <v>Breeding Swine</v>
      </c>
      <c r="D98" s="63"/>
      <c r="E98" s="63"/>
    </row>
    <row r="99" spans="1:5" ht="15.5" x14ac:dyDescent="0.45">
      <c r="A99" s="35" t="s">
        <v>216</v>
      </c>
      <c r="B99" s="29">
        <v>0</v>
      </c>
      <c r="C99" s="199">
        <v>0</v>
      </c>
      <c r="D99" s="45" t="s">
        <v>217</v>
      </c>
      <c r="E99" s="45" t="s">
        <v>40</v>
      </c>
    </row>
    <row r="100" spans="1:5" ht="15.5" x14ac:dyDescent="0.45">
      <c r="A100" s="35" t="s">
        <v>218</v>
      </c>
      <c r="B100" s="200">
        <f>0.42</f>
        <v>0.42</v>
      </c>
      <c r="C100" s="201">
        <v>0.24</v>
      </c>
      <c r="D100" s="45" t="s">
        <v>53</v>
      </c>
      <c r="E100" s="45" t="s">
        <v>69</v>
      </c>
    </row>
    <row r="101" spans="1:5" x14ac:dyDescent="0.35">
      <c r="A101" s="35" t="s">
        <v>219</v>
      </c>
      <c r="B101" s="38"/>
      <c r="C101" s="38"/>
      <c r="D101" s="392" t="s">
        <v>71</v>
      </c>
      <c r="E101" s="392" t="s">
        <v>52</v>
      </c>
    </row>
    <row r="102" spans="1:5" x14ac:dyDescent="0.35">
      <c r="A102" s="187" t="str">
        <f t="shared" ref="A102:A113" si="9">A71</f>
        <v>01-January-2022 to 31-January-2022</v>
      </c>
      <c r="B102" s="38">
        <f t="shared" ref="B102:B113" si="10">$B$100*$B$127/1000*B58</f>
        <v>0.36456</v>
      </c>
      <c r="C102" s="38">
        <f>$C$100*$C$127/1000*C58</f>
        <v>0.20831999999999998</v>
      </c>
      <c r="D102" s="390"/>
      <c r="E102" s="390"/>
    </row>
    <row r="103" spans="1:5" x14ac:dyDescent="0.35">
      <c r="A103" s="187" t="str">
        <f t="shared" si="9"/>
        <v>01-February-2022 to 28-February-2022</v>
      </c>
      <c r="B103" s="38">
        <f t="shared" si="10"/>
        <v>0.32928000000000002</v>
      </c>
      <c r="C103" s="38">
        <f t="shared" ref="C103:C113" si="11">$C$100*$C$127/1000*C59</f>
        <v>0.18815999999999999</v>
      </c>
      <c r="D103" s="390"/>
      <c r="E103" s="390"/>
    </row>
    <row r="104" spans="1:5" x14ac:dyDescent="0.35">
      <c r="A104" s="187" t="str">
        <f t="shared" si="9"/>
        <v>01-March-2022 to 31-March-2022</v>
      </c>
      <c r="B104" s="38">
        <f t="shared" si="10"/>
        <v>0.36456</v>
      </c>
      <c r="C104" s="38">
        <f t="shared" si="11"/>
        <v>0.20831999999999998</v>
      </c>
      <c r="D104" s="390"/>
      <c r="E104" s="390"/>
    </row>
    <row r="105" spans="1:5" x14ac:dyDescent="0.35">
      <c r="A105" s="187" t="str">
        <f t="shared" si="9"/>
        <v>01-April-2022 to 30-April-2022</v>
      </c>
      <c r="B105" s="38">
        <f t="shared" si="10"/>
        <v>0.3528</v>
      </c>
      <c r="C105" s="38">
        <f t="shared" si="11"/>
        <v>0.20159999999999997</v>
      </c>
      <c r="D105" s="390"/>
      <c r="E105" s="390"/>
    </row>
    <row r="106" spans="1:5" x14ac:dyDescent="0.35">
      <c r="A106" s="187" t="str">
        <f t="shared" si="9"/>
        <v>01-May-2022 to 31-May-2022</v>
      </c>
      <c r="B106" s="38">
        <f t="shared" si="10"/>
        <v>0.36456</v>
      </c>
      <c r="C106" s="38">
        <f t="shared" si="11"/>
        <v>0.20831999999999998</v>
      </c>
      <c r="D106" s="390"/>
      <c r="E106" s="390"/>
    </row>
    <row r="107" spans="1:5" x14ac:dyDescent="0.35">
      <c r="A107" s="187" t="str">
        <f t="shared" si="9"/>
        <v>01-June-2022 to 30-June-2022</v>
      </c>
      <c r="B107" s="38">
        <f t="shared" si="10"/>
        <v>0.3528</v>
      </c>
      <c r="C107" s="38">
        <f t="shared" si="11"/>
        <v>0.20159999999999997</v>
      </c>
      <c r="D107" s="390"/>
      <c r="E107" s="390"/>
    </row>
    <row r="108" spans="1:5" x14ac:dyDescent="0.35">
      <c r="A108" s="187" t="str">
        <f t="shared" si="9"/>
        <v>01-July-2022 to 31-July-2022</v>
      </c>
      <c r="B108" s="38">
        <f t="shared" si="10"/>
        <v>0.36456</v>
      </c>
      <c r="C108" s="38">
        <f t="shared" si="11"/>
        <v>0.20831999999999998</v>
      </c>
      <c r="D108" s="390"/>
      <c r="E108" s="390"/>
    </row>
    <row r="109" spans="1:5" x14ac:dyDescent="0.35">
      <c r="A109" s="187" t="str">
        <f t="shared" si="9"/>
        <v>01-August-2022 to 31-August-2022</v>
      </c>
      <c r="B109" s="38">
        <f t="shared" si="10"/>
        <v>0.36456</v>
      </c>
      <c r="C109" s="38">
        <f t="shared" si="11"/>
        <v>0.20831999999999998</v>
      </c>
      <c r="D109" s="390"/>
      <c r="E109" s="390"/>
    </row>
    <row r="110" spans="1:5" x14ac:dyDescent="0.35">
      <c r="A110" s="187" t="str">
        <f t="shared" si="9"/>
        <v>01-September-2022 to 30-September-2022</v>
      </c>
      <c r="B110" s="38">
        <f t="shared" si="10"/>
        <v>0.3528</v>
      </c>
      <c r="C110" s="38">
        <f t="shared" si="11"/>
        <v>0.20159999999999997</v>
      </c>
      <c r="D110" s="390"/>
      <c r="E110" s="390"/>
    </row>
    <row r="111" spans="1:5" x14ac:dyDescent="0.35">
      <c r="A111" s="187" t="str">
        <f t="shared" si="9"/>
        <v>01-October-2022 to 31-October-2022</v>
      </c>
      <c r="B111" s="38">
        <f t="shared" si="10"/>
        <v>0.36456</v>
      </c>
      <c r="C111" s="38">
        <f t="shared" si="11"/>
        <v>0.20831999999999998</v>
      </c>
      <c r="D111" s="390"/>
      <c r="E111" s="390"/>
    </row>
    <row r="112" spans="1:5" x14ac:dyDescent="0.35">
      <c r="A112" s="187" t="str">
        <f t="shared" si="9"/>
        <v>01-November-2022 to 30-November-2022</v>
      </c>
      <c r="B112" s="38">
        <f t="shared" si="10"/>
        <v>0.3528</v>
      </c>
      <c r="C112" s="38">
        <f t="shared" si="11"/>
        <v>0.20159999999999997</v>
      </c>
      <c r="D112" s="390"/>
      <c r="E112" s="390"/>
    </row>
    <row r="113" spans="1:5" x14ac:dyDescent="0.35">
      <c r="A113" s="187" t="str">
        <f t="shared" si="9"/>
        <v>01-December-2022 to 31-December-2022</v>
      </c>
      <c r="B113" s="38">
        <f t="shared" si="10"/>
        <v>0.36456</v>
      </c>
      <c r="C113" s="38">
        <f t="shared" si="11"/>
        <v>0.20831999999999998</v>
      </c>
      <c r="D113" s="390"/>
      <c r="E113" s="390"/>
    </row>
    <row r="114" spans="1:5" x14ac:dyDescent="0.35">
      <c r="A114" s="35" t="s">
        <v>153</v>
      </c>
      <c r="B114" s="202"/>
      <c r="C114" s="202"/>
      <c r="D114" s="379" t="s">
        <v>5</v>
      </c>
      <c r="E114" s="379" t="str">
        <f>E28</f>
        <v>Weight record table</v>
      </c>
    </row>
    <row r="115" spans="1:5" x14ac:dyDescent="0.35">
      <c r="A115" s="187" t="str">
        <f t="shared" ref="A115:A126" si="12">A102</f>
        <v>01-January-2022 to 31-January-2022</v>
      </c>
      <c r="B115" s="202">
        <f t="shared" ref="B115:C126" si="13">B29</f>
        <v>57.6</v>
      </c>
      <c r="C115" s="202">
        <f t="shared" si="13"/>
        <v>72</v>
      </c>
      <c r="D115" s="379"/>
      <c r="E115" s="379"/>
    </row>
    <row r="116" spans="1:5" x14ac:dyDescent="0.35">
      <c r="A116" s="187" t="str">
        <f t="shared" si="12"/>
        <v>01-February-2022 to 28-February-2022</v>
      </c>
      <c r="B116" s="202">
        <f t="shared" si="13"/>
        <v>57.8</v>
      </c>
      <c r="C116" s="202">
        <f t="shared" si="13"/>
        <v>74.3</v>
      </c>
      <c r="D116" s="379"/>
      <c r="E116" s="379"/>
    </row>
    <row r="117" spans="1:5" x14ac:dyDescent="0.35">
      <c r="A117" s="187" t="str">
        <f t="shared" si="12"/>
        <v>01-March-2022 to 31-March-2022</v>
      </c>
      <c r="B117" s="202">
        <f t="shared" si="13"/>
        <v>58.6</v>
      </c>
      <c r="C117" s="202">
        <f t="shared" si="13"/>
        <v>72.400000000000006</v>
      </c>
      <c r="D117" s="379"/>
      <c r="E117" s="379"/>
    </row>
    <row r="118" spans="1:5" x14ac:dyDescent="0.35">
      <c r="A118" s="187" t="str">
        <f t="shared" si="12"/>
        <v>01-April-2022 to 30-April-2022</v>
      </c>
      <c r="B118" s="202">
        <f t="shared" si="13"/>
        <v>58</v>
      </c>
      <c r="C118" s="202">
        <f t="shared" si="13"/>
        <v>71.8</v>
      </c>
      <c r="D118" s="379"/>
      <c r="E118" s="379"/>
    </row>
    <row r="119" spans="1:5" x14ac:dyDescent="0.35">
      <c r="A119" s="187" t="str">
        <f t="shared" si="12"/>
        <v>01-May-2022 to 31-May-2022</v>
      </c>
      <c r="B119" s="202">
        <f t="shared" si="13"/>
        <v>57.9</v>
      </c>
      <c r="C119" s="202">
        <f t="shared" si="13"/>
        <v>73.400000000000006</v>
      </c>
      <c r="D119" s="379"/>
      <c r="E119" s="379"/>
    </row>
    <row r="120" spans="1:5" x14ac:dyDescent="0.35">
      <c r="A120" s="187" t="str">
        <f t="shared" si="12"/>
        <v>01-June-2022 to 30-June-2022</v>
      </c>
      <c r="B120" s="202">
        <f t="shared" si="13"/>
        <v>58.9</v>
      </c>
      <c r="C120" s="202">
        <f t="shared" si="13"/>
        <v>72.099999999999994</v>
      </c>
      <c r="D120" s="379"/>
      <c r="E120" s="379"/>
    </row>
    <row r="121" spans="1:5" x14ac:dyDescent="0.35">
      <c r="A121" s="187" t="str">
        <f t="shared" si="12"/>
        <v>01-July-2022 to 31-July-2022</v>
      </c>
      <c r="B121" s="202">
        <f t="shared" si="13"/>
        <v>59.1</v>
      </c>
      <c r="C121" s="202">
        <f t="shared" si="13"/>
        <v>72.2</v>
      </c>
      <c r="D121" s="379"/>
      <c r="E121" s="379"/>
    </row>
    <row r="122" spans="1:5" x14ac:dyDescent="0.35">
      <c r="A122" s="187" t="str">
        <f t="shared" si="12"/>
        <v>01-August-2022 to 31-August-2022</v>
      </c>
      <c r="B122" s="202">
        <f t="shared" si="13"/>
        <v>58.2</v>
      </c>
      <c r="C122" s="202">
        <f t="shared" si="13"/>
        <v>72.400000000000006</v>
      </c>
      <c r="D122" s="379"/>
      <c r="E122" s="379"/>
    </row>
    <row r="123" spans="1:5" x14ac:dyDescent="0.35">
      <c r="A123" s="187" t="str">
        <f t="shared" si="12"/>
        <v>01-September-2022 to 30-September-2022</v>
      </c>
      <c r="B123" s="202">
        <f t="shared" si="13"/>
        <v>57.4</v>
      </c>
      <c r="C123" s="202">
        <f t="shared" si="13"/>
        <v>71.400000000000006</v>
      </c>
      <c r="D123" s="379"/>
      <c r="E123" s="379"/>
    </row>
    <row r="124" spans="1:5" x14ac:dyDescent="0.35">
      <c r="A124" s="187" t="str">
        <f t="shared" si="12"/>
        <v>01-October-2022 to 31-October-2022</v>
      </c>
      <c r="B124" s="202">
        <f t="shared" si="13"/>
        <v>57.6</v>
      </c>
      <c r="C124" s="202">
        <f t="shared" si="13"/>
        <v>73.099999999999994</v>
      </c>
      <c r="D124" s="379"/>
      <c r="E124" s="379"/>
    </row>
    <row r="125" spans="1:5" x14ac:dyDescent="0.35">
      <c r="A125" s="187" t="str">
        <f t="shared" si="12"/>
        <v>01-November-2022 to 30-November-2022</v>
      </c>
      <c r="B125" s="202">
        <f t="shared" si="13"/>
        <v>58.1</v>
      </c>
      <c r="C125" s="202">
        <f t="shared" si="13"/>
        <v>73.8</v>
      </c>
      <c r="D125" s="379"/>
      <c r="E125" s="379"/>
    </row>
    <row r="126" spans="1:5" x14ac:dyDescent="0.35">
      <c r="A126" s="187" t="str">
        <f t="shared" si="12"/>
        <v>01-December-2022 to 31-December-2022</v>
      </c>
      <c r="B126" s="202">
        <f t="shared" si="13"/>
        <v>58.7</v>
      </c>
      <c r="C126" s="202">
        <f t="shared" si="13"/>
        <v>73</v>
      </c>
      <c r="D126" s="379"/>
      <c r="E126" s="379"/>
    </row>
    <row r="127" spans="1:5" x14ac:dyDescent="0.35">
      <c r="A127" s="35" t="s">
        <v>68</v>
      </c>
      <c r="B127" s="202">
        <v>28</v>
      </c>
      <c r="C127" s="202">
        <v>28</v>
      </c>
      <c r="D127" s="45" t="s">
        <v>5</v>
      </c>
      <c r="E127" s="30" t="s">
        <v>50</v>
      </c>
    </row>
    <row r="128" spans="1:5" x14ac:dyDescent="0.35">
      <c r="A128" s="35" t="s">
        <v>220</v>
      </c>
      <c r="B128" s="200">
        <v>28</v>
      </c>
      <c r="C128" s="203">
        <v>28</v>
      </c>
      <c r="D128" s="45" t="s">
        <v>5</v>
      </c>
      <c r="E128" s="30" t="s">
        <v>50</v>
      </c>
    </row>
    <row r="129" spans="1:5" ht="15.5" x14ac:dyDescent="0.45">
      <c r="A129" s="35" t="s">
        <v>221</v>
      </c>
      <c r="B129" s="38"/>
      <c r="C129" s="38"/>
      <c r="D129" s="392" t="s">
        <v>71</v>
      </c>
      <c r="E129" s="392" t="s">
        <v>55</v>
      </c>
    </row>
    <row r="130" spans="1:5" x14ac:dyDescent="0.35">
      <c r="A130" s="187" t="str">
        <f t="shared" ref="A130:A141" si="14">A115</f>
        <v>01-January-2022 to 31-January-2022</v>
      </c>
      <c r="B130" s="38">
        <f t="shared" ref="B130:B141" si="15">B115/$B$128*B102</f>
        <v>0.74995200000000006</v>
      </c>
      <c r="C130" s="38">
        <f>C115/$C$128*C102</f>
        <v>0.53567999999999993</v>
      </c>
      <c r="D130" s="390"/>
      <c r="E130" s="390"/>
    </row>
    <row r="131" spans="1:5" x14ac:dyDescent="0.35">
      <c r="A131" s="187" t="str">
        <f t="shared" si="14"/>
        <v>01-February-2022 to 28-February-2022</v>
      </c>
      <c r="B131" s="38">
        <f t="shared" si="15"/>
        <v>0.679728</v>
      </c>
      <c r="C131" s="38">
        <f t="shared" ref="C131:C141" si="16">C116/$C$128*C103</f>
        <v>0.49929599999999996</v>
      </c>
      <c r="D131" s="390"/>
      <c r="E131" s="390"/>
    </row>
    <row r="132" spans="1:5" x14ac:dyDescent="0.35">
      <c r="A132" s="187" t="str">
        <f t="shared" si="14"/>
        <v>01-March-2022 to 31-March-2022</v>
      </c>
      <c r="B132" s="38">
        <f t="shared" si="15"/>
        <v>0.76297199999999998</v>
      </c>
      <c r="C132" s="38">
        <f t="shared" si="16"/>
        <v>0.53865600000000002</v>
      </c>
      <c r="D132" s="390"/>
      <c r="E132" s="390"/>
    </row>
    <row r="133" spans="1:5" x14ac:dyDescent="0.35">
      <c r="A133" s="187" t="str">
        <f t="shared" si="14"/>
        <v>01-April-2022 to 30-April-2022</v>
      </c>
      <c r="B133" s="38">
        <f t="shared" si="15"/>
        <v>0.73080000000000012</v>
      </c>
      <c r="C133" s="38">
        <f t="shared" si="16"/>
        <v>0.51695999999999986</v>
      </c>
      <c r="D133" s="390"/>
      <c r="E133" s="390"/>
    </row>
    <row r="134" spans="1:5" x14ac:dyDescent="0.35">
      <c r="A134" s="187" t="str">
        <f t="shared" si="14"/>
        <v>01-May-2022 to 31-May-2022</v>
      </c>
      <c r="B134" s="38">
        <f t="shared" si="15"/>
        <v>0.75385799999999992</v>
      </c>
      <c r="C134" s="38">
        <f t="shared" si="16"/>
        <v>0.54609599999999991</v>
      </c>
      <c r="D134" s="390"/>
      <c r="E134" s="390"/>
    </row>
    <row r="135" spans="1:5" x14ac:dyDescent="0.35">
      <c r="A135" s="187" t="str">
        <f t="shared" si="14"/>
        <v>01-June-2022 to 30-June-2022</v>
      </c>
      <c r="B135" s="38">
        <f t="shared" si="15"/>
        <v>0.74214000000000002</v>
      </c>
      <c r="C135" s="38">
        <f t="shared" si="16"/>
        <v>0.51911999999999991</v>
      </c>
      <c r="D135" s="390"/>
      <c r="E135" s="390"/>
    </row>
    <row r="136" spans="1:5" x14ac:dyDescent="0.35">
      <c r="A136" s="187" t="str">
        <f t="shared" si="14"/>
        <v>01-July-2022 to 31-July-2022</v>
      </c>
      <c r="B136" s="38">
        <f t="shared" si="15"/>
        <v>0.769482</v>
      </c>
      <c r="C136" s="38">
        <f t="shared" si="16"/>
        <v>0.53716799999999998</v>
      </c>
      <c r="D136" s="390"/>
      <c r="E136" s="390"/>
    </row>
    <row r="137" spans="1:5" x14ac:dyDescent="0.35">
      <c r="A137" s="187" t="str">
        <f t="shared" si="14"/>
        <v>01-August-2022 to 31-August-2022</v>
      </c>
      <c r="B137" s="38">
        <f t="shared" si="15"/>
        <v>0.7577640000000001</v>
      </c>
      <c r="C137" s="38">
        <f t="shared" si="16"/>
        <v>0.53865600000000002</v>
      </c>
      <c r="D137" s="390"/>
      <c r="E137" s="390"/>
    </row>
    <row r="138" spans="1:5" x14ac:dyDescent="0.35">
      <c r="A138" s="187" t="str">
        <f t="shared" si="14"/>
        <v>01-September-2022 to 30-September-2022</v>
      </c>
      <c r="B138" s="38">
        <f t="shared" si="15"/>
        <v>0.72323999999999999</v>
      </c>
      <c r="C138" s="38">
        <f t="shared" si="16"/>
        <v>0.51407999999999998</v>
      </c>
      <c r="D138" s="390"/>
      <c r="E138" s="390"/>
    </row>
    <row r="139" spans="1:5" x14ac:dyDescent="0.35">
      <c r="A139" s="187" t="str">
        <f t="shared" si="14"/>
        <v>01-October-2022 to 31-October-2022</v>
      </c>
      <c r="B139" s="38">
        <f t="shared" si="15"/>
        <v>0.74995200000000006</v>
      </c>
      <c r="C139" s="38">
        <f t="shared" si="16"/>
        <v>0.5438639999999999</v>
      </c>
      <c r="D139" s="390"/>
      <c r="E139" s="390"/>
    </row>
    <row r="140" spans="1:5" x14ac:dyDescent="0.35">
      <c r="A140" s="187" t="str">
        <f t="shared" si="14"/>
        <v>01-November-2022 to 30-November-2022</v>
      </c>
      <c r="B140" s="38">
        <f t="shared" si="15"/>
        <v>0.73206000000000004</v>
      </c>
      <c r="C140" s="38">
        <f t="shared" si="16"/>
        <v>0.53135999999999994</v>
      </c>
      <c r="D140" s="390"/>
      <c r="E140" s="390"/>
    </row>
    <row r="141" spans="1:5" x14ac:dyDescent="0.35">
      <c r="A141" s="187" t="str">
        <f t="shared" si="14"/>
        <v>01-December-2022 to 31-December-2022</v>
      </c>
      <c r="B141" s="38">
        <f t="shared" si="15"/>
        <v>0.76427400000000001</v>
      </c>
      <c r="C141" s="38">
        <f t="shared" si="16"/>
        <v>0.54311999999999994</v>
      </c>
      <c r="D141" s="390"/>
      <c r="E141" s="390"/>
    </row>
    <row r="142" spans="1:5" x14ac:dyDescent="0.35">
      <c r="A142" s="96" t="s">
        <v>222</v>
      </c>
      <c r="B142" s="33"/>
      <c r="C142" s="33"/>
      <c r="D142" s="379" t="str">
        <f>D15</f>
        <v>No of heads</v>
      </c>
      <c r="E142" s="388" t="str">
        <f>E15</f>
        <v>Calculated as equation 5 and 6 in JPM, of which Np,LT and Nda,LT is  sourced from "Exported from the stock record of Market swine"
NLT for breeding swine is sourced from "Breeding Pig stock record"</v>
      </c>
    </row>
    <row r="143" spans="1:5" x14ac:dyDescent="0.35">
      <c r="A143" s="187" t="str">
        <f t="shared" ref="A143:A154" si="17">A130</f>
        <v>01-January-2022 to 31-January-2022</v>
      </c>
      <c r="B143" s="33">
        <f t="shared" ref="B143:C154" si="18">B16</f>
        <v>94226</v>
      </c>
      <c r="C143" s="33">
        <f t="shared" si="18"/>
        <v>51851</v>
      </c>
      <c r="D143" s="379"/>
      <c r="E143" s="388"/>
    </row>
    <row r="144" spans="1:5" x14ac:dyDescent="0.35">
      <c r="A144" s="187" t="str">
        <f t="shared" si="17"/>
        <v>01-February-2022 to 28-February-2022</v>
      </c>
      <c r="B144" s="33">
        <f t="shared" si="18"/>
        <v>94226</v>
      </c>
      <c r="C144" s="33">
        <f t="shared" si="18"/>
        <v>51422</v>
      </c>
      <c r="D144" s="379"/>
      <c r="E144" s="388"/>
    </row>
    <row r="145" spans="1:5" x14ac:dyDescent="0.35">
      <c r="A145" s="187" t="str">
        <f t="shared" si="17"/>
        <v>01-March-2022 to 31-March-2022</v>
      </c>
      <c r="B145" s="33">
        <f t="shared" si="18"/>
        <v>94226</v>
      </c>
      <c r="C145" s="33">
        <f t="shared" si="18"/>
        <v>51878</v>
      </c>
      <c r="D145" s="379"/>
      <c r="E145" s="388"/>
    </row>
    <row r="146" spans="1:5" x14ac:dyDescent="0.35">
      <c r="A146" s="187" t="str">
        <f t="shared" si="17"/>
        <v>01-April-2022 to 30-April-2022</v>
      </c>
      <c r="B146" s="33">
        <f t="shared" si="18"/>
        <v>94226</v>
      </c>
      <c r="C146" s="33">
        <f t="shared" si="18"/>
        <v>51867</v>
      </c>
      <c r="D146" s="379"/>
      <c r="E146" s="388"/>
    </row>
    <row r="147" spans="1:5" x14ac:dyDescent="0.35">
      <c r="A147" s="187" t="str">
        <f t="shared" si="17"/>
        <v>01-May-2022 to 31-May-2022</v>
      </c>
      <c r="B147" s="33">
        <f t="shared" si="18"/>
        <v>94226</v>
      </c>
      <c r="C147" s="33">
        <f t="shared" si="18"/>
        <v>51807</v>
      </c>
      <c r="D147" s="379"/>
      <c r="E147" s="388"/>
    </row>
    <row r="148" spans="1:5" x14ac:dyDescent="0.35">
      <c r="A148" s="187" t="str">
        <f t="shared" si="17"/>
        <v>01-June-2022 to 30-June-2022</v>
      </c>
      <c r="B148" s="33">
        <f t="shared" si="18"/>
        <v>94226</v>
      </c>
      <c r="C148" s="33">
        <f t="shared" si="18"/>
        <v>51827</v>
      </c>
      <c r="D148" s="379"/>
      <c r="E148" s="388"/>
    </row>
    <row r="149" spans="1:5" x14ac:dyDescent="0.35">
      <c r="A149" s="187" t="str">
        <f t="shared" si="17"/>
        <v>01-July-2022 to 31-July-2022</v>
      </c>
      <c r="B149" s="33">
        <f t="shared" si="18"/>
        <v>94226</v>
      </c>
      <c r="C149" s="33">
        <f t="shared" si="18"/>
        <v>51818</v>
      </c>
      <c r="D149" s="379"/>
      <c r="E149" s="388"/>
    </row>
    <row r="150" spans="1:5" x14ac:dyDescent="0.35">
      <c r="A150" s="187" t="str">
        <f t="shared" si="17"/>
        <v>01-August-2022 to 31-August-2022</v>
      </c>
      <c r="B150" s="33">
        <f t="shared" si="18"/>
        <v>94226</v>
      </c>
      <c r="C150" s="33">
        <f t="shared" si="18"/>
        <v>51830</v>
      </c>
      <c r="D150" s="379"/>
      <c r="E150" s="388"/>
    </row>
    <row r="151" spans="1:5" x14ac:dyDescent="0.35">
      <c r="A151" s="187" t="str">
        <f t="shared" si="17"/>
        <v>01-September-2022 to 30-September-2022</v>
      </c>
      <c r="B151" s="33">
        <f t="shared" si="18"/>
        <v>94226</v>
      </c>
      <c r="C151" s="33">
        <f t="shared" si="18"/>
        <v>51018</v>
      </c>
      <c r="D151" s="379"/>
      <c r="E151" s="388"/>
    </row>
    <row r="152" spans="1:5" x14ac:dyDescent="0.35">
      <c r="A152" s="187" t="str">
        <f t="shared" si="17"/>
        <v>01-October-2022 to 31-October-2022</v>
      </c>
      <c r="B152" s="33">
        <f t="shared" si="18"/>
        <v>94226</v>
      </c>
      <c r="C152" s="33">
        <f t="shared" si="18"/>
        <v>51826</v>
      </c>
      <c r="D152" s="379"/>
      <c r="E152" s="388"/>
    </row>
    <row r="153" spans="1:5" x14ac:dyDescent="0.35">
      <c r="A153" s="187" t="str">
        <f t="shared" si="17"/>
        <v>01-November-2022 to 30-November-2022</v>
      </c>
      <c r="B153" s="33">
        <f t="shared" si="18"/>
        <v>94226</v>
      </c>
      <c r="C153" s="33">
        <f t="shared" si="18"/>
        <v>51806</v>
      </c>
      <c r="D153" s="379"/>
      <c r="E153" s="388"/>
    </row>
    <row r="154" spans="1:5" x14ac:dyDescent="0.35">
      <c r="A154" s="187" t="str">
        <f t="shared" si="17"/>
        <v>01-December-2022 to 31-December-2022</v>
      </c>
      <c r="B154" s="33">
        <f t="shared" si="18"/>
        <v>94226</v>
      </c>
      <c r="C154" s="33">
        <f t="shared" si="18"/>
        <v>51828</v>
      </c>
      <c r="D154" s="379"/>
      <c r="E154" s="388"/>
    </row>
    <row r="155" spans="1:5" x14ac:dyDescent="0.35">
      <c r="A155" s="28" t="s">
        <v>157</v>
      </c>
      <c r="B155" s="32">
        <f>B56</f>
        <v>1</v>
      </c>
      <c r="C155" s="32">
        <f>C56</f>
        <v>1</v>
      </c>
      <c r="D155" s="45" t="str">
        <f>D56</f>
        <v>%</v>
      </c>
      <c r="E155" s="30" t="s">
        <v>30</v>
      </c>
    </row>
    <row r="156" spans="1:5" ht="15.5" x14ac:dyDescent="0.45">
      <c r="A156" s="98" t="s">
        <v>223</v>
      </c>
      <c r="B156" s="32"/>
      <c r="C156" s="32"/>
      <c r="D156" s="45"/>
      <c r="E156" s="30"/>
    </row>
    <row r="157" spans="1:5" x14ac:dyDescent="0.35">
      <c r="A157" s="187" t="str">
        <f t="shared" ref="A157:A168" si="19">A143</f>
        <v>01-January-2022 to 31-January-2022</v>
      </c>
      <c r="B157" s="45">
        <f t="shared" ref="B157:B168" si="20">$B$99*B102*B143*$B$155</f>
        <v>0</v>
      </c>
      <c r="C157" s="45">
        <f>$C$99*C102*C143*$C$155</f>
        <v>0</v>
      </c>
      <c r="D157" s="390"/>
      <c r="E157" s="397" t="s">
        <v>101</v>
      </c>
    </row>
    <row r="158" spans="1:5" x14ac:dyDescent="0.35">
      <c r="A158" s="187" t="str">
        <f t="shared" si="19"/>
        <v>01-February-2022 to 28-February-2022</v>
      </c>
      <c r="B158" s="45">
        <f t="shared" si="20"/>
        <v>0</v>
      </c>
      <c r="C158" s="45">
        <f t="shared" ref="C158:C168" si="21">$C$99*C103*C144*$C$155</f>
        <v>0</v>
      </c>
      <c r="D158" s="390"/>
      <c r="E158" s="397"/>
    </row>
    <row r="159" spans="1:5" x14ac:dyDescent="0.35">
      <c r="A159" s="187" t="str">
        <f t="shared" si="19"/>
        <v>01-March-2022 to 31-March-2022</v>
      </c>
      <c r="B159" s="45">
        <f t="shared" si="20"/>
        <v>0</v>
      </c>
      <c r="C159" s="45">
        <f t="shared" si="21"/>
        <v>0</v>
      </c>
      <c r="D159" s="390"/>
      <c r="E159" s="397"/>
    </row>
    <row r="160" spans="1:5" x14ac:dyDescent="0.35">
      <c r="A160" s="187" t="str">
        <f t="shared" si="19"/>
        <v>01-April-2022 to 30-April-2022</v>
      </c>
      <c r="B160" s="45">
        <f t="shared" si="20"/>
        <v>0</v>
      </c>
      <c r="C160" s="45">
        <f t="shared" si="21"/>
        <v>0</v>
      </c>
      <c r="D160" s="390"/>
      <c r="E160" s="397"/>
    </row>
    <row r="161" spans="1:5" ht="13" customHeight="1" x14ac:dyDescent="0.35">
      <c r="A161" s="187" t="str">
        <f t="shared" si="19"/>
        <v>01-May-2022 to 31-May-2022</v>
      </c>
      <c r="B161" s="45">
        <f t="shared" si="20"/>
        <v>0</v>
      </c>
      <c r="C161" s="45">
        <f t="shared" si="21"/>
        <v>0</v>
      </c>
      <c r="D161" s="390"/>
      <c r="E161" s="397"/>
    </row>
    <row r="162" spans="1:5" ht="13" customHeight="1" x14ac:dyDescent="0.35">
      <c r="A162" s="187" t="str">
        <f t="shared" si="19"/>
        <v>01-June-2022 to 30-June-2022</v>
      </c>
      <c r="B162" s="45">
        <f t="shared" si="20"/>
        <v>0</v>
      </c>
      <c r="C162" s="45">
        <f t="shared" si="21"/>
        <v>0</v>
      </c>
      <c r="D162" s="390"/>
      <c r="E162" s="397"/>
    </row>
    <row r="163" spans="1:5" ht="13" customHeight="1" x14ac:dyDescent="0.35">
      <c r="A163" s="187" t="str">
        <f t="shared" si="19"/>
        <v>01-July-2022 to 31-July-2022</v>
      </c>
      <c r="B163" s="45">
        <f t="shared" si="20"/>
        <v>0</v>
      </c>
      <c r="C163" s="45">
        <f t="shared" si="21"/>
        <v>0</v>
      </c>
      <c r="D163" s="390"/>
      <c r="E163" s="397"/>
    </row>
    <row r="164" spans="1:5" ht="13" customHeight="1" x14ac:dyDescent="0.35">
      <c r="A164" s="187" t="str">
        <f t="shared" si="19"/>
        <v>01-August-2022 to 31-August-2022</v>
      </c>
      <c r="B164" s="45">
        <f t="shared" si="20"/>
        <v>0</v>
      </c>
      <c r="C164" s="45">
        <f t="shared" si="21"/>
        <v>0</v>
      </c>
      <c r="D164" s="390"/>
      <c r="E164" s="397"/>
    </row>
    <row r="165" spans="1:5" ht="13" customHeight="1" x14ac:dyDescent="0.35">
      <c r="A165" s="187" t="str">
        <f t="shared" si="19"/>
        <v>01-September-2022 to 30-September-2022</v>
      </c>
      <c r="B165" s="45">
        <f t="shared" si="20"/>
        <v>0</v>
      </c>
      <c r="C165" s="45">
        <f t="shared" si="21"/>
        <v>0</v>
      </c>
      <c r="D165" s="390"/>
      <c r="E165" s="397"/>
    </row>
    <row r="166" spans="1:5" ht="13" customHeight="1" x14ac:dyDescent="0.35">
      <c r="A166" s="187" t="str">
        <f t="shared" si="19"/>
        <v>01-October-2022 to 31-October-2022</v>
      </c>
      <c r="B166" s="45">
        <f t="shared" si="20"/>
        <v>0</v>
      </c>
      <c r="C166" s="45">
        <f t="shared" si="21"/>
        <v>0</v>
      </c>
      <c r="D166" s="390"/>
      <c r="E166" s="397"/>
    </row>
    <row r="167" spans="1:5" ht="13" customHeight="1" x14ac:dyDescent="0.35">
      <c r="A167" s="187" t="str">
        <f t="shared" si="19"/>
        <v>01-November-2022 to 30-November-2022</v>
      </c>
      <c r="B167" s="45">
        <f t="shared" si="20"/>
        <v>0</v>
      </c>
      <c r="C167" s="45">
        <f t="shared" si="21"/>
        <v>0</v>
      </c>
      <c r="D167" s="390"/>
      <c r="E167" s="397"/>
    </row>
    <row r="168" spans="1:5" ht="13" customHeight="1" x14ac:dyDescent="0.35">
      <c r="A168" s="187" t="str">
        <f t="shared" si="19"/>
        <v>01-December-2022 to 31-December-2022</v>
      </c>
      <c r="B168" s="45">
        <f t="shared" si="20"/>
        <v>0</v>
      </c>
      <c r="C168" s="45">
        <f t="shared" si="21"/>
        <v>0</v>
      </c>
      <c r="D168" s="390"/>
      <c r="E168" s="397"/>
    </row>
    <row r="169" spans="1:5" ht="15.5" x14ac:dyDescent="0.45">
      <c r="A169" s="34" t="s">
        <v>346</v>
      </c>
      <c r="B169" s="381">
        <f>SUM(B157:C168)</f>
        <v>0</v>
      </c>
      <c r="C169" s="381"/>
      <c r="D169" s="45" t="s">
        <v>224</v>
      </c>
      <c r="E169" s="397"/>
    </row>
    <row r="170" spans="1:5" ht="16" thickBot="1" x14ac:dyDescent="0.5">
      <c r="A170" s="81" t="s">
        <v>225</v>
      </c>
      <c r="B170" s="387">
        <f>B169</f>
        <v>0</v>
      </c>
      <c r="C170" s="387"/>
      <c r="D170" s="60" t="s">
        <v>224</v>
      </c>
      <c r="E170" s="398"/>
    </row>
    <row r="171" spans="1:5" x14ac:dyDescent="0.35">
      <c r="A171" s="190"/>
      <c r="B171" s="205"/>
      <c r="C171" s="205"/>
      <c r="D171" s="206"/>
      <c r="E171" s="207"/>
    </row>
    <row r="173" spans="1:5" x14ac:dyDescent="0.35">
      <c r="A173" s="190" t="s">
        <v>11</v>
      </c>
    </row>
    <row r="174" spans="1:5" x14ac:dyDescent="0.35">
      <c r="B174" s="198"/>
      <c r="C174" s="190"/>
      <c r="D174" s="190"/>
      <c r="E174" s="191"/>
    </row>
    <row r="175" spans="1:5" x14ac:dyDescent="0.35">
      <c r="B175" s="198"/>
      <c r="C175" s="190"/>
      <c r="D175" s="190"/>
      <c r="E175" s="191"/>
    </row>
    <row r="176" spans="1:5" ht="14" thickBot="1" x14ac:dyDescent="0.4">
      <c r="B176" s="190"/>
      <c r="C176" s="190"/>
    </row>
    <row r="177" spans="1:5" x14ac:dyDescent="0.35">
      <c r="A177" s="42" t="s">
        <v>3</v>
      </c>
      <c r="B177" s="43" t="s">
        <v>9</v>
      </c>
      <c r="C177" s="43"/>
      <c r="D177" s="43" t="s">
        <v>2</v>
      </c>
      <c r="E177" s="43" t="s">
        <v>4</v>
      </c>
    </row>
    <row r="178" spans="1:5" x14ac:dyDescent="0.35">
      <c r="A178" s="62"/>
      <c r="B178" s="63" t="str">
        <f>B98</f>
        <v>Market Swine</v>
      </c>
      <c r="C178" s="63" t="str">
        <f>C98</f>
        <v>Breeding Swine</v>
      </c>
      <c r="D178" s="63"/>
      <c r="E178" s="63"/>
    </row>
    <row r="179" spans="1:5" ht="15.5" x14ac:dyDescent="0.45">
      <c r="A179" s="35" t="s">
        <v>226</v>
      </c>
      <c r="B179" s="29">
        <v>0.01</v>
      </c>
      <c r="C179" s="208">
        <v>0.01</v>
      </c>
      <c r="D179" s="45" t="s">
        <v>227</v>
      </c>
      <c r="E179" s="45" t="s">
        <v>41</v>
      </c>
    </row>
    <row r="180" spans="1:5" ht="15.5" x14ac:dyDescent="0.45">
      <c r="A180" s="35" t="s">
        <v>228</v>
      </c>
      <c r="B180" s="32">
        <v>0.4</v>
      </c>
      <c r="C180" s="32">
        <v>0.4</v>
      </c>
      <c r="D180" s="45" t="s">
        <v>1</v>
      </c>
      <c r="E180" s="183" t="s">
        <v>70</v>
      </c>
    </row>
    <row r="181" spans="1:5" ht="15.5" x14ac:dyDescent="0.45">
      <c r="A181" s="96" t="s">
        <v>229</v>
      </c>
      <c r="B181" s="209"/>
      <c r="C181" s="209"/>
      <c r="D181" s="379" t="s">
        <v>119</v>
      </c>
      <c r="E181" s="379" t="s">
        <v>55</v>
      </c>
    </row>
    <row r="182" spans="1:5" x14ac:dyDescent="0.35">
      <c r="A182" s="187" t="str">
        <f t="shared" ref="A182:A193" si="22">A157</f>
        <v>01-January-2022 to 31-January-2022</v>
      </c>
      <c r="B182" s="209">
        <f t="shared" ref="B182:C193" si="23">B130</f>
        <v>0.74995200000000006</v>
      </c>
      <c r="C182" s="209">
        <f t="shared" si="23"/>
        <v>0.53567999999999993</v>
      </c>
      <c r="D182" s="379"/>
      <c r="E182" s="379"/>
    </row>
    <row r="183" spans="1:5" x14ac:dyDescent="0.35">
      <c r="A183" s="187" t="str">
        <f t="shared" si="22"/>
        <v>01-February-2022 to 28-February-2022</v>
      </c>
      <c r="B183" s="209">
        <f t="shared" si="23"/>
        <v>0.679728</v>
      </c>
      <c r="C183" s="209">
        <f t="shared" si="23"/>
        <v>0.49929599999999996</v>
      </c>
      <c r="D183" s="379"/>
      <c r="E183" s="379"/>
    </row>
    <row r="184" spans="1:5" x14ac:dyDescent="0.35">
      <c r="A184" s="187" t="str">
        <f t="shared" si="22"/>
        <v>01-March-2022 to 31-March-2022</v>
      </c>
      <c r="B184" s="209">
        <f t="shared" si="23"/>
        <v>0.76297199999999998</v>
      </c>
      <c r="C184" s="209">
        <f t="shared" si="23"/>
        <v>0.53865600000000002</v>
      </c>
      <c r="D184" s="379"/>
      <c r="E184" s="379"/>
    </row>
    <row r="185" spans="1:5" x14ac:dyDescent="0.35">
      <c r="A185" s="187" t="str">
        <f t="shared" si="22"/>
        <v>01-April-2022 to 30-April-2022</v>
      </c>
      <c r="B185" s="209">
        <f t="shared" si="23"/>
        <v>0.73080000000000012</v>
      </c>
      <c r="C185" s="209">
        <f t="shared" si="23"/>
        <v>0.51695999999999986</v>
      </c>
      <c r="D185" s="379"/>
      <c r="E185" s="379"/>
    </row>
    <row r="186" spans="1:5" x14ac:dyDescent="0.35">
      <c r="A186" s="187" t="str">
        <f t="shared" si="22"/>
        <v>01-May-2022 to 31-May-2022</v>
      </c>
      <c r="B186" s="209">
        <f t="shared" si="23"/>
        <v>0.75385799999999992</v>
      </c>
      <c r="C186" s="209">
        <f t="shared" si="23"/>
        <v>0.54609599999999991</v>
      </c>
      <c r="D186" s="379"/>
      <c r="E186" s="379"/>
    </row>
    <row r="187" spans="1:5" x14ac:dyDescent="0.35">
      <c r="A187" s="187" t="str">
        <f t="shared" si="22"/>
        <v>01-June-2022 to 30-June-2022</v>
      </c>
      <c r="B187" s="209">
        <f t="shared" si="23"/>
        <v>0.74214000000000002</v>
      </c>
      <c r="C187" s="209">
        <f t="shared" si="23"/>
        <v>0.51911999999999991</v>
      </c>
      <c r="D187" s="379"/>
      <c r="E187" s="379"/>
    </row>
    <row r="188" spans="1:5" x14ac:dyDescent="0.35">
      <c r="A188" s="187" t="str">
        <f t="shared" si="22"/>
        <v>01-July-2022 to 31-July-2022</v>
      </c>
      <c r="B188" s="209">
        <f t="shared" si="23"/>
        <v>0.769482</v>
      </c>
      <c r="C188" s="209">
        <f t="shared" si="23"/>
        <v>0.53716799999999998</v>
      </c>
      <c r="D188" s="379"/>
      <c r="E188" s="379"/>
    </row>
    <row r="189" spans="1:5" x14ac:dyDescent="0.35">
      <c r="A189" s="187" t="str">
        <f t="shared" si="22"/>
        <v>01-August-2022 to 31-August-2022</v>
      </c>
      <c r="B189" s="209">
        <f t="shared" si="23"/>
        <v>0.7577640000000001</v>
      </c>
      <c r="C189" s="209">
        <f t="shared" si="23"/>
        <v>0.53865600000000002</v>
      </c>
      <c r="D189" s="379"/>
      <c r="E189" s="379"/>
    </row>
    <row r="190" spans="1:5" x14ac:dyDescent="0.35">
      <c r="A190" s="187" t="str">
        <f t="shared" si="22"/>
        <v>01-September-2022 to 30-September-2022</v>
      </c>
      <c r="B190" s="209">
        <f t="shared" si="23"/>
        <v>0.72323999999999999</v>
      </c>
      <c r="C190" s="209">
        <f t="shared" si="23"/>
        <v>0.51407999999999998</v>
      </c>
      <c r="D190" s="379"/>
      <c r="E190" s="379"/>
    </row>
    <row r="191" spans="1:5" x14ac:dyDescent="0.35">
      <c r="A191" s="187" t="str">
        <f t="shared" si="22"/>
        <v>01-October-2022 to 31-October-2022</v>
      </c>
      <c r="B191" s="209">
        <f t="shared" si="23"/>
        <v>0.74995200000000006</v>
      </c>
      <c r="C191" s="209">
        <f t="shared" si="23"/>
        <v>0.5438639999999999</v>
      </c>
      <c r="D191" s="379"/>
      <c r="E191" s="379"/>
    </row>
    <row r="192" spans="1:5" x14ac:dyDescent="0.35">
      <c r="A192" s="187" t="str">
        <f t="shared" si="22"/>
        <v>01-November-2022 to 30-November-2022</v>
      </c>
      <c r="B192" s="209">
        <f t="shared" si="23"/>
        <v>0.73206000000000004</v>
      </c>
      <c r="C192" s="209">
        <f t="shared" si="23"/>
        <v>0.53135999999999994</v>
      </c>
      <c r="D192" s="379"/>
      <c r="E192" s="379"/>
    </row>
    <row r="193" spans="1:5" x14ac:dyDescent="0.35">
      <c r="A193" s="187" t="str">
        <f t="shared" si="22"/>
        <v>01-December-2022 to 31-December-2022</v>
      </c>
      <c r="B193" s="209">
        <f t="shared" si="23"/>
        <v>0.76427400000000001</v>
      </c>
      <c r="C193" s="209">
        <f t="shared" si="23"/>
        <v>0.54311999999999994</v>
      </c>
      <c r="D193" s="379"/>
      <c r="E193" s="379"/>
    </row>
    <row r="194" spans="1:5" x14ac:dyDescent="0.35">
      <c r="A194" s="96" t="s">
        <v>222</v>
      </c>
      <c r="B194" s="209"/>
      <c r="C194" s="209"/>
      <c r="D194" s="379" t="str">
        <f>D142</f>
        <v>No of heads</v>
      </c>
      <c r="E194" s="388" t="str">
        <f>E142</f>
        <v>Calculated as equation 5 and 6 in JPM, of which Np,LT and Nda,LT is  sourced from "Exported from the stock record of Market swine"
NLT for breeding swine is sourced from "Breeding Pig stock record"</v>
      </c>
    </row>
    <row r="195" spans="1:5" x14ac:dyDescent="0.35">
      <c r="A195" s="187" t="str">
        <f t="shared" ref="A195:A206" si="24">A182</f>
        <v>01-January-2022 to 31-January-2022</v>
      </c>
      <c r="B195" s="210">
        <f t="shared" ref="B195:C207" si="25">B143</f>
        <v>94226</v>
      </c>
      <c r="C195" s="210">
        <f t="shared" si="25"/>
        <v>51851</v>
      </c>
      <c r="D195" s="379"/>
      <c r="E195" s="388"/>
    </row>
    <row r="196" spans="1:5" x14ac:dyDescent="0.35">
      <c r="A196" s="187" t="str">
        <f t="shared" si="24"/>
        <v>01-February-2022 to 28-February-2022</v>
      </c>
      <c r="B196" s="210">
        <f t="shared" si="25"/>
        <v>94226</v>
      </c>
      <c r="C196" s="210">
        <f t="shared" si="25"/>
        <v>51422</v>
      </c>
      <c r="D196" s="379"/>
      <c r="E196" s="388"/>
    </row>
    <row r="197" spans="1:5" x14ac:dyDescent="0.35">
      <c r="A197" s="187" t="str">
        <f t="shared" si="24"/>
        <v>01-March-2022 to 31-March-2022</v>
      </c>
      <c r="B197" s="210">
        <f t="shared" si="25"/>
        <v>94226</v>
      </c>
      <c r="C197" s="210">
        <f t="shared" si="25"/>
        <v>51878</v>
      </c>
      <c r="D197" s="379"/>
      <c r="E197" s="388"/>
    </row>
    <row r="198" spans="1:5" x14ac:dyDescent="0.35">
      <c r="A198" s="187" t="str">
        <f t="shared" si="24"/>
        <v>01-April-2022 to 30-April-2022</v>
      </c>
      <c r="B198" s="210">
        <f t="shared" si="25"/>
        <v>94226</v>
      </c>
      <c r="C198" s="210">
        <f t="shared" si="25"/>
        <v>51867</v>
      </c>
      <c r="D198" s="379"/>
      <c r="E198" s="388"/>
    </row>
    <row r="199" spans="1:5" x14ac:dyDescent="0.35">
      <c r="A199" s="187" t="str">
        <f t="shared" si="24"/>
        <v>01-May-2022 to 31-May-2022</v>
      </c>
      <c r="B199" s="210">
        <f t="shared" si="25"/>
        <v>94226</v>
      </c>
      <c r="C199" s="210">
        <f t="shared" si="25"/>
        <v>51807</v>
      </c>
      <c r="D199" s="379"/>
      <c r="E199" s="388"/>
    </row>
    <row r="200" spans="1:5" x14ac:dyDescent="0.35">
      <c r="A200" s="187" t="str">
        <f t="shared" si="24"/>
        <v>01-June-2022 to 30-June-2022</v>
      </c>
      <c r="B200" s="210">
        <f t="shared" si="25"/>
        <v>94226</v>
      </c>
      <c r="C200" s="210">
        <f t="shared" si="25"/>
        <v>51827</v>
      </c>
      <c r="D200" s="379"/>
      <c r="E200" s="388"/>
    </row>
    <row r="201" spans="1:5" x14ac:dyDescent="0.35">
      <c r="A201" s="187" t="str">
        <f t="shared" si="24"/>
        <v>01-July-2022 to 31-July-2022</v>
      </c>
      <c r="B201" s="210">
        <f t="shared" si="25"/>
        <v>94226</v>
      </c>
      <c r="C201" s="210">
        <f t="shared" si="25"/>
        <v>51818</v>
      </c>
      <c r="D201" s="379"/>
      <c r="E201" s="388"/>
    </row>
    <row r="202" spans="1:5" x14ac:dyDescent="0.35">
      <c r="A202" s="187" t="str">
        <f t="shared" si="24"/>
        <v>01-August-2022 to 31-August-2022</v>
      </c>
      <c r="B202" s="210">
        <f t="shared" si="25"/>
        <v>94226</v>
      </c>
      <c r="C202" s="210">
        <f t="shared" si="25"/>
        <v>51830</v>
      </c>
      <c r="D202" s="379"/>
      <c r="E202" s="388"/>
    </row>
    <row r="203" spans="1:5" x14ac:dyDescent="0.35">
      <c r="A203" s="187" t="str">
        <f t="shared" si="24"/>
        <v>01-September-2022 to 30-September-2022</v>
      </c>
      <c r="B203" s="210">
        <f t="shared" si="25"/>
        <v>94226</v>
      </c>
      <c r="C203" s="210">
        <f t="shared" si="25"/>
        <v>51018</v>
      </c>
      <c r="D203" s="379"/>
      <c r="E203" s="388"/>
    </row>
    <row r="204" spans="1:5" x14ac:dyDescent="0.35">
      <c r="A204" s="187" t="str">
        <f t="shared" si="24"/>
        <v>01-October-2022 to 31-October-2022</v>
      </c>
      <c r="B204" s="210">
        <f t="shared" si="25"/>
        <v>94226</v>
      </c>
      <c r="C204" s="210">
        <f t="shared" si="25"/>
        <v>51826</v>
      </c>
      <c r="D204" s="379"/>
      <c r="E204" s="388"/>
    </row>
    <row r="205" spans="1:5" x14ac:dyDescent="0.35">
      <c r="A205" s="187" t="str">
        <f t="shared" si="24"/>
        <v>01-November-2022 to 30-November-2022</v>
      </c>
      <c r="B205" s="210">
        <f t="shared" si="25"/>
        <v>94226</v>
      </c>
      <c r="C205" s="210">
        <f t="shared" si="25"/>
        <v>51806</v>
      </c>
      <c r="D205" s="379"/>
      <c r="E205" s="388"/>
    </row>
    <row r="206" spans="1:5" x14ac:dyDescent="0.35">
      <c r="A206" s="187" t="str">
        <f t="shared" si="24"/>
        <v>01-December-2022 to 31-December-2022</v>
      </c>
      <c r="B206" s="210">
        <f t="shared" si="25"/>
        <v>94226</v>
      </c>
      <c r="C206" s="210">
        <f t="shared" si="25"/>
        <v>51828</v>
      </c>
      <c r="D206" s="379"/>
      <c r="E206" s="388"/>
    </row>
    <row r="207" spans="1:5" x14ac:dyDescent="0.35">
      <c r="A207" s="28" t="s">
        <v>157</v>
      </c>
      <c r="B207" s="32">
        <f t="shared" si="25"/>
        <v>1</v>
      </c>
      <c r="C207" s="32">
        <f t="shared" si="25"/>
        <v>1</v>
      </c>
      <c r="D207" s="45" t="str">
        <f>D155</f>
        <v>%</v>
      </c>
      <c r="E207" s="30" t="s">
        <v>99</v>
      </c>
    </row>
    <row r="208" spans="1:5" ht="15.5" x14ac:dyDescent="0.45">
      <c r="A208" s="96" t="s">
        <v>230</v>
      </c>
      <c r="B208" s="211">
        <v>265</v>
      </c>
      <c r="C208" s="211">
        <v>265</v>
      </c>
      <c r="D208" s="45" t="s">
        <v>231</v>
      </c>
      <c r="E208" s="31" t="s">
        <v>121</v>
      </c>
    </row>
    <row r="209" spans="1:5" ht="15.5" x14ac:dyDescent="0.45">
      <c r="A209" s="96" t="s">
        <v>232</v>
      </c>
      <c r="B209" s="209">
        <f>44/28</f>
        <v>1.5714285714285714</v>
      </c>
      <c r="C209" s="209">
        <f>44/28</f>
        <v>1.5714285714285714</v>
      </c>
      <c r="D209" s="45" t="s">
        <v>233</v>
      </c>
      <c r="E209" s="30" t="s">
        <v>300</v>
      </c>
    </row>
    <row r="210" spans="1:5" ht="15.5" x14ac:dyDescent="0.45">
      <c r="A210" s="212" t="s">
        <v>234</v>
      </c>
      <c r="B210" s="209"/>
      <c r="C210" s="209"/>
      <c r="D210" s="45"/>
      <c r="E210" s="30"/>
    </row>
    <row r="211" spans="1:5" x14ac:dyDescent="0.35">
      <c r="A211" s="188" t="str">
        <f t="shared" ref="A211:A222" si="26">A195</f>
        <v>01-January-2022 to 31-January-2022</v>
      </c>
      <c r="B211" s="209">
        <f t="shared" ref="B211:B222" si="27">$B$179*$B$180*B182*B195*$B$207</f>
        <v>282.65990860800002</v>
      </c>
      <c r="C211" s="209">
        <f>$C$179*$C$180*C182*C195*$C$207</f>
        <v>111.10217471999999</v>
      </c>
      <c r="D211" s="390"/>
      <c r="E211" s="383" t="s">
        <v>101</v>
      </c>
    </row>
    <row r="212" spans="1:5" x14ac:dyDescent="0.35">
      <c r="A212" s="188" t="str">
        <f t="shared" si="26"/>
        <v>01-February-2022 to 28-February-2022</v>
      </c>
      <c r="B212" s="209">
        <f t="shared" si="27"/>
        <v>256.19220211200002</v>
      </c>
      <c r="C212" s="209">
        <f t="shared" ref="C212:C222" si="28">$C$179*$C$180*C183*C196*$C$207</f>
        <v>102.699195648</v>
      </c>
      <c r="D212" s="390"/>
      <c r="E212" s="383"/>
    </row>
    <row r="213" spans="1:5" x14ac:dyDescent="0.35">
      <c r="A213" s="188" t="str">
        <f t="shared" si="26"/>
        <v>01-March-2022 to 31-March-2022</v>
      </c>
      <c r="B213" s="209">
        <f t="shared" si="27"/>
        <v>287.56719868800002</v>
      </c>
      <c r="C213" s="209">
        <f t="shared" si="28"/>
        <v>111.77758387199999</v>
      </c>
      <c r="D213" s="390"/>
      <c r="E213" s="383"/>
    </row>
    <row r="214" spans="1:5" x14ac:dyDescent="0.35">
      <c r="A214" s="188" t="str">
        <f t="shared" si="26"/>
        <v>01-April-2022 to 30-April-2022</v>
      </c>
      <c r="B214" s="209">
        <f t="shared" si="27"/>
        <v>275.44144320000004</v>
      </c>
      <c r="C214" s="209">
        <f t="shared" si="28"/>
        <v>107.25265727999998</v>
      </c>
      <c r="D214" s="390"/>
      <c r="E214" s="383"/>
    </row>
    <row r="215" spans="1:5" x14ac:dyDescent="0.35">
      <c r="A215" s="188" t="str">
        <f t="shared" si="26"/>
        <v>01-May-2022 to 31-May-2022</v>
      </c>
      <c r="B215" s="209">
        <f t="shared" si="27"/>
        <v>284.13209563199996</v>
      </c>
      <c r="C215" s="209">
        <f t="shared" si="28"/>
        <v>113.16638188799999</v>
      </c>
      <c r="D215" s="390"/>
      <c r="E215" s="383"/>
    </row>
    <row r="216" spans="1:5" x14ac:dyDescent="0.35">
      <c r="A216" s="188" t="str">
        <f t="shared" si="26"/>
        <v>01-June-2022 to 30-June-2022</v>
      </c>
      <c r="B216" s="209">
        <f t="shared" si="27"/>
        <v>279.71553456000004</v>
      </c>
      <c r="C216" s="209">
        <f t="shared" si="28"/>
        <v>107.61772895999999</v>
      </c>
      <c r="D216" s="390"/>
      <c r="E216" s="383"/>
    </row>
    <row r="217" spans="1:5" x14ac:dyDescent="0.35">
      <c r="A217" s="188" t="str">
        <f t="shared" si="26"/>
        <v>01-July-2022 to 31-July-2022</v>
      </c>
      <c r="B217" s="209">
        <f t="shared" si="27"/>
        <v>290.02084372799999</v>
      </c>
      <c r="C217" s="209">
        <f t="shared" si="28"/>
        <v>111.339885696</v>
      </c>
      <c r="D217" s="390"/>
      <c r="E217" s="383"/>
    </row>
    <row r="218" spans="1:5" x14ac:dyDescent="0.35">
      <c r="A218" s="188" t="str">
        <f t="shared" si="26"/>
        <v>01-August-2022 to 31-August-2022</v>
      </c>
      <c r="B218" s="209">
        <f t="shared" si="27"/>
        <v>285.60428265600001</v>
      </c>
      <c r="C218" s="209">
        <f t="shared" si="28"/>
        <v>111.67416192</v>
      </c>
      <c r="D218" s="390"/>
      <c r="E218" s="383"/>
    </row>
    <row r="219" spans="1:5" x14ac:dyDescent="0.35">
      <c r="A219" s="188" t="str">
        <f t="shared" si="26"/>
        <v>01-September-2022 to 30-September-2022</v>
      </c>
      <c r="B219" s="209">
        <f t="shared" si="27"/>
        <v>272.59204896</v>
      </c>
      <c r="C219" s="209">
        <f t="shared" si="28"/>
        <v>104.90933376</v>
      </c>
      <c r="D219" s="390"/>
      <c r="E219" s="383"/>
    </row>
    <row r="220" spans="1:5" x14ac:dyDescent="0.35">
      <c r="A220" s="188" t="str">
        <f t="shared" si="26"/>
        <v>01-October-2022 to 31-October-2022</v>
      </c>
      <c r="B220" s="209">
        <f t="shared" si="27"/>
        <v>282.65990860800002</v>
      </c>
      <c r="C220" s="209">
        <f t="shared" si="28"/>
        <v>112.74518265599998</v>
      </c>
      <c r="D220" s="390"/>
      <c r="E220" s="383"/>
    </row>
    <row r="221" spans="1:5" x14ac:dyDescent="0.35">
      <c r="A221" s="188" t="str">
        <f t="shared" si="26"/>
        <v>01-November-2022 to 30-November-2022</v>
      </c>
      <c r="B221" s="209">
        <f t="shared" si="27"/>
        <v>275.91634224000001</v>
      </c>
      <c r="C221" s="209">
        <f t="shared" si="28"/>
        <v>110.11054463999999</v>
      </c>
      <c r="D221" s="390"/>
      <c r="E221" s="383"/>
    </row>
    <row r="222" spans="1:5" x14ac:dyDescent="0.35">
      <c r="A222" s="188" t="str">
        <f t="shared" si="26"/>
        <v>01-December-2022 to 31-December-2022</v>
      </c>
      <c r="B222" s="209">
        <f t="shared" si="27"/>
        <v>288.05792769599998</v>
      </c>
      <c r="C222" s="209">
        <f t="shared" si="28"/>
        <v>112.59529343999998</v>
      </c>
      <c r="D222" s="390"/>
      <c r="E222" s="383"/>
    </row>
    <row r="223" spans="1:5" ht="15.5" x14ac:dyDescent="0.45">
      <c r="A223" s="34" t="s">
        <v>347</v>
      </c>
      <c r="B223" s="380">
        <f>SUM(B211:C222)</f>
        <v>4677.5498611679996</v>
      </c>
      <c r="C223" s="380"/>
      <c r="D223" s="45" t="s">
        <v>224</v>
      </c>
      <c r="E223" s="383"/>
    </row>
    <row r="224" spans="1:5" ht="16" thickBot="1" x14ac:dyDescent="0.5">
      <c r="A224" s="81" t="s">
        <v>235</v>
      </c>
      <c r="B224" s="386">
        <f>B223</f>
        <v>4677.5498611679996</v>
      </c>
      <c r="C224" s="386"/>
      <c r="D224" s="60" t="s">
        <v>224</v>
      </c>
      <c r="E224" s="395"/>
    </row>
    <row r="225" spans="1:4" x14ac:dyDescent="0.35">
      <c r="A225" s="190"/>
      <c r="B225" s="213"/>
      <c r="C225" s="213"/>
    </row>
    <row r="226" spans="1:4" ht="14" thickBot="1" x14ac:dyDescent="0.4">
      <c r="A226" s="377" t="s">
        <v>236</v>
      </c>
      <c r="B226" s="378"/>
      <c r="C226" s="378"/>
      <c r="D226" s="378"/>
    </row>
    <row r="227" spans="1:4" s="190" customFormat="1" ht="16" thickBot="1" x14ac:dyDescent="0.5">
      <c r="A227" s="337" t="s">
        <v>348</v>
      </c>
      <c r="B227" s="338">
        <f>ROUNDDOWN(B208*B209/1000*(B223+B169),0)</f>
        <v>1947</v>
      </c>
      <c r="C227" s="339" t="s">
        <v>168</v>
      </c>
    </row>
    <row r="229" spans="1:4" x14ac:dyDescent="0.35">
      <c r="A229" s="214"/>
      <c r="B229" s="215"/>
      <c r="C229" s="216"/>
      <c r="D229" s="206"/>
    </row>
    <row r="230" spans="1:4" x14ac:dyDescent="0.35">
      <c r="A230" s="217" t="s">
        <v>350</v>
      </c>
    </row>
    <row r="231" spans="1:4" ht="14" thickBot="1" x14ac:dyDescent="0.4">
      <c r="B231" s="218"/>
    </row>
    <row r="232" spans="1:4" ht="15.5" x14ac:dyDescent="0.45">
      <c r="A232" s="336" t="s">
        <v>349</v>
      </c>
      <c r="B232" s="340" t="s">
        <v>351</v>
      </c>
      <c r="C232" s="340" t="s">
        <v>366</v>
      </c>
      <c r="D232" s="341" t="s">
        <v>367</v>
      </c>
    </row>
    <row r="233" spans="1:4" ht="14" thickBot="1" x14ac:dyDescent="0.4">
      <c r="A233" s="344" t="str">
        <f>A227</f>
        <v>01-January-2022 to 31-December-2022</v>
      </c>
      <c r="B233" s="342">
        <f>B84</f>
        <v>136717</v>
      </c>
      <c r="C233" s="342">
        <f>B227</f>
        <v>1947</v>
      </c>
      <c r="D233" s="343">
        <f>B233+C233</f>
        <v>138664</v>
      </c>
    </row>
    <row r="238" spans="1:4" x14ac:dyDescent="0.35">
      <c r="D238" s="220"/>
    </row>
    <row r="247" spans="2:2" x14ac:dyDescent="0.35">
      <c r="B247" s="190"/>
    </row>
  </sheetData>
  <sheetProtection selectLockedCells="1" selectUnlockedCells="1"/>
  <customSheetViews>
    <customSheetView guid="{2C071143-29D6-4036-A926-BF7E54293313}" showRuler="0">
      <selection activeCell="E28" sqref="E28"/>
      <pageMargins left="0.75" right="0.75" top="1" bottom="1" header="0.5" footer="0.5"/>
      <pageSetup orientation="portrait" r:id="rId1"/>
      <headerFooter alignWithMargins="0"/>
    </customSheetView>
  </customSheetViews>
  <mergeCells count="33">
    <mergeCell ref="E211:E224"/>
    <mergeCell ref="E71:E84"/>
    <mergeCell ref="D44:D55"/>
    <mergeCell ref="E43:E55"/>
    <mergeCell ref="D57:D69"/>
    <mergeCell ref="E57:E69"/>
    <mergeCell ref="D101:D113"/>
    <mergeCell ref="E101:E113"/>
    <mergeCell ref="E157:E170"/>
    <mergeCell ref="E114:E126"/>
    <mergeCell ref="A87:D87"/>
    <mergeCell ref="D114:D126"/>
    <mergeCell ref="E15:E27"/>
    <mergeCell ref="B224:C224"/>
    <mergeCell ref="B170:C170"/>
    <mergeCell ref="D181:D193"/>
    <mergeCell ref="E181:E193"/>
    <mergeCell ref="D194:D206"/>
    <mergeCell ref="E194:E206"/>
    <mergeCell ref="D28:D40"/>
    <mergeCell ref="D157:D168"/>
    <mergeCell ref="B83:C83"/>
    <mergeCell ref="D129:D141"/>
    <mergeCell ref="B84:C84"/>
    <mergeCell ref="E129:E141"/>
    <mergeCell ref="E142:E154"/>
    <mergeCell ref="E28:E40"/>
    <mergeCell ref="D211:D222"/>
    <mergeCell ref="A226:D226"/>
    <mergeCell ref="D142:D154"/>
    <mergeCell ref="B223:C223"/>
    <mergeCell ref="B169:C169"/>
    <mergeCell ref="D15:D27"/>
  </mergeCells>
  <phoneticPr fontId="0" type="noConversion"/>
  <pageMargins left="0.75" right="0.75" top="1" bottom="1" header="0.5" footer="0.5"/>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330"/>
  <sheetViews>
    <sheetView topLeftCell="A101" zoomScaleNormal="100" workbookViewId="0">
      <selection activeCell="B329" sqref="B329"/>
    </sheetView>
  </sheetViews>
  <sheetFormatPr defaultRowHeight="13.5" x14ac:dyDescent="0.35"/>
  <cols>
    <col min="1" max="1" width="56" style="44" bestFit="1" customWidth="1"/>
    <col min="2" max="2" width="20.81640625" style="44" customWidth="1"/>
    <col min="3" max="3" width="24.453125" style="44" customWidth="1"/>
    <col min="4" max="4" width="28.453125" style="44" bestFit="1" customWidth="1"/>
    <col min="5" max="5" width="47" style="44" customWidth="1"/>
    <col min="6" max="6" width="9.453125" style="44" bestFit="1" customWidth="1"/>
    <col min="7" max="7" width="11" style="44" bestFit="1" customWidth="1"/>
    <col min="8" max="8" width="10.26953125" style="44" bestFit="1" customWidth="1"/>
    <col min="9" max="9" width="9.26953125" style="44" bestFit="1" customWidth="1"/>
    <col min="10" max="16384" width="8.7265625" style="44"/>
  </cols>
  <sheetData>
    <row r="1" spans="1:6" ht="16" x14ac:dyDescent="0.4">
      <c r="A1" s="189" t="s">
        <v>46</v>
      </c>
    </row>
    <row r="3" spans="1:6" x14ac:dyDescent="0.35">
      <c r="E3" s="197"/>
    </row>
    <row r="4" spans="1:6" x14ac:dyDescent="0.35">
      <c r="A4" s="221" t="s">
        <v>21</v>
      </c>
    </row>
    <row r="5" spans="1:6" x14ac:dyDescent="0.35">
      <c r="A5" s="221"/>
    </row>
    <row r="6" spans="1:6" x14ac:dyDescent="0.35">
      <c r="A6" s="222" t="s">
        <v>42</v>
      </c>
      <c r="B6" s="222"/>
    </row>
    <row r="7" spans="1:6" x14ac:dyDescent="0.35">
      <c r="A7" s="190"/>
    </row>
    <row r="8" spans="1:6" ht="16" x14ac:dyDescent="0.35">
      <c r="A8" s="223"/>
      <c r="B8" s="224"/>
      <c r="D8" s="225"/>
      <c r="E8" s="197"/>
    </row>
    <row r="9" spans="1:6" ht="16" x14ac:dyDescent="0.35">
      <c r="A9" s="223"/>
      <c r="B9" s="224"/>
      <c r="C9" s="226"/>
      <c r="D9" s="226"/>
      <c r="E9" s="197"/>
    </row>
    <row r="10" spans="1:6" ht="16" x14ac:dyDescent="0.35">
      <c r="A10" s="223"/>
      <c r="B10" s="224"/>
      <c r="C10" s="226"/>
      <c r="D10" s="226"/>
      <c r="E10" s="197"/>
    </row>
    <row r="11" spans="1:6" ht="16" x14ac:dyDescent="0.35">
      <c r="B11" s="224"/>
      <c r="C11" s="226"/>
      <c r="D11" s="226"/>
      <c r="E11" s="197"/>
    </row>
    <row r="12" spans="1:6" ht="16.5" thickBot="1" x14ac:dyDescent="0.4">
      <c r="A12" s="223"/>
      <c r="B12" s="224"/>
      <c r="C12" s="226"/>
      <c r="D12" s="226"/>
    </row>
    <row r="13" spans="1:6" ht="14" thickTop="1" x14ac:dyDescent="0.35">
      <c r="A13" s="227" t="s">
        <v>64</v>
      </c>
      <c r="B13" s="228" t="s">
        <v>63</v>
      </c>
      <c r="C13" s="228" t="s">
        <v>61</v>
      </c>
      <c r="D13" s="400" t="s">
        <v>62</v>
      </c>
      <c r="E13" s="401"/>
    </row>
    <row r="14" spans="1:6" ht="15" customHeight="1" x14ac:dyDescent="0.45">
      <c r="A14" s="229" t="s">
        <v>237</v>
      </c>
      <c r="B14" s="98"/>
      <c r="C14" s="404" t="s">
        <v>100</v>
      </c>
      <c r="D14" s="388" t="s">
        <v>302</v>
      </c>
      <c r="E14" s="417"/>
      <c r="F14" s="116"/>
    </row>
    <row r="15" spans="1:6" ht="15" customHeight="1" x14ac:dyDescent="0.35">
      <c r="A15" s="230" t="str">
        <f>'Baseline Emission'!A211</f>
        <v>01-January-2022 to 31-January-2022</v>
      </c>
      <c r="B15" s="98">
        <f>'monitoring results'!H4</f>
        <v>35.424510000000005</v>
      </c>
      <c r="C15" s="404"/>
      <c r="D15" s="388"/>
      <c r="E15" s="417"/>
      <c r="F15" s="116"/>
    </row>
    <row r="16" spans="1:6" ht="15" customHeight="1" x14ac:dyDescent="0.35">
      <c r="A16" s="230" t="str">
        <f>'Baseline Emission'!A212</f>
        <v>01-February-2022 to 28-February-2022</v>
      </c>
      <c r="B16" s="98">
        <f>'monitoring results'!H5</f>
        <v>37.982940000000006</v>
      </c>
      <c r="C16" s="404"/>
      <c r="D16" s="388"/>
      <c r="E16" s="417"/>
      <c r="F16" s="116"/>
    </row>
    <row r="17" spans="1:6" ht="15" customHeight="1" x14ac:dyDescent="0.35">
      <c r="A17" s="230" t="str">
        <f>'Baseline Emission'!A213</f>
        <v>01-March-2022 to 31-March-2022</v>
      </c>
      <c r="B17" s="98">
        <f>'monitoring results'!H6</f>
        <v>36.821050000000007</v>
      </c>
      <c r="C17" s="404"/>
      <c r="D17" s="388"/>
      <c r="E17" s="417"/>
      <c r="F17" s="116"/>
    </row>
    <row r="18" spans="1:6" ht="15" customHeight="1" x14ac:dyDescent="0.35">
      <c r="A18" s="230" t="str">
        <f>'Baseline Emission'!A214</f>
        <v>01-April-2022 to 30-April-2022</v>
      </c>
      <c r="B18" s="98">
        <f>'monitoring results'!H7</f>
        <v>37.094540000000002</v>
      </c>
      <c r="C18" s="404"/>
      <c r="D18" s="388"/>
      <c r="E18" s="417"/>
      <c r="F18" s="116"/>
    </row>
    <row r="19" spans="1:6" ht="15" customHeight="1" x14ac:dyDescent="0.35">
      <c r="A19" s="230" t="str">
        <f>'Baseline Emission'!A215</f>
        <v>01-May-2022 to 31-May-2022</v>
      </c>
      <c r="B19" s="98">
        <f>'monitoring results'!H8</f>
        <v>35.601490000000005</v>
      </c>
      <c r="C19" s="404"/>
      <c r="D19" s="388"/>
      <c r="E19" s="417"/>
      <c r="F19" s="116"/>
    </row>
    <row r="20" spans="1:6" ht="15" customHeight="1" x14ac:dyDescent="0.35">
      <c r="A20" s="230" t="str">
        <f>'Baseline Emission'!A216</f>
        <v>01-June-2022 to 30-June-2022</v>
      </c>
      <c r="B20" s="98">
        <f>'monitoring results'!H9</f>
        <v>30.879750000000001</v>
      </c>
      <c r="C20" s="404"/>
      <c r="D20" s="388"/>
      <c r="E20" s="417"/>
      <c r="F20" s="116"/>
    </row>
    <row r="21" spans="1:6" ht="15" customHeight="1" x14ac:dyDescent="0.35">
      <c r="A21" s="230" t="str">
        <f>'Baseline Emission'!A217</f>
        <v>01-July-2022 to 31-July-2022</v>
      </c>
      <c r="B21" s="98">
        <f>'monitoring results'!H10</f>
        <v>37.54392</v>
      </c>
      <c r="C21" s="404"/>
      <c r="D21" s="388"/>
      <c r="E21" s="417"/>
      <c r="F21" s="116"/>
    </row>
    <row r="22" spans="1:6" ht="15" customHeight="1" x14ac:dyDescent="0.35">
      <c r="A22" s="230" t="str">
        <f>'Baseline Emission'!A218</f>
        <v>01-August-2022 to 31-August-2022</v>
      </c>
      <c r="B22" s="98">
        <f>'monitoring results'!H11</f>
        <v>33.850020000000001</v>
      </c>
      <c r="C22" s="404"/>
      <c r="D22" s="388"/>
      <c r="E22" s="417"/>
      <c r="F22" s="116"/>
    </row>
    <row r="23" spans="1:6" ht="15" customHeight="1" x14ac:dyDescent="0.35">
      <c r="A23" s="230" t="str">
        <f>'Baseline Emission'!A219</f>
        <v>01-September-2022 to 30-September-2022</v>
      </c>
      <c r="B23" s="98">
        <f>'monitoring results'!H12</f>
        <v>34.948430000000002</v>
      </c>
      <c r="C23" s="404"/>
      <c r="D23" s="388"/>
      <c r="E23" s="417"/>
      <c r="F23" s="116"/>
    </row>
    <row r="24" spans="1:6" ht="15" customHeight="1" x14ac:dyDescent="0.35">
      <c r="A24" s="230" t="str">
        <f>'Baseline Emission'!A220</f>
        <v>01-October-2022 to 31-October-2022</v>
      </c>
      <c r="B24" s="98">
        <f>'monitoring results'!H13</f>
        <v>31.642990000000001</v>
      </c>
      <c r="C24" s="404"/>
      <c r="D24" s="388"/>
      <c r="E24" s="417"/>
      <c r="F24" s="116"/>
    </row>
    <row r="25" spans="1:6" ht="15" customHeight="1" x14ac:dyDescent="0.35">
      <c r="A25" s="230" t="str">
        <f>'Baseline Emission'!A221</f>
        <v>01-November-2022 to 30-November-2022</v>
      </c>
      <c r="B25" s="98">
        <f>'monitoring results'!H14</f>
        <v>36.86195</v>
      </c>
      <c r="C25" s="404"/>
      <c r="D25" s="388"/>
      <c r="E25" s="417"/>
      <c r="F25" s="116"/>
    </row>
    <row r="26" spans="1:6" ht="15" customHeight="1" x14ac:dyDescent="0.35">
      <c r="A26" s="230" t="str">
        <f>'Baseline Emission'!A222</f>
        <v>01-December-2022 to 31-December-2022</v>
      </c>
      <c r="B26" s="98">
        <f>'monitoring results'!H15</f>
        <v>35.995790000000007</v>
      </c>
      <c r="C26" s="404"/>
      <c r="D26" s="388"/>
      <c r="E26" s="417"/>
      <c r="F26" s="116"/>
    </row>
    <row r="27" spans="1:6" ht="28" customHeight="1" x14ac:dyDescent="0.45">
      <c r="A27" s="229" t="s">
        <v>238</v>
      </c>
      <c r="B27" s="231">
        <f>0.5*0.7921+0.5*0.387</f>
        <v>0.58955000000000002</v>
      </c>
      <c r="C27" s="73" t="s">
        <v>239</v>
      </c>
      <c r="D27" s="402" t="s">
        <v>303</v>
      </c>
      <c r="E27" s="403"/>
    </row>
    <row r="28" spans="1:6" ht="28.5" customHeight="1" x14ac:dyDescent="0.45">
      <c r="A28" s="229" t="s">
        <v>240</v>
      </c>
      <c r="B28" s="232">
        <v>0.2</v>
      </c>
      <c r="C28" s="73" t="s">
        <v>81</v>
      </c>
      <c r="D28" s="402" t="s">
        <v>132</v>
      </c>
      <c r="E28" s="403"/>
    </row>
    <row r="29" spans="1:6" ht="15" customHeight="1" x14ac:dyDescent="0.45">
      <c r="A29" s="233" t="s">
        <v>241</v>
      </c>
      <c r="B29" s="234"/>
      <c r="C29" s="73"/>
      <c r="D29" s="404"/>
      <c r="E29" s="405"/>
    </row>
    <row r="30" spans="1:6" ht="15" customHeight="1" x14ac:dyDescent="0.35">
      <c r="A30" s="230" t="str">
        <f t="shared" ref="A30:A41" si="0">A15</f>
        <v>01-January-2022 to 31-January-2022</v>
      </c>
      <c r="B30" s="234">
        <f>ROUNDUP(B15*$B$27*(1+$B$28),0)</f>
        <v>26</v>
      </c>
      <c r="C30" s="73" t="s">
        <v>168</v>
      </c>
      <c r="D30" s="422" t="s">
        <v>101</v>
      </c>
      <c r="E30" s="423"/>
    </row>
    <row r="31" spans="1:6" ht="15" customHeight="1" x14ac:dyDescent="0.35">
      <c r="A31" s="230" t="str">
        <f t="shared" si="0"/>
        <v>01-February-2022 to 28-February-2022</v>
      </c>
      <c r="B31" s="234">
        <f t="shared" ref="B31:B41" si="1">ROUNDUP(B16*$B$27*(1+$B$28),0)</f>
        <v>27</v>
      </c>
      <c r="C31" s="73" t="s">
        <v>168</v>
      </c>
      <c r="D31" s="422"/>
      <c r="E31" s="423"/>
    </row>
    <row r="32" spans="1:6" ht="15" customHeight="1" x14ac:dyDescent="0.35">
      <c r="A32" s="230" t="str">
        <f t="shared" si="0"/>
        <v>01-March-2022 to 31-March-2022</v>
      </c>
      <c r="B32" s="234">
        <f t="shared" si="1"/>
        <v>27</v>
      </c>
      <c r="C32" s="73" t="s">
        <v>168</v>
      </c>
      <c r="D32" s="422"/>
      <c r="E32" s="423"/>
    </row>
    <row r="33" spans="1:5" ht="15" customHeight="1" x14ac:dyDescent="0.35">
      <c r="A33" s="230" t="str">
        <f t="shared" si="0"/>
        <v>01-April-2022 to 30-April-2022</v>
      </c>
      <c r="B33" s="234">
        <f t="shared" si="1"/>
        <v>27</v>
      </c>
      <c r="C33" s="73" t="s">
        <v>168</v>
      </c>
      <c r="D33" s="422"/>
      <c r="E33" s="423"/>
    </row>
    <row r="34" spans="1:5" ht="15" customHeight="1" x14ac:dyDescent="0.35">
      <c r="A34" s="230" t="str">
        <f t="shared" si="0"/>
        <v>01-May-2022 to 31-May-2022</v>
      </c>
      <c r="B34" s="234">
        <f t="shared" si="1"/>
        <v>26</v>
      </c>
      <c r="C34" s="73" t="s">
        <v>168</v>
      </c>
      <c r="D34" s="422"/>
      <c r="E34" s="423"/>
    </row>
    <row r="35" spans="1:5" ht="15" customHeight="1" x14ac:dyDescent="0.35">
      <c r="A35" s="230" t="str">
        <f t="shared" si="0"/>
        <v>01-June-2022 to 30-June-2022</v>
      </c>
      <c r="B35" s="234">
        <f t="shared" si="1"/>
        <v>22</v>
      </c>
      <c r="C35" s="73" t="s">
        <v>168</v>
      </c>
      <c r="D35" s="422"/>
      <c r="E35" s="423"/>
    </row>
    <row r="36" spans="1:5" ht="15" customHeight="1" x14ac:dyDescent="0.35">
      <c r="A36" s="230" t="str">
        <f t="shared" si="0"/>
        <v>01-July-2022 to 31-July-2022</v>
      </c>
      <c r="B36" s="234">
        <f t="shared" si="1"/>
        <v>27</v>
      </c>
      <c r="C36" s="73" t="s">
        <v>168</v>
      </c>
      <c r="D36" s="422"/>
      <c r="E36" s="423"/>
    </row>
    <row r="37" spans="1:5" ht="15" customHeight="1" x14ac:dyDescent="0.35">
      <c r="A37" s="230" t="str">
        <f t="shared" si="0"/>
        <v>01-August-2022 to 31-August-2022</v>
      </c>
      <c r="B37" s="234">
        <f t="shared" si="1"/>
        <v>24</v>
      </c>
      <c r="C37" s="73" t="s">
        <v>168</v>
      </c>
      <c r="D37" s="422"/>
      <c r="E37" s="423"/>
    </row>
    <row r="38" spans="1:5" ht="15" customHeight="1" x14ac:dyDescent="0.35">
      <c r="A38" s="230" t="str">
        <f t="shared" si="0"/>
        <v>01-September-2022 to 30-September-2022</v>
      </c>
      <c r="B38" s="234">
        <f t="shared" si="1"/>
        <v>25</v>
      </c>
      <c r="C38" s="73" t="s">
        <v>168</v>
      </c>
      <c r="D38" s="422"/>
      <c r="E38" s="423"/>
    </row>
    <row r="39" spans="1:5" ht="15" customHeight="1" x14ac:dyDescent="0.35">
      <c r="A39" s="230" t="str">
        <f t="shared" si="0"/>
        <v>01-October-2022 to 31-October-2022</v>
      </c>
      <c r="B39" s="234">
        <f t="shared" si="1"/>
        <v>23</v>
      </c>
      <c r="C39" s="73" t="s">
        <v>168</v>
      </c>
      <c r="D39" s="422"/>
      <c r="E39" s="423"/>
    </row>
    <row r="40" spans="1:5" ht="15" customHeight="1" x14ac:dyDescent="0.35">
      <c r="A40" s="230" t="str">
        <f t="shared" si="0"/>
        <v>01-November-2022 to 30-November-2022</v>
      </c>
      <c r="B40" s="234">
        <f t="shared" si="1"/>
        <v>27</v>
      </c>
      <c r="C40" s="73" t="s">
        <v>168</v>
      </c>
      <c r="D40" s="422"/>
      <c r="E40" s="423"/>
    </row>
    <row r="41" spans="1:5" ht="15" customHeight="1" x14ac:dyDescent="0.35">
      <c r="A41" s="230" t="str">
        <f t="shared" si="0"/>
        <v>01-December-2022 to 31-December-2022</v>
      </c>
      <c r="B41" s="234">
        <f t="shared" si="1"/>
        <v>26</v>
      </c>
      <c r="C41" s="73" t="s">
        <v>168</v>
      </c>
      <c r="D41" s="422"/>
      <c r="E41" s="423"/>
    </row>
    <row r="42" spans="1:5" ht="15" customHeight="1" x14ac:dyDescent="0.45">
      <c r="A42" s="57" t="s">
        <v>353</v>
      </c>
      <c r="B42" s="234">
        <f>ROUNDUP(SUM(B30:B41),0)</f>
        <v>307</v>
      </c>
      <c r="C42" s="73" t="s">
        <v>168</v>
      </c>
      <c r="D42" s="424"/>
      <c r="E42" s="425"/>
    </row>
    <row r="43" spans="1:5" ht="31" customHeight="1" thickBot="1" x14ac:dyDescent="0.4">
      <c r="A43" s="260" t="s">
        <v>242</v>
      </c>
      <c r="B43" s="235">
        <v>0</v>
      </c>
      <c r="C43" s="236" t="s">
        <v>168</v>
      </c>
      <c r="D43" s="426" t="s">
        <v>120</v>
      </c>
      <c r="E43" s="427"/>
    </row>
    <row r="44" spans="1:5" ht="23.5" customHeight="1" x14ac:dyDescent="0.35">
      <c r="A44" s="223"/>
      <c r="B44" s="237"/>
      <c r="C44" s="238"/>
      <c r="D44" s="239"/>
      <c r="E44" s="239"/>
    </row>
    <row r="45" spans="1:5" ht="23.5" customHeight="1" x14ac:dyDescent="0.35">
      <c r="A45" s="223"/>
      <c r="B45" s="237"/>
      <c r="C45" s="238"/>
      <c r="D45" s="239"/>
      <c r="E45" s="239"/>
    </row>
    <row r="46" spans="1:5" ht="15" customHeight="1" x14ac:dyDescent="0.35">
      <c r="A46" s="223"/>
      <c r="B46" s="224"/>
      <c r="C46" s="226"/>
      <c r="D46" s="214"/>
    </row>
    <row r="47" spans="1:5" ht="15" customHeight="1" x14ac:dyDescent="0.35">
      <c r="A47" s="223"/>
      <c r="B47" s="224"/>
      <c r="C47" s="226"/>
      <c r="D47" s="214"/>
    </row>
    <row r="48" spans="1:5" ht="16.5" thickBot="1" x14ac:dyDescent="0.4">
      <c r="A48" s="223"/>
      <c r="B48" s="224"/>
      <c r="C48" s="226"/>
      <c r="D48" s="226"/>
    </row>
    <row r="49" spans="1:9" x14ac:dyDescent="0.35">
      <c r="A49" s="42" t="s">
        <v>64</v>
      </c>
      <c r="B49" s="43" t="s">
        <v>60</v>
      </c>
      <c r="C49" s="43" t="s">
        <v>61</v>
      </c>
      <c r="D49" s="400" t="s">
        <v>4</v>
      </c>
      <c r="E49" s="401"/>
    </row>
    <row r="50" spans="1:9" ht="15.5" x14ac:dyDescent="0.45">
      <c r="A50" s="28" t="s">
        <v>162</v>
      </c>
      <c r="B50" s="29">
        <f>'Baseline Emission'!B11</f>
        <v>28</v>
      </c>
      <c r="C50" s="45" t="s">
        <v>163</v>
      </c>
      <c r="D50" s="406" t="s">
        <v>121</v>
      </c>
      <c r="E50" s="407"/>
    </row>
    <row r="51" spans="1:9" ht="15.5" x14ac:dyDescent="0.45">
      <c r="A51" s="28" t="s">
        <v>164</v>
      </c>
      <c r="B51" s="29">
        <v>0.05</v>
      </c>
      <c r="C51" s="45" t="s">
        <v>165</v>
      </c>
      <c r="D51" s="406" t="s">
        <v>84</v>
      </c>
      <c r="E51" s="407"/>
    </row>
    <row r="52" spans="1:9" ht="15.5" x14ac:dyDescent="0.35">
      <c r="A52" s="46" t="s">
        <v>166</v>
      </c>
      <c r="B52" s="47"/>
      <c r="C52" s="418" t="s">
        <v>90</v>
      </c>
      <c r="D52" s="420" t="s">
        <v>304</v>
      </c>
      <c r="E52" s="421"/>
    </row>
    <row r="53" spans="1:9" x14ac:dyDescent="0.35">
      <c r="A53" s="48" t="str">
        <f t="shared" ref="A53:A64" si="2">A15</f>
        <v>01-January-2022 to 31-January-2022</v>
      </c>
      <c r="B53" s="47">
        <f>'monitoring results'!M29</f>
        <v>413.72696756160002</v>
      </c>
      <c r="C53" s="419"/>
      <c r="D53" s="412"/>
      <c r="E53" s="413"/>
      <c r="G53" s="52"/>
      <c r="H53" s="53"/>
      <c r="I53" s="53"/>
    </row>
    <row r="54" spans="1:9" x14ac:dyDescent="0.35">
      <c r="A54" s="48" t="str">
        <f t="shared" si="2"/>
        <v>01-February-2022 to 28-February-2022</v>
      </c>
      <c r="B54" s="47">
        <f>'monitoring results'!M30</f>
        <v>376.53371444304003</v>
      </c>
      <c r="C54" s="419"/>
      <c r="D54" s="412"/>
      <c r="E54" s="413"/>
    </row>
    <row r="55" spans="1:9" x14ac:dyDescent="0.35">
      <c r="A55" s="48" t="str">
        <f t="shared" si="2"/>
        <v>01-March-2022 to 31-March-2022</v>
      </c>
      <c r="B55" s="47">
        <f>'monitoring results'!M31</f>
        <v>422.99412757056001</v>
      </c>
      <c r="C55" s="419"/>
      <c r="D55" s="412"/>
      <c r="E55" s="413"/>
    </row>
    <row r="56" spans="1:9" x14ac:dyDescent="0.35">
      <c r="A56" s="48" t="str">
        <f t="shared" si="2"/>
        <v>01-April-2022 to 30-April-2022</v>
      </c>
      <c r="B56" s="47">
        <f>'monitoring results'!M32</f>
        <v>402.69510864071998</v>
      </c>
      <c r="C56" s="419"/>
      <c r="D56" s="412"/>
      <c r="E56" s="413"/>
      <c r="F56" s="52"/>
      <c r="G56" s="53"/>
    </row>
    <row r="57" spans="1:9" x14ac:dyDescent="0.35">
      <c r="A57" s="48" t="str">
        <f t="shared" si="2"/>
        <v>01-May-2022 to 31-May-2022</v>
      </c>
      <c r="B57" s="47">
        <f>'monitoring results'!M33</f>
        <v>418.05669604607994</v>
      </c>
      <c r="C57" s="419"/>
      <c r="D57" s="412"/>
      <c r="E57" s="413"/>
      <c r="F57" s="53"/>
      <c r="H57" s="220"/>
      <c r="I57" s="220"/>
    </row>
    <row r="58" spans="1:9" x14ac:dyDescent="0.35">
      <c r="A58" s="48" t="str">
        <f t="shared" si="2"/>
        <v>01-June-2022 to 30-June-2022</v>
      </c>
      <c r="B58" s="47">
        <f>'monitoring results'!M34</f>
        <v>404.080563789</v>
      </c>
      <c r="C58" s="419"/>
      <c r="D58" s="412"/>
      <c r="E58" s="413"/>
    </row>
    <row r="59" spans="1:9" x14ac:dyDescent="0.35">
      <c r="A59" s="48" t="str">
        <f t="shared" si="2"/>
        <v>01-July-2022 to 31-July-2022</v>
      </c>
      <c r="B59" s="47">
        <f>'monitoring results'!M35</f>
        <v>422.69439541895997</v>
      </c>
      <c r="C59" s="419"/>
      <c r="D59" s="412"/>
      <c r="E59" s="413"/>
    </row>
    <row r="60" spans="1:9" x14ac:dyDescent="0.35">
      <c r="A60" s="48" t="str">
        <f t="shared" si="2"/>
        <v>01-August-2022 to 31-August-2022</v>
      </c>
      <c r="B60" s="47">
        <f>'monitoring results'!M36</f>
        <v>409.6758992860801</v>
      </c>
      <c r="C60" s="419"/>
      <c r="D60" s="412"/>
      <c r="E60" s="413"/>
    </row>
    <row r="61" spans="1:9" x14ac:dyDescent="0.35">
      <c r="A61" s="48" t="str">
        <f t="shared" si="2"/>
        <v>01-September-2022 to 30-September-2022</v>
      </c>
      <c r="B61" s="47">
        <f>'monitoring results'!M37</f>
        <v>408.98652154416004</v>
      </c>
      <c r="C61" s="419"/>
      <c r="D61" s="412"/>
      <c r="E61" s="413"/>
    </row>
    <row r="62" spans="1:9" x14ac:dyDescent="0.35">
      <c r="A62" s="48" t="str">
        <f t="shared" si="2"/>
        <v>01-October-2022 to 31-October-2022</v>
      </c>
      <c r="B62" s="47">
        <f>'monitoring results'!M38</f>
        <v>419.38927607808</v>
      </c>
      <c r="C62" s="419"/>
      <c r="D62" s="412"/>
      <c r="E62" s="413"/>
    </row>
    <row r="63" spans="1:9" x14ac:dyDescent="0.35">
      <c r="A63" s="48" t="str">
        <f t="shared" si="2"/>
        <v>01-November-2022 to 30-November-2022</v>
      </c>
      <c r="B63" s="47">
        <f>'monitoring results'!M39</f>
        <v>410.39497433088002</v>
      </c>
      <c r="C63" s="419"/>
      <c r="D63" s="412"/>
      <c r="E63" s="413"/>
    </row>
    <row r="64" spans="1:9" x14ac:dyDescent="0.35">
      <c r="A64" s="48" t="str">
        <f t="shared" si="2"/>
        <v>01-December-2022 to 31-December-2022</v>
      </c>
      <c r="B64" s="47">
        <f>'monitoring results'!M40</f>
        <v>423.12727504656004</v>
      </c>
      <c r="C64" s="419"/>
      <c r="D64" s="412"/>
      <c r="E64" s="413"/>
    </row>
    <row r="65" spans="1:5" ht="15.5" x14ac:dyDescent="0.35">
      <c r="A65" s="54" t="s">
        <v>167</v>
      </c>
      <c r="B65" s="47"/>
      <c r="C65" s="49"/>
      <c r="D65" s="50"/>
      <c r="E65" s="51"/>
    </row>
    <row r="66" spans="1:5" ht="15.5" x14ac:dyDescent="0.35">
      <c r="A66" s="48" t="str">
        <f t="shared" ref="A66:A77" si="3">A53</f>
        <v>01-January-2022 to 31-January-2022</v>
      </c>
      <c r="B66" s="47">
        <f t="shared" ref="B66:B77" si="4">ROUNDUP($B$50*$B$51*B53,2)</f>
        <v>579.22</v>
      </c>
      <c r="C66" s="55" t="s">
        <v>168</v>
      </c>
      <c r="D66" s="412" t="s">
        <v>101</v>
      </c>
      <c r="E66" s="413"/>
    </row>
    <row r="67" spans="1:5" ht="15.5" x14ac:dyDescent="0.35">
      <c r="A67" s="48" t="str">
        <f t="shared" si="3"/>
        <v>01-February-2022 to 28-February-2022</v>
      </c>
      <c r="B67" s="47">
        <f t="shared" si="4"/>
        <v>527.15</v>
      </c>
      <c r="C67" s="55" t="s">
        <v>168</v>
      </c>
      <c r="D67" s="412"/>
      <c r="E67" s="413"/>
    </row>
    <row r="68" spans="1:5" ht="15.5" x14ac:dyDescent="0.35">
      <c r="A68" s="48" t="str">
        <f t="shared" si="3"/>
        <v>01-March-2022 to 31-March-2022</v>
      </c>
      <c r="B68" s="47">
        <f t="shared" si="4"/>
        <v>592.20000000000005</v>
      </c>
      <c r="C68" s="55" t="s">
        <v>168</v>
      </c>
      <c r="D68" s="412"/>
      <c r="E68" s="413"/>
    </row>
    <row r="69" spans="1:5" ht="15.5" x14ac:dyDescent="0.35">
      <c r="A69" s="48" t="str">
        <f t="shared" si="3"/>
        <v>01-April-2022 to 30-April-2022</v>
      </c>
      <c r="B69" s="47">
        <f t="shared" si="4"/>
        <v>563.78</v>
      </c>
      <c r="C69" s="55" t="s">
        <v>168</v>
      </c>
      <c r="D69" s="412"/>
      <c r="E69" s="413"/>
    </row>
    <row r="70" spans="1:5" ht="15.5" x14ac:dyDescent="0.35">
      <c r="A70" s="48" t="str">
        <f t="shared" si="3"/>
        <v>01-May-2022 to 31-May-2022</v>
      </c>
      <c r="B70" s="47">
        <f t="shared" si="4"/>
        <v>585.28</v>
      </c>
      <c r="C70" s="55" t="s">
        <v>168</v>
      </c>
      <c r="D70" s="412"/>
      <c r="E70" s="413"/>
    </row>
    <row r="71" spans="1:5" ht="15.5" x14ac:dyDescent="0.35">
      <c r="A71" s="48" t="str">
        <f t="shared" si="3"/>
        <v>01-June-2022 to 30-June-2022</v>
      </c>
      <c r="B71" s="47">
        <f t="shared" si="4"/>
        <v>565.72</v>
      </c>
      <c r="C71" s="55" t="s">
        <v>168</v>
      </c>
      <c r="D71" s="412"/>
      <c r="E71" s="413"/>
    </row>
    <row r="72" spans="1:5" ht="15.5" x14ac:dyDescent="0.35">
      <c r="A72" s="48" t="str">
        <f t="shared" si="3"/>
        <v>01-July-2022 to 31-July-2022</v>
      </c>
      <c r="B72" s="47">
        <f t="shared" si="4"/>
        <v>591.78</v>
      </c>
      <c r="C72" s="55" t="s">
        <v>168</v>
      </c>
      <c r="D72" s="412"/>
      <c r="E72" s="413"/>
    </row>
    <row r="73" spans="1:5" ht="15.5" x14ac:dyDescent="0.35">
      <c r="A73" s="48" t="str">
        <f t="shared" si="3"/>
        <v>01-August-2022 to 31-August-2022</v>
      </c>
      <c r="B73" s="47">
        <f t="shared" si="4"/>
        <v>573.54999999999995</v>
      </c>
      <c r="C73" s="55" t="s">
        <v>168</v>
      </c>
      <c r="D73" s="412"/>
      <c r="E73" s="413"/>
    </row>
    <row r="74" spans="1:5" ht="15.5" x14ac:dyDescent="0.35">
      <c r="A74" s="48" t="str">
        <f t="shared" si="3"/>
        <v>01-September-2022 to 30-September-2022</v>
      </c>
      <c r="B74" s="47">
        <f t="shared" si="4"/>
        <v>572.59</v>
      </c>
      <c r="C74" s="55" t="s">
        <v>168</v>
      </c>
      <c r="D74" s="412"/>
      <c r="E74" s="413"/>
    </row>
    <row r="75" spans="1:5" ht="15.5" x14ac:dyDescent="0.35">
      <c r="A75" s="48" t="str">
        <f t="shared" si="3"/>
        <v>01-October-2022 to 31-October-2022</v>
      </c>
      <c r="B75" s="47">
        <f t="shared" si="4"/>
        <v>587.15</v>
      </c>
      <c r="C75" s="55" t="s">
        <v>168</v>
      </c>
      <c r="D75" s="412"/>
      <c r="E75" s="413"/>
    </row>
    <row r="76" spans="1:5" ht="15.5" x14ac:dyDescent="0.35">
      <c r="A76" s="48" t="str">
        <f t="shared" si="3"/>
        <v>01-November-2022 to 30-November-2022</v>
      </c>
      <c r="B76" s="47">
        <f t="shared" si="4"/>
        <v>574.55999999999995</v>
      </c>
      <c r="C76" s="55" t="s">
        <v>168</v>
      </c>
      <c r="D76" s="412"/>
      <c r="E76" s="413"/>
    </row>
    <row r="77" spans="1:5" ht="15.5" x14ac:dyDescent="0.35">
      <c r="A77" s="48" t="str">
        <f t="shared" si="3"/>
        <v>01-December-2022 to 31-December-2022</v>
      </c>
      <c r="B77" s="47">
        <f t="shared" si="4"/>
        <v>592.38</v>
      </c>
      <c r="C77" s="55" t="s">
        <v>168</v>
      </c>
      <c r="D77" s="412"/>
      <c r="E77" s="413"/>
    </row>
    <row r="78" spans="1:5" ht="15" customHeight="1" x14ac:dyDescent="0.45">
      <c r="A78" s="34" t="s">
        <v>352</v>
      </c>
      <c r="B78" s="56">
        <f>ROUNDUP(SUM(B66:B77),0)</f>
        <v>6906</v>
      </c>
      <c r="C78" s="55" t="s">
        <v>168</v>
      </c>
      <c r="D78" s="412"/>
      <c r="E78" s="413"/>
    </row>
    <row r="79" spans="1:5" ht="15" customHeight="1" x14ac:dyDescent="0.45">
      <c r="A79" s="57" t="s">
        <v>169</v>
      </c>
      <c r="B79" s="56">
        <f>B78</f>
        <v>6906</v>
      </c>
      <c r="C79" s="55" t="s">
        <v>168</v>
      </c>
      <c r="D79" s="414"/>
      <c r="E79" s="415"/>
    </row>
    <row r="80" spans="1:5" ht="32.5" customHeight="1" x14ac:dyDescent="0.35">
      <c r="A80" s="54" t="s">
        <v>170</v>
      </c>
      <c r="B80" s="56">
        <v>0</v>
      </c>
      <c r="C80" s="55" t="s">
        <v>168</v>
      </c>
      <c r="D80" s="446" t="s">
        <v>95</v>
      </c>
      <c r="E80" s="447"/>
    </row>
    <row r="81" spans="1:7" ht="16" thickBot="1" x14ac:dyDescent="0.5">
      <c r="A81" s="58" t="s">
        <v>360</v>
      </c>
      <c r="B81" s="59">
        <f>B79+B80+B43+B42</f>
        <v>7213</v>
      </c>
      <c r="C81" s="60" t="s">
        <v>168</v>
      </c>
      <c r="D81" s="444"/>
      <c r="E81" s="445"/>
    </row>
    <row r="82" spans="1:7" x14ac:dyDescent="0.35">
      <c r="A82" s="240"/>
      <c r="B82" s="213"/>
      <c r="C82" s="190"/>
      <c r="D82" s="190"/>
      <c r="E82" s="190"/>
    </row>
    <row r="83" spans="1:7" x14ac:dyDescent="0.35">
      <c r="A83" s="241"/>
      <c r="B83" s="213"/>
      <c r="C83" s="190"/>
      <c r="D83" s="190"/>
      <c r="E83" s="190"/>
    </row>
    <row r="84" spans="1:7" x14ac:dyDescent="0.35">
      <c r="A84" s="242" t="s">
        <v>43</v>
      </c>
      <c r="B84" s="222"/>
    </row>
    <row r="85" spans="1:7" x14ac:dyDescent="0.35">
      <c r="A85" s="243"/>
    </row>
    <row r="86" spans="1:7" x14ac:dyDescent="0.35">
      <c r="A86" s="243"/>
      <c r="E86" s="191"/>
      <c r="G86" s="53"/>
    </row>
    <row r="87" spans="1:7" x14ac:dyDescent="0.35">
      <c r="A87" s="243"/>
    </row>
    <row r="88" spans="1:7" x14ac:dyDescent="0.35">
      <c r="A88" s="243"/>
    </row>
    <row r="89" spans="1:7" x14ac:dyDescent="0.35">
      <c r="A89" s="243"/>
    </row>
    <row r="90" spans="1:7" ht="14" thickBot="1" x14ac:dyDescent="0.4">
      <c r="A90" s="244"/>
      <c r="B90" s="245"/>
      <c r="C90" s="245"/>
    </row>
    <row r="91" spans="1:7" x14ac:dyDescent="0.35">
      <c r="A91" s="246" t="s">
        <v>3</v>
      </c>
      <c r="B91" s="247" t="s">
        <v>20</v>
      </c>
      <c r="C91" s="247"/>
      <c r="D91" s="109" t="s">
        <v>2</v>
      </c>
      <c r="E91" s="110" t="s">
        <v>4</v>
      </c>
    </row>
    <row r="92" spans="1:7" x14ac:dyDescent="0.35">
      <c r="A92" s="54"/>
      <c r="B92" s="248" t="s">
        <v>35</v>
      </c>
      <c r="C92" s="248" t="s">
        <v>36</v>
      </c>
      <c r="D92" s="98"/>
      <c r="E92" s="249"/>
    </row>
    <row r="93" spans="1:7" ht="15.5" x14ac:dyDescent="0.45">
      <c r="A93" s="46" t="s">
        <v>243</v>
      </c>
      <c r="B93" s="250">
        <f>'Baseline Emission'!B11</f>
        <v>28</v>
      </c>
      <c r="C93" s="250">
        <f>B93</f>
        <v>28</v>
      </c>
      <c r="D93" s="45" t="s">
        <v>163</v>
      </c>
      <c r="E93" s="95" t="s">
        <v>121</v>
      </c>
    </row>
    <row r="94" spans="1:7" ht="15.5" x14ac:dyDescent="0.35">
      <c r="A94" s="46" t="s">
        <v>244</v>
      </c>
      <c r="B94" s="251">
        <f>'Baseline Emission'!B12</f>
        <v>6.7000000000000002E-4</v>
      </c>
      <c r="C94" s="251">
        <f>'Baseline Emission'!C12</f>
        <v>6.7000000000000002E-4</v>
      </c>
      <c r="D94" s="45" t="s">
        <v>245</v>
      </c>
      <c r="E94" s="319" t="s">
        <v>305</v>
      </c>
    </row>
    <row r="95" spans="1:7" ht="27" x14ac:dyDescent="0.35">
      <c r="A95" s="46"/>
      <c r="B95" s="252">
        <v>1E-3</v>
      </c>
      <c r="C95" s="252">
        <v>1E-3</v>
      </c>
      <c r="D95" s="45" t="s">
        <v>81</v>
      </c>
      <c r="E95" s="95" t="s">
        <v>307</v>
      </c>
    </row>
    <row r="96" spans="1:7" ht="54" x14ac:dyDescent="0.35">
      <c r="A96" s="46" t="s">
        <v>246</v>
      </c>
      <c r="B96" s="253">
        <v>1</v>
      </c>
      <c r="C96" s="253">
        <v>1</v>
      </c>
      <c r="D96" s="45" t="s">
        <v>102</v>
      </c>
      <c r="E96" s="95" t="s">
        <v>306</v>
      </c>
    </row>
    <row r="97" spans="1:5" ht="15.5" x14ac:dyDescent="0.35">
      <c r="A97" s="46" t="s">
        <v>247</v>
      </c>
      <c r="B97" s="253">
        <f>(1-0%)*(1-80%)</f>
        <v>0.19999999999999996</v>
      </c>
      <c r="C97" s="253">
        <f>(1-0%)*(1-80%)</f>
        <v>0.19999999999999996</v>
      </c>
      <c r="D97" s="45" t="s">
        <v>81</v>
      </c>
      <c r="E97" s="95" t="s">
        <v>308</v>
      </c>
    </row>
    <row r="98" spans="1:5" ht="15.5" x14ac:dyDescent="0.35">
      <c r="A98" s="46" t="s">
        <v>248</v>
      </c>
      <c r="B98" s="250">
        <f>'Baseline Emission'!B14</f>
        <v>0.28999999999999998</v>
      </c>
      <c r="C98" s="250">
        <f>'Baseline Emission'!C14</f>
        <v>0.28999999999999998</v>
      </c>
      <c r="D98" s="45" t="s">
        <v>249</v>
      </c>
      <c r="E98" s="254" t="s">
        <v>85</v>
      </c>
    </row>
    <row r="99" spans="1:5" ht="15.75" customHeight="1" x14ac:dyDescent="0.35">
      <c r="A99" s="46" t="s">
        <v>250</v>
      </c>
      <c r="B99" s="255"/>
      <c r="C99" s="255"/>
      <c r="D99" s="392" t="str">
        <f>'Baseline Emission'!D15</f>
        <v>No of heads</v>
      </c>
      <c r="E99" s="449" t="s">
        <v>309</v>
      </c>
    </row>
    <row r="100" spans="1:5" x14ac:dyDescent="0.35">
      <c r="A100" s="48" t="str">
        <f t="shared" ref="A100:A111" si="5">A53</f>
        <v>01-January-2022 to 31-January-2022</v>
      </c>
      <c r="B100" s="255">
        <f>'monitoring results'!B6</f>
        <v>94226</v>
      </c>
      <c r="C100" s="255">
        <f>'monitoring results'!C6</f>
        <v>51851</v>
      </c>
      <c r="D100" s="390"/>
      <c r="E100" s="450"/>
    </row>
    <row r="101" spans="1:5" x14ac:dyDescent="0.35">
      <c r="A101" s="48" t="str">
        <f t="shared" si="5"/>
        <v>01-February-2022 to 28-February-2022</v>
      </c>
      <c r="B101" s="255">
        <f>'monitoring results'!B7</f>
        <v>94226</v>
      </c>
      <c r="C101" s="255">
        <f>'monitoring results'!C7</f>
        <v>51422</v>
      </c>
      <c r="D101" s="390"/>
      <c r="E101" s="450"/>
    </row>
    <row r="102" spans="1:5" x14ac:dyDescent="0.35">
      <c r="A102" s="48" t="str">
        <f t="shared" si="5"/>
        <v>01-March-2022 to 31-March-2022</v>
      </c>
      <c r="B102" s="255">
        <f>'monitoring results'!B8</f>
        <v>94226</v>
      </c>
      <c r="C102" s="255">
        <f>'monitoring results'!C8</f>
        <v>51878</v>
      </c>
      <c r="D102" s="390"/>
      <c r="E102" s="450"/>
    </row>
    <row r="103" spans="1:5" x14ac:dyDescent="0.35">
      <c r="A103" s="48" t="str">
        <f t="shared" si="5"/>
        <v>01-April-2022 to 30-April-2022</v>
      </c>
      <c r="B103" s="255">
        <f>'monitoring results'!B9</f>
        <v>94226</v>
      </c>
      <c r="C103" s="255">
        <f>'monitoring results'!C9</f>
        <v>51867</v>
      </c>
      <c r="D103" s="390"/>
      <c r="E103" s="450"/>
    </row>
    <row r="104" spans="1:5" x14ac:dyDescent="0.35">
      <c r="A104" s="48" t="str">
        <f t="shared" si="5"/>
        <v>01-May-2022 to 31-May-2022</v>
      </c>
      <c r="B104" s="255">
        <f>'monitoring results'!B10</f>
        <v>94226</v>
      </c>
      <c r="C104" s="255">
        <f>'monitoring results'!C10</f>
        <v>51807</v>
      </c>
      <c r="D104" s="390"/>
      <c r="E104" s="450"/>
    </row>
    <row r="105" spans="1:5" x14ac:dyDescent="0.35">
      <c r="A105" s="48" t="str">
        <f t="shared" si="5"/>
        <v>01-June-2022 to 30-June-2022</v>
      </c>
      <c r="B105" s="255">
        <f>'monitoring results'!B11</f>
        <v>94226</v>
      </c>
      <c r="C105" s="255">
        <f>'monitoring results'!C11</f>
        <v>51827</v>
      </c>
      <c r="D105" s="390"/>
      <c r="E105" s="450"/>
    </row>
    <row r="106" spans="1:5" x14ac:dyDescent="0.35">
      <c r="A106" s="48" t="str">
        <f t="shared" si="5"/>
        <v>01-July-2022 to 31-July-2022</v>
      </c>
      <c r="B106" s="255">
        <f>'monitoring results'!B12</f>
        <v>94226</v>
      </c>
      <c r="C106" s="255">
        <f>'monitoring results'!C12</f>
        <v>51818</v>
      </c>
      <c r="D106" s="390"/>
      <c r="E106" s="450"/>
    </row>
    <row r="107" spans="1:5" x14ac:dyDescent="0.35">
      <c r="A107" s="48" t="str">
        <f t="shared" si="5"/>
        <v>01-August-2022 to 31-August-2022</v>
      </c>
      <c r="B107" s="255">
        <f>'monitoring results'!B13</f>
        <v>94226</v>
      </c>
      <c r="C107" s="255">
        <f>'monitoring results'!C13</f>
        <v>51830</v>
      </c>
      <c r="D107" s="390"/>
      <c r="E107" s="450"/>
    </row>
    <row r="108" spans="1:5" x14ac:dyDescent="0.35">
      <c r="A108" s="48" t="str">
        <f t="shared" si="5"/>
        <v>01-September-2022 to 30-September-2022</v>
      </c>
      <c r="B108" s="255">
        <f>'monitoring results'!B14</f>
        <v>94226</v>
      </c>
      <c r="C108" s="255">
        <f>'monitoring results'!C14</f>
        <v>51018</v>
      </c>
      <c r="D108" s="390"/>
      <c r="E108" s="450"/>
    </row>
    <row r="109" spans="1:5" x14ac:dyDescent="0.35">
      <c r="A109" s="48" t="str">
        <f t="shared" si="5"/>
        <v>01-October-2022 to 31-October-2022</v>
      </c>
      <c r="B109" s="255">
        <f>'monitoring results'!B15</f>
        <v>94226</v>
      </c>
      <c r="C109" s="255">
        <f>'monitoring results'!C15</f>
        <v>51826</v>
      </c>
      <c r="D109" s="390"/>
      <c r="E109" s="450"/>
    </row>
    <row r="110" spans="1:5" x14ac:dyDescent="0.35">
      <c r="A110" s="48" t="str">
        <f t="shared" si="5"/>
        <v>01-November-2022 to 30-November-2022</v>
      </c>
      <c r="B110" s="255">
        <f>'monitoring results'!B16</f>
        <v>94226</v>
      </c>
      <c r="C110" s="255">
        <f>'monitoring results'!C16</f>
        <v>51806</v>
      </c>
      <c r="D110" s="390"/>
      <c r="E110" s="450"/>
    </row>
    <row r="111" spans="1:5" x14ac:dyDescent="0.35">
      <c r="A111" s="48" t="str">
        <f t="shared" si="5"/>
        <v>01-December-2022 to 31-December-2022</v>
      </c>
      <c r="B111" s="255">
        <f>'monitoring results'!B17</f>
        <v>94226</v>
      </c>
      <c r="C111" s="255">
        <f>'monitoring results'!C17</f>
        <v>51828</v>
      </c>
      <c r="D111" s="390"/>
      <c r="E111" s="450"/>
    </row>
    <row r="112" spans="1:5" ht="15.5" x14ac:dyDescent="0.35">
      <c r="A112" s="46" t="s">
        <v>251</v>
      </c>
      <c r="B112" s="255"/>
      <c r="C112" s="250"/>
      <c r="D112" s="392" t="s">
        <v>83</v>
      </c>
      <c r="E112" s="448" t="s">
        <v>98</v>
      </c>
    </row>
    <row r="113" spans="1:5" x14ac:dyDescent="0.35">
      <c r="A113" s="48" t="str">
        <f t="shared" ref="A113:A124" si="6">A100</f>
        <v>01-January-2022 to 31-January-2022</v>
      </c>
      <c r="B113" s="250">
        <f>'Baseline Emission'!B44</f>
        <v>19.131428571428575</v>
      </c>
      <c r="C113" s="250">
        <f>'Baseline Emission'!C44</f>
        <v>23.914285714285715</v>
      </c>
      <c r="D113" s="390"/>
      <c r="E113" s="416"/>
    </row>
    <row r="114" spans="1:5" x14ac:dyDescent="0.35">
      <c r="A114" s="48" t="str">
        <f t="shared" si="6"/>
        <v>01-February-2022 to 28-February-2022</v>
      </c>
      <c r="B114" s="250">
        <f>'Baseline Emission'!B45</f>
        <v>17.339999999999996</v>
      </c>
      <c r="C114" s="250">
        <f>'Baseline Emission'!C45</f>
        <v>22.29</v>
      </c>
      <c r="D114" s="390"/>
      <c r="E114" s="416"/>
    </row>
    <row r="115" spans="1:5" x14ac:dyDescent="0.35">
      <c r="A115" s="48" t="str">
        <f t="shared" si="6"/>
        <v>01-March-2022 to 31-March-2022</v>
      </c>
      <c r="B115" s="250">
        <f>'Baseline Emission'!B46</f>
        <v>19.463571428571431</v>
      </c>
      <c r="C115" s="250">
        <f>'Baseline Emission'!C46</f>
        <v>24.047142857142855</v>
      </c>
      <c r="D115" s="390"/>
      <c r="E115" s="416"/>
    </row>
    <row r="116" spans="1:5" x14ac:dyDescent="0.35">
      <c r="A116" s="48" t="str">
        <f t="shared" si="6"/>
        <v>01-April-2022 to 30-April-2022</v>
      </c>
      <c r="B116" s="250">
        <f>'Baseline Emission'!B47</f>
        <v>18.642857142857142</v>
      </c>
      <c r="C116" s="250">
        <f>'Baseline Emission'!C47</f>
        <v>23.078571428571426</v>
      </c>
      <c r="D116" s="390"/>
      <c r="E116" s="416"/>
    </row>
    <row r="117" spans="1:5" x14ac:dyDescent="0.35">
      <c r="A117" s="48" t="str">
        <f t="shared" si="6"/>
        <v>01-May-2022 to 31-May-2022</v>
      </c>
      <c r="B117" s="250">
        <f>'Baseline Emission'!B48</f>
        <v>19.231071428571425</v>
      </c>
      <c r="C117" s="250">
        <f>'Baseline Emission'!C48</f>
        <v>24.379285714285711</v>
      </c>
      <c r="D117" s="390"/>
      <c r="E117" s="416"/>
    </row>
    <row r="118" spans="1:5" x14ac:dyDescent="0.35">
      <c r="A118" s="48" t="str">
        <f t="shared" si="6"/>
        <v>01-June-2022 to 30-June-2022</v>
      </c>
      <c r="B118" s="250">
        <f>'Baseline Emission'!B49</f>
        <v>18.932142857142857</v>
      </c>
      <c r="C118" s="250">
        <f>'Baseline Emission'!C49</f>
        <v>23.174999999999997</v>
      </c>
      <c r="D118" s="390"/>
      <c r="E118" s="416"/>
    </row>
    <row r="119" spans="1:5" x14ac:dyDescent="0.35">
      <c r="A119" s="48" t="str">
        <f t="shared" si="6"/>
        <v>01-July-2022 to 31-July-2022</v>
      </c>
      <c r="B119" s="250">
        <f>'Baseline Emission'!B50</f>
        <v>19.629642857142859</v>
      </c>
      <c r="C119" s="250">
        <f>'Baseline Emission'!C50</f>
        <v>23.980714285714285</v>
      </c>
      <c r="D119" s="390"/>
      <c r="E119" s="416"/>
    </row>
    <row r="120" spans="1:5" x14ac:dyDescent="0.35">
      <c r="A120" s="48" t="str">
        <f t="shared" si="6"/>
        <v>01-August-2022 to 31-August-2022</v>
      </c>
      <c r="B120" s="250">
        <f>'Baseline Emission'!B51</f>
        <v>19.330714285714286</v>
      </c>
      <c r="C120" s="250">
        <f>'Baseline Emission'!C51</f>
        <v>24.047142857142855</v>
      </c>
      <c r="D120" s="390"/>
      <c r="E120" s="416"/>
    </row>
    <row r="121" spans="1:5" x14ac:dyDescent="0.35">
      <c r="A121" s="48" t="str">
        <f t="shared" si="6"/>
        <v>01-September-2022 to 30-September-2022</v>
      </c>
      <c r="B121" s="250">
        <f>'Baseline Emission'!B52</f>
        <v>18.449999999999996</v>
      </c>
      <c r="C121" s="250">
        <f>'Baseline Emission'!C52</f>
        <v>22.95</v>
      </c>
      <c r="D121" s="390"/>
      <c r="E121" s="416"/>
    </row>
    <row r="122" spans="1:5" x14ac:dyDescent="0.35">
      <c r="A122" s="48" t="str">
        <f t="shared" si="6"/>
        <v>01-October-2022 to 31-October-2022</v>
      </c>
      <c r="B122" s="250">
        <f>'Baseline Emission'!B53</f>
        <v>19.131428571428575</v>
      </c>
      <c r="C122" s="250">
        <f>'Baseline Emission'!C53</f>
        <v>24.27964285714285</v>
      </c>
      <c r="D122" s="390"/>
      <c r="E122" s="416"/>
    </row>
    <row r="123" spans="1:5" x14ac:dyDescent="0.35">
      <c r="A123" s="48" t="str">
        <f t="shared" si="6"/>
        <v>01-November-2022 to 30-November-2022</v>
      </c>
      <c r="B123" s="250">
        <f>'Baseline Emission'!B54</f>
        <v>18.675000000000001</v>
      </c>
      <c r="C123" s="250">
        <f>'Baseline Emission'!C54</f>
        <v>23.721428571428572</v>
      </c>
      <c r="D123" s="390"/>
      <c r="E123" s="416"/>
    </row>
    <row r="124" spans="1:5" x14ac:dyDescent="0.35">
      <c r="A124" s="48" t="str">
        <f t="shared" si="6"/>
        <v>01-December-2022 to 31-December-2022</v>
      </c>
      <c r="B124" s="250">
        <f>'Baseline Emission'!B55</f>
        <v>19.496785714285714</v>
      </c>
      <c r="C124" s="250">
        <f>'Baseline Emission'!C55</f>
        <v>24.24642857142857</v>
      </c>
      <c r="D124" s="390"/>
      <c r="E124" s="416"/>
    </row>
    <row r="125" spans="1:5" ht="15.5" x14ac:dyDescent="0.35">
      <c r="A125" s="46" t="s">
        <v>252</v>
      </c>
      <c r="B125" s="322">
        <v>1</v>
      </c>
      <c r="C125" s="253">
        <v>1</v>
      </c>
      <c r="D125" s="45" t="s">
        <v>102</v>
      </c>
      <c r="E125" s="31" t="s">
        <v>99</v>
      </c>
    </row>
    <row r="126" spans="1:5" ht="15.5" x14ac:dyDescent="0.35">
      <c r="A126" s="256" t="s">
        <v>253</v>
      </c>
      <c r="B126" s="253"/>
      <c r="C126" s="253"/>
      <c r="D126" s="117"/>
      <c r="E126" s="186"/>
    </row>
    <row r="127" spans="1:5" x14ac:dyDescent="0.35">
      <c r="A127" s="257" t="str">
        <f t="shared" ref="A127:A138" si="7">A113</f>
        <v>01-January-2022 to 31-January-2022</v>
      </c>
      <c r="B127" s="258">
        <f>$B$93*$B$94*$B$95*$B$96*$B$97*$B$98*$B$125*B100*B113</f>
        <v>1.9614578658047999</v>
      </c>
      <c r="C127" s="258">
        <f>$C$93*$C$94*$C$95*$C$96*$C$97*$C$98*$C$125*C100*C113</f>
        <v>1.3491970342559996</v>
      </c>
      <c r="D127" s="390"/>
      <c r="E127" s="416" t="s">
        <v>101</v>
      </c>
    </row>
    <row r="128" spans="1:5" x14ac:dyDescent="0.35">
      <c r="A128" s="257" t="str">
        <f t="shared" si="7"/>
        <v>01-February-2022 to 28-February-2022</v>
      </c>
      <c r="B128" s="258">
        <f t="shared" ref="B128:B138" si="8">$B$93*$B$94*$B$95*$B$96*$B$97*$B$98*$B$125*B101*B114</f>
        <v>1.7777908882271991</v>
      </c>
      <c r="C128" s="258">
        <f t="shared" ref="C128:C138" si="9">$C$93*$C$94*$C$95*$C$96*$C$97*$C$98*$C$125*C101*C114</f>
        <v>1.2471533571503994</v>
      </c>
      <c r="D128" s="390"/>
      <c r="E128" s="416"/>
    </row>
    <row r="129" spans="1:5" x14ac:dyDescent="0.35">
      <c r="A129" s="257" t="str">
        <f t="shared" si="7"/>
        <v>01-March-2022 to 31-March-2022</v>
      </c>
      <c r="B129" s="258">
        <f t="shared" si="8"/>
        <v>1.9955109537527995</v>
      </c>
      <c r="C129" s="258">
        <f t="shared" si="9"/>
        <v>1.3573990341455995</v>
      </c>
      <c r="D129" s="390"/>
      <c r="E129" s="416"/>
    </row>
    <row r="130" spans="1:5" ht="11.25" customHeight="1" x14ac:dyDescent="0.35">
      <c r="A130" s="257" t="str">
        <f t="shared" si="7"/>
        <v>01-April-2022 to 30-April-2022</v>
      </c>
      <c r="B130" s="258">
        <f t="shared" si="8"/>
        <v>1.9113668719199994</v>
      </c>
      <c r="C130" s="258">
        <f t="shared" si="9"/>
        <v>1.3024494568439995</v>
      </c>
      <c r="D130" s="390"/>
      <c r="E130" s="416"/>
    </row>
    <row r="131" spans="1:5" x14ac:dyDescent="0.35">
      <c r="A131" s="257" t="str">
        <f t="shared" si="7"/>
        <v>01-May-2022 to 31-May-2022</v>
      </c>
      <c r="B131" s="258">
        <f t="shared" si="8"/>
        <v>1.9716737921891991</v>
      </c>
      <c r="C131" s="258">
        <f t="shared" si="9"/>
        <v>1.3742642500523994</v>
      </c>
      <c r="D131" s="390"/>
      <c r="E131" s="416"/>
    </row>
    <row r="132" spans="1:5" x14ac:dyDescent="0.35">
      <c r="A132" s="257" t="str">
        <f t="shared" si="7"/>
        <v>01-June-2022 to 30-June-2022</v>
      </c>
      <c r="B132" s="258">
        <f t="shared" si="8"/>
        <v>1.9410260130359993</v>
      </c>
      <c r="C132" s="258">
        <f t="shared" si="9"/>
        <v>1.3068827960579994</v>
      </c>
      <c r="D132" s="390"/>
      <c r="E132" s="416"/>
    </row>
    <row r="133" spans="1:5" x14ac:dyDescent="0.35">
      <c r="A133" s="257" t="str">
        <f t="shared" si="7"/>
        <v>01-July-2022 to 31-July-2022</v>
      </c>
      <c r="B133" s="258">
        <f t="shared" si="8"/>
        <v>2.0125374977267994</v>
      </c>
      <c r="C133" s="258">
        <f t="shared" si="9"/>
        <v>1.3520837369207996</v>
      </c>
      <c r="D133" s="390"/>
      <c r="E133" s="416"/>
    </row>
    <row r="134" spans="1:5" x14ac:dyDescent="0.35">
      <c r="A134" s="257" t="str">
        <f t="shared" si="7"/>
        <v>01-August-2022 to 31-August-2022</v>
      </c>
      <c r="B134" s="258">
        <f t="shared" si="8"/>
        <v>1.9818897185735995</v>
      </c>
      <c r="C134" s="258">
        <f t="shared" si="9"/>
        <v>1.3561431038159995</v>
      </c>
      <c r="D134" s="390"/>
      <c r="E134" s="416"/>
    </row>
    <row r="135" spans="1:5" x14ac:dyDescent="0.35">
      <c r="A135" s="257" t="str">
        <f t="shared" si="7"/>
        <v>01-September-2022 to 30-September-2022</v>
      </c>
      <c r="B135" s="258">
        <f t="shared" si="8"/>
        <v>1.8915941111759991</v>
      </c>
      <c r="C135" s="258">
        <f t="shared" si="9"/>
        <v>1.2739927218479996</v>
      </c>
      <c r="D135" s="390"/>
      <c r="E135" s="416"/>
    </row>
    <row r="136" spans="1:5" x14ac:dyDescent="0.35">
      <c r="A136" s="257" t="str">
        <f t="shared" si="7"/>
        <v>01-October-2022 to 31-October-2022</v>
      </c>
      <c r="B136" s="258">
        <f t="shared" si="8"/>
        <v>1.9614578658047999</v>
      </c>
      <c r="C136" s="258">
        <f t="shared" si="9"/>
        <v>1.3691493118787992</v>
      </c>
      <c r="D136" s="390"/>
      <c r="E136" s="416"/>
    </row>
    <row r="137" spans="1:5" x14ac:dyDescent="0.35">
      <c r="A137" s="257" t="str">
        <f t="shared" si="7"/>
        <v>01-November-2022 to 30-November-2022</v>
      </c>
      <c r="B137" s="258">
        <f t="shared" si="8"/>
        <v>1.9146623320439995</v>
      </c>
      <c r="C137" s="258">
        <f t="shared" si="9"/>
        <v>1.3371549264719995</v>
      </c>
      <c r="D137" s="390"/>
      <c r="E137" s="416"/>
    </row>
    <row r="138" spans="1:5" x14ac:dyDescent="0.35">
      <c r="A138" s="257" t="str">
        <f t="shared" si="7"/>
        <v>01-December-2022 to 31-December-2022</v>
      </c>
      <c r="B138" s="258">
        <f t="shared" si="8"/>
        <v>1.9989162625475994</v>
      </c>
      <c r="C138" s="258">
        <f t="shared" si="9"/>
        <v>1.3673290947119996</v>
      </c>
      <c r="D138" s="390"/>
      <c r="E138" s="416"/>
    </row>
    <row r="139" spans="1:5" ht="15.5" x14ac:dyDescent="0.45">
      <c r="A139" s="34" t="s">
        <v>354</v>
      </c>
      <c r="B139" s="429">
        <f>ROUNDUP(SUM(B127:C138),0)</f>
        <v>40</v>
      </c>
      <c r="C139" s="429"/>
      <c r="D139" s="45" t="s">
        <v>168</v>
      </c>
      <c r="E139" s="259" t="s">
        <v>98</v>
      </c>
    </row>
    <row r="140" spans="1:5" ht="16" thickBot="1" x14ac:dyDescent="0.5">
      <c r="A140" s="260" t="s">
        <v>254</v>
      </c>
      <c r="B140" s="430">
        <f>B139</f>
        <v>40</v>
      </c>
      <c r="C140" s="430"/>
      <c r="D140" s="60" t="s">
        <v>168</v>
      </c>
      <c r="E140" s="261" t="s">
        <v>98</v>
      </c>
    </row>
    <row r="141" spans="1:5" x14ac:dyDescent="0.35">
      <c r="A141" s="243"/>
    </row>
    <row r="142" spans="1:5" x14ac:dyDescent="0.35">
      <c r="A142" s="262" t="s">
        <v>44</v>
      </c>
    </row>
    <row r="143" spans="1:5" x14ac:dyDescent="0.35">
      <c r="A143" s="243"/>
    </row>
    <row r="144" spans="1:5" x14ac:dyDescent="0.35">
      <c r="A144" s="243"/>
      <c r="D144" s="191"/>
    </row>
    <row r="145" spans="1:9" x14ac:dyDescent="0.35">
      <c r="A145" s="190"/>
      <c r="D145" s="191"/>
    </row>
    <row r="146" spans="1:9" x14ac:dyDescent="0.35">
      <c r="A146" s="190"/>
      <c r="D146" s="191"/>
    </row>
    <row r="147" spans="1:9" x14ac:dyDescent="0.35">
      <c r="A147" s="190"/>
      <c r="D147" s="191"/>
    </row>
    <row r="148" spans="1:9" ht="14" thickBot="1" x14ac:dyDescent="0.4">
      <c r="A148" s="190"/>
      <c r="D148" s="191"/>
    </row>
    <row r="149" spans="1:9" x14ac:dyDescent="0.35">
      <c r="A149" s="42" t="s">
        <v>3</v>
      </c>
      <c r="B149" s="43" t="s">
        <v>20</v>
      </c>
      <c r="C149" s="43"/>
      <c r="D149" s="43" t="s">
        <v>2</v>
      </c>
      <c r="E149" s="43" t="s">
        <v>4</v>
      </c>
    </row>
    <row r="150" spans="1:9" s="194" customFormat="1" x14ac:dyDescent="0.35">
      <c r="A150" s="62"/>
      <c r="B150" s="63" t="s">
        <v>35</v>
      </c>
      <c r="C150" s="63" t="s">
        <v>36</v>
      </c>
      <c r="D150" s="63"/>
      <c r="E150" s="63"/>
      <c r="F150" s="44"/>
      <c r="G150" s="44"/>
      <c r="H150" s="44"/>
      <c r="I150" s="44"/>
    </row>
    <row r="151" spans="1:9" ht="36.75" customHeight="1" x14ac:dyDescent="0.35">
      <c r="A151" s="46" t="s">
        <v>255</v>
      </c>
      <c r="B151" s="263">
        <v>0</v>
      </c>
      <c r="C151" s="263">
        <v>0</v>
      </c>
      <c r="D151" s="183" t="s">
        <v>217</v>
      </c>
      <c r="E151" s="204" t="s">
        <v>66</v>
      </c>
    </row>
    <row r="152" spans="1:9" x14ac:dyDescent="0.35">
      <c r="A152" s="46" t="s">
        <v>256</v>
      </c>
      <c r="B152" s="264"/>
      <c r="C152" s="264"/>
      <c r="D152" s="392" t="s">
        <v>71</v>
      </c>
      <c r="E152" s="392" t="s">
        <v>101</v>
      </c>
    </row>
    <row r="153" spans="1:9" x14ac:dyDescent="0.35">
      <c r="A153" s="48" t="str">
        <f t="shared" ref="A153:A164" si="10">A127</f>
        <v>01-January-2022 to 31-January-2022</v>
      </c>
      <c r="B153" s="264">
        <f>'Baseline Emission'!B130</f>
        <v>0.74995200000000006</v>
      </c>
      <c r="C153" s="264">
        <f>'Baseline Emission'!C130</f>
        <v>0.53567999999999993</v>
      </c>
      <c r="D153" s="390"/>
      <c r="E153" s="390"/>
    </row>
    <row r="154" spans="1:9" x14ac:dyDescent="0.35">
      <c r="A154" s="48" t="str">
        <f t="shared" si="10"/>
        <v>01-February-2022 to 28-February-2022</v>
      </c>
      <c r="B154" s="264">
        <f>'Baseline Emission'!B131</f>
        <v>0.679728</v>
      </c>
      <c r="C154" s="264">
        <f>'Baseline Emission'!C131</f>
        <v>0.49929599999999996</v>
      </c>
      <c r="D154" s="390"/>
      <c r="E154" s="390"/>
    </row>
    <row r="155" spans="1:9" x14ac:dyDescent="0.35">
      <c r="A155" s="48" t="str">
        <f t="shared" si="10"/>
        <v>01-March-2022 to 31-March-2022</v>
      </c>
      <c r="B155" s="264">
        <f>'Baseline Emission'!B132</f>
        <v>0.76297199999999998</v>
      </c>
      <c r="C155" s="264">
        <f>'Baseline Emission'!C132</f>
        <v>0.53865600000000002</v>
      </c>
      <c r="D155" s="390"/>
      <c r="E155" s="390"/>
    </row>
    <row r="156" spans="1:9" x14ac:dyDescent="0.35">
      <c r="A156" s="48" t="str">
        <f t="shared" si="10"/>
        <v>01-April-2022 to 30-April-2022</v>
      </c>
      <c r="B156" s="264">
        <f>'Baseline Emission'!B133</f>
        <v>0.73080000000000012</v>
      </c>
      <c r="C156" s="264">
        <f>'Baseline Emission'!C133</f>
        <v>0.51695999999999986</v>
      </c>
      <c r="D156" s="390"/>
      <c r="E156" s="390"/>
    </row>
    <row r="157" spans="1:9" x14ac:dyDescent="0.35">
      <c r="A157" s="48" t="str">
        <f t="shared" si="10"/>
        <v>01-May-2022 to 31-May-2022</v>
      </c>
      <c r="B157" s="264">
        <f>'Baseline Emission'!B134</f>
        <v>0.75385799999999992</v>
      </c>
      <c r="C157" s="264">
        <f>'Baseline Emission'!C134</f>
        <v>0.54609599999999991</v>
      </c>
      <c r="D157" s="390"/>
      <c r="E157" s="390"/>
    </row>
    <row r="158" spans="1:9" x14ac:dyDescent="0.35">
      <c r="A158" s="48" t="str">
        <f t="shared" si="10"/>
        <v>01-June-2022 to 30-June-2022</v>
      </c>
      <c r="B158" s="264">
        <f>'Baseline Emission'!B135</f>
        <v>0.74214000000000002</v>
      </c>
      <c r="C158" s="264">
        <f>'Baseline Emission'!C135</f>
        <v>0.51911999999999991</v>
      </c>
      <c r="D158" s="390"/>
      <c r="E158" s="390"/>
    </row>
    <row r="159" spans="1:9" x14ac:dyDescent="0.35">
      <c r="A159" s="48" t="str">
        <f t="shared" si="10"/>
        <v>01-July-2022 to 31-July-2022</v>
      </c>
      <c r="B159" s="264">
        <f>'Baseline Emission'!B136</f>
        <v>0.769482</v>
      </c>
      <c r="C159" s="264">
        <f>'Baseline Emission'!C136</f>
        <v>0.53716799999999998</v>
      </c>
      <c r="D159" s="390"/>
      <c r="E159" s="390"/>
    </row>
    <row r="160" spans="1:9" x14ac:dyDescent="0.35">
      <c r="A160" s="48" t="str">
        <f t="shared" si="10"/>
        <v>01-August-2022 to 31-August-2022</v>
      </c>
      <c r="B160" s="264">
        <f>'Baseline Emission'!B137</f>
        <v>0.7577640000000001</v>
      </c>
      <c r="C160" s="264">
        <f>'Baseline Emission'!C137</f>
        <v>0.53865600000000002</v>
      </c>
      <c r="D160" s="390"/>
      <c r="E160" s="390"/>
    </row>
    <row r="161" spans="1:9" x14ac:dyDescent="0.35">
      <c r="A161" s="48" t="str">
        <f t="shared" si="10"/>
        <v>01-September-2022 to 30-September-2022</v>
      </c>
      <c r="B161" s="264">
        <f>'Baseline Emission'!B138</f>
        <v>0.72323999999999999</v>
      </c>
      <c r="C161" s="264">
        <f>'Baseline Emission'!C138</f>
        <v>0.51407999999999998</v>
      </c>
      <c r="D161" s="390"/>
      <c r="E161" s="390"/>
    </row>
    <row r="162" spans="1:9" x14ac:dyDescent="0.35">
      <c r="A162" s="48" t="str">
        <f t="shared" si="10"/>
        <v>01-October-2022 to 31-October-2022</v>
      </c>
      <c r="B162" s="264">
        <f>'Baseline Emission'!B139</f>
        <v>0.74995200000000006</v>
      </c>
      <c r="C162" s="264">
        <f>'Baseline Emission'!C139</f>
        <v>0.5438639999999999</v>
      </c>
      <c r="D162" s="390"/>
      <c r="E162" s="390"/>
    </row>
    <row r="163" spans="1:9" x14ac:dyDescent="0.35">
      <c r="A163" s="48" t="str">
        <f t="shared" si="10"/>
        <v>01-November-2022 to 30-November-2022</v>
      </c>
      <c r="B163" s="264">
        <f>'Baseline Emission'!B140</f>
        <v>0.73206000000000004</v>
      </c>
      <c r="C163" s="264">
        <f>'Baseline Emission'!C140</f>
        <v>0.53135999999999994</v>
      </c>
      <c r="D163" s="390"/>
      <c r="E163" s="390"/>
    </row>
    <row r="164" spans="1:9" x14ac:dyDescent="0.35">
      <c r="A164" s="48" t="str">
        <f t="shared" si="10"/>
        <v>01-December-2022 to 31-December-2022</v>
      </c>
      <c r="B164" s="264">
        <f>'Baseline Emission'!B141</f>
        <v>0.76427400000000001</v>
      </c>
      <c r="C164" s="264">
        <f>'Baseline Emission'!C141</f>
        <v>0.54311999999999994</v>
      </c>
      <c r="D164" s="390"/>
      <c r="E164" s="390"/>
    </row>
    <row r="165" spans="1:9" ht="12.75" customHeight="1" x14ac:dyDescent="0.35">
      <c r="A165" s="46" t="s">
        <v>257</v>
      </c>
      <c r="B165" s="265"/>
      <c r="C165" s="265"/>
      <c r="D165" s="392" t="s">
        <v>72</v>
      </c>
      <c r="E165" s="408" t="str">
        <f>E99</f>
        <v>Calculated as equation 5 and 6 in JPM, of which Np,LT and Nda,LT is  sourced from "Exported from the stock record of Market swine"
NLT for breeding swine is sourced from "Breeding Pig stock record"</v>
      </c>
      <c r="F165" s="194"/>
      <c r="G165" s="194"/>
      <c r="H165" s="194"/>
      <c r="I165" s="194"/>
    </row>
    <row r="166" spans="1:9" x14ac:dyDescent="0.35">
      <c r="A166" s="48" t="str">
        <f t="shared" ref="A166:A177" si="11">A153</f>
        <v>01-January-2022 to 31-January-2022</v>
      </c>
      <c r="B166" s="265">
        <f t="shared" ref="B166:C177" si="12">B100</f>
        <v>94226</v>
      </c>
      <c r="C166" s="265">
        <f t="shared" si="12"/>
        <v>51851</v>
      </c>
      <c r="D166" s="390"/>
      <c r="E166" s="409"/>
      <c r="F166" s="194"/>
      <c r="G166" s="194"/>
      <c r="H166" s="194"/>
      <c r="I166" s="194"/>
    </row>
    <row r="167" spans="1:9" x14ac:dyDescent="0.35">
      <c r="A167" s="48" t="str">
        <f t="shared" si="11"/>
        <v>01-February-2022 to 28-February-2022</v>
      </c>
      <c r="B167" s="265">
        <f t="shared" si="12"/>
        <v>94226</v>
      </c>
      <c r="C167" s="265">
        <f t="shared" si="12"/>
        <v>51422</v>
      </c>
      <c r="D167" s="390"/>
      <c r="E167" s="409"/>
      <c r="F167" s="194"/>
      <c r="G167" s="194"/>
      <c r="H167" s="194"/>
      <c r="I167" s="194"/>
    </row>
    <row r="168" spans="1:9" x14ac:dyDescent="0.35">
      <c r="A168" s="48" t="str">
        <f t="shared" si="11"/>
        <v>01-March-2022 to 31-March-2022</v>
      </c>
      <c r="B168" s="265">
        <f t="shared" si="12"/>
        <v>94226</v>
      </c>
      <c r="C168" s="265">
        <f t="shared" si="12"/>
        <v>51878</v>
      </c>
      <c r="D168" s="390"/>
      <c r="E168" s="409"/>
      <c r="F168" s="194"/>
      <c r="G168" s="194"/>
      <c r="H168" s="194"/>
      <c r="I168" s="194"/>
    </row>
    <row r="169" spans="1:9" x14ac:dyDescent="0.35">
      <c r="A169" s="48" t="str">
        <f t="shared" si="11"/>
        <v>01-April-2022 to 30-April-2022</v>
      </c>
      <c r="B169" s="265">
        <f t="shared" si="12"/>
        <v>94226</v>
      </c>
      <c r="C169" s="265">
        <f t="shared" si="12"/>
        <v>51867</v>
      </c>
      <c r="D169" s="390"/>
      <c r="E169" s="409"/>
      <c r="F169" s="194"/>
      <c r="G169" s="194"/>
      <c r="H169" s="194"/>
      <c r="I169" s="194"/>
    </row>
    <row r="170" spans="1:9" x14ac:dyDescent="0.35">
      <c r="A170" s="48" t="str">
        <f t="shared" si="11"/>
        <v>01-May-2022 to 31-May-2022</v>
      </c>
      <c r="B170" s="265">
        <f t="shared" si="12"/>
        <v>94226</v>
      </c>
      <c r="C170" s="265">
        <f t="shared" si="12"/>
        <v>51807</v>
      </c>
      <c r="D170" s="390"/>
      <c r="E170" s="409"/>
      <c r="F170" s="194"/>
      <c r="G170" s="194"/>
      <c r="H170" s="194"/>
      <c r="I170" s="194"/>
    </row>
    <row r="171" spans="1:9" x14ac:dyDescent="0.35">
      <c r="A171" s="48" t="str">
        <f t="shared" si="11"/>
        <v>01-June-2022 to 30-June-2022</v>
      </c>
      <c r="B171" s="265">
        <f t="shared" si="12"/>
        <v>94226</v>
      </c>
      <c r="C171" s="265">
        <f t="shared" si="12"/>
        <v>51827</v>
      </c>
      <c r="D171" s="390"/>
      <c r="E171" s="409"/>
      <c r="F171" s="194"/>
      <c r="G171" s="194"/>
      <c r="H171" s="194"/>
      <c r="I171" s="194"/>
    </row>
    <row r="172" spans="1:9" x14ac:dyDescent="0.35">
      <c r="A172" s="48" t="str">
        <f t="shared" si="11"/>
        <v>01-July-2022 to 31-July-2022</v>
      </c>
      <c r="B172" s="265">
        <f t="shared" si="12"/>
        <v>94226</v>
      </c>
      <c r="C172" s="265">
        <f t="shared" si="12"/>
        <v>51818</v>
      </c>
      <c r="D172" s="390"/>
      <c r="E172" s="409"/>
      <c r="F172" s="194"/>
      <c r="G172" s="194"/>
      <c r="H172" s="194"/>
      <c r="I172" s="194"/>
    </row>
    <row r="173" spans="1:9" x14ac:dyDescent="0.35">
      <c r="A173" s="48" t="str">
        <f t="shared" si="11"/>
        <v>01-August-2022 to 31-August-2022</v>
      </c>
      <c r="B173" s="265">
        <f t="shared" si="12"/>
        <v>94226</v>
      </c>
      <c r="C173" s="265">
        <f t="shared" si="12"/>
        <v>51830</v>
      </c>
      <c r="D173" s="390"/>
      <c r="E173" s="409"/>
      <c r="F173" s="194"/>
      <c r="G173" s="194"/>
      <c r="H173" s="194"/>
      <c r="I173" s="194"/>
    </row>
    <row r="174" spans="1:9" x14ac:dyDescent="0.35">
      <c r="A174" s="48" t="str">
        <f t="shared" si="11"/>
        <v>01-September-2022 to 30-September-2022</v>
      </c>
      <c r="B174" s="265">
        <f t="shared" si="12"/>
        <v>94226</v>
      </c>
      <c r="C174" s="265">
        <f t="shared" si="12"/>
        <v>51018</v>
      </c>
      <c r="D174" s="390"/>
      <c r="E174" s="409"/>
      <c r="F174" s="194"/>
      <c r="G174" s="194"/>
      <c r="H174" s="194"/>
      <c r="I174" s="194"/>
    </row>
    <row r="175" spans="1:9" x14ac:dyDescent="0.35">
      <c r="A175" s="48" t="str">
        <f t="shared" si="11"/>
        <v>01-October-2022 to 31-October-2022</v>
      </c>
      <c r="B175" s="265">
        <f t="shared" si="12"/>
        <v>94226</v>
      </c>
      <c r="C175" s="265">
        <f t="shared" si="12"/>
        <v>51826</v>
      </c>
      <c r="D175" s="390"/>
      <c r="E175" s="409"/>
      <c r="F175" s="194"/>
      <c r="G175" s="194"/>
      <c r="H175" s="194"/>
      <c r="I175" s="194"/>
    </row>
    <row r="176" spans="1:9" x14ac:dyDescent="0.35">
      <c r="A176" s="48" t="str">
        <f t="shared" si="11"/>
        <v>01-November-2022 to 30-November-2022</v>
      </c>
      <c r="B176" s="265">
        <f t="shared" si="12"/>
        <v>94226</v>
      </c>
      <c r="C176" s="265">
        <f t="shared" si="12"/>
        <v>51806</v>
      </c>
      <c r="D176" s="390"/>
      <c r="E176" s="409"/>
      <c r="F176" s="194"/>
      <c r="G176" s="194"/>
      <c r="H176" s="194"/>
      <c r="I176" s="194"/>
    </row>
    <row r="177" spans="1:9" x14ac:dyDescent="0.35">
      <c r="A177" s="48" t="str">
        <f t="shared" si="11"/>
        <v>01-December-2022 to 31-December-2022</v>
      </c>
      <c r="B177" s="265">
        <f t="shared" si="12"/>
        <v>94226</v>
      </c>
      <c r="C177" s="265">
        <f t="shared" si="12"/>
        <v>51828</v>
      </c>
      <c r="D177" s="390"/>
      <c r="E177" s="409"/>
      <c r="F177" s="194"/>
      <c r="G177" s="194"/>
      <c r="H177" s="194"/>
      <c r="I177" s="194"/>
    </row>
    <row r="178" spans="1:9" x14ac:dyDescent="0.35">
      <c r="A178" s="46" t="s">
        <v>45</v>
      </c>
      <c r="B178" s="322">
        <v>1</v>
      </c>
      <c r="C178" s="266">
        <v>1</v>
      </c>
      <c r="D178" s="45" t="s">
        <v>102</v>
      </c>
      <c r="E178" s="31" t="s">
        <v>99</v>
      </c>
    </row>
    <row r="179" spans="1:9" x14ac:dyDescent="0.35">
      <c r="A179" s="48" t="str">
        <f t="shared" ref="A179:A190" si="13">A166</f>
        <v>01-January-2022 to 31-January-2022</v>
      </c>
      <c r="B179" s="267">
        <f t="shared" ref="B179:B190" si="14">$B$151*B153*B166*$B$178</f>
        <v>0</v>
      </c>
      <c r="C179" s="267">
        <f>$C$151*C153*C166*$C$178</f>
        <v>0</v>
      </c>
      <c r="D179" s="390" t="s">
        <v>86</v>
      </c>
      <c r="E179" s="383" t="s">
        <v>101</v>
      </c>
    </row>
    <row r="180" spans="1:9" x14ac:dyDescent="0.35">
      <c r="A180" s="48" t="str">
        <f t="shared" si="13"/>
        <v>01-February-2022 to 28-February-2022</v>
      </c>
      <c r="B180" s="267">
        <f t="shared" si="14"/>
        <v>0</v>
      </c>
      <c r="C180" s="267">
        <f t="shared" ref="C180:C190" si="15">$C$151*C154*C167*$C$178</f>
        <v>0</v>
      </c>
      <c r="D180" s="390"/>
      <c r="E180" s="383"/>
    </row>
    <row r="181" spans="1:9" x14ac:dyDescent="0.35">
      <c r="A181" s="48" t="str">
        <f t="shared" si="13"/>
        <v>01-March-2022 to 31-March-2022</v>
      </c>
      <c r="B181" s="267">
        <f t="shared" si="14"/>
        <v>0</v>
      </c>
      <c r="C181" s="267">
        <f t="shared" si="15"/>
        <v>0</v>
      </c>
      <c r="D181" s="390"/>
      <c r="E181" s="383"/>
    </row>
    <row r="182" spans="1:9" x14ac:dyDescent="0.35">
      <c r="A182" s="48" t="str">
        <f t="shared" si="13"/>
        <v>01-April-2022 to 30-April-2022</v>
      </c>
      <c r="B182" s="267">
        <f t="shared" si="14"/>
        <v>0</v>
      </c>
      <c r="C182" s="267">
        <f t="shared" si="15"/>
        <v>0</v>
      </c>
      <c r="D182" s="390"/>
      <c r="E182" s="383"/>
    </row>
    <row r="183" spans="1:9" x14ac:dyDescent="0.35">
      <c r="A183" s="48" t="str">
        <f t="shared" si="13"/>
        <v>01-May-2022 to 31-May-2022</v>
      </c>
      <c r="B183" s="267">
        <f t="shared" si="14"/>
        <v>0</v>
      </c>
      <c r="C183" s="267">
        <f t="shared" si="15"/>
        <v>0</v>
      </c>
      <c r="D183" s="390"/>
      <c r="E183" s="383"/>
    </row>
    <row r="184" spans="1:9" x14ac:dyDescent="0.35">
      <c r="A184" s="48" t="str">
        <f t="shared" si="13"/>
        <v>01-June-2022 to 30-June-2022</v>
      </c>
      <c r="B184" s="267">
        <f t="shared" si="14"/>
        <v>0</v>
      </c>
      <c r="C184" s="267">
        <f t="shared" si="15"/>
        <v>0</v>
      </c>
      <c r="D184" s="390"/>
      <c r="E184" s="383"/>
    </row>
    <row r="185" spans="1:9" x14ac:dyDescent="0.35">
      <c r="A185" s="48" t="str">
        <f t="shared" si="13"/>
        <v>01-July-2022 to 31-July-2022</v>
      </c>
      <c r="B185" s="267">
        <f t="shared" si="14"/>
        <v>0</v>
      </c>
      <c r="C185" s="267">
        <f t="shared" si="15"/>
        <v>0</v>
      </c>
      <c r="D185" s="390"/>
      <c r="E185" s="383"/>
    </row>
    <row r="186" spans="1:9" x14ac:dyDescent="0.35">
      <c r="A186" s="48" t="str">
        <f t="shared" si="13"/>
        <v>01-August-2022 to 31-August-2022</v>
      </c>
      <c r="B186" s="267">
        <f t="shared" si="14"/>
        <v>0</v>
      </c>
      <c r="C186" s="267">
        <f t="shared" si="15"/>
        <v>0</v>
      </c>
      <c r="D186" s="390"/>
      <c r="E186" s="383"/>
    </row>
    <row r="187" spans="1:9" x14ac:dyDescent="0.35">
      <c r="A187" s="48" t="str">
        <f t="shared" si="13"/>
        <v>01-September-2022 to 30-September-2022</v>
      </c>
      <c r="B187" s="267">
        <f t="shared" si="14"/>
        <v>0</v>
      </c>
      <c r="C187" s="267">
        <f t="shared" si="15"/>
        <v>0</v>
      </c>
      <c r="D187" s="390"/>
      <c r="E187" s="383"/>
    </row>
    <row r="188" spans="1:9" x14ac:dyDescent="0.35">
      <c r="A188" s="48" t="str">
        <f t="shared" si="13"/>
        <v>01-October-2022 to 31-October-2022</v>
      </c>
      <c r="B188" s="267">
        <f t="shared" si="14"/>
        <v>0</v>
      </c>
      <c r="C188" s="267">
        <f t="shared" si="15"/>
        <v>0</v>
      </c>
      <c r="D188" s="390"/>
      <c r="E188" s="383"/>
    </row>
    <row r="189" spans="1:9" x14ac:dyDescent="0.35">
      <c r="A189" s="48" t="str">
        <f t="shared" si="13"/>
        <v>01-November-2022 to 30-November-2022</v>
      </c>
      <c r="B189" s="267">
        <f t="shared" si="14"/>
        <v>0</v>
      </c>
      <c r="C189" s="267">
        <f t="shared" si="15"/>
        <v>0</v>
      </c>
      <c r="D189" s="390"/>
      <c r="E189" s="383"/>
    </row>
    <row r="190" spans="1:9" x14ac:dyDescent="0.35">
      <c r="A190" s="48" t="str">
        <f t="shared" si="13"/>
        <v>01-December-2022 to 31-December-2022</v>
      </c>
      <c r="B190" s="267">
        <f t="shared" si="14"/>
        <v>0</v>
      </c>
      <c r="C190" s="267">
        <f t="shared" si="15"/>
        <v>0</v>
      </c>
      <c r="D190" s="390"/>
      <c r="E190" s="383"/>
    </row>
    <row r="191" spans="1:9" ht="15.5" x14ac:dyDescent="0.45">
      <c r="A191" s="34" t="s">
        <v>355</v>
      </c>
      <c r="B191" s="428">
        <f>SUM(B179:C190)</f>
        <v>0</v>
      </c>
      <c r="C191" s="428"/>
      <c r="D191" s="390"/>
      <c r="E191" s="383"/>
    </row>
    <row r="192" spans="1:9" ht="15.5" x14ac:dyDescent="0.35">
      <c r="A192" s="54" t="s">
        <v>225</v>
      </c>
      <c r="B192" s="431">
        <f>B191</f>
        <v>0</v>
      </c>
      <c r="C192" s="432"/>
      <c r="D192" s="410"/>
      <c r="E192" s="411"/>
    </row>
    <row r="193" spans="1:5" ht="27.75" customHeight="1" x14ac:dyDescent="0.35">
      <c r="A193" s="46" t="s">
        <v>258</v>
      </c>
      <c r="B193" s="268">
        <v>6.0000000000000001E-3</v>
      </c>
      <c r="C193" s="268">
        <v>6.0000000000000001E-3</v>
      </c>
      <c r="D193" s="183" t="s">
        <v>82</v>
      </c>
      <c r="E193" s="183" t="s">
        <v>65</v>
      </c>
    </row>
    <row r="194" spans="1:5" ht="12.75" customHeight="1" x14ac:dyDescent="0.35">
      <c r="A194" s="46" t="s">
        <v>257</v>
      </c>
      <c r="B194" s="269"/>
      <c r="C194" s="269"/>
      <c r="D194" s="392" t="s">
        <v>72</v>
      </c>
      <c r="E194" s="408" t="str">
        <f>E165</f>
        <v>Calculated as equation 5 and 6 in JPM, of which Np,LT and Nda,LT is  sourced from "Exported from the stock record of Market swine"
NLT for breeding swine is sourced from "Breeding Pig stock record"</v>
      </c>
    </row>
    <row r="195" spans="1:5" x14ac:dyDescent="0.35">
      <c r="A195" s="48" t="str">
        <f t="shared" ref="A195:A206" si="16">A179</f>
        <v>01-January-2022 to 31-January-2022</v>
      </c>
      <c r="B195" s="270">
        <f t="shared" ref="B195:C206" si="17">B166</f>
        <v>94226</v>
      </c>
      <c r="C195" s="270">
        <f t="shared" si="17"/>
        <v>51851</v>
      </c>
      <c r="D195" s="390"/>
      <c r="E195" s="409"/>
    </row>
    <row r="196" spans="1:5" x14ac:dyDescent="0.35">
      <c r="A196" s="48" t="str">
        <f t="shared" si="16"/>
        <v>01-February-2022 to 28-February-2022</v>
      </c>
      <c r="B196" s="270">
        <f t="shared" si="17"/>
        <v>94226</v>
      </c>
      <c r="C196" s="270">
        <f t="shared" si="17"/>
        <v>51422</v>
      </c>
      <c r="D196" s="390"/>
      <c r="E196" s="409"/>
    </row>
    <row r="197" spans="1:5" x14ac:dyDescent="0.35">
      <c r="A197" s="48" t="str">
        <f t="shared" si="16"/>
        <v>01-March-2022 to 31-March-2022</v>
      </c>
      <c r="B197" s="270">
        <f t="shared" si="17"/>
        <v>94226</v>
      </c>
      <c r="C197" s="270">
        <f t="shared" si="17"/>
        <v>51878</v>
      </c>
      <c r="D197" s="390"/>
      <c r="E197" s="409"/>
    </row>
    <row r="198" spans="1:5" x14ac:dyDescent="0.35">
      <c r="A198" s="48" t="str">
        <f t="shared" si="16"/>
        <v>01-April-2022 to 30-April-2022</v>
      </c>
      <c r="B198" s="270">
        <f t="shared" si="17"/>
        <v>94226</v>
      </c>
      <c r="C198" s="270">
        <f t="shared" si="17"/>
        <v>51867</v>
      </c>
      <c r="D198" s="390"/>
      <c r="E198" s="409"/>
    </row>
    <row r="199" spans="1:5" x14ac:dyDescent="0.35">
      <c r="A199" s="48" t="str">
        <f t="shared" si="16"/>
        <v>01-May-2022 to 31-May-2022</v>
      </c>
      <c r="B199" s="270">
        <f t="shared" si="17"/>
        <v>94226</v>
      </c>
      <c r="C199" s="270">
        <f t="shared" si="17"/>
        <v>51807</v>
      </c>
      <c r="D199" s="390"/>
      <c r="E199" s="409"/>
    </row>
    <row r="200" spans="1:5" x14ac:dyDescent="0.35">
      <c r="A200" s="48" t="str">
        <f t="shared" si="16"/>
        <v>01-June-2022 to 30-June-2022</v>
      </c>
      <c r="B200" s="270">
        <f t="shared" si="17"/>
        <v>94226</v>
      </c>
      <c r="C200" s="270">
        <f t="shared" si="17"/>
        <v>51827</v>
      </c>
      <c r="D200" s="390"/>
      <c r="E200" s="409"/>
    </row>
    <row r="201" spans="1:5" x14ac:dyDescent="0.35">
      <c r="A201" s="48" t="str">
        <f t="shared" si="16"/>
        <v>01-July-2022 to 31-July-2022</v>
      </c>
      <c r="B201" s="270">
        <f t="shared" si="17"/>
        <v>94226</v>
      </c>
      <c r="C201" s="270">
        <f t="shared" si="17"/>
        <v>51818</v>
      </c>
      <c r="D201" s="390"/>
      <c r="E201" s="409"/>
    </row>
    <row r="202" spans="1:5" x14ac:dyDescent="0.35">
      <c r="A202" s="48" t="str">
        <f t="shared" si="16"/>
        <v>01-August-2022 to 31-August-2022</v>
      </c>
      <c r="B202" s="270">
        <f t="shared" si="17"/>
        <v>94226</v>
      </c>
      <c r="C202" s="270">
        <f t="shared" si="17"/>
        <v>51830</v>
      </c>
      <c r="D202" s="390"/>
      <c r="E202" s="409"/>
    </row>
    <row r="203" spans="1:5" x14ac:dyDescent="0.35">
      <c r="A203" s="48" t="str">
        <f t="shared" si="16"/>
        <v>01-September-2022 to 30-September-2022</v>
      </c>
      <c r="B203" s="270">
        <f t="shared" si="17"/>
        <v>94226</v>
      </c>
      <c r="C203" s="270">
        <f t="shared" si="17"/>
        <v>51018</v>
      </c>
      <c r="D203" s="390"/>
      <c r="E203" s="409"/>
    </row>
    <row r="204" spans="1:5" x14ac:dyDescent="0.35">
      <c r="A204" s="48" t="str">
        <f t="shared" si="16"/>
        <v>01-October-2022 to 31-October-2022</v>
      </c>
      <c r="B204" s="270">
        <f t="shared" si="17"/>
        <v>94226</v>
      </c>
      <c r="C204" s="270">
        <f t="shared" si="17"/>
        <v>51826</v>
      </c>
      <c r="D204" s="390"/>
      <c r="E204" s="409"/>
    </row>
    <row r="205" spans="1:5" x14ac:dyDescent="0.35">
      <c r="A205" s="48" t="str">
        <f t="shared" si="16"/>
        <v>01-November-2022 to 30-November-2022</v>
      </c>
      <c r="B205" s="270">
        <f t="shared" si="17"/>
        <v>94226</v>
      </c>
      <c r="C205" s="270">
        <f t="shared" si="17"/>
        <v>51806</v>
      </c>
      <c r="D205" s="390"/>
      <c r="E205" s="409"/>
    </row>
    <row r="206" spans="1:5" x14ac:dyDescent="0.35">
      <c r="A206" s="48" t="str">
        <f t="shared" si="16"/>
        <v>01-December-2022 to 31-December-2022</v>
      </c>
      <c r="B206" s="270">
        <f t="shared" si="17"/>
        <v>94226</v>
      </c>
      <c r="C206" s="270">
        <f t="shared" si="17"/>
        <v>51828</v>
      </c>
      <c r="D206" s="390"/>
      <c r="E206" s="409"/>
    </row>
    <row r="207" spans="1:5" x14ac:dyDescent="0.35">
      <c r="A207" s="46" t="s">
        <v>45</v>
      </c>
      <c r="B207" s="253">
        <v>1</v>
      </c>
      <c r="C207" s="253">
        <v>1</v>
      </c>
      <c r="D207" s="45" t="s">
        <v>102</v>
      </c>
      <c r="E207" s="31" t="s">
        <v>99</v>
      </c>
    </row>
    <row r="208" spans="1:5" x14ac:dyDescent="0.35">
      <c r="A208" s="54" t="s">
        <v>259</v>
      </c>
      <c r="B208" s="253"/>
      <c r="C208" s="253"/>
      <c r="D208" s="392" t="s">
        <v>86</v>
      </c>
      <c r="E208" s="382" t="s">
        <v>101</v>
      </c>
    </row>
    <row r="209" spans="1:5" x14ac:dyDescent="0.35">
      <c r="A209" s="257" t="str">
        <f t="shared" ref="A209:A220" si="18">A195</f>
        <v>01-January-2022 to 31-January-2022</v>
      </c>
      <c r="B209" s="271">
        <f t="shared" ref="B209:B220" si="19">ROUNDUP($B$193*$B$207*B153*B195,0)</f>
        <v>424</v>
      </c>
      <c r="C209" s="271">
        <f>ROUNDUP($C$193*$C$207*C153*C195,0)</f>
        <v>167</v>
      </c>
      <c r="D209" s="390"/>
      <c r="E209" s="383"/>
    </row>
    <row r="210" spans="1:5" x14ac:dyDescent="0.35">
      <c r="A210" s="257" t="str">
        <f t="shared" si="18"/>
        <v>01-February-2022 to 28-February-2022</v>
      </c>
      <c r="B210" s="271">
        <f t="shared" si="19"/>
        <v>385</v>
      </c>
      <c r="C210" s="271">
        <f t="shared" ref="C210:C220" si="20">ROUNDUP($C$193*$C$207*C154*C196,0)</f>
        <v>155</v>
      </c>
      <c r="D210" s="390"/>
      <c r="E210" s="383"/>
    </row>
    <row r="211" spans="1:5" x14ac:dyDescent="0.35">
      <c r="A211" s="257" t="str">
        <f t="shared" si="18"/>
        <v>01-March-2022 to 31-March-2022</v>
      </c>
      <c r="B211" s="271">
        <f t="shared" si="19"/>
        <v>432</v>
      </c>
      <c r="C211" s="271">
        <f t="shared" si="20"/>
        <v>168</v>
      </c>
      <c r="D211" s="390"/>
      <c r="E211" s="383"/>
    </row>
    <row r="212" spans="1:5" x14ac:dyDescent="0.35">
      <c r="A212" s="257" t="str">
        <f t="shared" si="18"/>
        <v>01-April-2022 to 30-April-2022</v>
      </c>
      <c r="B212" s="271">
        <f t="shared" si="19"/>
        <v>414</v>
      </c>
      <c r="C212" s="271">
        <f t="shared" si="20"/>
        <v>161</v>
      </c>
      <c r="D212" s="390"/>
      <c r="E212" s="383"/>
    </row>
    <row r="213" spans="1:5" x14ac:dyDescent="0.35">
      <c r="A213" s="257" t="str">
        <f t="shared" si="18"/>
        <v>01-May-2022 to 31-May-2022</v>
      </c>
      <c r="B213" s="271">
        <f t="shared" si="19"/>
        <v>427</v>
      </c>
      <c r="C213" s="271">
        <f t="shared" si="20"/>
        <v>170</v>
      </c>
      <c r="D213" s="390"/>
      <c r="E213" s="383"/>
    </row>
    <row r="214" spans="1:5" x14ac:dyDescent="0.35">
      <c r="A214" s="257" t="str">
        <f t="shared" si="18"/>
        <v>01-June-2022 to 30-June-2022</v>
      </c>
      <c r="B214" s="271">
        <f t="shared" si="19"/>
        <v>420</v>
      </c>
      <c r="C214" s="271">
        <f t="shared" si="20"/>
        <v>162</v>
      </c>
      <c r="D214" s="390"/>
      <c r="E214" s="383"/>
    </row>
    <row r="215" spans="1:5" x14ac:dyDescent="0.35">
      <c r="A215" s="257" t="str">
        <f t="shared" si="18"/>
        <v>01-July-2022 to 31-July-2022</v>
      </c>
      <c r="B215" s="271">
        <f t="shared" si="19"/>
        <v>436</v>
      </c>
      <c r="C215" s="271">
        <f t="shared" si="20"/>
        <v>168</v>
      </c>
      <c r="D215" s="390"/>
      <c r="E215" s="383"/>
    </row>
    <row r="216" spans="1:5" x14ac:dyDescent="0.35">
      <c r="A216" s="257" t="str">
        <f t="shared" si="18"/>
        <v>01-August-2022 to 31-August-2022</v>
      </c>
      <c r="B216" s="271">
        <f t="shared" si="19"/>
        <v>429</v>
      </c>
      <c r="C216" s="271">
        <f t="shared" si="20"/>
        <v>168</v>
      </c>
      <c r="D216" s="390"/>
      <c r="E216" s="383"/>
    </row>
    <row r="217" spans="1:5" x14ac:dyDescent="0.35">
      <c r="A217" s="257" t="str">
        <f t="shared" si="18"/>
        <v>01-September-2022 to 30-September-2022</v>
      </c>
      <c r="B217" s="271">
        <f t="shared" si="19"/>
        <v>409</v>
      </c>
      <c r="C217" s="271">
        <f t="shared" si="20"/>
        <v>158</v>
      </c>
      <c r="D217" s="390"/>
      <c r="E217" s="383"/>
    </row>
    <row r="218" spans="1:5" x14ac:dyDescent="0.35">
      <c r="A218" s="257" t="str">
        <f t="shared" si="18"/>
        <v>01-October-2022 to 31-October-2022</v>
      </c>
      <c r="B218" s="271">
        <f t="shared" si="19"/>
        <v>424</v>
      </c>
      <c r="C218" s="271">
        <f t="shared" si="20"/>
        <v>170</v>
      </c>
      <c r="D218" s="390"/>
      <c r="E218" s="383"/>
    </row>
    <row r="219" spans="1:5" x14ac:dyDescent="0.35">
      <c r="A219" s="257" t="str">
        <f t="shared" si="18"/>
        <v>01-November-2022 to 30-November-2022</v>
      </c>
      <c r="B219" s="271">
        <f t="shared" si="19"/>
        <v>414</v>
      </c>
      <c r="C219" s="271">
        <f t="shared" si="20"/>
        <v>166</v>
      </c>
      <c r="D219" s="390"/>
      <c r="E219" s="383"/>
    </row>
    <row r="220" spans="1:5" x14ac:dyDescent="0.35">
      <c r="A220" s="257" t="str">
        <f t="shared" si="18"/>
        <v>01-December-2022 to 31-December-2022</v>
      </c>
      <c r="B220" s="271">
        <f t="shared" si="19"/>
        <v>433</v>
      </c>
      <c r="C220" s="271">
        <f t="shared" si="20"/>
        <v>169</v>
      </c>
      <c r="D220" s="390"/>
      <c r="E220" s="383"/>
    </row>
    <row r="221" spans="1:5" ht="15.5" x14ac:dyDescent="0.45">
      <c r="A221" s="34" t="s">
        <v>355</v>
      </c>
      <c r="B221" s="436">
        <f>SUM(B209:C220)</f>
        <v>7029</v>
      </c>
      <c r="C221" s="436"/>
      <c r="D221" s="390"/>
      <c r="E221" s="383"/>
    </row>
    <row r="222" spans="1:5" ht="16" thickBot="1" x14ac:dyDescent="0.4">
      <c r="A222" s="260" t="s">
        <v>260</v>
      </c>
      <c r="B222" s="435">
        <f>B221</f>
        <v>7029</v>
      </c>
      <c r="C222" s="435"/>
      <c r="D222" s="399"/>
      <c r="E222" s="395"/>
    </row>
    <row r="224" spans="1:5" x14ac:dyDescent="0.35">
      <c r="A224" s="221" t="s">
        <v>23</v>
      </c>
      <c r="B224" s="272"/>
      <c r="C224" s="272"/>
      <c r="D224" s="191"/>
      <c r="E224" s="272"/>
    </row>
    <row r="225" spans="1:9" x14ac:dyDescent="0.35">
      <c r="A225" s="221"/>
      <c r="B225" s="272"/>
      <c r="C225" s="272"/>
      <c r="D225" s="191"/>
      <c r="E225" s="272"/>
    </row>
    <row r="226" spans="1:9" ht="14" thickBot="1" x14ac:dyDescent="0.4">
      <c r="A226" s="221" t="s">
        <v>261</v>
      </c>
      <c r="B226" s="272"/>
      <c r="C226" s="272"/>
      <c r="D226" s="272"/>
      <c r="E226" s="272"/>
    </row>
    <row r="227" spans="1:9" x14ac:dyDescent="0.35">
      <c r="A227" s="273" t="s">
        <v>3</v>
      </c>
      <c r="B227" s="43" t="s">
        <v>20</v>
      </c>
      <c r="C227" s="43"/>
      <c r="D227" s="43" t="s">
        <v>2</v>
      </c>
      <c r="E227" s="43" t="s">
        <v>4</v>
      </c>
    </row>
    <row r="228" spans="1:9" x14ac:dyDescent="0.35">
      <c r="A228" s="62"/>
      <c r="B228" s="63" t="str">
        <f>B150</f>
        <v>Market Swine</v>
      </c>
      <c r="C228" s="63" t="str">
        <f>C150</f>
        <v>Breeding Swine</v>
      </c>
      <c r="D228" s="63"/>
      <c r="E228" s="63"/>
    </row>
    <row r="229" spans="1:9" s="194" customFormat="1" x14ac:dyDescent="0.35">
      <c r="A229" s="46" t="s">
        <v>262</v>
      </c>
      <c r="B229" s="274">
        <v>0.01</v>
      </c>
      <c r="C229" s="274">
        <f>B229</f>
        <v>0.01</v>
      </c>
      <c r="D229" s="45" t="s">
        <v>82</v>
      </c>
      <c r="E229" s="204" t="s">
        <v>57</v>
      </c>
      <c r="F229" s="44"/>
      <c r="G229" s="44"/>
      <c r="H229" s="44"/>
      <c r="I229" s="44"/>
    </row>
    <row r="230" spans="1:9" ht="40.5" x14ac:dyDescent="0.35">
      <c r="A230" s="46" t="s">
        <v>263</v>
      </c>
      <c r="B230" s="275">
        <v>0.4</v>
      </c>
      <c r="C230" s="275">
        <v>0.4</v>
      </c>
      <c r="D230" s="45" t="s">
        <v>81</v>
      </c>
      <c r="E230" s="184" t="s">
        <v>58</v>
      </c>
    </row>
    <row r="231" spans="1:9" ht="15.5" x14ac:dyDescent="0.35">
      <c r="A231" s="46" t="s">
        <v>264</v>
      </c>
      <c r="B231" s="276"/>
      <c r="C231" s="276"/>
      <c r="D231" s="392" t="s">
        <v>71</v>
      </c>
      <c r="E231" s="408" t="s">
        <v>101</v>
      </c>
    </row>
    <row r="232" spans="1:9" x14ac:dyDescent="0.35">
      <c r="A232" s="48" t="str">
        <f t="shared" ref="A232:A243" si="21">A209</f>
        <v>01-January-2022 to 31-January-2022</v>
      </c>
      <c r="B232" s="276">
        <f t="shared" ref="B232:C243" si="22">B153</f>
        <v>0.74995200000000006</v>
      </c>
      <c r="C232" s="276">
        <f t="shared" si="22"/>
        <v>0.53567999999999993</v>
      </c>
      <c r="D232" s="390"/>
      <c r="E232" s="409"/>
    </row>
    <row r="233" spans="1:9" x14ac:dyDescent="0.35">
      <c r="A233" s="48" t="str">
        <f t="shared" si="21"/>
        <v>01-February-2022 to 28-February-2022</v>
      </c>
      <c r="B233" s="276">
        <f t="shared" si="22"/>
        <v>0.679728</v>
      </c>
      <c r="C233" s="276">
        <f t="shared" si="22"/>
        <v>0.49929599999999996</v>
      </c>
      <c r="D233" s="390"/>
      <c r="E233" s="409"/>
    </row>
    <row r="234" spans="1:9" x14ac:dyDescent="0.35">
      <c r="A234" s="48" t="str">
        <f t="shared" si="21"/>
        <v>01-March-2022 to 31-March-2022</v>
      </c>
      <c r="B234" s="276">
        <f t="shared" si="22"/>
        <v>0.76297199999999998</v>
      </c>
      <c r="C234" s="276">
        <f t="shared" si="22"/>
        <v>0.53865600000000002</v>
      </c>
      <c r="D234" s="390"/>
      <c r="E234" s="409"/>
    </row>
    <row r="235" spans="1:9" x14ac:dyDescent="0.35">
      <c r="A235" s="48" t="str">
        <f t="shared" si="21"/>
        <v>01-April-2022 to 30-April-2022</v>
      </c>
      <c r="B235" s="276">
        <f t="shared" si="22"/>
        <v>0.73080000000000012</v>
      </c>
      <c r="C235" s="276">
        <f t="shared" si="22"/>
        <v>0.51695999999999986</v>
      </c>
      <c r="D235" s="390"/>
      <c r="E235" s="409"/>
    </row>
    <row r="236" spans="1:9" x14ac:dyDescent="0.35">
      <c r="A236" s="48" t="str">
        <f t="shared" si="21"/>
        <v>01-May-2022 to 31-May-2022</v>
      </c>
      <c r="B236" s="276">
        <f t="shared" si="22"/>
        <v>0.75385799999999992</v>
      </c>
      <c r="C236" s="276">
        <f t="shared" si="22"/>
        <v>0.54609599999999991</v>
      </c>
      <c r="D236" s="390"/>
      <c r="E236" s="409"/>
    </row>
    <row r="237" spans="1:9" x14ac:dyDescent="0.35">
      <c r="A237" s="48" t="str">
        <f t="shared" si="21"/>
        <v>01-June-2022 to 30-June-2022</v>
      </c>
      <c r="B237" s="276">
        <f t="shared" si="22"/>
        <v>0.74214000000000002</v>
      </c>
      <c r="C237" s="276">
        <f t="shared" si="22"/>
        <v>0.51911999999999991</v>
      </c>
      <c r="D237" s="390"/>
      <c r="E237" s="409"/>
    </row>
    <row r="238" spans="1:9" x14ac:dyDescent="0.35">
      <c r="A238" s="48" t="str">
        <f t="shared" si="21"/>
        <v>01-July-2022 to 31-July-2022</v>
      </c>
      <c r="B238" s="276">
        <f t="shared" si="22"/>
        <v>0.769482</v>
      </c>
      <c r="C238" s="276">
        <f t="shared" si="22"/>
        <v>0.53716799999999998</v>
      </c>
      <c r="D238" s="390"/>
      <c r="E238" s="409"/>
    </row>
    <row r="239" spans="1:9" x14ac:dyDescent="0.35">
      <c r="A239" s="48" t="str">
        <f t="shared" si="21"/>
        <v>01-August-2022 to 31-August-2022</v>
      </c>
      <c r="B239" s="276">
        <f t="shared" si="22"/>
        <v>0.7577640000000001</v>
      </c>
      <c r="C239" s="276">
        <f t="shared" si="22"/>
        <v>0.53865600000000002</v>
      </c>
      <c r="D239" s="390"/>
      <c r="E239" s="409"/>
    </row>
    <row r="240" spans="1:9" x14ac:dyDescent="0.35">
      <c r="A240" s="48" t="str">
        <f t="shared" si="21"/>
        <v>01-September-2022 to 30-September-2022</v>
      </c>
      <c r="B240" s="276">
        <f t="shared" si="22"/>
        <v>0.72323999999999999</v>
      </c>
      <c r="C240" s="276">
        <f t="shared" si="22"/>
        <v>0.51407999999999998</v>
      </c>
      <c r="D240" s="390"/>
      <c r="E240" s="409"/>
    </row>
    <row r="241" spans="1:9" x14ac:dyDescent="0.35">
      <c r="A241" s="48" t="str">
        <f t="shared" si="21"/>
        <v>01-October-2022 to 31-October-2022</v>
      </c>
      <c r="B241" s="276">
        <f t="shared" si="22"/>
        <v>0.74995200000000006</v>
      </c>
      <c r="C241" s="276">
        <f t="shared" si="22"/>
        <v>0.5438639999999999</v>
      </c>
      <c r="D241" s="390"/>
      <c r="E241" s="409"/>
    </row>
    <row r="242" spans="1:9" x14ac:dyDescent="0.35">
      <c r="A242" s="48" t="str">
        <f t="shared" si="21"/>
        <v>01-November-2022 to 30-November-2022</v>
      </c>
      <c r="B242" s="276">
        <f t="shared" si="22"/>
        <v>0.73206000000000004</v>
      </c>
      <c r="C242" s="276">
        <f t="shared" si="22"/>
        <v>0.53135999999999994</v>
      </c>
      <c r="D242" s="390"/>
      <c r="E242" s="409"/>
    </row>
    <row r="243" spans="1:9" x14ac:dyDescent="0.35">
      <c r="A243" s="48" t="str">
        <f t="shared" si="21"/>
        <v>01-December-2022 to 31-December-2022</v>
      </c>
      <c r="B243" s="276">
        <f t="shared" si="22"/>
        <v>0.76427400000000001</v>
      </c>
      <c r="C243" s="276">
        <f t="shared" si="22"/>
        <v>0.54311999999999994</v>
      </c>
      <c r="D243" s="390"/>
      <c r="E243" s="409"/>
    </row>
    <row r="244" spans="1:9" x14ac:dyDescent="0.35">
      <c r="A244" s="46" t="s">
        <v>257</v>
      </c>
      <c r="B244" s="33"/>
      <c r="C244" s="33"/>
      <c r="D244" s="439" t="s">
        <v>72</v>
      </c>
      <c r="E244" s="408" t="str">
        <f>E194</f>
        <v>Calculated as equation 5 and 6 in JPM, of which Np,LT and Nda,LT is  sourced from "Exported from the stock record of Market swine"
NLT for breeding swine is sourced from "Breeding Pig stock record"</v>
      </c>
      <c r="F244" s="194"/>
      <c r="G244" s="194"/>
      <c r="H244" s="194"/>
      <c r="I244" s="194"/>
    </row>
    <row r="245" spans="1:9" x14ac:dyDescent="0.35">
      <c r="A245" s="48" t="str">
        <f t="shared" ref="A245:A256" si="23">A232</f>
        <v>01-January-2022 to 31-January-2022</v>
      </c>
      <c r="B245" s="33">
        <f t="shared" ref="B245:C256" si="24">B195</f>
        <v>94226</v>
      </c>
      <c r="C245" s="33">
        <f t="shared" si="24"/>
        <v>51851</v>
      </c>
      <c r="D245" s="397"/>
      <c r="E245" s="409"/>
      <c r="F245" s="194"/>
      <c r="G245" s="194"/>
      <c r="H245" s="194"/>
      <c r="I245" s="194"/>
    </row>
    <row r="246" spans="1:9" x14ac:dyDescent="0.35">
      <c r="A246" s="48" t="str">
        <f t="shared" si="23"/>
        <v>01-February-2022 to 28-February-2022</v>
      </c>
      <c r="B246" s="33">
        <f t="shared" si="24"/>
        <v>94226</v>
      </c>
      <c r="C246" s="33">
        <f t="shared" si="24"/>
        <v>51422</v>
      </c>
      <c r="D246" s="397"/>
      <c r="E246" s="409"/>
      <c r="F246" s="194"/>
      <c r="G246" s="194"/>
      <c r="H246" s="194"/>
      <c r="I246" s="194"/>
    </row>
    <row r="247" spans="1:9" x14ac:dyDescent="0.35">
      <c r="A247" s="48" t="str">
        <f t="shared" si="23"/>
        <v>01-March-2022 to 31-March-2022</v>
      </c>
      <c r="B247" s="33">
        <f t="shared" si="24"/>
        <v>94226</v>
      </c>
      <c r="C247" s="33">
        <f t="shared" si="24"/>
        <v>51878</v>
      </c>
      <c r="D247" s="397"/>
      <c r="E247" s="409"/>
      <c r="F247" s="194"/>
      <c r="G247" s="194"/>
      <c r="H247" s="194"/>
      <c r="I247" s="194"/>
    </row>
    <row r="248" spans="1:9" x14ac:dyDescent="0.35">
      <c r="A248" s="48" t="str">
        <f t="shared" si="23"/>
        <v>01-April-2022 to 30-April-2022</v>
      </c>
      <c r="B248" s="33">
        <f t="shared" si="24"/>
        <v>94226</v>
      </c>
      <c r="C248" s="33">
        <f t="shared" si="24"/>
        <v>51867</v>
      </c>
      <c r="D248" s="397"/>
      <c r="E248" s="409"/>
      <c r="F248" s="194"/>
      <c r="G248" s="194"/>
      <c r="H248" s="194"/>
      <c r="I248" s="194"/>
    </row>
    <row r="249" spans="1:9" x14ac:dyDescent="0.35">
      <c r="A249" s="48" t="str">
        <f t="shared" si="23"/>
        <v>01-May-2022 to 31-May-2022</v>
      </c>
      <c r="B249" s="33">
        <f t="shared" si="24"/>
        <v>94226</v>
      </c>
      <c r="C249" s="33">
        <f t="shared" si="24"/>
        <v>51807</v>
      </c>
      <c r="D249" s="397"/>
      <c r="E249" s="409"/>
      <c r="F249" s="194"/>
      <c r="G249" s="194"/>
      <c r="H249" s="194"/>
      <c r="I249" s="194"/>
    </row>
    <row r="250" spans="1:9" x14ac:dyDescent="0.35">
      <c r="A250" s="48" t="str">
        <f t="shared" si="23"/>
        <v>01-June-2022 to 30-June-2022</v>
      </c>
      <c r="B250" s="33">
        <f t="shared" si="24"/>
        <v>94226</v>
      </c>
      <c r="C250" s="33">
        <f t="shared" si="24"/>
        <v>51827</v>
      </c>
      <c r="D250" s="397"/>
      <c r="E250" s="409"/>
      <c r="F250" s="194"/>
      <c r="G250" s="194"/>
      <c r="H250" s="194"/>
      <c r="I250" s="194"/>
    </row>
    <row r="251" spans="1:9" x14ac:dyDescent="0.35">
      <c r="A251" s="48" t="str">
        <f t="shared" si="23"/>
        <v>01-July-2022 to 31-July-2022</v>
      </c>
      <c r="B251" s="33">
        <f t="shared" si="24"/>
        <v>94226</v>
      </c>
      <c r="C251" s="33">
        <f t="shared" si="24"/>
        <v>51818</v>
      </c>
      <c r="D251" s="397"/>
      <c r="E251" s="409"/>
      <c r="F251" s="194"/>
      <c r="G251" s="194"/>
      <c r="H251" s="194"/>
      <c r="I251" s="194"/>
    </row>
    <row r="252" spans="1:9" x14ac:dyDescent="0.35">
      <c r="A252" s="48" t="str">
        <f t="shared" si="23"/>
        <v>01-August-2022 to 31-August-2022</v>
      </c>
      <c r="B252" s="33">
        <f t="shared" si="24"/>
        <v>94226</v>
      </c>
      <c r="C252" s="33">
        <f t="shared" si="24"/>
        <v>51830</v>
      </c>
      <c r="D252" s="397"/>
      <c r="E252" s="409"/>
      <c r="F252" s="194"/>
      <c r="G252" s="194"/>
      <c r="H252" s="194"/>
      <c r="I252" s="194"/>
    </row>
    <row r="253" spans="1:9" x14ac:dyDescent="0.35">
      <c r="A253" s="48" t="str">
        <f t="shared" si="23"/>
        <v>01-September-2022 to 30-September-2022</v>
      </c>
      <c r="B253" s="33">
        <f t="shared" si="24"/>
        <v>94226</v>
      </c>
      <c r="C253" s="33">
        <f t="shared" si="24"/>
        <v>51018</v>
      </c>
      <c r="D253" s="397"/>
      <c r="E253" s="409"/>
      <c r="F253" s="194"/>
      <c r="G253" s="194"/>
      <c r="H253" s="194"/>
      <c r="I253" s="194"/>
    </row>
    <row r="254" spans="1:9" x14ac:dyDescent="0.35">
      <c r="A254" s="48" t="str">
        <f t="shared" si="23"/>
        <v>01-October-2022 to 31-October-2022</v>
      </c>
      <c r="B254" s="33">
        <f t="shared" si="24"/>
        <v>94226</v>
      </c>
      <c r="C254" s="33">
        <f t="shared" si="24"/>
        <v>51826</v>
      </c>
      <c r="D254" s="397"/>
      <c r="E254" s="409"/>
      <c r="F254" s="194"/>
      <c r="G254" s="194"/>
      <c r="H254" s="194"/>
      <c r="I254" s="194"/>
    </row>
    <row r="255" spans="1:9" x14ac:dyDescent="0.35">
      <c r="A255" s="48" t="str">
        <f t="shared" si="23"/>
        <v>01-November-2022 to 30-November-2022</v>
      </c>
      <c r="B255" s="33">
        <f t="shared" si="24"/>
        <v>94226</v>
      </c>
      <c r="C255" s="33">
        <f t="shared" si="24"/>
        <v>51806</v>
      </c>
      <c r="D255" s="397"/>
      <c r="E255" s="409"/>
      <c r="F255" s="194"/>
      <c r="G255" s="194"/>
      <c r="H255" s="194"/>
      <c r="I255" s="194"/>
    </row>
    <row r="256" spans="1:9" x14ac:dyDescent="0.35">
      <c r="A256" s="48" t="str">
        <f t="shared" si="23"/>
        <v>01-December-2022 to 31-December-2022</v>
      </c>
      <c r="B256" s="33">
        <f t="shared" si="24"/>
        <v>94226</v>
      </c>
      <c r="C256" s="33">
        <f t="shared" si="24"/>
        <v>51828</v>
      </c>
      <c r="D256" s="397"/>
      <c r="E256" s="409"/>
      <c r="F256" s="194"/>
      <c r="G256" s="194"/>
      <c r="H256" s="194"/>
      <c r="I256" s="194"/>
    </row>
    <row r="257" spans="1:5" x14ac:dyDescent="0.35">
      <c r="A257" s="46" t="s">
        <v>45</v>
      </c>
      <c r="B257" s="253">
        <v>1</v>
      </c>
      <c r="C257" s="277">
        <v>1</v>
      </c>
      <c r="D257" s="45" t="s">
        <v>102</v>
      </c>
      <c r="E257" s="31" t="s">
        <v>99</v>
      </c>
    </row>
    <row r="258" spans="1:5" ht="15.5" x14ac:dyDescent="0.45">
      <c r="A258" s="46" t="s">
        <v>230</v>
      </c>
      <c r="B258" s="208">
        <f>'Baseline Emission'!B208</f>
        <v>265</v>
      </c>
      <c r="C258" s="208">
        <f>'Baseline Emission'!C208</f>
        <v>265</v>
      </c>
      <c r="D258" s="45" t="s">
        <v>231</v>
      </c>
      <c r="E258" s="184" t="s">
        <v>121</v>
      </c>
    </row>
    <row r="259" spans="1:5" ht="15.5" x14ac:dyDescent="0.35">
      <c r="A259" s="46" t="s">
        <v>265</v>
      </c>
      <c r="B259" s="29"/>
      <c r="C259" s="29"/>
      <c r="D259" s="392" t="s">
        <v>86</v>
      </c>
      <c r="E259" s="408" t="s">
        <v>101</v>
      </c>
    </row>
    <row r="260" spans="1:5" x14ac:dyDescent="0.35">
      <c r="A260" s="48" t="str">
        <f t="shared" ref="A260:A271" si="25">A245</f>
        <v>01-January-2022 to 31-January-2022</v>
      </c>
      <c r="B260" s="29">
        <f t="shared" ref="B260:B271" si="26">ROUNDUP($B$229*$B$230*$B$257*B245*B232,0)</f>
        <v>283</v>
      </c>
      <c r="C260" s="29">
        <f>ROUNDUP($C$229*$C$230*$C$257*C245*C232,0)</f>
        <v>112</v>
      </c>
      <c r="D260" s="390"/>
      <c r="E260" s="409"/>
    </row>
    <row r="261" spans="1:5" x14ac:dyDescent="0.35">
      <c r="A261" s="48" t="str">
        <f t="shared" si="25"/>
        <v>01-February-2022 to 28-February-2022</v>
      </c>
      <c r="B261" s="29">
        <f t="shared" si="26"/>
        <v>257</v>
      </c>
      <c r="C261" s="29">
        <f t="shared" ref="C261:C271" si="27">ROUNDUP($C$229*$C$230*$C$257*C246*C233,0)</f>
        <v>103</v>
      </c>
      <c r="D261" s="390"/>
      <c r="E261" s="409"/>
    </row>
    <row r="262" spans="1:5" x14ac:dyDescent="0.35">
      <c r="A262" s="48" t="str">
        <f t="shared" si="25"/>
        <v>01-March-2022 to 31-March-2022</v>
      </c>
      <c r="B262" s="29">
        <f t="shared" si="26"/>
        <v>288</v>
      </c>
      <c r="C262" s="29">
        <f t="shared" si="27"/>
        <v>112</v>
      </c>
      <c r="D262" s="390"/>
      <c r="E262" s="409"/>
    </row>
    <row r="263" spans="1:5" x14ac:dyDescent="0.35">
      <c r="A263" s="48" t="str">
        <f t="shared" si="25"/>
        <v>01-April-2022 to 30-April-2022</v>
      </c>
      <c r="B263" s="29">
        <f t="shared" si="26"/>
        <v>276</v>
      </c>
      <c r="C263" s="29">
        <f t="shared" si="27"/>
        <v>108</v>
      </c>
      <c r="D263" s="390"/>
      <c r="E263" s="409"/>
    </row>
    <row r="264" spans="1:5" x14ac:dyDescent="0.35">
      <c r="A264" s="48" t="str">
        <f t="shared" si="25"/>
        <v>01-May-2022 to 31-May-2022</v>
      </c>
      <c r="B264" s="29">
        <f t="shared" si="26"/>
        <v>285</v>
      </c>
      <c r="C264" s="29">
        <f t="shared" si="27"/>
        <v>114</v>
      </c>
      <c r="D264" s="390"/>
      <c r="E264" s="409"/>
    </row>
    <row r="265" spans="1:5" x14ac:dyDescent="0.35">
      <c r="A265" s="48" t="str">
        <f t="shared" si="25"/>
        <v>01-June-2022 to 30-June-2022</v>
      </c>
      <c r="B265" s="29">
        <f t="shared" si="26"/>
        <v>280</v>
      </c>
      <c r="C265" s="29">
        <f t="shared" si="27"/>
        <v>108</v>
      </c>
      <c r="D265" s="390"/>
      <c r="E265" s="409"/>
    </row>
    <row r="266" spans="1:5" x14ac:dyDescent="0.35">
      <c r="A266" s="48" t="str">
        <f t="shared" si="25"/>
        <v>01-July-2022 to 31-July-2022</v>
      </c>
      <c r="B266" s="29">
        <f t="shared" si="26"/>
        <v>291</v>
      </c>
      <c r="C266" s="29">
        <f t="shared" si="27"/>
        <v>112</v>
      </c>
      <c r="D266" s="390"/>
      <c r="E266" s="409"/>
    </row>
    <row r="267" spans="1:5" x14ac:dyDescent="0.35">
      <c r="A267" s="48" t="str">
        <f t="shared" si="25"/>
        <v>01-August-2022 to 31-August-2022</v>
      </c>
      <c r="B267" s="29">
        <f t="shared" si="26"/>
        <v>286</v>
      </c>
      <c r="C267" s="29">
        <f t="shared" si="27"/>
        <v>112</v>
      </c>
      <c r="D267" s="390"/>
      <c r="E267" s="409"/>
    </row>
    <row r="268" spans="1:5" x14ac:dyDescent="0.35">
      <c r="A268" s="48" t="str">
        <f t="shared" si="25"/>
        <v>01-September-2022 to 30-September-2022</v>
      </c>
      <c r="B268" s="29">
        <f t="shared" si="26"/>
        <v>273</v>
      </c>
      <c r="C268" s="29">
        <f t="shared" si="27"/>
        <v>105</v>
      </c>
      <c r="D268" s="390"/>
      <c r="E268" s="409"/>
    </row>
    <row r="269" spans="1:5" x14ac:dyDescent="0.35">
      <c r="A269" s="48" t="str">
        <f t="shared" si="25"/>
        <v>01-October-2022 to 31-October-2022</v>
      </c>
      <c r="B269" s="29">
        <f t="shared" si="26"/>
        <v>283</v>
      </c>
      <c r="C269" s="29">
        <f t="shared" si="27"/>
        <v>113</v>
      </c>
      <c r="D269" s="390"/>
      <c r="E269" s="409"/>
    </row>
    <row r="270" spans="1:5" x14ac:dyDescent="0.35">
      <c r="A270" s="48" t="str">
        <f t="shared" si="25"/>
        <v>01-November-2022 to 30-November-2022</v>
      </c>
      <c r="B270" s="29">
        <f t="shared" si="26"/>
        <v>276</v>
      </c>
      <c r="C270" s="29">
        <f t="shared" si="27"/>
        <v>111</v>
      </c>
      <c r="D270" s="390"/>
      <c r="E270" s="409"/>
    </row>
    <row r="271" spans="1:5" x14ac:dyDescent="0.35">
      <c r="A271" s="48" t="str">
        <f t="shared" si="25"/>
        <v>01-December-2022 to 31-December-2022</v>
      </c>
      <c r="B271" s="29">
        <f t="shared" si="26"/>
        <v>289</v>
      </c>
      <c r="C271" s="29">
        <f t="shared" si="27"/>
        <v>113</v>
      </c>
      <c r="D271" s="390"/>
      <c r="E271" s="409"/>
    </row>
    <row r="272" spans="1:5" ht="15.5" x14ac:dyDescent="0.45">
      <c r="A272" s="34" t="s">
        <v>356</v>
      </c>
      <c r="B272" s="433">
        <f>SUM(B260:C271)</f>
        <v>4690</v>
      </c>
      <c r="C272" s="434"/>
      <c r="D272" s="390"/>
      <c r="E272" s="409"/>
    </row>
    <row r="273" spans="1:5" s="206" customFormat="1" ht="16" thickBot="1" x14ac:dyDescent="0.4">
      <c r="A273" s="260" t="s">
        <v>266</v>
      </c>
      <c r="B273" s="437">
        <f>B272</f>
        <v>4690</v>
      </c>
      <c r="C273" s="437"/>
      <c r="D273" s="399"/>
      <c r="E273" s="438"/>
    </row>
    <row r="274" spans="1:5" ht="14" thickBot="1" x14ac:dyDescent="0.4">
      <c r="A274" s="272"/>
      <c r="B274" s="272"/>
      <c r="C274" s="272"/>
      <c r="D274" s="272"/>
      <c r="E274" s="272"/>
    </row>
    <row r="275" spans="1:5" x14ac:dyDescent="0.35">
      <c r="A275" s="273" t="s">
        <v>3</v>
      </c>
      <c r="B275" s="43" t="s">
        <v>20</v>
      </c>
      <c r="C275" s="43"/>
      <c r="D275" s="43" t="s">
        <v>2</v>
      </c>
      <c r="E275" s="43" t="s">
        <v>4</v>
      </c>
    </row>
    <row r="276" spans="1:5" x14ac:dyDescent="0.35">
      <c r="A276" s="62"/>
      <c r="B276" s="63" t="s">
        <v>35</v>
      </c>
      <c r="C276" s="63" t="s">
        <v>36</v>
      </c>
      <c r="D276" s="63"/>
      <c r="E276" s="63"/>
    </row>
    <row r="277" spans="1:5" x14ac:dyDescent="0.35">
      <c r="A277" s="46" t="s">
        <v>262</v>
      </c>
      <c r="B277" s="274">
        <v>0.01</v>
      </c>
      <c r="C277" s="274">
        <f>B277</f>
        <v>0.01</v>
      </c>
      <c r="D277" s="45" t="s">
        <v>82</v>
      </c>
      <c r="E277" s="204" t="s">
        <v>57</v>
      </c>
    </row>
    <row r="278" spans="1:5" ht="40.5" x14ac:dyDescent="0.35">
      <c r="A278" s="46" t="s">
        <v>263</v>
      </c>
      <c r="B278" s="275">
        <v>0.45</v>
      </c>
      <c r="C278" s="275">
        <v>0.45</v>
      </c>
      <c r="D278" s="45" t="s">
        <v>81</v>
      </c>
      <c r="E278" s="184" t="s">
        <v>58</v>
      </c>
    </row>
    <row r="279" spans="1:5" ht="15.5" x14ac:dyDescent="0.35">
      <c r="A279" s="46" t="s">
        <v>264</v>
      </c>
      <c r="B279" s="276"/>
      <c r="C279" s="276"/>
      <c r="D279" s="379" t="s">
        <v>71</v>
      </c>
      <c r="E279" s="388" t="s">
        <v>101</v>
      </c>
    </row>
    <row r="280" spans="1:5" x14ac:dyDescent="0.35">
      <c r="A280" s="48" t="str">
        <f t="shared" ref="A280:A291" si="28">A260</f>
        <v>01-January-2022 to 31-January-2022</v>
      </c>
      <c r="B280" s="276">
        <f t="shared" ref="B280:C291" si="29">B232</f>
        <v>0.74995200000000006</v>
      </c>
      <c r="C280" s="276">
        <f t="shared" si="29"/>
        <v>0.53567999999999993</v>
      </c>
      <c r="D280" s="379"/>
      <c r="E280" s="388"/>
    </row>
    <row r="281" spans="1:5" x14ac:dyDescent="0.35">
      <c r="A281" s="48" t="str">
        <f t="shared" si="28"/>
        <v>01-February-2022 to 28-February-2022</v>
      </c>
      <c r="B281" s="276">
        <f t="shared" si="29"/>
        <v>0.679728</v>
      </c>
      <c r="C281" s="276">
        <f t="shared" si="29"/>
        <v>0.49929599999999996</v>
      </c>
      <c r="D281" s="379"/>
      <c r="E281" s="388"/>
    </row>
    <row r="282" spans="1:5" x14ac:dyDescent="0.35">
      <c r="A282" s="48" t="str">
        <f t="shared" si="28"/>
        <v>01-March-2022 to 31-March-2022</v>
      </c>
      <c r="B282" s="276">
        <f t="shared" si="29"/>
        <v>0.76297199999999998</v>
      </c>
      <c r="C282" s="276">
        <f t="shared" si="29"/>
        <v>0.53865600000000002</v>
      </c>
      <c r="D282" s="379"/>
      <c r="E282" s="388"/>
    </row>
    <row r="283" spans="1:5" x14ac:dyDescent="0.35">
      <c r="A283" s="48" t="str">
        <f t="shared" si="28"/>
        <v>01-April-2022 to 30-April-2022</v>
      </c>
      <c r="B283" s="276">
        <f t="shared" si="29"/>
        <v>0.73080000000000012</v>
      </c>
      <c r="C283" s="276">
        <f t="shared" si="29"/>
        <v>0.51695999999999986</v>
      </c>
      <c r="D283" s="379"/>
      <c r="E283" s="388"/>
    </row>
    <row r="284" spans="1:5" x14ac:dyDescent="0.35">
      <c r="A284" s="48" t="str">
        <f t="shared" si="28"/>
        <v>01-May-2022 to 31-May-2022</v>
      </c>
      <c r="B284" s="276">
        <f t="shared" si="29"/>
        <v>0.75385799999999992</v>
      </c>
      <c r="C284" s="276">
        <f t="shared" si="29"/>
        <v>0.54609599999999991</v>
      </c>
      <c r="D284" s="379"/>
      <c r="E284" s="388"/>
    </row>
    <row r="285" spans="1:5" x14ac:dyDescent="0.35">
      <c r="A285" s="48" t="str">
        <f t="shared" si="28"/>
        <v>01-June-2022 to 30-June-2022</v>
      </c>
      <c r="B285" s="276">
        <f t="shared" si="29"/>
        <v>0.74214000000000002</v>
      </c>
      <c r="C285" s="276">
        <f t="shared" si="29"/>
        <v>0.51911999999999991</v>
      </c>
      <c r="D285" s="379"/>
      <c r="E285" s="388"/>
    </row>
    <row r="286" spans="1:5" x14ac:dyDescent="0.35">
      <c r="A286" s="48" t="str">
        <f t="shared" si="28"/>
        <v>01-July-2022 to 31-July-2022</v>
      </c>
      <c r="B286" s="276">
        <f t="shared" si="29"/>
        <v>0.769482</v>
      </c>
      <c r="C286" s="276">
        <f t="shared" si="29"/>
        <v>0.53716799999999998</v>
      </c>
      <c r="D286" s="379"/>
      <c r="E286" s="388"/>
    </row>
    <row r="287" spans="1:5" x14ac:dyDescent="0.35">
      <c r="A287" s="48" t="str">
        <f t="shared" si="28"/>
        <v>01-August-2022 to 31-August-2022</v>
      </c>
      <c r="B287" s="276">
        <f t="shared" si="29"/>
        <v>0.7577640000000001</v>
      </c>
      <c r="C287" s="276">
        <f t="shared" si="29"/>
        <v>0.53865600000000002</v>
      </c>
      <c r="D287" s="379"/>
      <c r="E287" s="388"/>
    </row>
    <row r="288" spans="1:5" x14ac:dyDescent="0.35">
      <c r="A288" s="48" t="str">
        <f t="shared" si="28"/>
        <v>01-September-2022 to 30-September-2022</v>
      </c>
      <c r="B288" s="276">
        <f t="shared" si="29"/>
        <v>0.72323999999999999</v>
      </c>
      <c r="C288" s="276">
        <f t="shared" si="29"/>
        <v>0.51407999999999998</v>
      </c>
      <c r="D288" s="379"/>
      <c r="E288" s="388"/>
    </row>
    <row r="289" spans="1:5" x14ac:dyDescent="0.35">
      <c r="A289" s="48" t="str">
        <f t="shared" si="28"/>
        <v>01-October-2022 to 31-October-2022</v>
      </c>
      <c r="B289" s="276">
        <f t="shared" si="29"/>
        <v>0.74995200000000006</v>
      </c>
      <c r="C289" s="276">
        <f t="shared" si="29"/>
        <v>0.5438639999999999</v>
      </c>
      <c r="D289" s="379"/>
      <c r="E289" s="388"/>
    </row>
    <row r="290" spans="1:5" x14ac:dyDescent="0.35">
      <c r="A290" s="48" t="str">
        <f t="shared" si="28"/>
        <v>01-November-2022 to 30-November-2022</v>
      </c>
      <c r="B290" s="276">
        <f t="shared" si="29"/>
        <v>0.73206000000000004</v>
      </c>
      <c r="C290" s="276">
        <f t="shared" si="29"/>
        <v>0.53135999999999994</v>
      </c>
      <c r="D290" s="379"/>
      <c r="E290" s="388"/>
    </row>
    <row r="291" spans="1:5" x14ac:dyDescent="0.35">
      <c r="A291" s="48" t="str">
        <f t="shared" si="28"/>
        <v>01-December-2022 to 31-December-2022</v>
      </c>
      <c r="B291" s="276">
        <f t="shared" si="29"/>
        <v>0.76427400000000001</v>
      </c>
      <c r="C291" s="276">
        <f t="shared" si="29"/>
        <v>0.54311999999999994</v>
      </c>
      <c r="D291" s="379"/>
      <c r="E291" s="388"/>
    </row>
    <row r="292" spans="1:5" ht="12.75" customHeight="1" x14ac:dyDescent="0.35">
      <c r="A292" s="46" t="s">
        <v>257</v>
      </c>
      <c r="B292" s="33"/>
      <c r="C292" s="33"/>
      <c r="D292" s="439" t="s">
        <v>72</v>
      </c>
      <c r="E292" s="408" t="str">
        <f>E244</f>
        <v>Calculated as equation 5 and 6 in JPM, of which Np,LT and Nda,LT is  sourced from "Exported from the stock record of Market swine"
NLT for breeding swine is sourced from "Breeding Pig stock record"</v>
      </c>
    </row>
    <row r="293" spans="1:5" x14ac:dyDescent="0.35">
      <c r="A293" s="48" t="str">
        <f t="shared" ref="A293:A304" si="30">A280</f>
        <v>01-January-2022 to 31-January-2022</v>
      </c>
      <c r="B293" s="33">
        <f t="shared" ref="B293:C304" si="31">B245</f>
        <v>94226</v>
      </c>
      <c r="C293" s="33">
        <f t="shared" si="31"/>
        <v>51851</v>
      </c>
      <c r="D293" s="397"/>
      <c r="E293" s="409"/>
    </row>
    <row r="294" spans="1:5" x14ac:dyDescent="0.35">
      <c r="A294" s="48" t="str">
        <f t="shared" si="30"/>
        <v>01-February-2022 to 28-February-2022</v>
      </c>
      <c r="B294" s="33">
        <f t="shared" si="31"/>
        <v>94226</v>
      </c>
      <c r="C294" s="33">
        <f t="shared" si="31"/>
        <v>51422</v>
      </c>
      <c r="D294" s="397"/>
      <c r="E294" s="409"/>
    </row>
    <row r="295" spans="1:5" x14ac:dyDescent="0.35">
      <c r="A295" s="48" t="str">
        <f t="shared" si="30"/>
        <v>01-March-2022 to 31-March-2022</v>
      </c>
      <c r="B295" s="33">
        <f t="shared" si="31"/>
        <v>94226</v>
      </c>
      <c r="C295" s="33">
        <f t="shared" si="31"/>
        <v>51878</v>
      </c>
      <c r="D295" s="397"/>
      <c r="E295" s="409"/>
    </row>
    <row r="296" spans="1:5" x14ac:dyDescent="0.35">
      <c r="A296" s="48" t="str">
        <f t="shared" si="30"/>
        <v>01-April-2022 to 30-April-2022</v>
      </c>
      <c r="B296" s="33">
        <f t="shared" si="31"/>
        <v>94226</v>
      </c>
      <c r="C296" s="33">
        <f t="shared" si="31"/>
        <v>51867</v>
      </c>
      <c r="D296" s="397"/>
      <c r="E296" s="409"/>
    </row>
    <row r="297" spans="1:5" x14ac:dyDescent="0.35">
      <c r="A297" s="48" t="str">
        <f t="shared" si="30"/>
        <v>01-May-2022 to 31-May-2022</v>
      </c>
      <c r="B297" s="33">
        <f t="shared" si="31"/>
        <v>94226</v>
      </c>
      <c r="C297" s="33">
        <f t="shared" si="31"/>
        <v>51807</v>
      </c>
      <c r="D297" s="397"/>
      <c r="E297" s="409"/>
    </row>
    <row r="298" spans="1:5" x14ac:dyDescent="0.35">
      <c r="A298" s="48" t="str">
        <f t="shared" si="30"/>
        <v>01-June-2022 to 30-June-2022</v>
      </c>
      <c r="B298" s="33">
        <f t="shared" si="31"/>
        <v>94226</v>
      </c>
      <c r="C298" s="33">
        <f t="shared" si="31"/>
        <v>51827</v>
      </c>
      <c r="D298" s="397"/>
      <c r="E298" s="409"/>
    </row>
    <row r="299" spans="1:5" x14ac:dyDescent="0.35">
      <c r="A299" s="48" t="str">
        <f t="shared" si="30"/>
        <v>01-July-2022 to 31-July-2022</v>
      </c>
      <c r="B299" s="33">
        <f t="shared" si="31"/>
        <v>94226</v>
      </c>
      <c r="C299" s="33">
        <f t="shared" si="31"/>
        <v>51818</v>
      </c>
      <c r="D299" s="397"/>
      <c r="E299" s="409"/>
    </row>
    <row r="300" spans="1:5" x14ac:dyDescent="0.35">
      <c r="A300" s="48" t="str">
        <f t="shared" si="30"/>
        <v>01-August-2022 to 31-August-2022</v>
      </c>
      <c r="B300" s="33">
        <f t="shared" si="31"/>
        <v>94226</v>
      </c>
      <c r="C300" s="33">
        <f t="shared" si="31"/>
        <v>51830</v>
      </c>
      <c r="D300" s="397"/>
      <c r="E300" s="409"/>
    </row>
    <row r="301" spans="1:5" x14ac:dyDescent="0.35">
      <c r="A301" s="48" t="str">
        <f t="shared" si="30"/>
        <v>01-September-2022 to 30-September-2022</v>
      </c>
      <c r="B301" s="33">
        <f t="shared" si="31"/>
        <v>94226</v>
      </c>
      <c r="C301" s="33">
        <f t="shared" si="31"/>
        <v>51018</v>
      </c>
      <c r="D301" s="397"/>
      <c r="E301" s="409"/>
    </row>
    <row r="302" spans="1:5" x14ac:dyDescent="0.35">
      <c r="A302" s="48" t="str">
        <f t="shared" si="30"/>
        <v>01-October-2022 to 31-October-2022</v>
      </c>
      <c r="B302" s="33">
        <f t="shared" si="31"/>
        <v>94226</v>
      </c>
      <c r="C302" s="33">
        <f t="shared" si="31"/>
        <v>51826</v>
      </c>
      <c r="D302" s="397"/>
      <c r="E302" s="409"/>
    </row>
    <row r="303" spans="1:5" x14ac:dyDescent="0.35">
      <c r="A303" s="48" t="str">
        <f t="shared" si="30"/>
        <v>01-November-2022 to 30-November-2022</v>
      </c>
      <c r="B303" s="33">
        <f t="shared" si="31"/>
        <v>94226</v>
      </c>
      <c r="C303" s="33">
        <f t="shared" si="31"/>
        <v>51806</v>
      </c>
      <c r="D303" s="397"/>
      <c r="E303" s="409"/>
    </row>
    <row r="304" spans="1:5" x14ac:dyDescent="0.35">
      <c r="A304" s="48" t="str">
        <f t="shared" si="30"/>
        <v>01-December-2022 to 31-December-2022</v>
      </c>
      <c r="B304" s="33">
        <f t="shared" si="31"/>
        <v>94226</v>
      </c>
      <c r="C304" s="33">
        <f t="shared" si="31"/>
        <v>51828</v>
      </c>
      <c r="D304" s="397"/>
      <c r="E304" s="409"/>
    </row>
    <row r="305" spans="1:5" x14ac:dyDescent="0.35">
      <c r="A305" s="46" t="s">
        <v>45</v>
      </c>
      <c r="B305" s="253">
        <v>1</v>
      </c>
      <c r="C305" s="32">
        <v>1</v>
      </c>
      <c r="D305" s="45" t="s">
        <v>1</v>
      </c>
      <c r="E305" s="31" t="s">
        <v>99</v>
      </c>
    </row>
    <row r="306" spans="1:5" ht="15.5" x14ac:dyDescent="0.45">
      <c r="A306" s="46" t="s">
        <v>230</v>
      </c>
      <c r="B306" s="208">
        <f>'Baseline Emission'!B208</f>
        <v>265</v>
      </c>
      <c r="C306" s="208">
        <f>'Baseline Emission'!C208</f>
        <v>265</v>
      </c>
      <c r="D306" s="45" t="s">
        <v>231</v>
      </c>
      <c r="E306" s="184" t="s">
        <v>121</v>
      </c>
    </row>
    <row r="307" spans="1:5" ht="15.5" x14ac:dyDescent="0.45">
      <c r="A307" s="96" t="s">
        <v>267</v>
      </c>
      <c r="B307" s="208"/>
      <c r="C307" s="208"/>
      <c r="D307" s="45"/>
      <c r="E307" s="184"/>
    </row>
    <row r="308" spans="1:5" x14ac:dyDescent="0.35">
      <c r="A308" s="48" t="str">
        <f t="shared" ref="A308:A319" si="32">A293</f>
        <v>01-January-2022 to 31-January-2022</v>
      </c>
      <c r="B308" s="208">
        <f t="shared" ref="B308:B319" si="33">ROUNDUP($B$277*$B$278*$B$305*B280*B293,0)</f>
        <v>318</v>
      </c>
      <c r="C308" s="208">
        <f>ROUNDUP($C$277*$C$278*$C$305*C280*C293,0)</f>
        <v>125</v>
      </c>
      <c r="D308" s="390"/>
      <c r="E308" s="409" t="s">
        <v>101</v>
      </c>
    </row>
    <row r="309" spans="1:5" x14ac:dyDescent="0.35">
      <c r="A309" s="48" t="str">
        <f t="shared" si="32"/>
        <v>01-February-2022 to 28-February-2022</v>
      </c>
      <c r="B309" s="208">
        <f t="shared" si="33"/>
        <v>289</v>
      </c>
      <c r="C309" s="208">
        <f t="shared" ref="C309:C319" si="34">ROUNDUP($C$277*$C$278*$C$305*C281*C294,0)</f>
        <v>116</v>
      </c>
      <c r="D309" s="390"/>
      <c r="E309" s="409"/>
    </row>
    <row r="310" spans="1:5" x14ac:dyDescent="0.35">
      <c r="A310" s="48" t="str">
        <f t="shared" si="32"/>
        <v>01-March-2022 to 31-March-2022</v>
      </c>
      <c r="B310" s="208">
        <f t="shared" si="33"/>
        <v>324</v>
      </c>
      <c r="C310" s="208">
        <f t="shared" si="34"/>
        <v>126</v>
      </c>
      <c r="D310" s="390"/>
      <c r="E310" s="409"/>
    </row>
    <row r="311" spans="1:5" x14ac:dyDescent="0.35">
      <c r="A311" s="48" t="str">
        <f t="shared" si="32"/>
        <v>01-April-2022 to 30-April-2022</v>
      </c>
      <c r="B311" s="208">
        <f t="shared" si="33"/>
        <v>310</v>
      </c>
      <c r="C311" s="208">
        <f t="shared" si="34"/>
        <v>121</v>
      </c>
      <c r="D311" s="390"/>
      <c r="E311" s="409"/>
    </row>
    <row r="312" spans="1:5" x14ac:dyDescent="0.35">
      <c r="A312" s="48" t="str">
        <f t="shared" si="32"/>
        <v>01-May-2022 to 31-May-2022</v>
      </c>
      <c r="B312" s="208">
        <f t="shared" si="33"/>
        <v>320</v>
      </c>
      <c r="C312" s="208">
        <f t="shared" si="34"/>
        <v>128</v>
      </c>
      <c r="D312" s="390"/>
      <c r="E312" s="409"/>
    </row>
    <row r="313" spans="1:5" x14ac:dyDescent="0.35">
      <c r="A313" s="48" t="str">
        <f t="shared" si="32"/>
        <v>01-June-2022 to 30-June-2022</v>
      </c>
      <c r="B313" s="208">
        <f t="shared" si="33"/>
        <v>315</v>
      </c>
      <c r="C313" s="208">
        <f t="shared" si="34"/>
        <v>122</v>
      </c>
      <c r="D313" s="390"/>
      <c r="E313" s="409"/>
    </row>
    <row r="314" spans="1:5" x14ac:dyDescent="0.35">
      <c r="A314" s="48" t="str">
        <f t="shared" si="32"/>
        <v>01-July-2022 to 31-July-2022</v>
      </c>
      <c r="B314" s="208">
        <f t="shared" si="33"/>
        <v>327</v>
      </c>
      <c r="C314" s="208">
        <f t="shared" si="34"/>
        <v>126</v>
      </c>
      <c r="D314" s="390"/>
      <c r="E314" s="409"/>
    </row>
    <row r="315" spans="1:5" x14ac:dyDescent="0.35">
      <c r="A315" s="48" t="str">
        <f t="shared" si="32"/>
        <v>01-August-2022 to 31-August-2022</v>
      </c>
      <c r="B315" s="208">
        <f t="shared" si="33"/>
        <v>322</v>
      </c>
      <c r="C315" s="208">
        <f t="shared" si="34"/>
        <v>126</v>
      </c>
      <c r="D315" s="390"/>
      <c r="E315" s="409"/>
    </row>
    <row r="316" spans="1:5" x14ac:dyDescent="0.35">
      <c r="A316" s="48" t="str">
        <f t="shared" si="32"/>
        <v>01-September-2022 to 30-September-2022</v>
      </c>
      <c r="B316" s="208">
        <f t="shared" si="33"/>
        <v>307</v>
      </c>
      <c r="C316" s="208">
        <f t="shared" si="34"/>
        <v>119</v>
      </c>
      <c r="D316" s="390"/>
      <c r="E316" s="409"/>
    </row>
    <row r="317" spans="1:5" x14ac:dyDescent="0.35">
      <c r="A317" s="48" t="str">
        <f t="shared" si="32"/>
        <v>01-October-2022 to 31-October-2022</v>
      </c>
      <c r="B317" s="208">
        <f t="shared" si="33"/>
        <v>318</v>
      </c>
      <c r="C317" s="208">
        <f t="shared" si="34"/>
        <v>127</v>
      </c>
      <c r="D317" s="390"/>
      <c r="E317" s="409"/>
    </row>
    <row r="318" spans="1:5" ht="12.75" customHeight="1" x14ac:dyDescent="0.35">
      <c r="A318" s="48" t="str">
        <f t="shared" si="32"/>
        <v>01-November-2022 to 30-November-2022</v>
      </c>
      <c r="B318" s="208">
        <f t="shared" si="33"/>
        <v>311</v>
      </c>
      <c r="C318" s="208">
        <f t="shared" si="34"/>
        <v>124</v>
      </c>
      <c r="D318" s="390"/>
      <c r="E318" s="409"/>
    </row>
    <row r="319" spans="1:5" x14ac:dyDescent="0.35">
      <c r="A319" s="48" t="str">
        <f t="shared" si="32"/>
        <v>01-December-2022 to 31-December-2022</v>
      </c>
      <c r="B319" s="208">
        <f t="shared" si="33"/>
        <v>325</v>
      </c>
      <c r="C319" s="208">
        <f t="shared" si="34"/>
        <v>127</v>
      </c>
      <c r="D319" s="390"/>
      <c r="E319" s="409"/>
    </row>
    <row r="320" spans="1:5" ht="15.5" x14ac:dyDescent="0.45">
      <c r="A320" s="34" t="s">
        <v>356</v>
      </c>
      <c r="B320" s="443">
        <f>SUM(B308:C319)</f>
        <v>5273</v>
      </c>
      <c r="C320" s="443"/>
      <c r="D320" s="379"/>
      <c r="E320" s="409"/>
    </row>
    <row r="321" spans="1:5" ht="16" thickBot="1" x14ac:dyDescent="0.5">
      <c r="A321" s="101" t="s">
        <v>268</v>
      </c>
      <c r="B321" s="435">
        <f>B320</f>
        <v>5273</v>
      </c>
      <c r="C321" s="435"/>
      <c r="D321" s="442"/>
      <c r="E321" s="438"/>
    </row>
    <row r="322" spans="1:5" x14ac:dyDescent="0.35">
      <c r="A322" s="244"/>
      <c r="B322" s="278"/>
      <c r="C322" s="278"/>
      <c r="D322" s="272"/>
      <c r="E322" s="272"/>
    </row>
    <row r="323" spans="1:5" ht="15.5" x14ac:dyDescent="0.45">
      <c r="A323" s="223" t="s">
        <v>357</v>
      </c>
      <c r="E323" s="279"/>
    </row>
    <row r="324" spans="1:5" ht="16" thickBot="1" x14ac:dyDescent="0.5">
      <c r="A324" s="58" t="s">
        <v>358</v>
      </c>
      <c r="B324" s="440">
        <f>ROUNDUP(B258*44/28*1/1000*(B191+B221+B272+B320),0)</f>
        <v>7076</v>
      </c>
      <c r="C324" s="441"/>
      <c r="D324" s="107" t="s">
        <v>319</v>
      </c>
      <c r="E324" s="279"/>
    </row>
    <row r="325" spans="1:5" ht="27" customHeight="1" x14ac:dyDescent="0.35">
      <c r="A325" s="279"/>
      <c r="B325" s="279"/>
      <c r="C325" s="279"/>
      <c r="D325" s="279"/>
      <c r="E325" s="279"/>
    </row>
    <row r="327" spans="1:5" ht="16" x14ac:dyDescent="0.4">
      <c r="A327" s="347" t="s">
        <v>361</v>
      </c>
      <c r="B327" s="348"/>
      <c r="C327" s="348"/>
      <c r="D327" s="348"/>
    </row>
    <row r="328" spans="1:5" ht="15.5" x14ac:dyDescent="0.45">
      <c r="A328" s="349" t="s">
        <v>359</v>
      </c>
      <c r="B328" s="321" t="s">
        <v>362</v>
      </c>
      <c r="C328" s="321" t="s">
        <v>363</v>
      </c>
      <c r="D328" s="63" t="s">
        <v>364</v>
      </c>
      <c r="E328" s="63" t="s">
        <v>365</v>
      </c>
    </row>
    <row r="329" spans="1:5" x14ac:dyDescent="0.35">
      <c r="A329" s="349" t="s">
        <v>348</v>
      </c>
      <c r="B329" s="292">
        <f>B81</f>
        <v>7213</v>
      </c>
      <c r="C329" s="292">
        <f>B140</f>
        <v>40</v>
      </c>
      <c r="D329" s="292">
        <f>B324</f>
        <v>7076</v>
      </c>
      <c r="E329" s="292">
        <f>B329+C329+D329</f>
        <v>14329</v>
      </c>
    </row>
    <row r="330" spans="1:5" x14ac:dyDescent="0.35">
      <c r="A330" s="280"/>
      <c r="B330" s="346"/>
      <c r="C330" s="346"/>
      <c r="D330" s="346"/>
      <c r="E330" s="345"/>
    </row>
  </sheetData>
  <customSheetViews>
    <customSheetView guid="{2C071143-29D6-4036-A926-BF7E54293313}" hiddenRows="1" showRuler="0" topLeftCell="A61">
      <selection activeCell="B20" sqref="B20:C20"/>
      <pageMargins left="0.75" right="0.75" top="1" bottom="1" header="0.5" footer="0.5"/>
      <pageSetup paperSize="9" orientation="portrait" r:id="rId1"/>
      <headerFooter alignWithMargins="0"/>
    </customSheetView>
  </customSheetViews>
  <mergeCells count="59">
    <mergeCell ref="D308:D319"/>
    <mergeCell ref="E308:E319"/>
    <mergeCell ref="D259:D271"/>
    <mergeCell ref="E259:E271"/>
    <mergeCell ref="D272:D273"/>
    <mergeCell ref="D292:D304"/>
    <mergeCell ref="E292:E304"/>
    <mergeCell ref="D279:D291"/>
    <mergeCell ref="E279:E291"/>
    <mergeCell ref="D152:D164"/>
    <mergeCell ref="E152:E164"/>
    <mergeCell ref="D81:E81"/>
    <mergeCell ref="D80:E80"/>
    <mergeCell ref="E112:E124"/>
    <mergeCell ref="D112:D124"/>
    <mergeCell ref="D99:D111"/>
    <mergeCell ref="E99:E111"/>
    <mergeCell ref="B324:C324"/>
    <mergeCell ref="D320:D321"/>
    <mergeCell ref="B321:C321"/>
    <mergeCell ref="E320:E321"/>
    <mergeCell ref="B320:C320"/>
    <mergeCell ref="D231:D243"/>
    <mergeCell ref="E231:E243"/>
    <mergeCell ref="B273:C273"/>
    <mergeCell ref="E244:E256"/>
    <mergeCell ref="E272:E273"/>
    <mergeCell ref="D244:D256"/>
    <mergeCell ref="B191:C191"/>
    <mergeCell ref="B139:C139"/>
    <mergeCell ref="B140:C140"/>
    <mergeCell ref="B192:C192"/>
    <mergeCell ref="B272:C272"/>
    <mergeCell ref="B222:C222"/>
    <mergeCell ref="B221:C221"/>
    <mergeCell ref="C14:C26"/>
    <mergeCell ref="D14:E26"/>
    <mergeCell ref="C52:C64"/>
    <mergeCell ref="D52:E64"/>
    <mergeCell ref="D51:E51"/>
    <mergeCell ref="D30:E42"/>
    <mergeCell ref="D43:E43"/>
    <mergeCell ref="D49:E49"/>
    <mergeCell ref="D208:D222"/>
    <mergeCell ref="E208:E222"/>
    <mergeCell ref="D13:E13"/>
    <mergeCell ref="D27:E27"/>
    <mergeCell ref="D28:E28"/>
    <mergeCell ref="D29:E29"/>
    <mergeCell ref="D50:E50"/>
    <mergeCell ref="D194:D206"/>
    <mergeCell ref="E194:E206"/>
    <mergeCell ref="D165:D177"/>
    <mergeCell ref="E165:E177"/>
    <mergeCell ref="D179:D192"/>
    <mergeCell ref="E179:E192"/>
    <mergeCell ref="D66:E79"/>
    <mergeCell ref="D127:D138"/>
    <mergeCell ref="E127:E138"/>
  </mergeCells>
  <phoneticPr fontId="0" type="noConversion"/>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53"/>
  <sheetViews>
    <sheetView topLeftCell="B79" zoomScaleNormal="100" workbookViewId="0">
      <selection activeCell="F96" sqref="F96"/>
    </sheetView>
  </sheetViews>
  <sheetFormatPr defaultRowHeight="13.5" x14ac:dyDescent="0.35"/>
  <cols>
    <col min="1" max="1" width="47.81640625" style="44" bestFit="1" customWidth="1"/>
    <col min="2" max="2" width="21.08984375" style="206" customWidth="1"/>
    <col min="3" max="3" width="17.54296875" style="206" customWidth="1"/>
    <col min="4" max="4" width="26.81640625" style="44" bestFit="1" customWidth="1"/>
    <col min="5" max="5" width="46.6328125" style="44" customWidth="1"/>
    <col min="6" max="6" width="38.81640625" style="44" bestFit="1" customWidth="1"/>
    <col min="7" max="16384" width="8.7265625" style="44"/>
  </cols>
  <sheetData>
    <row r="1" spans="1:4" ht="16" x14ac:dyDescent="0.4">
      <c r="A1" s="189" t="s">
        <v>25</v>
      </c>
    </row>
    <row r="2" spans="1:4" x14ac:dyDescent="0.35">
      <c r="A2" s="190"/>
      <c r="B2" s="193"/>
    </row>
    <row r="3" spans="1:4" x14ac:dyDescent="0.35">
      <c r="A3" s="190"/>
    </row>
    <row r="4" spans="1:4" x14ac:dyDescent="0.35">
      <c r="A4" s="44" t="s">
        <v>47</v>
      </c>
    </row>
    <row r="5" spans="1:4" x14ac:dyDescent="0.35">
      <c r="A5" s="190"/>
      <c r="D5" s="197"/>
    </row>
    <row r="6" spans="1:4" x14ac:dyDescent="0.35">
      <c r="A6" s="190"/>
      <c r="D6" s="197"/>
    </row>
    <row r="7" spans="1:4" x14ac:dyDescent="0.35">
      <c r="A7" s="190"/>
      <c r="D7" s="197"/>
    </row>
    <row r="8" spans="1:4" x14ac:dyDescent="0.35">
      <c r="A8" s="190"/>
      <c r="D8" s="197"/>
    </row>
    <row r="9" spans="1:4" x14ac:dyDescent="0.35">
      <c r="A9" s="190"/>
      <c r="D9" s="197"/>
    </row>
    <row r="10" spans="1:4" x14ac:dyDescent="0.35">
      <c r="A10" s="190"/>
      <c r="D10" s="197"/>
    </row>
    <row r="11" spans="1:4" x14ac:dyDescent="0.35">
      <c r="A11" s="190"/>
      <c r="D11" s="197"/>
    </row>
    <row r="12" spans="1:4" x14ac:dyDescent="0.35">
      <c r="A12" s="190"/>
      <c r="D12" s="197"/>
    </row>
    <row r="13" spans="1:4" x14ac:dyDescent="0.35">
      <c r="A13" s="190"/>
      <c r="D13" s="197"/>
    </row>
    <row r="14" spans="1:4" x14ac:dyDescent="0.35">
      <c r="A14" s="190"/>
      <c r="D14" s="197"/>
    </row>
    <row r="15" spans="1:4" x14ac:dyDescent="0.35">
      <c r="A15" s="190"/>
      <c r="D15" s="197"/>
    </row>
    <row r="16" spans="1:4" x14ac:dyDescent="0.35">
      <c r="A16" s="190"/>
      <c r="D16" s="197"/>
    </row>
    <row r="17" spans="1:5" x14ac:dyDescent="0.35">
      <c r="A17" s="190"/>
      <c r="D17" s="197"/>
    </row>
    <row r="18" spans="1:5" x14ac:dyDescent="0.35">
      <c r="A18" s="190"/>
    </row>
    <row r="19" spans="1:5" x14ac:dyDescent="0.35">
      <c r="A19" s="190"/>
    </row>
    <row r="21" spans="1:5" ht="14" thickBot="1" x14ac:dyDescent="0.4">
      <c r="A21" s="190"/>
    </row>
    <row r="22" spans="1:5" x14ac:dyDescent="0.35">
      <c r="A22" s="42" t="s">
        <v>3</v>
      </c>
      <c r="B22" s="43" t="s">
        <v>20</v>
      </c>
      <c r="C22" s="43"/>
      <c r="D22" s="43" t="s">
        <v>2</v>
      </c>
      <c r="E22" s="61" t="s">
        <v>4</v>
      </c>
    </row>
    <row r="23" spans="1:5" x14ac:dyDescent="0.35">
      <c r="A23" s="62"/>
      <c r="B23" s="63" t="str">
        <f>B346</f>
        <v>Market Swine</v>
      </c>
      <c r="C23" s="63" t="str">
        <f>C346</f>
        <v>Breeding Swine</v>
      </c>
      <c r="D23" s="63"/>
      <c r="E23" s="281"/>
    </row>
    <row r="24" spans="1:5" s="194" customFormat="1" x14ac:dyDescent="0.35">
      <c r="A24" s="69" t="s">
        <v>269</v>
      </c>
      <c r="B24" s="72"/>
      <c r="C24" s="72"/>
      <c r="D24" s="392" t="s">
        <v>72</v>
      </c>
      <c r="E24" s="463" t="s">
        <v>309</v>
      </c>
    </row>
    <row r="25" spans="1:5" s="194" customFormat="1" x14ac:dyDescent="0.35">
      <c r="A25" s="71" t="str">
        <f>'Baseline Emission'!A211</f>
        <v>01-January-2022 to 31-January-2022</v>
      </c>
      <c r="B25" s="72">
        <f>'Baseline Emission'!B195</f>
        <v>94226</v>
      </c>
      <c r="C25" s="72">
        <f>'Baseline Emission'!C195</f>
        <v>51851</v>
      </c>
      <c r="D25" s="390"/>
      <c r="E25" s="464"/>
    </row>
    <row r="26" spans="1:5" s="194" customFormat="1" x14ac:dyDescent="0.35">
      <c r="A26" s="71" t="str">
        <f>'Baseline Emission'!A212</f>
        <v>01-February-2022 to 28-February-2022</v>
      </c>
      <c r="B26" s="72">
        <f>'Baseline Emission'!B196</f>
        <v>94226</v>
      </c>
      <c r="C26" s="72">
        <f>'Baseline Emission'!C196</f>
        <v>51422</v>
      </c>
      <c r="D26" s="390"/>
      <c r="E26" s="464"/>
    </row>
    <row r="27" spans="1:5" s="194" customFormat="1" x14ac:dyDescent="0.35">
      <c r="A27" s="71" t="str">
        <f>'Baseline Emission'!A213</f>
        <v>01-March-2022 to 31-March-2022</v>
      </c>
      <c r="B27" s="72">
        <f>'Baseline Emission'!B197</f>
        <v>94226</v>
      </c>
      <c r="C27" s="72">
        <f>'Baseline Emission'!C197</f>
        <v>51878</v>
      </c>
      <c r="D27" s="390"/>
      <c r="E27" s="464"/>
    </row>
    <row r="28" spans="1:5" s="194" customFormat="1" x14ac:dyDescent="0.35">
      <c r="A28" s="71" t="str">
        <f>'Baseline Emission'!A214</f>
        <v>01-April-2022 to 30-April-2022</v>
      </c>
      <c r="B28" s="72">
        <f>'Baseline Emission'!B198</f>
        <v>94226</v>
      </c>
      <c r="C28" s="72">
        <f>'Baseline Emission'!C198</f>
        <v>51867</v>
      </c>
      <c r="D28" s="390"/>
      <c r="E28" s="464"/>
    </row>
    <row r="29" spans="1:5" s="194" customFormat="1" x14ac:dyDescent="0.35">
      <c r="A29" s="71" t="str">
        <f>'Baseline Emission'!A215</f>
        <v>01-May-2022 to 31-May-2022</v>
      </c>
      <c r="B29" s="72">
        <f>'Baseline Emission'!B199</f>
        <v>94226</v>
      </c>
      <c r="C29" s="72">
        <f>'Baseline Emission'!C199</f>
        <v>51807</v>
      </c>
      <c r="D29" s="390"/>
      <c r="E29" s="464"/>
    </row>
    <row r="30" spans="1:5" s="194" customFormat="1" x14ac:dyDescent="0.35">
      <c r="A30" s="71" t="str">
        <f>'Baseline Emission'!A216</f>
        <v>01-June-2022 to 30-June-2022</v>
      </c>
      <c r="B30" s="72">
        <f>'Baseline Emission'!B200</f>
        <v>94226</v>
      </c>
      <c r="C30" s="72">
        <f>'Baseline Emission'!C200</f>
        <v>51827</v>
      </c>
      <c r="D30" s="390"/>
      <c r="E30" s="464"/>
    </row>
    <row r="31" spans="1:5" s="194" customFormat="1" x14ac:dyDescent="0.35">
      <c r="A31" s="71" t="str">
        <f>'Baseline Emission'!A217</f>
        <v>01-July-2022 to 31-July-2022</v>
      </c>
      <c r="B31" s="72">
        <f>'Baseline Emission'!B201</f>
        <v>94226</v>
      </c>
      <c r="C31" s="72">
        <f>'Baseline Emission'!C201</f>
        <v>51818</v>
      </c>
      <c r="D31" s="390"/>
      <c r="E31" s="464"/>
    </row>
    <row r="32" spans="1:5" s="194" customFormat="1" x14ac:dyDescent="0.35">
      <c r="A32" s="71" t="str">
        <f>'Baseline Emission'!A218</f>
        <v>01-August-2022 to 31-August-2022</v>
      </c>
      <c r="B32" s="72">
        <f>'Baseline Emission'!B202</f>
        <v>94226</v>
      </c>
      <c r="C32" s="72">
        <f>'Baseline Emission'!C202</f>
        <v>51830</v>
      </c>
      <c r="D32" s="390"/>
      <c r="E32" s="464"/>
    </row>
    <row r="33" spans="1:5" s="194" customFormat="1" x14ac:dyDescent="0.35">
      <c r="A33" s="71" t="str">
        <f>'Baseline Emission'!A219</f>
        <v>01-September-2022 to 30-September-2022</v>
      </c>
      <c r="B33" s="72">
        <f>'Baseline Emission'!B203</f>
        <v>94226</v>
      </c>
      <c r="C33" s="72">
        <f>'Baseline Emission'!C203</f>
        <v>51018</v>
      </c>
      <c r="D33" s="390"/>
      <c r="E33" s="464"/>
    </row>
    <row r="34" spans="1:5" s="194" customFormat="1" x14ac:dyDescent="0.35">
      <c r="A34" s="71" t="str">
        <f>'Baseline Emission'!A220</f>
        <v>01-October-2022 to 31-October-2022</v>
      </c>
      <c r="B34" s="72">
        <f>'Baseline Emission'!B204</f>
        <v>94226</v>
      </c>
      <c r="C34" s="72">
        <f>'Baseline Emission'!C204</f>
        <v>51826</v>
      </c>
      <c r="D34" s="390"/>
      <c r="E34" s="464"/>
    </row>
    <row r="35" spans="1:5" s="194" customFormat="1" x14ac:dyDescent="0.35">
      <c r="A35" s="71" t="str">
        <f>'Baseline Emission'!A221</f>
        <v>01-November-2022 to 30-November-2022</v>
      </c>
      <c r="B35" s="72">
        <f>'Baseline Emission'!B205</f>
        <v>94226</v>
      </c>
      <c r="C35" s="72">
        <f>'Baseline Emission'!C205</f>
        <v>51806</v>
      </c>
      <c r="D35" s="390"/>
      <c r="E35" s="464"/>
    </row>
    <row r="36" spans="1:5" s="194" customFormat="1" x14ac:dyDescent="0.35">
      <c r="A36" s="71" t="str">
        <f>'Baseline Emission'!A222</f>
        <v>01-December-2022 to 31-December-2022</v>
      </c>
      <c r="B36" s="72">
        <f>'Baseline Emission'!B206</f>
        <v>94226</v>
      </c>
      <c r="C36" s="72">
        <f>'Baseline Emission'!C206</f>
        <v>51828</v>
      </c>
      <c r="D36" s="390"/>
      <c r="E36" s="464"/>
    </row>
    <row r="37" spans="1:5" x14ac:dyDescent="0.35">
      <c r="A37" s="69" t="s">
        <v>270</v>
      </c>
      <c r="B37" s="282"/>
      <c r="C37" s="282"/>
      <c r="D37" s="392" t="s">
        <v>51</v>
      </c>
      <c r="E37" s="463" t="s">
        <v>31</v>
      </c>
    </row>
    <row r="38" spans="1:5" x14ac:dyDescent="0.35">
      <c r="A38" s="71" t="str">
        <f t="shared" ref="A38:A49" si="0">A25</f>
        <v>01-January-2022 to 31-January-2022</v>
      </c>
      <c r="B38" s="282">
        <f>'Baseline Emission'!B182</f>
        <v>0.74995200000000006</v>
      </c>
      <c r="C38" s="282">
        <f>'Baseline Emission'!C182</f>
        <v>0.53567999999999993</v>
      </c>
      <c r="D38" s="390"/>
      <c r="E38" s="464"/>
    </row>
    <row r="39" spans="1:5" x14ac:dyDescent="0.35">
      <c r="A39" s="71" t="str">
        <f t="shared" si="0"/>
        <v>01-February-2022 to 28-February-2022</v>
      </c>
      <c r="B39" s="282">
        <f>'Baseline Emission'!B183</f>
        <v>0.679728</v>
      </c>
      <c r="C39" s="282">
        <f>'Baseline Emission'!C183</f>
        <v>0.49929599999999996</v>
      </c>
      <c r="D39" s="390"/>
      <c r="E39" s="464"/>
    </row>
    <row r="40" spans="1:5" x14ac:dyDescent="0.35">
      <c r="A40" s="71" t="str">
        <f t="shared" si="0"/>
        <v>01-March-2022 to 31-March-2022</v>
      </c>
      <c r="B40" s="282">
        <f>'Baseline Emission'!B184</f>
        <v>0.76297199999999998</v>
      </c>
      <c r="C40" s="282">
        <f>'Baseline Emission'!C184</f>
        <v>0.53865600000000002</v>
      </c>
      <c r="D40" s="390"/>
      <c r="E40" s="464"/>
    </row>
    <row r="41" spans="1:5" x14ac:dyDescent="0.35">
      <c r="A41" s="71" t="str">
        <f t="shared" si="0"/>
        <v>01-April-2022 to 30-April-2022</v>
      </c>
      <c r="B41" s="282">
        <f>'Baseline Emission'!B185</f>
        <v>0.73080000000000012</v>
      </c>
      <c r="C41" s="282">
        <f>'Baseline Emission'!C185</f>
        <v>0.51695999999999986</v>
      </c>
      <c r="D41" s="390"/>
      <c r="E41" s="464"/>
    </row>
    <row r="42" spans="1:5" x14ac:dyDescent="0.35">
      <c r="A42" s="71" t="str">
        <f t="shared" si="0"/>
        <v>01-May-2022 to 31-May-2022</v>
      </c>
      <c r="B42" s="282">
        <f>'Baseline Emission'!B186</f>
        <v>0.75385799999999992</v>
      </c>
      <c r="C42" s="282">
        <f>'Baseline Emission'!C186</f>
        <v>0.54609599999999991</v>
      </c>
      <c r="D42" s="390"/>
      <c r="E42" s="464"/>
    </row>
    <row r="43" spans="1:5" x14ac:dyDescent="0.35">
      <c r="A43" s="71" t="str">
        <f t="shared" si="0"/>
        <v>01-June-2022 to 30-June-2022</v>
      </c>
      <c r="B43" s="282">
        <f>'Baseline Emission'!B187</f>
        <v>0.74214000000000002</v>
      </c>
      <c r="C43" s="282">
        <f>'Baseline Emission'!C187</f>
        <v>0.51911999999999991</v>
      </c>
      <c r="D43" s="390"/>
      <c r="E43" s="464"/>
    </row>
    <row r="44" spans="1:5" x14ac:dyDescent="0.35">
      <c r="A44" s="71" t="str">
        <f t="shared" si="0"/>
        <v>01-July-2022 to 31-July-2022</v>
      </c>
      <c r="B44" s="282">
        <f>'Baseline Emission'!B188</f>
        <v>0.769482</v>
      </c>
      <c r="C44" s="282">
        <f>'Baseline Emission'!C188</f>
        <v>0.53716799999999998</v>
      </c>
      <c r="D44" s="390"/>
      <c r="E44" s="464"/>
    </row>
    <row r="45" spans="1:5" x14ac:dyDescent="0.35">
      <c r="A45" s="71" t="str">
        <f t="shared" si="0"/>
        <v>01-August-2022 to 31-August-2022</v>
      </c>
      <c r="B45" s="282">
        <f>'Baseline Emission'!B189</f>
        <v>0.7577640000000001</v>
      </c>
      <c r="C45" s="282">
        <f>'Baseline Emission'!C189</f>
        <v>0.53865600000000002</v>
      </c>
      <c r="D45" s="390"/>
      <c r="E45" s="464"/>
    </row>
    <row r="46" spans="1:5" x14ac:dyDescent="0.35">
      <c r="A46" s="71" t="str">
        <f t="shared" si="0"/>
        <v>01-September-2022 to 30-September-2022</v>
      </c>
      <c r="B46" s="282">
        <f>'Baseline Emission'!B190</f>
        <v>0.72323999999999999</v>
      </c>
      <c r="C46" s="282">
        <f>'Baseline Emission'!C190</f>
        <v>0.51407999999999998</v>
      </c>
      <c r="D46" s="390"/>
      <c r="E46" s="464"/>
    </row>
    <row r="47" spans="1:5" x14ac:dyDescent="0.35">
      <c r="A47" s="71" t="str">
        <f t="shared" si="0"/>
        <v>01-October-2022 to 31-October-2022</v>
      </c>
      <c r="B47" s="282">
        <f>'Baseline Emission'!B191</f>
        <v>0.74995200000000006</v>
      </c>
      <c r="C47" s="282">
        <f>'Baseline Emission'!C191</f>
        <v>0.5438639999999999</v>
      </c>
      <c r="D47" s="390"/>
      <c r="E47" s="464"/>
    </row>
    <row r="48" spans="1:5" x14ac:dyDescent="0.35">
      <c r="A48" s="71" t="str">
        <f t="shared" si="0"/>
        <v>01-November-2022 to 30-November-2022</v>
      </c>
      <c r="B48" s="282">
        <f>'Baseline Emission'!B192</f>
        <v>0.73206000000000004</v>
      </c>
      <c r="C48" s="282">
        <f>'Baseline Emission'!C192</f>
        <v>0.53135999999999994</v>
      </c>
      <c r="D48" s="390"/>
      <c r="E48" s="464"/>
    </row>
    <row r="49" spans="1:6" x14ac:dyDescent="0.35">
      <c r="A49" s="71" t="str">
        <f t="shared" si="0"/>
        <v>01-December-2022 to 31-December-2022</v>
      </c>
      <c r="B49" s="282">
        <f>'Baseline Emission'!B193</f>
        <v>0.76427400000000001</v>
      </c>
      <c r="C49" s="282">
        <f>'Baseline Emission'!C193</f>
        <v>0.54311999999999994</v>
      </c>
      <c r="D49" s="390"/>
      <c r="E49" s="464"/>
    </row>
    <row r="50" spans="1:6" s="194" customFormat="1" ht="27" x14ac:dyDescent="0.35">
      <c r="A50" s="69" t="s">
        <v>271</v>
      </c>
      <c r="B50" s="74">
        <v>0.8</v>
      </c>
      <c r="C50" s="74">
        <v>0.8</v>
      </c>
      <c r="D50" s="183" t="s">
        <v>0</v>
      </c>
      <c r="E50" s="95" t="s">
        <v>310</v>
      </c>
      <c r="F50" s="283"/>
    </row>
    <row r="51" spans="1:6" ht="15.5" x14ac:dyDescent="0.45">
      <c r="A51" s="69" t="s">
        <v>14</v>
      </c>
      <c r="B51" s="68">
        <v>0.01</v>
      </c>
      <c r="C51" s="68">
        <v>0.01</v>
      </c>
      <c r="D51" s="45" t="s">
        <v>217</v>
      </c>
      <c r="E51" s="66" t="s">
        <v>49</v>
      </c>
    </row>
    <row r="52" spans="1:6" ht="15.5" x14ac:dyDescent="0.45">
      <c r="A52" s="69" t="s">
        <v>15</v>
      </c>
      <c r="B52" s="68">
        <v>7.4999999999999997E-3</v>
      </c>
      <c r="C52" s="68">
        <v>7.4999999999999997E-3</v>
      </c>
      <c r="D52" s="45" t="s">
        <v>217</v>
      </c>
      <c r="E52" s="66" t="s">
        <v>34</v>
      </c>
    </row>
    <row r="53" spans="1:6" ht="15.5" x14ac:dyDescent="0.45">
      <c r="A53" s="69" t="s">
        <v>13</v>
      </c>
      <c r="B53" s="68">
        <v>0.01</v>
      </c>
      <c r="C53" s="68">
        <v>0.01</v>
      </c>
      <c r="D53" s="45" t="s">
        <v>272</v>
      </c>
      <c r="E53" s="66" t="s">
        <v>34</v>
      </c>
      <c r="F53" s="283"/>
    </row>
    <row r="54" spans="1:6" x14ac:dyDescent="0.35">
      <c r="A54" s="69" t="s">
        <v>16</v>
      </c>
      <c r="B54" s="68">
        <v>0.3</v>
      </c>
      <c r="C54" s="68">
        <v>0.3</v>
      </c>
      <c r="D54" s="45" t="s">
        <v>81</v>
      </c>
      <c r="E54" s="66" t="s">
        <v>34</v>
      </c>
    </row>
    <row r="55" spans="1:6" x14ac:dyDescent="0.35">
      <c r="A55" s="69" t="s">
        <v>12</v>
      </c>
      <c r="B55" s="68">
        <v>0.2</v>
      </c>
      <c r="C55" s="68">
        <v>0.2</v>
      </c>
      <c r="D55" s="45" t="s">
        <v>81</v>
      </c>
      <c r="E55" s="66" t="s">
        <v>67</v>
      </c>
    </row>
    <row r="56" spans="1:6" ht="15.5" x14ac:dyDescent="0.45">
      <c r="A56" s="46" t="s">
        <v>230</v>
      </c>
      <c r="B56" s="113">
        <f>'Baseline Emission'!B208</f>
        <v>265</v>
      </c>
      <c r="C56" s="113">
        <f>'Baseline Emission'!C208</f>
        <v>265</v>
      </c>
      <c r="D56" s="45" t="s">
        <v>273</v>
      </c>
      <c r="E56" s="95" t="s">
        <v>121</v>
      </c>
    </row>
    <row r="57" spans="1:6" ht="15.5" x14ac:dyDescent="0.35">
      <c r="A57" s="284" t="s">
        <v>274</v>
      </c>
      <c r="B57" s="285"/>
      <c r="C57" s="285"/>
      <c r="D57" s="392" t="s">
        <v>275</v>
      </c>
      <c r="E57" s="463" t="s">
        <v>32</v>
      </c>
    </row>
    <row r="58" spans="1:6" x14ac:dyDescent="0.35">
      <c r="A58" s="71" t="str">
        <f t="shared" ref="A58:A69" si="1">A38</f>
        <v>01-January-2022 to 31-January-2022</v>
      </c>
      <c r="B58" s="285">
        <f t="shared" ref="B58:B69" si="2">ROUNDDOWN($B$51*(1-$B$50)*B38*B25,0)</f>
        <v>141</v>
      </c>
      <c r="C58" s="285">
        <f>ROUNDDOWN($C$51*(1-$C$50)*C38*C25,0)</f>
        <v>55</v>
      </c>
      <c r="D58" s="390"/>
      <c r="E58" s="464"/>
    </row>
    <row r="59" spans="1:6" x14ac:dyDescent="0.35">
      <c r="A59" s="71" t="str">
        <f t="shared" si="1"/>
        <v>01-February-2022 to 28-February-2022</v>
      </c>
      <c r="B59" s="285">
        <f t="shared" si="2"/>
        <v>128</v>
      </c>
      <c r="C59" s="285">
        <f t="shared" ref="C59:C69" si="3">ROUNDDOWN($C$51*(1-$C$50)*C39*C26,0)</f>
        <v>51</v>
      </c>
      <c r="D59" s="390"/>
      <c r="E59" s="464"/>
    </row>
    <row r="60" spans="1:6" x14ac:dyDescent="0.35">
      <c r="A60" s="71" t="str">
        <f t="shared" si="1"/>
        <v>01-March-2022 to 31-March-2022</v>
      </c>
      <c r="B60" s="285">
        <f t="shared" si="2"/>
        <v>143</v>
      </c>
      <c r="C60" s="285">
        <f t="shared" si="3"/>
        <v>55</v>
      </c>
      <c r="D60" s="390"/>
      <c r="E60" s="464"/>
    </row>
    <row r="61" spans="1:6" x14ac:dyDescent="0.35">
      <c r="A61" s="71" t="str">
        <f t="shared" si="1"/>
        <v>01-April-2022 to 30-April-2022</v>
      </c>
      <c r="B61" s="285">
        <f t="shared" si="2"/>
        <v>137</v>
      </c>
      <c r="C61" s="285">
        <f t="shared" si="3"/>
        <v>53</v>
      </c>
      <c r="D61" s="390"/>
      <c r="E61" s="464"/>
    </row>
    <row r="62" spans="1:6" x14ac:dyDescent="0.35">
      <c r="A62" s="71" t="str">
        <f t="shared" si="1"/>
        <v>01-May-2022 to 31-May-2022</v>
      </c>
      <c r="B62" s="285">
        <f t="shared" si="2"/>
        <v>142</v>
      </c>
      <c r="C62" s="285">
        <f t="shared" si="3"/>
        <v>56</v>
      </c>
      <c r="D62" s="390"/>
      <c r="E62" s="464"/>
    </row>
    <row r="63" spans="1:6" x14ac:dyDescent="0.35">
      <c r="A63" s="71" t="str">
        <f t="shared" si="1"/>
        <v>01-June-2022 to 30-June-2022</v>
      </c>
      <c r="B63" s="285">
        <f t="shared" si="2"/>
        <v>139</v>
      </c>
      <c r="C63" s="285">
        <f t="shared" si="3"/>
        <v>53</v>
      </c>
      <c r="D63" s="390"/>
      <c r="E63" s="464"/>
    </row>
    <row r="64" spans="1:6" x14ac:dyDescent="0.35">
      <c r="A64" s="71" t="str">
        <f t="shared" si="1"/>
        <v>01-July-2022 to 31-July-2022</v>
      </c>
      <c r="B64" s="285">
        <f t="shared" si="2"/>
        <v>145</v>
      </c>
      <c r="C64" s="285">
        <f t="shared" si="3"/>
        <v>55</v>
      </c>
      <c r="D64" s="390"/>
      <c r="E64" s="464"/>
    </row>
    <row r="65" spans="1:5" x14ac:dyDescent="0.35">
      <c r="A65" s="71" t="str">
        <f t="shared" si="1"/>
        <v>01-August-2022 to 31-August-2022</v>
      </c>
      <c r="B65" s="285">
        <f t="shared" si="2"/>
        <v>142</v>
      </c>
      <c r="C65" s="285">
        <f t="shared" si="3"/>
        <v>55</v>
      </c>
      <c r="D65" s="390"/>
      <c r="E65" s="464"/>
    </row>
    <row r="66" spans="1:5" x14ac:dyDescent="0.35">
      <c r="A66" s="71" t="str">
        <f t="shared" si="1"/>
        <v>01-September-2022 to 30-September-2022</v>
      </c>
      <c r="B66" s="285">
        <f t="shared" si="2"/>
        <v>136</v>
      </c>
      <c r="C66" s="285">
        <f t="shared" si="3"/>
        <v>52</v>
      </c>
      <c r="D66" s="390"/>
      <c r="E66" s="464"/>
    </row>
    <row r="67" spans="1:5" x14ac:dyDescent="0.35">
      <c r="A67" s="71" t="str">
        <f t="shared" si="1"/>
        <v>01-October-2022 to 31-October-2022</v>
      </c>
      <c r="B67" s="285">
        <f t="shared" si="2"/>
        <v>141</v>
      </c>
      <c r="C67" s="285">
        <f t="shared" si="3"/>
        <v>56</v>
      </c>
      <c r="D67" s="390"/>
      <c r="E67" s="464"/>
    </row>
    <row r="68" spans="1:5" x14ac:dyDescent="0.35">
      <c r="A68" s="71" t="str">
        <f t="shared" si="1"/>
        <v>01-November-2022 to 30-November-2022</v>
      </c>
      <c r="B68" s="285">
        <f t="shared" si="2"/>
        <v>137</v>
      </c>
      <c r="C68" s="285">
        <f t="shared" si="3"/>
        <v>55</v>
      </c>
      <c r="D68" s="390"/>
      <c r="E68" s="464"/>
    </row>
    <row r="69" spans="1:5" x14ac:dyDescent="0.35">
      <c r="A69" s="71" t="str">
        <f t="shared" si="1"/>
        <v>01-December-2022 to 31-December-2022</v>
      </c>
      <c r="B69" s="285">
        <f t="shared" si="2"/>
        <v>144</v>
      </c>
      <c r="C69" s="285">
        <f t="shared" si="3"/>
        <v>56</v>
      </c>
      <c r="D69" s="390"/>
      <c r="E69" s="464"/>
    </row>
    <row r="70" spans="1:5" ht="15.5" x14ac:dyDescent="0.45">
      <c r="A70" s="34" t="s">
        <v>368</v>
      </c>
      <c r="B70" s="453">
        <f>SUM(B58:C69)</f>
        <v>2327</v>
      </c>
      <c r="C70" s="454"/>
      <c r="D70" s="390"/>
      <c r="E70" s="464"/>
    </row>
    <row r="71" spans="1:5" ht="15.5" x14ac:dyDescent="0.35">
      <c r="A71" s="284" t="s">
        <v>276</v>
      </c>
      <c r="B71" s="451">
        <f>B70</f>
        <v>2327</v>
      </c>
      <c r="C71" s="452"/>
      <c r="D71" s="410"/>
      <c r="E71" s="465"/>
    </row>
    <row r="72" spans="1:5" ht="15.5" x14ac:dyDescent="0.35">
      <c r="A72" s="284" t="s">
        <v>277</v>
      </c>
      <c r="B72" s="288"/>
      <c r="C72" s="288"/>
      <c r="D72" s="392" t="s">
        <v>278</v>
      </c>
      <c r="E72" s="463" t="s">
        <v>32</v>
      </c>
    </row>
    <row r="73" spans="1:5" x14ac:dyDescent="0.35">
      <c r="A73" s="71" t="str">
        <f t="shared" ref="A73:A84" si="4">A58</f>
        <v>01-January-2022 to 31-January-2022</v>
      </c>
      <c r="B73" s="288">
        <f t="shared" ref="B73:B84" si="5">ROUNDDOWN($B$52*$B$54*(1-$B$50)*B38*B25,0)</f>
        <v>31</v>
      </c>
      <c r="C73" s="288">
        <f>ROUNDDOWN($C$52*$C$54*(1-$C$50)*C38*C25,0)</f>
        <v>12</v>
      </c>
      <c r="D73" s="390"/>
      <c r="E73" s="464"/>
    </row>
    <row r="74" spans="1:5" x14ac:dyDescent="0.35">
      <c r="A74" s="71" t="str">
        <f t="shared" si="4"/>
        <v>01-February-2022 to 28-February-2022</v>
      </c>
      <c r="B74" s="288">
        <f t="shared" si="5"/>
        <v>28</v>
      </c>
      <c r="C74" s="288">
        <f t="shared" ref="C74:C84" si="6">ROUNDDOWN($C$52*$C$54*(1-$C$50)*C39*C26,0)</f>
        <v>11</v>
      </c>
      <c r="D74" s="390"/>
      <c r="E74" s="464"/>
    </row>
    <row r="75" spans="1:5" x14ac:dyDescent="0.35">
      <c r="A75" s="71" t="str">
        <f t="shared" si="4"/>
        <v>01-March-2022 to 31-March-2022</v>
      </c>
      <c r="B75" s="288">
        <f t="shared" si="5"/>
        <v>32</v>
      </c>
      <c r="C75" s="288">
        <f t="shared" si="6"/>
        <v>12</v>
      </c>
      <c r="D75" s="390"/>
      <c r="E75" s="464"/>
    </row>
    <row r="76" spans="1:5" x14ac:dyDescent="0.35">
      <c r="A76" s="71" t="str">
        <f t="shared" si="4"/>
        <v>01-April-2022 to 30-April-2022</v>
      </c>
      <c r="B76" s="288">
        <f t="shared" si="5"/>
        <v>30</v>
      </c>
      <c r="C76" s="288">
        <f t="shared" si="6"/>
        <v>12</v>
      </c>
      <c r="D76" s="390"/>
      <c r="E76" s="464"/>
    </row>
    <row r="77" spans="1:5" x14ac:dyDescent="0.35">
      <c r="A77" s="71" t="str">
        <f t="shared" si="4"/>
        <v>01-May-2022 to 31-May-2022</v>
      </c>
      <c r="B77" s="288">
        <f t="shared" si="5"/>
        <v>31</v>
      </c>
      <c r="C77" s="288">
        <f t="shared" si="6"/>
        <v>12</v>
      </c>
      <c r="D77" s="390"/>
      <c r="E77" s="464"/>
    </row>
    <row r="78" spans="1:5" x14ac:dyDescent="0.35">
      <c r="A78" s="71" t="str">
        <f t="shared" si="4"/>
        <v>01-June-2022 to 30-June-2022</v>
      </c>
      <c r="B78" s="288">
        <f t="shared" si="5"/>
        <v>31</v>
      </c>
      <c r="C78" s="288">
        <f t="shared" si="6"/>
        <v>12</v>
      </c>
      <c r="D78" s="390"/>
      <c r="E78" s="464"/>
    </row>
    <row r="79" spans="1:5" x14ac:dyDescent="0.35">
      <c r="A79" s="71" t="str">
        <f t="shared" si="4"/>
        <v>01-July-2022 to 31-July-2022</v>
      </c>
      <c r="B79" s="288">
        <f t="shared" si="5"/>
        <v>32</v>
      </c>
      <c r="C79" s="288">
        <f t="shared" si="6"/>
        <v>12</v>
      </c>
      <c r="D79" s="390"/>
      <c r="E79" s="464"/>
    </row>
    <row r="80" spans="1:5" x14ac:dyDescent="0.35">
      <c r="A80" s="71" t="str">
        <f t="shared" si="4"/>
        <v>01-August-2022 to 31-August-2022</v>
      </c>
      <c r="B80" s="288">
        <f t="shared" si="5"/>
        <v>32</v>
      </c>
      <c r="C80" s="288">
        <f t="shared" si="6"/>
        <v>12</v>
      </c>
      <c r="D80" s="390"/>
      <c r="E80" s="464"/>
    </row>
    <row r="81" spans="1:5" x14ac:dyDescent="0.35">
      <c r="A81" s="71" t="str">
        <f t="shared" si="4"/>
        <v>01-September-2022 to 30-September-2022</v>
      </c>
      <c r="B81" s="288">
        <f t="shared" si="5"/>
        <v>30</v>
      </c>
      <c r="C81" s="288">
        <f t="shared" si="6"/>
        <v>11</v>
      </c>
      <c r="D81" s="390"/>
      <c r="E81" s="464"/>
    </row>
    <row r="82" spans="1:5" x14ac:dyDescent="0.35">
      <c r="A82" s="71" t="str">
        <f t="shared" si="4"/>
        <v>01-October-2022 to 31-October-2022</v>
      </c>
      <c r="B82" s="288">
        <f t="shared" si="5"/>
        <v>31</v>
      </c>
      <c r="C82" s="288">
        <f t="shared" si="6"/>
        <v>12</v>
      </c>
      <c r="D82" s="390"/>
      <c r="E82" s="464"/>
    </row>
    <row r="83" spans="1:5" x14ac:dyDescent="0.35">
      <c r="A83" s="71" t="str">
        <f t="shared" si="4"/>
        <v>01-November-2022 to 30-November-2022</v>
      </c>
      <c r="B83" s="288">
        <f t="shared" si="5"/>
        <v>31</v>
      </c>
      <c r="C83" s="288">
        <f t="shared" si="6"/>
        <v>12</v>
      </c>
      <c r="D83" s="390"/>
      <c r="E83" s="464"/>
    </row>
    <row r="84" spans="1:5" x14ac:dyDescent="0.35">
      <c r="A84" s="71" t="str">
        <f t="shared" si="4"/>
        <v>01-December-2022 to 31-December-2022</v>
      </c>
      <c r="B84" s="288">
        <f t="shared" si="5"/>
        <v>32</v>
      </c>
      <c r="C84" s="288">
        <f t="shared" si="6"/>
        <v>12</v>
      </c>
      <c r="D84" s="390"/>
      <c r="E84" s="464"/>
    </row>
    <row r="85" spans="1:5" ht="15.5" x14ac:dyDescent="0.45">
      <c r="A85" s="34" t="s">
        <v>369</v>
      </c>
      <c r="B85" s="453">
        <f>SUM(B73:C84)</f>
        <v>513</v>
      </c>
      <c r="C85" s="454"/>
      <c r="D85" s="390"/>
      <c r="E85" s="464"/>
    </row>
    <row r="86" spans="1:5" ht="15.5" x14ac:dyDescent="0.45">
      <c r="A86" s="57" t="s">
        <v>279</v>
      </c>
      <c r="B86" s="451">
        <f>B85</f>
        <v>513</v>
      </c>
      <c r="C86" s="452"/>
      <c r="D86" s="410"/>
      <c r="E86" s="465"/>
    </row>
    <row r="87" spans="1:5" ht="15.5" x14ac:dyDescent="0.35">
      <c r="A87" s="284" t="s">
        <v>280</v>
      </c>
      <c r="B87" s="285"/>
      <c r="C87" s="285"/>
      <c r="D87" s="392" t="s">
        <v>278</v>
      </c>
      <c r="E87" s="463" t="s">
        <v>32</v>
      </c>
    </row>
    <row r="88" spans="1:5" x14ac:dyDescent="0.35">
      <c r="A88" s="71" t="str">
        <f t="shared" ref="A88:A99" si="7">A73</f>
        <v>01-January-2022 to 31-January-2022</v>
      </c>
      <c r="B88" s="285">
        <f t="shared" ref="B88:B99" si="8">ROUNDDOWN($B$53*(1-$B$50)*$B$55*B38*B25,0)</f>
        <v>28</v>
      </c>
      <c r="C88" s="285">
        <f>ROUNDDOWN($C$53*(1-$C$50)*$C$55*C38*C25,0)</f>
        <v>11</v>
      </c>
      <c r="D88" s="390"/>
      <c r="E88" s="464"/>
    </row>
    <row r="89" spans="1:5" x14ac:dyDescent="0.35">
      <c r="A89" s="71" t="str">
        <f t="shared" si="7"/>
        <v>01-February-2022 to 28-February-2022</v>
      </c>
      <c r="B89" s="285">
        <f t="shared" si="8"/>
        <v>25</v>
      </c>
      <c r="C89" s="285">
        <f t="shared" ref="C89:C99" si="9">ROUNDDOWN($C$53*(1-$C$50)*$C$55*C39*C26,0)</f>
        <v>10</v>
      </c>
      <c r="D89" s="390"/>
      <c r="E89" s="464"/>
    </row>
    <row r="90" spans="1:5" x14ac:dyDescent="0.35">
      <c r="A90" s="71" t="str">
        <f t="shared" si="7"/>
        <v>01-March-2022 to 31-March-2022</v>
      </c>
      <c r="B90" s="285">
        <f t="shared" si="8"/>
        <v>28</v>
      </c>
      <c r="C90" s="285">
        <f t="shared" si="9"/>
        <v>11</v>
      </c>
      <c r="D90" s="390"/>
      <c r="E90" s="464"/>
    </row>
    <row r="91" spans="1:5" x14ac:dyDescent="0.35">
      <c r="A91" s="71" t="str">
        <f t="shared" si="7"/>
        <v>01-April-2022 to 30-April-2022</v>
      </c>
      <c r="B91" s="285">
        <f t="shared" si="8"/>
        <v>27</v>
      </c>
      <c r="C91" s="285">
        <f t="shared" si="9"/>
        <v>10</v>
      </c>
      <c r="D91" s="390"/>
      <c r="E91" s="464"/>
    </row>
    <row r="92" spans="1:5" x14ac:dyDescent="0.35">
      <c r="A92" s="71" t="str">
        <f t="shared" si="7"/>
        <v>01-May-2022 to 31-May-2022</v>
      </c>
      <c r="B92" s="285">
        <f t="shared" si="8"/>
        <v>28</v>
      </c>
      <c r="C92" s="285">
        <f t="shared" si="9"/>
        <v>11</v>
      </c>
      <c r="D92" s="390"/>
      <c r="E92" s="464"/>
    </row>
    <row r="93" spans="1:5" x14ac:dyDescent="0.35">
      <c r="A93" s="71" t="str">
        <f t="shared" si="7"/>
        <v>01-June-2022 to 30-June-2022</v>
      </c>
      <c r="B93" s="285">
        <f t="shared" si="8"/>
        <v>27</v>
      </c>
      <c r="C93" s="285">
        <f t="shared" si="9"/>
        <v>10</v>
      </c>
      <c r="D93" s="390"/>
      <c r="E93" s="464"/>
    </row>
    <row r="94" spans="1:5" x14ac:dyDescent="0.35">
      <c r="A94" s="71" t="str">
        <f t="shared" si="7"/>
        <v>01-July-2022 to 31-July-2022</v>
      </c>
      <c r="B94" s="285">
        <f t="shared" si="8"/>
        <v>29</v>
      </c>
      <c r="C94" s="285">
        <f t="shared" si="9"/>
        <v>11</v>
      </c>
      <c r="D94" s="390"/>
      <c r="E94" s="464"/>
    </row>
    <row r="95" spans="1:5" x14ac:dyDescent="0.35">
      <c r="A95" s="71" t="str">
        <f t="shared" si="7"/>
        <v>01-August-2022 to 31-August-2022</v>
      </c>
      <c r="B95" s="285">
        <f t="shared" si="8"/>
        <v>28</v>
      </c>
      <c r="C95" s="285">
        <f t="shared" si="9"/>
        <v>11</v>
      </c>
      <c r="D95" s="390"/>
      <c r="E95" s="464"/>
    </row>
    <row r="96" spans="1:5" x14ac:dyDescent="0.35">
      <c r="A96" s="71" t="str">
        <f t="shared" si="7"/>
        <v>01-September-2022 to 30-September-2022</v>
      </c>
      <c r="B96" s="285">
        <f t="shared" si="8"/>
        <v>27</v>
      </c>
      <c r="C96" s="285">
        <f t="shared" si="9"/>
        <v>10</v>
      </c>
      <c r="D96" s="390"/>
      <c r="E96" s="464"/>
    </row>
    <row r="97" spans="1:5" x14ac:dyDescent="0.35">
      <c r="A97" s="71" t="str">
        <f t="shared" si="7"/>
        <v>01-October-2022 to 31-October-2022</v>
      </c>
      <c r="B97" s="285">
        <f t="shared" si="8"/>
        <v>28</v>
      </c>
      <c r="C97" s="285">
        <f t="shared" si="9"/>
        <v>11</v>
      </c>
      <c r="D97" s="390"/>
      <c r="E97" s="464"/>
    </row>
    <row r="98" spans="1:5" x14ac:dyDescent="0.35">
      <c r="A98" s="71" t="str">
        <f t="shared" si="7"/>
        <v>01-November-2022 to 30-November-2022</v>
      </c>
      <c r="B98" s="285">
        <f t="shared" si="8"/>
        <v>27</v>
      </c>
      <c r="C98" s="285">
        <f t="shared" si="9"/>
        <v>11</v>
      </c>
      <c r="D98" s="390"/>
      <c r="E98" s="464"/>
    </row>
    <row r="99" spans="1:5" x14ac:dyDescent="0.35">
      <c r="A99" s="71" t="str">
        <f t="shared" si="7"/>
        <v>01-December-2022 to 31-December-2022</v>
      </c>
      <c r="B99" s="285">
        <f t="shared" si="8"/>
        <v>28</v>
      </c>
      <c r="C99" s="285">
        <f t="shared" si="9"/>
        <v>11</v>
      </c>
      <c r="D99" s="390"/>
      <c r="E99" s="464"/>
    </row>
    <row r="100" spans="1:5" ht="15.5" x14ac:dyDescent="0.45">
      <c r="A100" s="34" t="s">
        <v>370</v>
      </c>
      <c r="B100" s="453">
        <f>SUM(B88:C99)</f>
        <v>458</v>
      </c>
      <c r="C100" s="454"/>
      <c r="D100" s="390"/>
      <c r="E100" s="464"/>
    </row>
    <row r="101" spans="1:5" ht="15.5" x14ac:dyDescent="0.35">
      <c r="A101" s="69" t="s">
        <v>281</v>
      </c>
      <c r="B101" s="451">
        <f>B100</f>
        <v>458</v>
      </c>
      <c r="C101" s="452"/>
      <c r="D101" s="410"/>
      <c r="E101" s="465"/>
    </row>
    <row r="102" spans="1:5" ht="15.5" x14ac:dyDescent="0.45">
      <c r="A102" s="34" t="s">
        <v>371</v>
      </c>
      <c r="B102" s="453">
        <f>ROUNDDOWN(B56*44/28*1/1000*(B70+B85+B100),0)</f>
        <v>1373</v>
      </c>
      <c r="C102" s="454"/>
      <c r="D102" s="390" t="s">
        <v>92</v>
      </c>
      <c r="E102" s="464" t="s">
        <v>101</v>
      </c>
    </row>
    <row r="103" spans="1:5" ht="15.5" x14ac:dyDescent="0.35">
      <c r="A103" s="284" t="s">
        <v>282</v>
      </c>
      <c r="B103" s="451">
        <f>B102</f>
        <v>1373</v>
      </c>
      <c r="C103" s="452"/>
      <c r="D103" s="410"/>
      <c r="E103" s="465"/>
    </row>
    <row r="104" spans="1:5" x14ac:dyDescent="0.35">
      <c r="A104" s="289"/>
      <c r="B104" s="290"/>
      <c r="C104" s="290"/>
    </row>
    <row r="105" spans="1:5" x14ac:dyDescent="0.35">
      <c r="A105" s="289"/>
      <c r="B105" s="290"/>
      <c r="C105" s="290"/>
    </row>
    <row r="106" spans="1:5" x14ac:dyDescent="0.35">
      <c r="A106" s="289"/>
      <c r="B106" s="290"/>
      <c r="C106" s="290"/>
      <c r="D106" s="197"/>
    </row>
    <row r="107" spans="1:5" x14ac:dyDescent="0.35">
      <c r="A107" s="289"/>
      <c r="B107" s="290"/>
      <c r="C107" s="290"/>
      <c r="D107" s="197"/>
    </row>
    <row r="108" spans="1:5" x14ac:dyDescent="0.35">
      <c r="A108" s="289"/>
      <c r="B108" s="290"/>
      <c r="C108" s="290"/>
      <c r="D108" s="197"/>
    </row>
    <row r="109" spans="1:5" x14ac:dyDescent="0.35">
      <c r="A109" s="289"/>
      <c r="B109" s="290"/>
      <c r="C109" s="290"/>
      <c r="D109" s="197"/>
    </row>
    <row r="110" spans="1:5" x14ac:dyDescent="0.35">
      <c r="A110" s="289"/>
      <c r="B110" s="290"/>
      <c r="C110" s="290"/>
      <c r="D110" s="197"/>
    </row>
    <row r="111" spans="1:5" x14ac:dyDescent="0.35">
      <c r="A111" s="289"/>
      <c r="B111" s="290"/>
      <c r="C111" s="290"/>
      <c r="D111" s="197"/>
    </row>
    <row r="112" spans="1:5" x14ac:dyDescent="0.35">
      <c r="A112" s="289"/>
      <c r="B112" s="290"/>
      <c r="C112" s="290"/>
      <c r="D112" s="197"/>
    </row>
    <row r="113" spans="1:6" x14ac:dyDescent="0.35">
      <c r="A113" s="289"/>
      <c r="B113" s="290"/>
      <c r="C113" s="290"/>
      <c r="D113" s="197"/>
    </row>
    <row r="114" spans="1:6" x14ac:dyDescent="0.35">
      <c r="A114" s="289"/>
      <c r="B114" s="290"/>
      <c r="C114" s="290"/>
      <c r="D114" s="197"/>
    </row>
    <row r="115" spans="1:6" x14ac:dyDescent="0.35">
      <c r="A115" s="289"/>
      <c r="B115" s="290"/>
      <c r="C115" s="290"/>
      <c r="D115" s="197"/>
    </row>
    <row r="116" spans="1:6" x14ac:dyDescent="0.35">
      <c r="A116" s="289"/>
      <c r="B116" s="290"/>
      <c r="C116" s="290"/>
      <c r="D116" s="197"/>
    </row>
    <row r="117" spans="1:6" x14ac:dyDescent="0.35">
      <c r="A117" s="289"/>
      <c r="B117" s="290"/>
      <c r="C117" s="290"/>
      <c r="D117" s="197"/>
    </row>
    <row r="118" spans="1:6" x14ac:dyDescent="0.35">
      <c r="A118" s="289"/>
      <c r="B118" s="290"/>
      <c r="C118" s="290"/>
      <c r="D118" s="197"/>
    </row>
    <row r="119" spans="1:6" ht="14" thickBot="1" x14ac:dyDescent="0.4">
      <c r="A119" s="289"/>
      <c r="B119" s="290"/>
      <c r="C119" s="290"/>
    </row>
    <row r="120" spans="1:6" x14ac:dyDescent="0.35">
      <c r="A120" s="42" t="s">
        <v>3</v>
      </c>
      <c r="B120" s="43" t="s">
        <v>20</v>
      </c>
      <c r="C120" s="43"/>
      <c r="D120" s="43" t="s">
        <v>2</v>
      </c>
      <c r="E120" s="61" t="s">
        <v>4</v>
      </c>
    </row>
    <row r="121" spans="1:6" ht="15.5" x14ac:dyDescent="0.45">
      <c r="A121" s="62" t="s">
        <v>283</v>
      </c>
      <c r="B121" s="63" t="str">
        <f>'Project Emission'!B228</f>
        <v>Market Swine</v>
      </c>
      <c r="C121" s="63" t="str">
        <f>'Project Emission'!C228</f>
        <v>Breeding Swine</v>
      </c>
      <c r="D121" s="63"/>
      <c r="E121" s="64"/>
      <c r="F121" s="291"/>
    </row>
    <row r="122" spans="1:6" ht="13" customHeight="1" x14ac:dyDescent="0.35">
      <c r="A122" s="187" t="str">
        <f t="shared" ref="A122:A133" si="10">A88</f>
        <v>01-January-2022 to 31-January-2022</v>
      </c>
      <c r="B122" s="292">
        <f t="shared" ref="B122:C133" si="11">B25</f>
        <v>94226</v>
      </c>
      <c r="C122" s="292">
        <f t="shared" si="11"/>
        <v>51851</v>
      </c>
      <c r="D122" s="390" t="s">
        <v>72</v>
      </c>
      <c r="E122" s="464" t="str">
        <f>E24</f>
        <v>Calculated as equation 5 and 6 in JPM, of which Np,LT and Nda,LT is  sourced from "Exported from the stock record of Market swine"
NLT for breeding swine is sourced from "Breeding Pig stock record"</v>
      </c>
      <c r="F122" s="291"/>
    </row>
    <row r="123" spans="1:6" ht="13" customHeight="1" x14ac:dyDescent="0.35">
      <c r="A123" s="187" t="str">
        <f t="shared" si="10"/>
        <v>01-February-2022 to 28-February-2022</v>
      </c>
      <c r="B123" s="292">
        <f t="shared" si="11"/>
        <v>94226</v>
      </c>
      <c r="C123" s="292">
        <f t="shared" si="11"/>
        <v>51422</v>
      </c>
      <c r="D123" s="390"/>
      <c r="E123" s="464"/>
      <c r="F123" s="291"/>
    </row>
    <row r="124" spans="1:6" ht="13" customHeight="1" x14ac:dyDescent="0.35">
      <c r="A124" s="187" t="str">
        <f t="shared" si="10"/>
        <v>01-March-2022 to 31-March-2022</v>
      </c>
      <c r="B124" s="292">
        <f t="shared" si="11"/>
        <v>94226</v>
      </c>
      <c r="C124" s="292">
        <f t="shared" si="11"/>
        <v>51878</v>
      </c>
      <c r="D124" s="390"/>
      <c r="E124" s="464"/>
      <c r="F124" s="291"/>
    </row>
    <row r="125" spans="1:6" ht="13" customHeight="1" x14ac:dyDescent="0.35">
      <c r="A125" s="187" t="str">
        <f t="shared" si="10"/>
        <v>01-April-2022 to 30-April-2022</v>
      </c>
      <c r="B125" s="292">
        <f t="shared" si="11"/>
        <v>94226</v>
      </c>
      <c r="C125" s="292">
        <f t="shared" si="11"/>
        <v>51867</v>
      </c>
      <c r="D125" s="390"/>
      <c r="E125" s="464"/>
      <c r="F125" s="291"/>
    </row>
    <row r="126" spans="1:6" ht="13" customHeight="1" x14ac:dyDescent="0.35">
      <c r="A126" s="187" t="str">
        <f t="shared" si="10"/>
        <v>01-May-2022 to 31-May-2022</v>
      </c>
      <c r="B126" s="292">
        <f t="shared" si="11"/>
        <v>94226</v>
      </c>
      <c r="C126" s="292">
        <f t="shared" si="11"/>
        <v>51807</v>
      </c>
      <c r="D126" s="390"/>
      <c r="E126" s="464"/>
      <c r="F126" s="291"/>
    </row>
    <row r="127" spans="1:6" ht="13" customHeight="1" x14ac:dyDescent="0.35">
      <c r="A127" s="187" t="str">
        <f t="shared" si="10"/>
        <v>01-June-2022 to 30-June-2022</v>
      </c>
      <c r="B127" s="292">
        <f t="shared" si="11"/>
        <v>94226</v>
      </c>
      <c r="C127" s="292">
        <f t="shared" si="11"/>
        <v>51827</v>
      </c>
      <c r="D127" s="390"/>
      <c r="E127" s="464"/>
      <c r="F127" s="291"/>
    </row>
    <row r="128" spans="1:6" ht="13" customHeight="1" x14ac:dyDescent="0.35">
      <c r="A128" s="187" t="str">
        <f t="shared" si="10"/>
        <v>01-July-2022 to 31-July-2022</v>
      </c>
      <c r="B128" s="292">
        <f t="shared" si="11"/>
        <v>94226</v>
      </c>
      <c r="C128" s="292">
        <f t="shared" si="11"/>
        <v>51818</v>
      </c>
      <c r="D128" s="390"/>
      <c r="E128" s="464"/>
      <c r="F128" s="291"/>
    </row>
    <row r="129" spans="1:6" ht="13" customHeight="1" x14ac:dyDescent="0.35">
      <c r="A129" s="187" t="str">
        <f t="shared" si="10"/>
        <v>01-August-2022 to 31-August-2022</v>
      </c>
      <c r="B129" s="292">
        <f t="shared" si="11"/>
        <v>94226</v>
      </c>
      <c r="C129" s="292">
        <f t="shared" si="11"/>
        <v>51830</v>
      </c>
      <c r="D129" s="390"/>
      <c r="E129" s="464"/>
      <c r="F129" s="291"/>
    </row>
    <row r="130" spans="1:6" ht="12.75" customHeight="1" x14ac:dyDescent="0.35">
      <c r="A130" s="187" t="str">
        <f t="shared" si="10"/>
        <v>01-September-2022 to 30-September-2022</v>
      </c>
      <c r="B130" s="292">
        <f t="shared" si="11"/>
        <v>94226</v>
      </c>
      <c r="C130" s="292">
        <f t="shared" si="11"/>
        <v>51018</v>
      </c>
      <c r="D130" s="390"/>
      <c r="E130" s="464"/>
      <c r="F130" s="291"/>
    </row>
    <row r="131" spans="1:6" x14ac:dyDescent="0.35">
      <c r="A131" s="187" t="str">
        <f t="shared" si="10"/>
        <v>01-October-2022 to 31-October-2022</v>
      </c>
      <c r="B131" s="292">
        <f t="shared" si="11"/>
        <v>94226</v>
      </c>
      <c r="C131" s="292">
        <f t="shared" si="11"/>
        <v>51826</v>
      </c>
      <c r="D131" s="390"/>
      <c r="E131" s="464"/>
      <c r="F131" s="291"/>
    </row>
    <row r="132" spans="1:6" x14ac:dyDescent="0.35">
      <c r="A132" s="187" t="str">
        <f t="shared" si="10"/>
        <v>01-November-2022 to 30-November-2022</v>
      </c>
      <c r="B132" s="292">
        <f t="shared" si="11"/>
        <v>94226</v>
      </c>
      <c r="C132" s="292">
        <f t="shared" si="11"/>
        <v>51806</v>
      </c>
      <c r="D132" s="390"/>
      <c r="E132" s="464"/>
      <c r="F132" s="291"/>
    </row>
    <row r="133" spans="1:6" x14ac:dyDescent="0.35">
      <c r="A133" s="187" t="str">
        <f t="shared" si="10"/>
        <v>01-December-2022 to 31-December-2022</v>
      </c>
      <c r="B133" s="292">
        <f t="shared" si="11"/>
        <v>94226</v>
      </c>
      <c r="C133" s="292">
        <f t="shared" si="11"/>
        <v>51828</v>
      </c>
      <c r="D133" s="390"/>
      <c r="E133" s="464"/>
      <c r="F133" s="291"/>
    </row>
    <row r="134" spans="1:6" ht="15.5" x14ac:dyDescent="0.35">
      <c r="A134" s="69" t="s">
        <v>229</v>
      </c>
      <c r="B134" s="282"/>
      <c r="C134" s="282"/>
      <c r="D134" s="379" t="s">
        <v>71</v>
      </c>
      <c r="E134" s="417" t="s">
        <v>31</v>
      </c>
      <c r="F134" s="291"/>
    </row>
    <row r="135" spans="1:6" x14ac:dyDescent="0.35">
      <c r="A135" s="71" t="str">
        <f t="shared" ref="A135:A146" si="12">A122</f>
        <v>01-January-2022 to 31-January-2022</v>
      </c>
      <c r="B135" s="282">
        <f t="shared" ref="B135:C146" si="13">B38</f>
        <v>0.74995200000000006</v>
      </c>
      <c r="C135" s="282">
        <f t="shared" si="13"/>
        <v>0.53567999999999993</v>
      </c>
      <c r="D135" s="379"/>
      <c r="E135" s="417"/>
      <c r="F135" s="291"/>
    </row>
    <row r="136" spans="1:6" x14ac:dyDescent="0.35">
      <c r="A136" s="71" t="str">
        <f t="shared" si="12"/>
        <v>01-February-2022 to 28-February-2022</v>
      </c>
      <c r="B136" s="282">
        <f t="shared" si="13"/>
        <v>0.679728</v>
      </c>
      <c r="C136" s="282">
        <f t="shared" si="13"/>
        <v>0.49929599999999996</v>
      </c>
      <c r="D136" s="379"/>
      <c r="E136" s="417"/>
      <c r="F136" s="291"/>
    </row>
    <row r="137" spans="1:6" x14ac:dyDescent="0.35">
      <c r="A137" s="71" t="str">
        <f t="shared" si="12"/>
        <v>01-March-2022 to 31-March-2022</v>
      </c>
      <c r="B137" s="282">
        <f t="shared" si="13"/>
        <v>0.76297199999999998</v>
      </c>
      <c r="C137" s="282">
        <f t="shared" si="13"/>
        <v>0.53865600000000002</v>
      </c>
      <c r="D137" s="379"/>
      <c r="E137" s="417"/>
      <c r="F137" s="291"/>
    </row>
    <row r="138" spans="1:6" x14ac:dyDescent="0.35">
      <c r="A138" s="71" t="str">
        <f t="shared" si="12"/>
        <v>01-April-2022 to 30-April-2022</v>
      </c>
      <c r="B138" s="282">
        <f t="shared" si="13"/>
        <v>0.73080000000000012</v>
      </c>
      <c r="C138" s="282">
        <f t="shared" si="13"/>
        <v>0.51695999999999986</v>
      </c>
      <c r="D138" s="379"/>
      <c r="E138" s="417"/>
      <c r="F138" s="291"/>
    </row>
    <row r="139" spans="1:6" x14ac:dyDescent="0.35">
      <c r="A139" s="71" t="str">
        <f t="shared" si="12"/>
        <v>01-May-2022 to 31-May-2022</v>
      </c>
      <c r="B139" s="282">
        <f t="shared" si="13"/>
        <v>0.75385799999999992</v>
      </c>
      <c r="C139" s="282">
        <f t="shared" si="13"/>
        <v>0.54609599999999991</v>
      </c>
      <c r="D139" s="379"/>
      <c r="E139" s="417"/>
      <c r="F139" s="291"/>
    </row>
    <row r="140" spans="1:6" x14ac:dyDescent="0.35">
      <c r="A140" s="71" t="str">
        <f t="shared" si="12"/>
        <v>01-June-2022 to 30-June-2022</v>
      </c>
      <c r="B140" s="282">
        <f t="shared" si="13"/>
        <v>0.74214000000000002</v>
      </c>
      <c r="C140" s="282">
        <f t="shared" si="13"/>
        <v>0.51911999999999991</v>
      </c>
      <c r="D140" s="379"/>
      <c r="E140" s="417"/>
      <c r="F140" s="291"/>
    </row>
    <row r="141" spans="1:6" x14ac:dyDescent="0.35">
      <c r="A141" s="71" t="str">
        <f t="shared" si="12"/>
        <v>01-July-2022 to 31-July-2022</v>
      </c>
      <c r="B141" s="282">
        <f t="shared" si="13"/>
        <v>0.769482</v>
      </c>
      <c r="C141" s="282">
        <f t="shared" si="13"/>
        <v>0.53716799999999998</v>
      </c>
      <c r="D141" s="379"/>
      <c r="E141" s="417"/>
      <c r="F141" s="291"/>
    </row>
    <row r="142" spans="1:6" x14ac:dyDescent="0.35">
      <c r="A142" s="71" t="str">
        <f t="shared" si="12"/>
        <v>01-August-2022 to 31-August-2022</v>
      </c>
      <c r="B142" s="282">
        <f t="shared" si="13"/>
        <v>0.7577640000000001</v>
      </c>
      <c r="C142" s="282">
        <f t="shared" si="13"/>
        <v>0.53865600000000002</v>
      </c>
      <c r="D142" s="379"/>
      <c r="E142" s="417"/>
      <c r="F142" s="291"/>
    </row>
    <row r="143" spans="1:6" x14ac:dyDescent="0.35">
      <c r="A143" s="71" t="str">
        <f t="shared" si="12"/>
        <v>01-September-2022 to 30-September-2022</v>
      </c>
      <c r="B143" s="282">
        <f t="shared" si="13"/>
        <v>0.72323999999999999</v>
      </c>
      <c r="C143" s="282">
        <f t="shared" si="13"/>
        <v>0.51407999999999998</v>
      </c>
      <c r="D143" s="379"/>
      <c r="E143" s="417"/>
      <c r="F143" s="291"/>
    </row>
    <row r="144" spans="1:6" x14ac:dyDescent="0.35">
      <c r="A144" s="71" t="str">
        <f t="shared" si="12"/>
        <v>01-October-2022 to 31-October-2022</v>
      </c>
      <c r="B144" s="282">
        <f t="shared" si="13"/>
        <v>0.74995200000000006</v>
      </c>
      <c r="C144" s="282">
        <f t="shared" si="13"/>
        <v>0.5438639999999999</v>
      </c>
      <c r="D144" s="379"/>
      <c r="E144" s="417"/>
      <c r="F144" s="291"/>
    </row>
    <row r="145" spans="1:6" x14ac:dyDescent="0.35">
      <c r="A145" s="71" t="str">
        <f t="shared" si="12"/>
        <v>01-November-2022 to 30-November-2022</v>
      </c>
      <c r="B145" s="282">
        <f t="shared" si="13"/>
        <v>0.73206000000000004</v>
      </c>
      <c r="C145" s="282">
        <f t="shared" si="13"/>
        <v>0.53135999999999994</v>
      </c>
      <c r="D145" s="379"/>
      <c r="E145" s="417"/>
      <c r="F145" s="291"/>
    </row>
    <row r="146" spans="1:6" x14ac:dyDescent="0.35">
      <c r="A146" s="71" t="str">
        <f t="shared" si="12"/>
        <v>01-December-2022 to 31-December-2022</v>
      </c>
      <c r="B146" s="282">
        <f t="shared" si="13"/>
        <v>0.76427400000000001</v>
      </c>
      <c r="C146" s="282">
        <f t="shared" si="13"/>
        <v>0.54311999999999994</v>
      </c>
      <c r="D146" s="379"/>
      <c r="E146" s="417"/>
      <c r="F146" s="291"/>
    </row>
    <row r="147" spans="1:6" ht="37.5" customHeight="1" x14ac:dyDescent="0.35">
      <c r="A147" s="69" t="s">
        <v>284</v>
      </c>
      <c r="B147" s="74">
        <v>0.25</v>
      </c>
      <c r="C147" s="74">
        <f>B147</f>
        <v>0.25</v>
      </c>
      <c r="D147" s="183" t="s">
        <v>0</v>
      </c>
      <c r="E147" s="463" t="s">
        <v>311</v>
      </c>
      <c r="F147" s="291"/>
    </row>
    <row r="148" spans="1:6" ht="19.5" customHeight="1" x14ac:dyDescent="0.35">
      <c r="A148" s="69" t="s">
        <v>284</v>
      </c>
      <c r="B148" s="74">
        <v>0.05</v>
      </c>
      <c r="C148" s="74">
        <f>B148</f>
        <v>0.05</v>
      </c>
      <c r="D148" s="183"/>
      <c r="E148" s="465"/>
      <c r="F148" s="291"/>
    </row>
    <row r="149" spans="1:6" x14ac:dyDescent="0.35">
      <c r="A149" s="69" t="s">
        <v>14</v>
      </c>
      <c r="B149" s="68">
        <v>0.01</v>
      </c>
      <c r="C149" s="68">
        <v>0.01</v>
      </c>
      <c r="D149" s="45" t="s">
        <v>24</v>
      </c>
      <c r="E149" s="66" t="s">
        <v>49</v>
      </c>
      <c r="F149" s="291"/>
    </row>
    <row r="150" spans="1:6" x14ac:dyDescent="0.35">
      <c r="A150" s="69" t="s">
        <v>15</v>
      </c>
      <c r="B150" s="68">
        <v>7.4999999999999997E-3</v>
      </c>
      <c r="C150" s="68">
        <v>7.4999999999999997E-3</v>
      </c>
      <c r="D150" s="45" t="s">
        <v>24</v>
      </c>
      <c r="E150" s="66" t="s">
        <v>34</v>
      </c>
      <c r="F150" s="291"/>
    </row>
    <row r="151" spans="1:6" x14ac:dyDescent="0.35">
      <c r="A151" s="69" t="s">
        <v>13</v>
      </c>
      <c r="B151" s="68">
        <v>0.01</v>
      </c>
      <c r="C151" s="68">
        <v>0.01</v>
      </c>
      <c r="D151" s="45" t="s">
        <v>122</v>
      </c>
      <c r="E151" s="66" t="s">
        <v>34</v>
      </c>
      <c r="F151" s="291"/>
    </row>
    <row r="152" spans="1:6" x14ac:dyDescent="0.35">
      <c r="A152" s="69" t="s">
        <v>16</v>
      </c>
      <c r="B152" s="68">
        <v>0.3</v>
      </c>
      <c r="C152" s="68">
        <v>0.3</v>
      </c>
      <c r="D152" s="45" t="s">
        <v>81</v>
      </c>
      <c r="E152" s="66" t="s">
        <v>34</v>
      </c>
      <c r="F152" s="291"/>
    </row>
    <row r="153" spans="1:6" ht="40.5" x14ac:dyDescent="0.35">
      <c r="A153" s="69" t="s">
        <v>12</v>
      </c>
      <c r="B153" s="68">
        <v>0.2</v>
      </c>
      <c r="C153" s="68">
        <v>0.2</v>
      </c>
      <c r="D153" s="183" t="s">
        <v>81</v>
      </c>
      <c r="E153" s="66" t="s">
        <v>59</v>
      </c>
      <c r="F153" s="291"/>
    </row>
    <row r="154" spans="1:6" ht="15.5" x14ac:dyDescent="0.35">
      <c r="A154" s="284" t="s">
        <v>285</v>
      </c>
      <c r="B154" s="68"/>
      <c r="C154" s="68"/>
      <c r="D154" s="392" t="s">
        <v>316</v>
      </c>
      <c r="E154" s="463" t="s">
        <v>32</v>
      </c>
      <c r="F154" s="291"/>
    </row>
    <row r="155" spans="1:6" x14ac:dyDescent="0.35">
      <c r="A155" s="71" t="str">
        <f t="shared" ref="A155:A166" si="14">A135</f>
        <v>01-January-2022 to 31-January-2022</v>
      </c>
      <c r="B155" s="68">
        <f t="shared" ref="B155:B166" si="15">ROUNDUP($B$149*(1-$B$148)*(1-$B$147)*B135*B122,0)</f>
        <v>504</v>
      </c>
      <c r="C155" s="68">
        <f>ROUNDUP($C$149*(1-$C$148)*(1-$C$147)*C135*C122,0)</f>
        <v>198</v>
      </c>
      <c r="D155" s="390"/>
      <c r="E155" s="464"/>
      <c r="F155" s="291"/>
    </row>
    <row r="156" spans="1:6" x14ac:dyDescent="0.35">
      <c r="A156" s="71" t="str">
        <f t="shared" si="14"/>
        <v>01-February-2022 to 28-February-2022</v>
      </c>
      <c r="B156" s="68">
        <f t="shared" si="15"/>
        <v>457</v>
      </c>
      <c r="C156" s="68">
        <f t="shared" ref="C156:C166" si="16">ROUNDUP($C$149*(1-$C$148)*(1-$C$147)*C136*C123,0)</f>
        <v>183</v>
      </c>
      <c r="D156" s="390"/>
      <c r="E156" s="464"/>
      <c r="F156" s="291"/>
    </row>
    <row r="157" spans="1:6" x14ac:dyDescent="0.35">
      <c r="A157" s="71" t="str">
        <f t="shared" si="14"/>
        <v>01-March-2022 to 31-March-2022</v>
      </c>
      <c r="B157" s="68">
        <f t="shared" si="15"/>
        <v>513</v>
      </c>
      <c r="C157" s="68">
        <f t="shared" si="16"/>
        <v>200</v>
      </c>
      <c r="D157" s="390"/>
      <c r="E157" s="464"/>
      <c r="F157" s="291"/>
    </row>
    <row r="158" spans="1:6" x14ac:dyDescent="0.35">
      <c r="A158" s="71" t="str">
        <f t="shared" si="14"/>
        <v>01-April-2022 to 30-April-2022</v>
      </c>
      <c r="B158" s="68">
        <f t="shared" si="15"/>
        <v>491</v>
      </c>
      <c r="C158" s="68">
        <f t="shared" si="16"/>
        <v>192</v>
      </c>
      <c r="D158" s="390"/>
      <c r="E158" s="464"/>
      <c r="F158" s="291"/>
    </row>
    <row r="159" spans="1:6" x14ac:dyDescent="0.35">
      <c r="A159" s="71" t="str">
        <f t="shared" si="14"/>
        <v>01-May-2022 to 31-May-2022</v>
      </c>
      <c r="B159" s="68">
        <f t="shared" si="15"/>
        <v>507</v>
      </c>
      <c r="C159" s="68">
        <f t="shared" si="16"/>
        <v>202</v>
      </c>
      <c r="D159" s="390"/>
      <c r="E159" s="464"/>
      <c r="F159" s="291"/>
    </row>
    <row r="160" spans="1:6" x14ac:dyDescent="0.35">
      <c r="A160" s="71" t="str">
        <f t="shared" si="14"/>
        <v>01-June-2022 to 30-June-2022</v>
      </c>
      <c r="B160" s="68">
        <f t="shared" si="15"/>
        <v>499</v>
      </c>
      <c r="C160" s="68">
        <f t="shared" si="16"/>
        <v>192</v>
      </c>
      <c r="D160" s="390"/>
      <c r="E160" s="464"/>
      <c r="F160" s="291"/>
    </row>
    <row r="161" spans="1:6" x14ac:dyDescent="0.35">
      <c r="A161" s="71" t="str">
        <f t="shared" si="14"/>
        <v>01-July-2022 to 31-July-2022</v>
      </c>
      <c r="B161" s="68">
        <f t="shared" si="15"/>
        <v>517</v>
      </c>
      <c r="C161" s="68">
        <f t="shared" si="16"/>
        <v>199</v>
      </c>
      <c r="D161" s="390"/>
      <c r="E161" s="464"/>
      <c r="F161" s="291"/>
    </row>
    <row r="162" spans="1:6" x14ac:dyDescent="0.35">
      <c r="A162" s="71" t="str">
        <f t="shared" si="14"/>
        <v>01-August-2022 to 31-August-2022</v>
      </c>
      <c r="B162" s="68">
        <f t="shared" si="15"/>
        <v>509</v>
      </c>
      <c r="C162" s="68">
        <f t="shared" si="16"/>
        <v>199</v>
      </c>
      <c r="D162" s="390"/>
      <c r="E162" s="464"/>
      <c r="F162" s="291"/>
    </row>
    <row r="163" spans="1:6" x14ac:dyDescent="0.35">
      <c r="A163" s="71" t="str">
        <f t="shared" si="14"/>
        <v>01-September-2022 to 30-September-2022</v>
      </c>
      <c r="B163" s="68">
        <f t="shared" si="15"/>
        <v>486</v>
      </c>
      <c r="C163" s="68">
        <f t="shared" si="16"/>
        <v>187</v>
      </c>
      <c r="D163" s="390"/>
      <c r="E163" s="464"/>
      <c r="F163" s="291"/>
    </row>
    <row r="164" spans="1:6" x14ac:dyDescent="0.35">
      <c r="A164" s="71" t="str">
        <f t="shared" si="14"/>
        <v>01-October-2022 to 31-October-2022</v>
      </c>
      <c r="B164" s="68">
        <f t="shared" si="15"/>
        <v>504</v>
      </c>
      <c r="C164" s="68">
        <f t="shared" si="16"/>
        <v>201</v>
      </c>
      <c r="D164" s="390"/>
      <c r="E164" s="464"/>
      <c r="F164" s="291"/>
    </row>
    <row r="165" spans="1:6" x14ac:dyDescent="0.35">
      <c r="A165" s="71" t="str">
        <f t="shared" si="14"/>
        <v>01-November-2022 to 30-November-2022</v>
      </c>
      <c r="B165" s="68">
        <f t="shared" si="15"/>
        <v>492</v>
      </c>
      <c r="C165" s="68">
        <f t="shared" si="16"/>
        <v>197</v>
      </c>
      <c r="D165" s="390"/>
      <c r="E165" s="464"/>
      <c r="F165" s="291"/>
    </row>
    <row r="166" spans="1:6" x14ac:dyDescent="0.35">
      <c r="A166" s="71" t="str">
        <f t="shared" si="14"/>
        <v>01-December-2022 to 31-December-2022</v>
      </c>
      <c r="B166" s="68">
        <f t="shared" si="15"/>
        <v>514</v>
      </c>
      <c r="C166" s="68">
        <f t="shared" si="16"/>
        <v>201</v>
      </c>
      <c r="D166" s="390"/>
      <c r="E166" s="464"/>
      <c r="F166" s="291"/>
    </row>
    <row r="167" spans="1:6" ht="15.5" x14ac:dyDescent="0.45">
      <c r="A167" s="34" t="s">
        <v>386</v>
      </c>
      <c r="B167" s="453">
        <f>SUM(B155:C166)</f>
        <v>8344</v>
      </c>
      <c r="C167" s="454"/>
      <c r="D167" s="390"/>
      <c r="E167" s="464"/>
      <c r="F167" s="291"/>
    </row>
    <row r="168" spans="1:6" ht="15.5" x14ac:dyDescent="0.35">
      <c r="A168" s="284" t="s">
        <v>286</v>
      </c>
      <c r="B168" s="451">
        <f>B167</f>
        <v>8344</v>
      </c>
      <c r="C168" s="452"/>
      <c r="D168" s="390"/>
      <c r="E168" s="464"/>
      <c r="F168" s="291"/>
    </row>
    <row r="169" spans="1:6" ht="15.5" x14ac:dyDescent="0.45">
      <c r="A169" s="293" t="s">
        <v>287</v>
      </c>
      <c r="B169" s="286"/>
      <c r="C169" s="294"/>
      <c r="D169" s="390"/>
      <c r="E169" s="464"/>
      <c r="F169" s="291"/>
    </row>
    <row r="170" spans="1:6" x14ac:dyDescent="0.35">
      <c r="A170" s="71" t="str">
        <f t="shared" ref="A170:A181" si="17">A155</f>
        <v>01-January-2022 to 31-January-2022</v>
      </c>
      <c r="B170" s="185">
        <f t="shared" ref="B170:B181" si="18">ROUNDUP($B$150*$B$152*(1-$B$148)*(1-$B$147)*B135*B122,0)</f>
        <v>114</v>
      </c>
      <c r="C170" s="185">
        <f>ROUNDUP($C$150*$C$152*(1-$C$148)*(1-$C$147)*C135*C122,0)</f>
        <v>45</v>
      </c>
      <c r="D170" s="390"/>
      <c r="E170" s="464"/>
      <c r="F170" s="291"/>
    </row>
    <row r="171" spans="1:6" x14ac:dyDescent="0.35">
      <c r="A171" s="71" t="str">
        <f t="shared" si="17"/>
        <v>01-February-2022 to 28-February-2022</v>
      </c>
      <c r="B171" s="185">
        <f t="shared" si="18"/>
        <v>103</v>
      </c>
      <c r="C171" s="185">
        <f t="shared" ref="C171:C181" si="19">ROUNDUP($C$150*$C$152*(1-$C$148)*(1-$C$147)*C136*C123,0)</f>
        <v>42</v>
      </c>
      <c r="D171" s="390"/>
      <c r="E171" s="464"/>
      <c r="F171" s="291"/>
    </row>
    <row r="172" spans="1:6" x14ac:dyDescent="0.35">
      <c r="A172" s="71" t="str">
        <f t="shared" si="17"/>
        <v>01-March-2022 to 31-March-2022</v>
      </c>
      <c r="B172" s="185">
        <f t="shared" si="18"/>
        <v>116</v>
      </c>
      <c r="C172" s="185">
        <f t="shared" si="19"/>
        <v>45</v>
      </c>
      <c r="D172" s="390"/>
      <c r="E172" s="464"/>
      <c r="F172" s="291"/>
    </row>
    <row r="173" spans="1:6" x14ac:dyDescent="0.35">
      <c r="A173" s="71" t="str">
        <f t="shared" si="17"/>
        <v>01-April-2022 to 30-April-2022</v>
      </c>
      <c r="B173" s="185">
        <f t="shared" si="18"/>
        <v>111</v>
      </c>
      <c r="C173" s="185">
        <f t="shared" si="19"/>
        <v>43</v>
      </c>
      <c r="D173" s="390"/>
      <c r="E173" s="464"/>
      <c r="F173" s="291"/>
    </row>
    <row r="174" spans="1:6" x14ac:dyDescent="0.35">
      <c r="A174" s="71" t="str">
        <f t="shared" si="17"/>
        <v>01-May-2022 to 31-May-2022</v>
      </c>
      <c r="B174" s="185">
        <f t="shared" si="18"/>
        <v>114</v>
      </c>
      <c r="C174" s="185">
        <f t="shared" si="19"/>
        <v>46</v>
      </c>
      <c r="D174" s="390"/>
      <c r="E174" s="464"/>
      <c r="F174" s="291"/>
    </row>
    <row r="175" spans="1:6" x14ac:dyDescent="0.35">
      <c r="A175" s="71" t="str">
        <f t="shared" si="17"/>
        <v>01-June-2022 to 30-June-2022</v>
      </c>
      <c r="B175" s="185">
        <f t="shared" si="18"/>
        <v>113</v>
      </c>
      <c r="C175" s="185">
        <f t="shared" si="19"/>
        <v>44</v>
      </c>
      <c r="D175" s="390"/>
      <c r="E175" s="464"/>
      <c r="F175" s="291"/>
    </row>
    <row r="176" spans="1:6" x14ac:dyDescent="0.35">
      <c r="A176" s="71" t="str">
        <f t="shared" si="17"/>
        <v>01-July-2022 to 31-July-2022</v>
      </c>
      <c r="B176" s="185">
        <f t="shared" si="18"/>
        <v>117</v>
      </c>
      <c r="C176" s="185">
        <f t="shared" si="19"/>
        <v>45</v>
      </c>
      <c r="D176" s="390"/>
      <c r="E176" s="464"/>
      <c r="F176" s="291"/>
    </row>
    <row r="177" spans="1:6" x14ac:dyDescent="0.35">
      <c r="A177" s="71" t="str">
        <f t="shared" si="17"/>
        <v>01-August-2022 to 31-August-2022</v>
      </c>
      <c r="B177" s="185">
        <f t="shared" si="18"/>
        <v>115</v>
      </c>
      <c r="C177" s="185">
        <f t="shared" si="19"/>
        <v>45</v>
      </c>
      <c r="D177" s="390"/>
      <c r="E177" s="464"/>
      <c r="F177" s="291"/>
    </row>
    <row r="178" spans="1:6" x14ac:dyDescent="0.35">
      <c r="A178" s="71" t="str">
        <f t="shared" si="17"/>
        <v>01-September-2022 to 30-September-2022</v>
      </c>
      <c r="B178" s="185">
        <f t="shared" si="18"/>
        <v>110</v>
      </c>
      <c r="C178" s="185">
        <f t="shared" si="19"/>
        <v>43</v>
      </c>
      <c r="D178" s="390"/>
      <c r="E178" s="464"/>
      <c r="F178" s="291"/>
    </row>
    <row r="179" spans="1:6" x14ac:dyDescent="0.35">
      <c r="A179" s="71" t="str">
        <f t="shared" si="17"/>
        <v>01-October-2022 to 31-October-2022</v>
      </c>
      <c r="B179" s="185">
        <f t="shared" si="18"/>
        <v>114</v>
      </c>
      <c r="C179" s="185">
        <f t="shared" si="19"/>
        <v>46</v>
      </c>
      <c r="D179" s="390"/>
      <c r="E179" s="464"/>
      <c r="F179" s="291"/>
    </row>
    <row r="180" spans="1:6" x14ac:dyDescent="0.35">
      <c r="A180" s="71" t="str">
        <f t="shared" si="17"/>
        <v>01-November-2022 to 30-November-2022</v>
      </c>
      <c r="B180" s="185">
        <f t="shared" si="18"/>
        <v>111</v>
      </c>
      <c r="C180" s="185">
        <f t="shared" si="19"/>
        <v>45</v>
      </c>
      <c r="D180" s="390"/>
      <c r="E180" s="464"/>
      <c r="F180" s="291"/>
    </row>
    <row r="181" spans="1:6" x14ac:dyDescent="0.35">
      <c r="A181" s="71" t="str">
        <f t="shared" si="17"/>
        <v>01-December-2022 to 31-December-2022</v>
      </c>
      <c r="B181" s="185">
        <f t="shared" si="18"/>
        <v>116</v>
      </c>
      <c r="C181" s="185">
        <f t="shared" si="19"/>
        <v>46</v>
      </c>
      <c r="D181" s="390"/>
      <c r="E181" s="464"/>
      <c r="F181" s="291"/>
    </row>
    <row r="182" spans="1:6" ht="15.5" x14ac:dyDescent="0.45">
      <c r="A182" s="34" t="s">
        <v>369</v>
      </c>
      <c r="B182" s="453">
        <f>SUM(B170:C181)</f>
        <v>1889</v>
      </c>
      <c r="C182" s="454"/>
      <c r="D182" s="390"/>
      <c r="E182" s="464"/>
      <c r="F182" s="291"/>
    </row>
    <row r="183" spans="1:6" ht="15.5" x14ac:dyDescent="0.45">
      <c r="A183" s="293" t="s">
        <v>288</v>
      </c>
      <c r="B183" s="451">
        <f>B182</f>
        <v>1889</v>
      </c>
      <c r="C183" s="452"/>
      <c r="D183" s="390"/>
      <c r="E183" s="464"/>
      <c r="F183" s="291"/>
    </row>
    <row r="184" spans="1:6" ht="15.5" x14ac:dyDescent="0.35">
      <c r="A184" s="284" t="s">
        <v>289</v>
      </c>
      <c r="B184" s="286"/>
      <c r="C184" s="287"/>
      <c r="D184" s="390"/>
      <c r="E184" s="464"/>
      <c r="F184" s="291"/>
    </row>
    <row r="185" spans="1:6" x14ac:dyDescent="0.35">
      <c r="A185" s="295" t="str">
        <f t="shared" ref="A185:A196" si="20">A170</f>
        <v>01-January-2022 to 31-January-2022</v>
      </c>
      <c r="B185" s="185">
        <f t="shared" ref="B185:B196" si="21">ROUNDUP($B$151*(1-$B$148)*(1-$B$147)*$B$153*B135*B122,0)</f>
        <v>101</v>
      </c>
      <c r="C185" s="185">
        <f>ROUNDUP($C$151*(1-$C$148)*(1-$C$147)*$C$153*C135*C122,0)</f>
        <v>40</v>
      </c>
      <c r="D185" s="390"/>
      <c r="E185" s="464"/>
      <c r="F185" s="291"/>
    </row>
    <row r="186" spans="1:6" x14ac:dyDescent="0.35">
      <c r="A186" s="295" t="str">
        <f t="shared" si="20"/>
        <v>01-February-2022 to 28-February-2022</v>
      </c>
      <c r="B186" s="185">
        <f t="shared" si="21"/>
        <v>92</v>
      </c>
      <c r="C186" s="185">
        <f t="shared" ref="C186:C196" si="22">ROUNDUP($C$151*(1-$C$148)*(1-$C$147)*$C$153*C136*C123,0)</f>
        <v>37</v>
      </c>
      <c r="D186" s="390"/>
      <c r="E186" s="464"/>
      <c r="F186" s="291"/>
    </row>
    <row r="187" spans="1:6" x14ac:dyDescent="0.35">
      <c r="A187" s="295" t="str">
        <f t="shared" si="20"/>
        <v>01-March-2022 to 31-March-2022</v>
      </c>
      <c r="B187" s="185">
        <f t="shared" si="21"/>
        <v>103</v>
      </c>
      <c r="C187" s="185">
        <f t="shared" si="22"/>
        <v>40</v>
      </c>
      <c r="D187" s="390"/>
      <c r="E187" s="464"/>
      <c r="F187" s="291"/>
    </row>
    <row r="188" spans="1:6" x14ac:dyDescent="0.35">
      <c r="A188" s="295" t="str">
        <f t="shared" si="20"/>
        <v>01-April-2022 to 30-April-2022</v>
      </c>
      <c r="B188" s="185">
        <f t="shared" si="21"/>
        <v>99</v>
      </c>
      <c r="C188" s="185">
        <f t="shared" si="22"/>
        <v>39</v>
      </c>
      <c r="D188" s="390"/>
      <c r="E188" s="464"/>
      <c r="F188" s="291"/>
    </row>
    <row r="189" spans="1:6" x14ac:dyDescent="0.35">
      <c r="A189" s="295" t="str">
        <f t="shared" si="20"/>
        <v>01-May-2022 to 31-May-2022</v>
      </c>
      <c r="B189" s="185">
        <f t="shared" si="21"/>
        <v>102</v>
      </c>
      <c r="C189" s="185">
        <f t="shared" si="22"/>
        <v>41</v>
      </c>
      <c r="D189" s="390"/>
      <c r="E189" s="464"/>
      <c r="F189" s="291"/>
    </row>
    <row r="190" spans="1:6" x14ac:dyDescent="0.35">
      <c r="A190" s="295" t="str">
        <f t="shared" si="20"/>
        <v>01-June-2022 to 30-June-2022</v>
      </c>
      <c r="B190" s="185">
        <f t="shared" si="21"/>
        <v>100</v>
      </c>
      <c r="C190" s="185">
        <f t="shared" si="22"/>
        <v>39</v>
      </c>
      <c r="D190" s="390"/>
      <c r="E190" s="464"/>
      <c r="F190" s="291"/>
    </row>
    <row r="191" spans="1:6" x14ac:dyDescent="0.35">
      <c r="A191" s="295" t="str">
        <f t="shared" si="20"/>
        <v>01-July-2022 to 31-July-2022</v>
      </c>
      <c r="B191" s="185">
        <f t="shared" si="21"/>
        <v>104</v>
      </c>
      <c r="C191" s="185">
        <f t="shared" si="22"/>
        <v>40</v>
      </c>
      <c r="D191" s="390"/>
      <c r="E191" s="464"/>
      <c r="F191" s="291"/>
    </row>
    <row r="192" spans="1:6" x14ac:dyDescent="0.35">
      <c r="A192" s="295" t="str">
        <f t="shared" si="20"/>
        <v>01-August-2022 to 31-August-2022</v>
      </c>
      <c r="B192" s="185">
        <f t="shared" si="21"/>
        <v>102</v>
      </c>
      <c r="C192" s="185">
        <f t="shared" si="22"/>
        <v>40</v>
      </c>
      <c r="D192" s="390"/>
      <c r="E192" s="464"/>
      <c r="F192" s="291"/>
    </row>
    <row r="193" spans="1:6" x14ac:dyDescent="0.35">
      <c r="A193" s="295" t="str">
        <f t="shared" si="20"/>
        <v>01-September-2022 to 30-September-2022</v>
      </c>
      <c r="B193" s="185">
        <f t="shared" si="21"/>
        <v>98</v>
      </c>
      <c r="C193" s="185">
        <f t="shared" si="22"/>
        <v>38</v>
      </c>
      <c r="D193" s="390"/>
      <c r="E193" s="464"/>
      <c r="F193" s="291"/>
    </row>
    <row r="194" spans="1:6" x14ac:dyDescent="0.35">
      <c r="A194" s="295" t="str">
        <f t="shared" si="20"/>
        <v>01-October-2022 to 31-October-2022</v>
      </c>
      <c r="B194" s="185">
        <f t="shared" si="21"/>
        <v>101</v>
      </c>
      <c r="C194" s="185">
        <f t="shared" si="22"/>
        <v>41</v>
      </c>
      <c r="D194" s="390"/>
      <c r="E194" s="464"/>
      <c r="F194" s="291"/>
    </row>
    <row r="195" spans="1:6" x14ac:dyDescent="0.35">
      <c r="A195" s="295" t="str">
        <f t="shared" si="20"/>
        <v>01-November-2022 to 30-November-2022</v>
      </c>
      <c r="B195" s="185">
        <f t="shared" si="21"/>
        <v>99</v>
      </c>
      <c r="C195" s="185">
        <f t="shared" si="22"/>
        <v>40</v>
      </c>
      <c r="D195" s="390"/>
      <c r="E195" s="464"/>
      <c r="F195" s="291"/>
    </row>
    <row r="196" spans="1:6" x14ac:dyDescent="0.35">
      <c r="A196" s="295" t="str">
        <f t="shared" si="20"/>
        <v>01-December-2022 to 31-December-2022</v>
      </c>
      <c r="B196" s="185">
        <f t="shared" si="21"/>
        <v>103</v>
      </c>
      <c r="C196" s="185">
        <f t="shared" si="22"/>
        <v>41</v>
      </c>
      <c r="D196" s="390"/>
      <c r="E196" s="464"/>
      <c r="F196" s="291"/>
    </row>
    <row r="197" spans="1:6" ht="15.5" x14ac:dyDescent="0.45">
      <c r="A197" s="34" t="s">
        <v>370</v>
      </c>
      <c r="B197" s="453">
        <f>SUM(B185:C196)</f>
        <v>1680</v>
      </c>
      <c r="C197" s="454"/>
      <c r="D197" s="390"/>
      <c r="E197" s="464"/>
      <c r="F197" s="291"/>
    </row>
    <row r="198" spans="1:6" ht="15.5" x14ac:dyDescent="0.35">
      <c r="A198" s="284" t="s">
        <v>372</v>
      </c>
      <c r="B198" s="451">
        <f>B197</f>
        <v>1680</v>
      </c>
      <c r="C198" s="452"/>
      <c r="D198" s="410"/>
      <c r="E198" s="464"/>
      <c r="F198" s="291"/>
    </row>
    <row r="199" spans="1:6" ht="15.5" x14ac:dyDescent="0.45">
      <c r="A199" s="34" t="s">
        <v>373</v>
      </c>
      <c r="B199" s="461">
        <f>ROUNDUP(B56*44/28*1/1000*(B167+B182+B197),0)</f>
        <v>4961</v>
      </c>
      <c r="C199" s="461"/>
      <c r="D199" s="381"/>
      <c r="E199" s="464"/>
      <c r="F199" s="291"/>
    </row>
    <row r="200" spans="1:6" ht="16" thickBot="1" x14ac:dyDescent="0.4">
      <c r="A200" s="296" t="s">
        <v>290</v>
      </c>
      <c r="B200" s="455">
        <f>B199</f>
        <v>4961</v>
      </c>
      <c r="C200" s="455"/>
      <c r="D200" s="467"/>
      <c r="E200" s="468"/>
      <c r="F200" s="291"/>
    </row>
    <row r="201" spans="1:6" x14ac:dyDescent="0.35">
      <c r="A201" s="289"/>
      <c r="B201" s="290"/>
      <c r="C201" s="290"/>
    </row>
    <row r="202" spans="1:6" x14ac:dyDescent="0.35">
      <c r="A202" s="289"/>
      <c r="B202" s="290"/>
      <c r="C202" s="290"/>
    </row>
    <row r="204" spans="1:6" x14ac:dyDescent="0.35">
      <c r="A204" s="44" t="s">
        <v>48</v>
      </c>
    </row>
    <row r="206" spans="1:6" x14ac:dyDescent="0.35">
      <c r="E206" s="197"/>
    </row>
    <row r="207" spans="1:6" x14ac:dyDescent="0.35">
      <c r="E207" s="197"/>
    </row>
    <row r="208" spans="1:6" x14ac:dyDescent="0.35">
      <c r="E208" s="197"/>
    </row>
    <row r="209" spans="1:5" x14ac:dyDescent="0.35">
      <c r="E209" s="197"/>
    </row>
    <row r="210" spans="1:5" x14ac:dyDescent="0.35">
      <c r="E210" s="197"/>
    </row>
    <row r="211" spans="1:5" x14ac:dyDescent="0.35">
      <c r="E211" s="197"/>
    </row>
    <row r="212" spans="1:5" x14ac:dyDescent="0.35">
      <c r="A212" s="190"/>
    </row>
    <row r="213" spans="1:5" ht="14" thickBot="1" x14ac:dyDescent="0.4">
      <c r="A213" s="190"/>
    </row>
    <row r="214" spans="1:5" x14ac:dyDescent="0.35">
      <c r="A214" s="42" t="s">
        <v>3</v>
      </c>
      <c r="B214" s="43" t="s">
        <v>20</v>
      </c>
      <c r="C214" s="43"/>
      <c r="D214" s="43" t="s">
        <v>2</v>
      </c>
      <c r="E214" s="61" t="s">
        <v>4</v>
      </c>
    </row>
    <row r="215" spans="1:5" x14ac:dyDescent="0.35">
      <c r="A215" s="62"/>
      <c r="B215" s="63" t="str">
        <f>B121</f>
        <v>Market Swine</v>
      </c>
      <c r="C215" s="63" t="str">
        <f>C121</f>
        <v>Breeding Swine</v>
      </c>
      <c r="D215" s="63"/>
      <c r="E215" s="64"/>
    </row>
    <row r="216" spans="1:5" ht="15.5" x14ac:dyDescent="0.45">
      <c r="A216" s="65" t="s">
        <v>171</v>
      </c>
      <c r="B216" s="45">
        <f>'Baseline Emission'!B11</f>
        <v>28</v>
      </c>
      <c r="C216" s="45">
        <f>'Baseline Emission'!C11</f>
        <v>28</v>
      </c>
      <c r="D216" s="45" t="s">
        <v>175</v>
      </c>
      <c r="E216" s="66" t="s">
        <v>121</v>
      </c>
    </row>
    <row r="217" spans="1:5" x14ac:dyDescent="0.35">
      <c r="A217" s="65" t="s">
        <v>172</v>
      </c>
      <c r="B217" s="45">
        <f>'Baseline Emission'!B12</f>
        <v>6.7000000000000002E-4</v>
      </c>
      <c r="C217" s="45">
        <f>'Baseline Emission'!C12</f>
        <v>6.7000000000000002E-4</v>
      </c>
      <c r="D217" s="45" t="s">
        <v>81</v>
      </c>
      <c r="E217" s="66" t="s">
        <v>312</v>
      </c>
    </row>
    <row r="218" spans="1:5" x14ac:dyDescent="0.35">
      <c r="A218" s="67" t="s">
        <v>26</v>
      </c>
      <c r="B218" s="68">
        <v>1</v>
      </c>
      <c r="C218" s="68">
        <v>1</v>
      </c>
      <c r="D218" s="45" t="s">
        <v>81</v>
      </c>
      <c r="E218" s="66" t="s">
        <v>312</v>
      </c>
    </row>
    <row r="219" spans="1:5" x14ac:dyDescent="0.35">
      <c r="A219" s="69" t="s">
        <v>173</v>
      </c>
      <c r="B219" s="70"/>
      <c r="C219" s="70"/>
      <c r="D219" s="462" t="s">
        <v>123</v>
      </c>
      <c r="E219" s="466" t="s">
        <v>101</v>
      </c>
    </row>
    <row r="220" spans="1:5" x14ac:dyDescent="0.35">
      <c r="A220" s="71" t="str">
        <f t="shared" ref="A220:A231" si="23">A185</f>
        <v>01-January-2022 to 31-January-2022</v>
      </c>
      <c r="B220" s="70">
        <f>'Baseline Emission'!B44</f>
        <v>19.131428571428575</v>
      </c>
      <c r="C220" s="70">
        <f>'Baseline Emission'!C44</f>
        <v>23.914285714285715</v>
      </c>
      <c r="D220" s="462"/>
      <c r="E220" s="466"/>
    </row>
    <row r="221" spans="1:5" x14ac:dyDescent="0.35">
      <c r="A221" s="71" t="str">
        <f t="shared" si="23"/>
        <v>01-February-2022 to 28-February-2022</v>
      </c>
      <c r="B221" s="70">
        <f>'Baseline Emission'!B45</f>
        <v>17.339999999999996</v>
      </c>
      <c r="C221" s="70">
        <f>'Baseline Emission'!C45</f>
        <v>22.29</v>
      </c>
      <c r="D221" s="462"/>
      <c r="E221" s="466"/>
    </row>
    <row r="222" spans="1:5" x14ac:dyDescent="0.35">
      <c r="A222" s="71" t="str">
        <f t="shared" si="23"/>
        <v>01-March-2022 to 31-March-2022</v>
      </c>
      <c r="B222" s="70">
        <f>'Baseline Emission'!B46</f>
        <v>19.463571428571431</v>
      </c>
      <c r="C222" s="70">
        <f>'Baseline Emission'!C46</f>
        <v>24.047142857142855</v>
      </c>
      <c r="D222" s="462"/>
      <c r="E222" s="466"/>
    </row>
    <row r="223" spans="1:5" x14ac:dyDescent="0.35">
      <c r="A223" s="71" t="str">
        <f t="shared" si="23"/>
        <v>01-April-2022 to 30-April-2022</v>
      </c>
      <c r="B223" s="70">
        <f>'Baseline Emission'!B47</f>
        <v>18.642857142857142</v>
      </c>
      <c r="C223" s="70">
        <f>'Baseline Emission'!C47</f>
        <v>23.078571428571426</v>
      </c>
      <c r="D223" s="462"/>
      <c r="E223" s="466"/>
    </row>
    <row r="224" spans="1:5" x14ac:dyDescent="0.35">
      <c r="A224" s="71" t="str">
        <f t="shared" si="23"/>
        <v>01-May-2022 to 31-May-2022</v>
      </c>
      <c r="B224" s="70">
        <f>'Baseline Emission'!B48</f>
        <v>19.231071428571425</v>
      </c>
      <c r="C224" s="70">
        <f>'Baseline Emission'!C48</f>
        <v>24.379285714285711</v>
      </c>
      <c r="D224" s="462"/>
      <c r="E224" s="466"/>
    </row>
    <row r="225" spans="1:5" x14ac:dyDescent="0.35">
      <c r="A225" s="71" t="str">
        <f t="shared" si="23"/>
        <v>01-June-2022 to 30-June-2022</v>
      </c>
      <c r="B225" s="70">
        <f>'Baseline Emission'!B49</f>
        <v>18.932142857142857</v>
      </c>
      <c r="C225" s="70">
        <f>'Baseline Emission'!C49</f>
        <v>23.174999999999997</v>
      </c>
      <c r="D225" s="462"/>
      <c r="E225" s="466"/>
    </row>
    <row r="226" spans="1:5" x14ac:dyDescent="0.35">
      <c r="A226" s="71" t="str">
        <f t="shared" si="23"/>
        <v>01-July-2022 to 31-July-2022</v>
      </c>
      <c r="B226" s="70">
        <f>'Baseline Emission'!B50</f>
        <v>19.629642857142859</v>
      </c>
      <c r="C226" s="70">
        <f>'Baseline Emission'!C50</f>
        <v>23.980714285714285</v>
      </c>
      <c r="D226" s="462"/>
      <c r="E226" s="466"/>
    </row>
    <row r="227" spans="1:5" x14ac:dyDescent="0.35">
      <c r="A227" s="71" t="str">
        <f t="shared" si="23"/>
        <v>01-August-2022 to 31-August-2022</v>
      </c>
      <c r="B227" s="70">
        <f>'Baseline Emission'!B51</f>
        <v>19.330714285714286</v>
      </c>
      <c r="C227" s="70">
        <f>'Baseline Emission'!C51</f>
        <v>24.047142857142855</v>
      </c>
      <c r="D227" s="462"/>
      <c r="E227" s="466"/>
    </row>
    <row r="228" spans="1:5" x14ac:dyDescent="0.35">
      <c r="A228" s="71" t="str">
        <f t="shared" si="23"/>
        <v>01-September-2022 to 30-September-2022</v>
      </c>
      <c r="B228" s="70">
        <f>'Baseline Emission'!B52</f>
        <v>18.449999999999996</v>
      </c>
      <c r="C228" s="70">
        <f>'Baseline Emission'!C52</f>
        <v>22.95</v>
      </c>
      <c r="D228" s="462"/>
      <c r="E228" s="466"/>
    </row>
    <row r="229" spans="1:5" x14ac:dyDescent="0.35">
      <c r="A229" s="71" t="str">
        <f t="shared" si="23"/>
        <v>01-October-2022 to 31-October-2022</v>
      </c>
      <c r="B229" s="70">
        <f>'Baseline Emission'!B53</f>
        <v>19.131428571428575</v>
      </c>
      <c r="C229" s="70">
        <f>'Baseline Emission'!C53</f>
        <v>24.27964285714285</v>
      </c>
      <c r="D229" s="462"/>
      <c r="E229" s="466"/>
    </row>
    <row r="230" spans="1:5" x14ac:dyDescent="0.35">
      <c r="A230" s="71" t="str">
        <f t="shared" si="23"/>
        <v>01-November-2022 to 30-November-2022</v>
      </c>
      <c r="B230" s="70">
        <f>'Baseline Emission'!B54</f>
        <v>18.675000000000001</v>
      </c>
      <c r="C230" s="70">
        <f>'Baseline Emission'!C54</f>
        <v>23.721428571428572</v>
      </c>
      <c r="D230" s="462"/>
      <c r="E230" s="466"/>
    </row>
    <row r="231" spans="1:5" x14ac:dyDescent="0.35">
      <c r="A231" s="71" t="str">
        <f t="shared" si="23"/>
        <v>01-December-2022 to 31-December-2022</v>
      </c>
      <c r="B231" s="70">
        <f>'Baseline Emission'!B55</f>
        <v>19.496785714285714</v>
      </c>
      <c r="C231" s="70">
        <f>'Baseline Emission'!C55</f>
        <v>24.24642857142857</v>
      </c>
      <c r="D231" s="462"/>
      <c r="E231" s="466"/>
    </row>
    <row r="232" spans="1:5" ht="12.75" customHeight="1" x14ac:dyDescent="0.35">
      <c r="A232" s="69" t="s">
        <v>174</v>
      </c>
      <c r="B232" s="72"/>
      <c r="C232" s="72"/>
      <c r="D232" s="456" t="s">
        <v>72</v>
      </c>
      <c r="E232" s="473" t="str">
        <f>E24</f>
        <v>Calculated as equation 5 and 6 in JPM, of which Np,LT and Nda,LT is  sourced from "Exported from the stock record of Market swine"
NLT for breeding swine is sourced from "Breeding Pig stock record"</v>
      </c>
    </row>
    <row r="233" spans="1:5" x14ac:dyDescent="0.35">
      <c r="A233" s="71" t="str">
        <f t="shared" ref="A233:A244" si="24">A220</f>
        <v>01-January-2022 to 31-January-2022</v>
      </c>
      <c r="B233" s="72">
        <f t="shared" ref="B233:C244" si="25">B122</f>
        <v>94226</v>
      </c>
      <c r="C233" s="72">
        <f t="shared" si="25"/>
        <v>51851</v>
      </c>
      <c r="D233" s="457"/>
      <c r="E233" s="474"/>
    </row>
    <row r="234" spans="1:5" x14ac:dyDescent="0.35">
      <c r="A234" s="71" t="str">
        <f t="shared" si="24"/>
        <v>01-February-2022 to 28-February-2022</v>
      </c>
      <c r="B234" s="72">
        <f t="shared" si="25"/>
        <v>94226</v>
      </c>
      <c r="C234" s="72">
        <f t="shared" si="25"/>
        <v>51422</v>
      </c>
      <c r="D234" s="457"/>
      <c r="E234" s="474"/>
    </row>
    <row r="235" spans="1:5" x14ac:dyDescent="0.35">
      <c r="A235" s="71" t="str">
        <f t="shared" si="24"/>
        <v>01-March-2022 to 31-March-2022</v>
      </c>
      <c r="B235" s="72">
        <f t="shared" si="25"/>
        <v>94226</v>
      </c>
      <c r="C235" s="72">
        <f t="shared" si="25"/>
        <v>51878</v>
      </c>
      <c r="D235" s="457"/>
      <c r="E235" s="474"/>
    </row>
    <row r="236" spans="1:5" x14ac:dyDescent="0.35">
      <c r="A236" s="71" t="str">
        <f t="shared" si="24"/>
        <v>01-April-2022 to 30-April-2022</v>
      </c>
      <c r="B236" s="72">
        <f t="shared" si="25"/>
        <v>94226</v>
      </c>
      <c r="C236" s="72">
        <f t="shared" si="25"/>
        <v>51867</v>
      </c>
      <c r="D236" s="457"/>
      <c r="E236" s="474"/>
    </row>
    <row r="237" spans="1:5" x14ac:dyDescent="0.35">
      <c r="A237" s="71" t="str">
        <f t="shared" si="24"/>
        <v>01-May-2022 to 31-May-2022</v>
      </c>
      <c r="B237" s="72">
        <f t="shared" si="25"/>
        <v>94226</v>
      </c>
      <c r="C237" s="72">
        <f t="shared" si="25"/>
        <v>51807</v>
      </c>
      <c r="D237" s="457"/>
      <c r="E237" s="474"/>
    </row>
    <row r="238" spans="1:5" x14ac:dyDescent="0.35">
      <c r="A238" s="71" t="str">
        <f t="shared" si="24"/>
        <v>01-June-2022 to 30-June-2022</v>
      </c>
      <c r="B238" s="72">
        <f t="shared" si="25"/>
        <v>94226</v>
      </c>
      <c r="C238" s="72">
        <f t="shared" si="25"/>
        <v>51827</v>
      </c>
      <c r="D238" s="457"/>
      <c r="E238" s="474"/>
    </row>
    <row r="239" spans="1:5" x14ac:dyDescent="0.35">
      <c r="A239" s="71" t="str">
        <f t="shared" si="24"/>
        <v>01-July-2022 to 31-July-2022</v>
      </c>
      <c r="B239" s="72">
        <f t="shared" si="25"/>
        <v>94226</v>
      </c>
      <c r="C239" s="72">
        <f t="shared" si="25"/>
        <v>51818</v>
      </c>
      <c r="D239" s="457"/>
      <c r="E239" s="474"/>
    </row>
    <row r="240" spans="1:5" x14ac:dyDescent="0.35">
      <c r="A240" s="71" t="str">
        <f t="shared" si="24"/>
        <v>01-August-2022 to 31-August-2022</v>
      </c>
      <c r="B240" s="72">
        <f t="shared" si="25"/>
        <v>94226</v>
      </c>
      <c r="C240" s="72">
        <f t="shared" si="25"/>
        <v>51830</v>
      </c>
      <c r="D240" s="457"/>
      <c r="E240" s="474"/>
    </row>
    <row r="241" spans="1:5" x14ac:dyDescent="0.35">
      <c r="A241" s="71" t="str">
        <f t="shared" si="24"/>
        <v>01-September-2022 to 30-September-2022</v>
      </c>
      <c r="B241" s="72">
        <f t="shared" si="25"/>
        <v>94226</v>
      </c>
      <c r="C241" s="72">
        <f t="shared" si="25"/>
        <v>51018</v>
      </c>
      <c r="D241" s="457"/>
      <c r="E241" s="474"/>
    </row>
    <row r="242" spans="1:5" x14ac:dyDescent="0.35">
      <c r="A242" s="71" t="str">
        <f t="shared" si="24"/>
        <v>01-October-2022 to 31-October-2022</v>
      </c>
      <c r="B242" s="72">
        <f t="shared" si="25"/>
        <v>94226</v>
      </c>
      <c r="C242" s="72">
        <f t="shared" si="25"/>
        <v>51826</v>
      </c>
      <c r="D242" s="457"/>
      <c r="E242" s="474"/>
    </row>
    <row r="243" spans="1:5" x14ac:dyDescent="0.35">
      <c r="A243" s="71" t="str">
        <f t="shared" si="24"/>
        <v>01-November-2022 to 30-November-2022</v>
      </c>
      <c r="B243" s="72">
        <f t="shared" si="25"/>
        <v>94226</v>
      </c>
      <c r="C243" s="72">
        <f t="shared" si="25"/>
        <v>51806</v>
      </c>
      <c r="D243" s="457"/>
      <c r="E243" s="474"/>
    </row>
    <row r="244" spans="1:5" x14ac:dyDescent="0.35">
      <c r="A244" s="71" t="str">
        <f t="shared" si="24"/>
        <v>01-December-2022 to 31-December-2022</v>
      </c>
      <c r="B244" s="72">
        <f t="shared" si="25"/>
        <v>94226</v>
      </c>
      <c r="C244" s="72">
        <f t="shared" si="25"/>
        <v>51828</v>
      </c>
      <c r="D244" s="457"/>
      <c r="E244" s="474"/>
    </row>
    <row r="245" spans="1:5" ht="16.5" x14ac:dyDescent="0.45">
      <c r="A245" s="69" t="s">
        <v>176</v>
      </c>
      <c r="B245" s="73">
        <v>0.28999999999999998</v>
      </c>
      <c r="C245" s="68">
        <v>0.28999999999999998</v>
      </c>
      <c r="D245" s="45" t="s">
        <v>315</v>
      </c>
      <c r="E245" s="66" t="s">
        <v>7</v>
      </c>
    </row>
    <row r="246" spans="1:5" s="194" customFormat="1" ht="27" x14ac:dyDescent="0.35">
      <c r="A246" s="67" t="s">
        <v>177</v>
      </c>
      <c r="B246" s="74">
        <v>0.85</v>
      </c>
      <c r="C246" s="74">
        <v>0.85</v>
      </c>
      <c r="D246" s="75" t="s">
        <v>81</v>
      </c>
      <c r="E246" s="66" t="s">
        <v>313</v>
      </c>
    </row>
    <row r="247" spans="1:5" ht="15.75" customHeight="1" x14ac:dyDescent="0.35">
      <c r="A247" s="67" t="s">
        <v>45</v>
      </c>
      <c r="B247" s="76">
        <v>1</v>
      </c>
      <c r="C247" s="76">
        <f>B247</f>
        <v>1</v>
      </c>
      <c r="D247" s="68" t="s">
        <v>102</v>
      </c>
      <c r="E247" s="31" t="s">
        <v>99</v>
      </c>
    </row>
    <row r="248" spans="1:5" ht="15.75" customHeight="1" x14ac:dyDescent="0.45">
      <c r="A248" s="77" t="s">
        <v>178</v>
      </c>
      <c r="B248" s="76"/>
      <c r="C248" s="76"/>
      <c r="D248" s="68"/>
      <c r="E248" s="78"/>
    </row>
    <row r="249" spans="1:5" ht="15.75" customHeight="1" x14ac:dyDescent="0.35">
      <c r="A249" s="79" t="str">
        <f t="shared" ref="A249:A260" si="26">A233</f>
        <v>01-January-2022 to 31-January-2022</v>
      </c>
      <c r="B249" s="80">
        <f t="shared" ref="B249:B260" si="27">ROUNDDOWN($B$216*$B$217*$B$218*(1-$B$246)*$B$245*B233*B220*$B$247,0)</f>
        <v>1471</v>
      </c>
      <c r="C249" s="80">
        <f>ROUNDDOWN($C$216*$C$217*$C$218*(1-$C$246)*$C$245*C233*C220*$C$247,0)</f>
        <v>1011</v>
      </c>
      <c r="D249" s="390" t="s">
        <v>168</v>
      </c>
      <c r="E249" s="416" t="s">
        <v>101</v>
      </c>
    </row>
    <row r="250" spans="1:5" ht="15.75" customHeight="1" x14ac:dyDescent="0.35">
      <c r="A250" s="79" t="str">
        <f t="shared" si="26"/>
        <v>01-February-2022 to 28-February-2022</v>
      </c>
      <c r="B250" s="80">
        <f t="shared" si="27"/>
        <v>1333</v>
      </c>
      <c r="C250" s="80">
        <f t="shared" ref="C250:C260" si="28">ROUNDDOWN($C$216*$C$217*$C$218*(1-$C$246)*$C$245*C234*C221*$C$247,0)</f>
        <v>935</v>
      </c>
      <c r="D250" s="390"/>
      <c r="E250" s="416"/>
    </row>
    <row r="251" spans="1:5" ht="15.75" customHeight="1" x14ac:dyDescent="0.35">
      <c r="A251" s="79" t="str">
        <f t="shared" si="26"/>
        <v>01-March-2022 to 31-March-2022</v>
      </c>
      <c r="B251" s="80">
        <f t="shared" si="27"/>
        <v>1496</v>
      </c>
      <c r="C251" s="80">
        <f t="shared" si="28"/>
        <v>1018</v>
      </c>
      <c r="D251" s="390"/>
      <c r="E251" s="416"/>
    </row>
    <row r="252" spans="1:5" ht="15.75" customHeight="1" x14ac:dyDescent="0.35">
      <c r="A252" s="79" t="str">
        <f t="shared" si="26"/>
        <v>01-April-2022 to 30-April-2022</v>
      </c>
      <c r="B252" s="80">
        <f t="shared" si="27"/>
        <v>1433</v>
      </c>
      <c r="C252" s="80">
        <f t="shared" si="28"/>
        <v>976</v>
      </c>
      <c r="D252" s="390"/>
      <c r="E252" s="416"/>
    </row>
    <row r="253" spans="1:5" ht="15.75" customHeight="1" x14ac:dyDescent="0.35">
      <c r="A253" s="79" t="str">
        <f t="shared" si="26"/>
        <v>01-May-2022 to 31-May-2022</v>
      </c>
      <c r="B253" s="80">
        <f t="shared" si="27"/>
        <v>1478</v>
      </c>
      <c r="C253" s="80">
        <f t="shared" si="28"/>
        <v>1030</v>
      </c>
      <c r="D253" s="390"/>
      <c r="E253" s="416"/>
    </row>
    <row r="254" spans="1:5" ht="15.75" customHeight="1" x14ac:dyDescent="0.35">
      <c r="A254" s="79" t="str">
        <f t="shared" si="26"/>
        <v>01-June-2022 to 30-June-2022</v>
      </c>
      <c r="B254" s="80">
        <f t="shared" si="27"/>
        <v>1455</v>
      </c>
      <c r="C254" s="80">
        <f t="shared" si="28"/>
        <v>980</v>
      </c>
      <c r="D254" s="390"/>
      <c r="E254" s="416"/>
    </row>
    <row r="255" spans="1:5" ht="15.75" customHeight="1" x14ac:dyDescent="0.35">
      <c r="A255" s="79" t="str">
        <f t="shared" si="26"/>
        <v>01-July-2022 to 31-July-2022</v>
      </c>
      <c r="B255" s="80">
        <f t="shared" si="27"/>
        <v>1509</v>
      </c>
      <c r="C255" s="80">
        <f t="shared" si="28"/>
        <v>1014</v>
      </c>
      <c r="D255" s="390"/>
      <c r="E255" s="416"/>
    </row>
    <row r="256" spans="1:5" ht="15.75" customHeight="1" x14ac:dyDescent="0.35">
      <c r="A256" s="79" t="str">
        <f t="shared" si="26"/>
        <v>01-August-2022 to 31-August-2022</v>
      </c>
      <c r="B256" s="80">
        <f t="shared" si="27"/>
        <v>1486</v>
      </c>
      <c r="C256" s="80">
        <f t="shared" si="28"/>
        <v>1017</v>
      </c>
      <c r="D256" s="390"/>
      <c r="E256" s="416"/>
    </row>
    <row r="257" spans="1:5" ht="15.75" customHeight="1" x14ac:dyDescent="0.35">
      <c r="A257" s="79" t="str">
        <f t="shared" si="26"/>
        <v>01-September-2022 to 30-September-2022</v>
      </c>
      <c r="B257" s="80">
        <f t="shared" si="27"/>
        <v>1418</v>
      </c>
      <c r="C257" s="80">
        <f t="shared" si="28"/>
        <v>955</v>
      </c>
      <c r="D257" s="390"/>
      <c r="E257" s="416"/>
    </row>
    <row r="258" spans="1:5" x14ac:dyDescent="0.35">
      <c r="A258" s="79" t="str">
        <f t="shared" si="26"/>
        <v>01-October-2022 to 31-October-2022</v>
      </c>
      <c r="B258" s="80">
        <f t="shared" si="27"/>
        <v>1471</v>
      </c>
      <c r="C258" s="80">
        <f t="shared" si="28"/>
        <v>1026</v>
      </c>
      <c r="D258" s="390"/>
      <c r="E258" s="416"/>
    </row>
    <row r="259" spans="1:5" x14ac:dyDescent="0.35">
      <c r="A259" s="79" t="str">
        <f t="shared" si="26"/>
        <v>01-November-2022 to 30-November-2022</v>
      </c>
      <c r="B259" s="80">
        <f t="shared" si="27"/>
        <v>1435</v>
      </c>
      <c r="C259" s="80">
        <f t="shared" si="28"/>
        <v>1002</v>
      </c>
      <c r="D259" s="390"/>
      <c r="E259" s="416"/>
    </row>
    <row r="260" spans="1:5" x14ac:dyDescent="0.35">
      <c r="A260" s="79" t="str">
        <f t="shared" si="26"/>
        <v>01-December-2022 to 31-December-2022</v>
      </c>
      <c r="B260" s="80">
        <f t="shared" si="27"/>
        <v>1499</v>
      </c>
      <c r="C260" s="80">
        <f t="shared" si="28"/>
        <v>1025</v>
      </c>
      <c r="D260" s="390"/>
      <c r="E260" s="416"/>
    </row>
    <row r="261" spans="1:5" ht="15.5" x14ac:dyDescent="0.45">
      <c r="A261" s="34" t="s">
        <v>374</v>
      </c>
      <c r="B261" s="453">
        <f>SUM(B249:C260)</f>
        <v>29473</v>
      </c>
      <c r="C261" s="454"/>
      <c r="D261" s="390"/>
      <c r="E261" s="416"/>
    </row>
    <row r="262" spans="1:5" ht="16" thickBot="1" x14ac:dyDescent="0.5">
      <c r="A262" s="81" t="s">
        <v>179</v>
      </c>
      <c r="B262" s="459">
        <f>B261</f>
        <v>29473</v>
      </c>
      <c r="C262" s="460"/>
      <c r="D262" s="399"/>
      <c r="E262" s="475"/>
    </row>
    <row r="263" spans="1:5" x14ac:dyDescent="0.35">
      <c r="A263" s="190"/>
    </row>
    <row r="264" spans="1:5" ht="14" thickBot="1" x14ac:dyDescent="0.4">
      <c r="A264" s="190"/>
    </row>
    <row r="265" spans="1:5" x14ac:dyDescent="0.35">
      <c r="A265" s="42" t="s">
        <v>3</v>
      </c>
      <c r="B265" s="43" t="s">
        <v>20</v>
      </c>
      <c r="C265" s="43"/>
      <c r="D265" s="43" t="s">
        <v>2</v>
      </c>
      <c r="E265" s="61" t="s">
        <v>4</v>
      </c>
    </row>
    <row r="266" spans="1:5" x14ac:dyDescent="0.35">
      <c r="A266" s="62"/>
      <c r="B266" s="63" t="str">
        <f>B215</f>
        <v>Market Swine</v>
      </c>
      <c r="C266" s="63" t="str">
        <f>C215</f>
        <v>Breeding Swine</v>
      </c>
      <c r="D266" s="63"/>
      <c r="E266" s="281"/>
    </row>
    <row r="267" spans="1:5" ht="15.5" x14ac:dyDescent="0.45">
      <c r="A267" s="65" t="s">
        <v>171</v>
      </c>
      <c r="B267" s="45">
        <f>B216</f>
        <v>28</v>
      </c>
      <c r="C267" s="45">
        <f>C216</f>
        <v>28</v>
      </c>
      <c r="D267" s="45" t="s">
        <v>163</v>
      </c>
      <c r="E267" s="259" t="s">
        <v>121</v>
      </c>
    </row>
    <row r="268" spans="1:5" x14ac:dyDescent="0.35">
      <c r="A268" s="65" t="s">
        <v>172</v>
      </c>
      <c r="B268" s="45">
        <f>'Baseline Emission'!B12</f>
        <v>6.7000000000000002E-4</v>
      </c>
      <c r="C268" s="45">
        <f>'Baseline Emission'!C12</f>
        <v>6.7000000000000002E-4</v>
      </c>
      <c r="D268" s="45" t="s">
        <v>81</v>
      </c>
      <c r="E268" s="259" t="s">
        <v>312</v>
      </c>
    </row>
    <row r="269" spans="1:5" x14ac:dyDescent="0.35">
      <c r="A269" s="67" t="s">
        <v>26</v>
      </c>
      <c r="B269" s="68">
        <v>1</v>
      </c>
      <c r="C269" s="68">
        <v>1</v>
      </c>
      <c r="D269" s="45" t="s">
        <v>81</v>
      </c>
      <c r="E269" s="259" t="s">
        <v>312</v>
      </c>
    </row>
    <row r="270" spans="1:5" x14ac:dyDescent="0.35">
      <c r="A270" s="69" t="s">
        <v>173</v>
      </c>
      <c r="B270" s="70"/>
      <c r="C270" s="70"/>
      <c r="D270" s="456" t="s">
        <v>123</v>
      </c>
      <c r="E270" s="476" t="s">
        <v>101</v>
      </c>
    </row>
    <row r="271" spans="1:5" x14ac:dyDescent="0.35">
      <c r="A271" s="71" t="str">
        <f t="shared" ref="A271:C282" si="29">A220</f>
        <v>01-January-2022 to 31-January-2022</v>
      </c>
      <c r="B271" s="70">
        <f t="shared" si="29"/>
        <v>19.131428571428575</v>
      </c>
      <c r="C271" s="70">
        <f t="shared" si="29"/>
        <v>23.914285714285715</v>
      </c>
      <c r="D271" s="457"/>
      <c r="E271" s="469"/>
    </row>
    <row r="272" spans="1:5" x14ac:dyDescent="0.35">
      <c r="A272" s="71" t="str">
        <f t="shared" si="29"/>
        <v>01-February-2022 to 28-February-2022</v>
      </c>
      <c r="B272" s="70">
        <f t="shared" si="29"/>
        <v>17.339999999999996</v>
      </c>
      <c r="C272" s="70">
        <f t="shared" si="29"/>
        <v>22.29</v>
      </c>
      <c r="D272" s="457"/>
      <c r="E272" s="469"/>
    </row>
    <row r="273" spans="1:5" x14ac:dyDescent="0.35">
      <c r="A273" s="71" t="str">
        <f t="shared" si="29"/>
        <v>01-March-2022 to 31-March-2022</v>
      </c>
      <c r="B273" s="70">
        <f t="shared" si="29"/>
        <v>19.463571428571431</v>
      </c>
      <c r="C273" s="70">
        <f t="shared" si="29"/>
        <v>24.047142857142855</v>
      </c>
      <c r="D273" s="457"/>
      <c r="E273" s="469"/>
    </row>
    <row r="274" spans="1:5" x14ac:dyDescent="0.35">
      <c r="A274" s="71" t="str">
        <f t="shared" si="29"/>
        <v>01-April-2022 to 30-April-2022</v>
      </c>
      <c r="B274" s="70">
        <f t="shared" si="29"/>
        <v>18.642857142857142</v>
      </c>
      <c r="C274" s="70">
        <f t="shared" si="29"/>
        <v>23.078571428571426</v>
      </c>
      <c r="D274" s="457"/>
      <c r="E274" s="469"/>
    </row>
    <row r="275" spans="1:5" x14ac:dyDescent="0.35">
      <c r="A275" s="71" t="str">
        <f t="shared" si="29"/>
        <v>01-May-2022 to 31-May-2022</v>
      </c>
      <c r="B275" s="70">
        <f t="shared" si="29"/>
        <v>19.231071428571425</v>
      </c>
      <c r="C275" s="70">
        <f t="shared" si="29"/>
        <v>24.379285714285711</v>
      </c>
      <c r="D275" s="457"/>
      <c r="E275" s="469"/>
    </row>
    <row r="276" spans="1:5" x14ac:dyDescent="0.35">
      <c r="A276" s="71" t="str">
        <f t="shared" si="29"/>
        <v>01-June-2022 to 30-June-2022</v>
      </c>
      <c r="B276" s="70">
        <f t="shared" si="29"/>
        <v>18.932142857142857</v>
      </c>
      <c r="C276" s="70">
        <f t="shared" si="29"/>
        <v>23.174999999999997</v>
      </c>
      <c r="D276" s="457"/>
      <c r="E276" s="469"/>
    </row>
    <row r="277" spans="1:5" x14ac:dyDescent="0.35">
      <c r="A277" s="71" t="str">
        <f t="shared" si="29"/>
        <v>01-July-2022 to 31-July-2022</v>
      </c>
      <c r="B277" s="70">
        <f t="shared" si="29"/>
        <v>19.629642857142859</v>
      </c>
      <c r="C277" s="70">
        <f t="shared" si="29"/>
        <v>23.980714285714285</v>
      </c>
      <c r="D277" s="457"/>
      <c r="E277" s="469"/>
    </row>
    <row r="278" spans="1:5" x14ac:dyDescent="0.35">
      <c r="A278" s="71" t="str">
        <f t="shared" si="29"/>
        <v>01-August-2022 to 31-August-2022</v>
      </c>
      <c r="B278" s="70">
        <f t="shared" si="29"/>
        <v>19.330714285714286</v>
      </c>
      <c r="C278" s="70">
        <f t="shared" si="29"/>
        <v>24.047142857142855</v>
      </c>
      <c r="D278" s="457"/>
      <c r="E278" s="469"/>
    </row>
    <row r="279" spans="1:5" x14ac:dyDescent="0.35">
      <c r="A279" s="71" t="str">
        <f t="shared" si="29"/>
        <v>01-September-2022 to 30-September-2022</v>
      </c>
      <c r="B279" s="70">
        <f t="shared" si="29"/>
        <v>18.449999999999996</v>
      </c>
      <c r="C279" s="70">
        <f t="shared" si="29"/>
        <v>22.95</v>
      </c>
      <c r="D279" s="457"/>
      <c r="E279" s="469"/>
    </row>
    <row r="280" spans="1:5" x14ac:dyDescent="0.35">
      <c r="A280" s="71" t="str">
        <f t="shared" si="29"/>
        <v>01-October-2022 to 31-October-2022</v>
      </c>
      <c r="B280" s="70">
        <f t="shared" si="29"/>
        <v>19.131428571428575</v>
      </c>
      <c r="C280" s="70">
        <f t="shared" si="29"/>
        <v>24.27964285714285</v>
      </c>
      <c r="D280" s="457"/>
      <c r="E280" s="469"/>
    </row>
    <row r="281" spans="1:5" x14ac:dyDescent="0.35">
      <c r="A281" s="71" t="str">
        <f t="shared" si="29"/>
        <v>01-November-2022 to 30-November-2022</v>
      </c>
      <c r="B281" s="70">
        <f t="shared" si="29"/>
        <v>18.675000000000001</v>
      </c>
      <c r="C281" s="70">
        <f t="shared" si="29"/>
        <v>23.721428571428572</v>
      </c>
      <c r="D281" s="457"/>
      <c r="E281" s="469"/>
    </row>
    <row r="282" spans="1:5" x14ac:dyDescent="0.35">
      <c r="A282" s="71" t="str">
        <f t="shared" si="29"/>
        <v>01-December-2022 to 31-December-2022</v>
      </c>
      <c r="B282" s="70">
        <f t="shared" si="29"/>
        <v>19.496785714285714</v>
      </c>
      <c r="C282" s="70">
        <f t="shared" si="29"/>
        <v>24.24642857142857</v>
      </c>
      <c r="D282" s="457"/>
      <c r="E282" s="469"/>
    </row>
    <row r="283" spans="1:5" x14ac:dyDescent="0.35">
      <c r="A283" s="69" t="s">
        <v>174</v>
      </c>
      <c r="B283" s="72"/>
      <c r="C283" s="72"/>
      <c r="D283" s="471" t="s">
        <v>72</v>
      </c>
      <c r="E283" s="466" t="str">
        <f>E232</f>
        <v>Calculated as equation 5 and 6 in JPM, of which Np,LT and Nda,LT is  sourced from "Exported from the stock record of Market swine"
NLT for breeding swine is sourced from "Breeding Pig stock record"</v>
      </c>
    </row>
    <row r="284" spans="1:5" x14ac:dyDescent="0.35">
      <c r="A284" s="71" t="str">
        <f t="shared" ref="A284:A295" si="30">A271</f>
        <v>01-January-2022 to 31-January-2022</v>
      </c>
      <c r="B284" s="72">
        <f t="shared" ref="B284:C295" si="31">B233</f>
        <v>94226</v>
      </c>
      <c r="C284" s="72">
        <f t="shared" si="31"/>
        <v>51851</v>
      </c>
      <c r="D284" s="471"/>
      <c r="E284" s="466"/>
    </row>
    <row r="285" spans="1:5" x14ac:dyDescent="0.35">
      <c r="A285" s="71" t="str">
        <f t="shared" si="30"/>
        <v>01-February-2022 to 28-February-2022</v>
      </c>
      <c r="B285" s="72">
        <f t="shared" si="31"/>
        <v>94226</v>
      </c>
      <c r="C285" s="72">
        <f t="shared" si="31"/>
        <v>51422</v>
      </c>
      <c r="D285" s="471"/>
      <c r="E285" s="466"/>
    </row>
    <row r="286" spans="1:5" x14ac:dyDescent="0.35">
      <c r="A286" s="71" t="str">
        <f t="shared" si="30"/>
        <v>01-March-2022 to 31-March-2022</v>
      </c>
      <c r="B286" s="72">
        <f t="shared" si="31"/>
        <v>94226</v>
      </c>
      <c r="C286" s="72">
        <f t="shared" si="31"/>
        <v>51878</v>
      </c>
      <c r="D286" s="471"/>
      <c r="E286" s="466"/>
    </row>
    <row r="287" spans="1:5" x14ac:dyDescent="0.35">
      <c r="A287" s="71" t="str">
        <f t="shared" si="30"/>
        <v>01-April-2022 to 30-April-2022</v>
      </c>
      <c r="B287" s="72">
        <f t="shared" si="31"/>
        <v>94226</v>
      </c>
      <c r="C287" s="72">
        <f t="shared" si="31"/>
        <v>51867</v>
      </c>
      <c r="D287" s="471"/>
      <c r="E287" s="466"/>
    </row>
    <row r="288" spans="1:5" x14ac:dyDescent="0.35">
      <c r="A288" s="71" t="str">
        <f t="shared" si="30"/>
        <v>01-May-2022 to 31-May-2022</v>
      </c>
      <c r="B288" s="72">
        <f t="shared" si="31"/>
        <v>94226</v>
      </c>
      <c r="C288" s="72">
        <f t="shared" si="31"/>
        <v>51807</v>
      </c>
      <c r="D288" s="471"/>
      <c r="E288" s="466"/>
    </row>
    <row r="289" spans="1:5" x14ac:dyDescent="0.35">
      <c r="A289" s="71" t="str">
        <f t="shared" si="30"/>
        <v>01-June-2022 to 30-June-2022</v>
      </c>
      <c r="B289" s="72">
        <f t="shared" si="31"/>
        <v>94226</v>
      </c>
      <c r="C289" s="72">
        <f t="shared" si="31"/>
        <v>51827</v>
      </c>
      <c r="D289" s="471"/>
      <c r="E289" s="466"/>
    </row>
    <row r="290" spans="1:5" x14ac:dyDescent="0.35">
      <c r="A290" s="71" t="str">
        <f t="shared" si="30"/>
        <v>01-July-2022 to 31-July-2022</v>
      </c>
      <c r="B290" s="72">
        <f t="shared" si="31"/>
        <v>94226</v>
      </c>
      <c r="C290" s="72">
        <f t="shared" si="31"/>
        <v>51818</v>
      </c>
      <c r="D290" s="471"/>
      <c r="E290" s="466"/>
    </row>
    <row r="291" spans="1:5" x14ac:dyDescent="0.35">
      <c r="A291" s="71" t="str">
        <f t="shared" si="30"/>
        <v>01-August-2022 to 31-August-2022</v>
      </c>
      <c r="B291" s="72">
        <f t="shared" si="31"/>
        <v>94226</v>
      </c>
      <c r="C291" s="72">
        <f t="shared" si="31"/>
        <v>51830</v>
      </c>
      <c r="D291" s="471"/>
      <c r="E291" s="466"/>
    </row>
    <row r="292" spans="1:5" x14ac:dyDescent="0.35">
      <c r="A292" s="71" t="str">
        <f t="shared" si="30"/>
        <v>01-September-2022 to 30-September-2022</v>
      </c>
      <c r="B292" s="72">
        <f t="shared" si="31"/>
        <v>94226</v>
      </c>
      <c r="C292" s="72">
        <f t="shared" si="31"/>
        <v>51018</v>
      </c>
      <c r="D292" s="471"/>
      <c r="E292" s="466"/>
    </row>
    <row r="293" spans="1:5" x14ac:dyDescent="0.35">
      <c r="A293" s="71" t="str">
        <f t="shared" si="30"/>
        <v>01-October-2022 to 31-October-2022</v>
      </c>
      <c r="B293" s="72">
        <f t="shared" si="31"/>
        <v>94226</v>
      </c>
      <c r="C293" s="72">
        <f t="shared" si="31"/>
        <v>51826</v>
      </c>
      <c r="D293" s="471"/>
      <c r="E293" s="472"/>
    </row>
    <row r="294" spans="1:5" x14ac:dyDescent="0.35">
      <c r="A294" s="71" t="str">
        <f t="shared" si="30"/>
        <v>01-November-2022 to 30-November-2022</v>
      </c>
      <c r="B294" s="72">
        <f t="shared" si="31"/>
        <v>94226</v>
      </c>
      <c r="C294" s="72">
        <f t="shared" si="31"/>
        <v>51806</v>
      </c>
      <c r="D294" s="471"/>
      <c r="E294" s="472"/>
    </row>
    <row r="295" spans="1:5" x14ac:dyDescent="0.35">
      <c r="A295" s="71" t="str">
        <f t="shared" si="30"/>
        <v>01-December-2022 to 31-December-2022</v>
      </c>
      <c r="B295" s="72">
        <f t="shared" si="31"/>
        <v>94226</v>
      </c>
      <c r="C295" s="72">
        <f t="shared" si="31"/>
        <v>51828</v>
      </c>
      <c r="D295" s="471"/>
      <c r="E295" s="472"/>
    </row>
    <row r="296" spans="1:5" ht="16.5" x14ac:dyDescent="0.45">
      <c r="A296" s="69" t="s">
        <v>291</v>
      </c>
      <c r="B296" s="73">
        <v>0.28999999999999998</v>
      </c>
      <c r="C296" s="68">
        <v>0.28999999999999998</v>
      </c>
      <c r="D296" s="45" t="s">
        <v>315</v>
      </c>
      <c r="E296" s="259" t="s">
        <v>7</v>
      </c>
    </row>
    <row r="297" spans="1:5" ht="30" customHeight="1" x14ac:dyDescent="0.35">
      <c r="A297" s="67" t="s">
        <v>292</v>
      </c>
      <c r="B297" s="74">
        <v>0.8</v>
      </c>
      <c r="C297" s="76">
        <v>0.8</v>
      </c>
      <c r="D297" s="45" t="s">
        <v>81</v>
      </c>
      <c r="E297" s="463" t="s">
        <v>314</v>
      </c>
    </row>
    <row r="298" spans="1:5" ht="25.5" customHeight="1" x14ac:dyDescent="0.35">
      <c r="A298" s="67" t="s">
        <v>292</v>
      </c>
      <c r="B298" s="74">
        <v>0.2</v>
      </c>
      <c r="C298" s="74">
        <v>0.2</v>
      </c>
      <c r="D298" s="68" t="s">
        <v>81</v>
      </c>
      <c r="E298" s="465"/>
    </row>
    <row r="299" spans="1:5" x14ac:dyDescent="0.35">
      <c r="A299" s="67" t="s">
        <v>45</v>
      </c>
      <c r="B299" s="74">
        <v>1</v>
      </c>
      <c r="C299" s="74">
        <v>1</v>
      </c>
      <c r="D299" s="68" t="s">
        <v>102</v>
      </c>
      <c r="E299" s="31" t="s">
        <v>99</v>
      </c>
    </row>
    <row r="300" spans="1:5" ht="15.5" x14ac:dyDescent="0.45">
      <c r="A300" s="297" t="s">
        <v>293</v>
      </c>
      <c r="B300" s="74"/>
      <c r="C300" s="74"/>
      <c r="D300" s="68"/>
      <c r="E300" s="259"/>
    </row>
    <row r="301" spans="1:5" x14ac:dyDescent="0.35">
      <c r="A301" s="79" t="str">
        <f t="shared" ref="A301:A312" si="32">A284</f>
        <v>01-January-2022 to 31-January-2022</v>
      </c>
      <c r="B301" s="298">
        <f t="shared" ref="B301:B312" si="33">ROUNDUP($B$267*$B$268*$B$269*(1-$B$297)*(1-$B$298)*$B$296*B284*B271*$B$299,0)</f>
        <v>1570</v>
      </c>
      <c r="C301" s="298">
        <f>ROUNDUP($C$267*$C$268*$C$269*(1-$C$297)*(1-$C$298)*$C$296*C284*C271*$C$299,0)</f>
        <v>1080</v>
      </c>
      <c r="D301" s="457" t="s">
        <v>168</v>
      </c>
      <c r="E301" s="469" t="s">
        <v>101</v>
      </c>
    </row>
    <row r="302" spans="1:5" x14ac:dyDescent="0.35">
      <c r="A302" s="79" t="str">
        <f t="shared" si="32"/>
        <v>01-February-2022 to 28-February-2022</v>
      </c>
      <c r="B302" s="298">
        <f t="shared" si="33"/>
        <v>1423</v>
      </c>
      <c r="C302" s="298">
        <f t="shared" ref="C302:C312" si="34">ROUNDUP($C$267*$C$268*$C$269*(1-$C$297)*(1-$C$298)*$C$296*C285*C272*$C$299,0)</f>
        <v>998</v>
      </c>
      <c r="D302" s="457"/>
      <c r="E302" s="469"/>
    </row>
    <row r="303" spans="1:5" x14ac:dyDescent="0.35">
      <c r="A303" s="79" t="str">
        <f t="shared" si="32"/>
        <v>01-March-2022 to 31-March-2022</v>
      </c>
      <c r="B303" s="298">
        <f t="shared" si="33"/>
        <v>1597</v>
      </c>
      <c r="C303" s="298">
        <f t="shared" si="34"/>
        <v>1086</v>
      </c>
      <c r="D303" s="457"/>
      <c r="E303" s="469"/>
    </row>
    <row r="304" spans="1:5" x14ac:dyDescent="0.35">
      <c r="A304" s="79" t="str">
        <f t="shared" si="32"/>
        <v>01-April-2022 to 30-April-2022</v>
      </c>
      <c r="B304" s="298">
        <f t="shared" si="33"/>
        <v>1530</v>
      </c>
      <c r="C304" s="298">
        <f t="shared" si="34"/>
        <v>1042</v>
      </c>
      <c r="D304" s="457"/>
      <c r="E304" s="469"/>
    </row>
    <row r="305" spans="1:6" x14ac:dyDescent="0.35">
      <c r="A305" s="79" t="str">
        <f t="shared" si="32"/>
        <v>01-May-2022 to 31-May-2022</v>
      </c>
      <c r="B305" s="298">
        <f t="shared" si="33"/>
        <v>1578</v>
      </c>
      <c r="C305" s="298">
        <f t="shared" si="34"/>
        <v>1100</v>
      </c>
      <c r="D305" s="457"/>
      <c r="E305" s="469"/>
    </row>
    <row r="306" spans="1:6" x14ac:dyDescent="0.35">
      <c r="A306" s="79" t="str">
        <f t="shared" si="32"/>
        <v>01-June-2022 to 30-June-2022</v>
      </c>
      <c r="B306" s="298">
        <f t="shared" si="33"/>
        <v>1553</v>
      </c>
      <c r="C306" s="298">
        <f t="shared" si="34"/>
        <v>1046</v>
      </c>
      <c r="D306" s="457"/>
      <c r="E306" s="469"/>
    </row>
    <row r="307" spans="1:6" x14ac:dyDescent="0.35">
      <c r="A307" s="79" t="str">
        <f t="shared" si="32"/>
        <v>01-July-2022 to 31-July-2022</v>
      </c>
      <c r="B307" s="298">
        <f t="shared" si="33"/>
        <v>1611</v>
      </c>
      <c r="C307" s="298">
        <f t="shared" si="34"/>
        <v>1082</v>
      </c>
      <c r="D307" s="457"/>
      <c r="E307" s="469"/>
    </row>
    <row r="308" spans="1:6" x14ac:dyDescent="0.35">
      <c r="A308" s="79" t="str">
        <f t="shared" si="32"/>
        <v>01-August-2022 to 31-August-2022</v>
      </c>
      <c r="B308" s="298">
        <f t="shared" si="33"/>
        <v>1586</v>
      </c>
      <c r="C308" s="298">
        <f t="shared" si="34"/>
        <v>1085</v>
      </c>
      <c r="D308" s="457"/>
      <c r="E308" s="469"/>
    </row>
    <row r="309" spans="1:6" x14ac:dyDescent="0.35">
      <c r="A309" s="79" t="str">
        <f t="shared" si="32"/>
        <v>01-September-2022 to 30-September-2022</v>
      </c>
      <c r="B309" s="298">
        <f t="shared" si="33"/>
        <v>1514</v>
      </c>
      <c r="C309" s="298">
        <f t="shared" si="34"/>
        <v>1020</v>
      </c>
      <c r="D309" s="457"/>
      <c r="E309" s="469"/>
    </row>
    <row r="310" spans="1:6" ht="15.75" customHeight="1" x14ac:dyDescent="0.35">
      <c r="A310" s="79" t="str">
        <f t="shared" si="32"/>
        <v>01-October-2022 to 31-October-2022</v>
      </c>
      <c r="B310" s="298">
        <f t="shared" si="33"/>
        <v>1570</v>
      </c>
      <c r="C310" s="298">
        <f t="shared" si="34"/>
        <v>1096</v>
      </c>
      <c r="D310" s="457"/>
      <c r="E310" s="469"/>
    </row>
    <row r="311" spans="1:6" ht="12.75" customHeight="1" x14ac:dyDescent="0.35">
      <c r="A311" s="79" t="str">
        <f t="shared" si="32"/>
        <v>01-November-2022 to 30-November-2022</v>
      </c>
      <c r="B311" s="298">
        <f t="shared" si="33"/>
        <v>1532</v>
      </c>
      <c r="C311" s="298">
        <f t="shared" si="34"/>
        <v>1070</v>
      </c>
      <c r="D311" s="457"/>
      <c r="E311" s="469"/>
    </row>
    <row r="312" spans="1:6" ht="12.75" customHeight="1" x14ac:dyDescent="0.35">
      <c r="A312" s="79" t="str">
        <f t="shared" si="32"/>
        <v>01-December-2022 to 31-December-2022</v>
      </c>
      <c r="B312" s="298">
        <f t="shared" si="33"/>
        <v>1600</v>
      </c>
      <c r="C312" s="298">
        <f t="shared" si="34"/>
        <v>1094</v>
      </c>
      <c r="D312" s="457"/>
      <c r="E312" s="469"/>
    </row>
    <row r="313" spans="1:6" ht="12.75" customHeight="1" x14ac:dyDescent="0.45">
      <c r="A313" s="34" t="s">
        <v>387</v>
      </c>
      <c r="B313" s="453">
        <f>SUM(B301:C312)</f>
        <v>31463</v>
      </c>
      <c r="C313" s="454"/>
      <c r="D313" s="457"/>
      <c r="E313" s="469"/>
    </row>
    <row r="314" spans="1:6" ht="16" thickBot="1" x14ac:dyDescent="0.5">
      <c r="A314" s="81" t="s">
        <v>294</v>
      </c>
      <c r="B314" s="459">
        <f>B313</f>
        <v>31463</v>
      </c>
      <c r="C314" s="460"/>
      <c r="D314" s="458"/>
      <c r="E314" s="470"/>
    </row>
    <row r="315" spans="1:6" x14ac:dyDescent="0.35">
      <c r="A315" s="190"/>
    </row>
    <row r="316" spans="1:6" ht="14" thickBot="1" x14ac:dyDescent="0.4"/>
    <row r="317" spans="1:6" ht="15.5" x14ac:dyDescent="0.35">
      <c r="A317" s="42" t="s">
        <v>349</v>
      </c>
      <c r="B317" s="351" t="s">
        <v>375</v>
      </c>
      <c r="C317" s="351" t="s">
        <v>376</v>
      </c>
      <c r="D317" s="351" t="s">
        <v>377</v>
      </c>
      <c r="E317" s="351" t="s">
        <v>378</v>
      </c>
      <c r="F317" s="352" t="s">
        <v>379</v>
      </c>
    </row>
    <row r="318" spans="1:6" ht="14" thickBot="1" x14ac:dyDescent="0.4">
      <c r="A318" s="350" t="s">
        <v>348</v>
      </c>
      <c r="B318" s="353">
        <f>B262</f>
        <v>29473</v>
      </c>
      <c r="C318" s="353">
        <f>B314</f>
        <v>31463</v>
      </c>
      <c r="D318" s="354">
        <f>B103</f>
        <v>1373</v>
      </c>
      <c r="E318" s="353">
        <f>B200</f>
        <v>4961</v>
      </c>
      <c r="F318" s="355">
        <f>C318-B318+E318-D318</f>
        <v>5578</v>
      </c>
    </row>
    <row r="319" spans="1:6" x14ac:dyDescent="0.35">
      <c r="B319" s="44"/>
      <c r="C319" s="44"/>
      <c r="D319" s="123"/>
      <c r="F319" s="107"/>
    </row>
    <row r="320" spans="1:6" x14ac:dyDescent="0.35">
      <c r="B320" s="44"/>
      <c r="C320" s="44"/>
      <c r="D320" s="123"/>
      <c r="F320" s="107"/>
    </row>
    <row r="321" spans="1:6" x14ac:dyDescent="0.35">
      <c r="B321" s="44"/>
      <c r="C321" s="44"/>
      <c r="D321" s="123"/>
      <c r="F321" s="107"/>
    </row>
    <row r="322" spans="1:6" x14ac:dyDescent="0.35">
      <c r="B322" s="44"/>
      <c r="C322" s="44"/>
      <c r="D322" s="123"/>
      <c r="E322" s="299"/>
    </row>
    <row r="323" spans="1:6" x14ac:dyDescent="0.35">
      <c r="B323" s="44"/>
      <c r="C323" s="44"/>
      <c r="D323" s="123"/>
      <c r="E323" s="299"/>
    </row>
    <row r="324" spans="1:6" x14ac:dyDescent="0.35">
      <c r="B324" s="44"/>
      <c r="C324" s="44"/>
      <c r="D324" s="123"/>
      <c r="E324" s="299"/>
    </row>
    <row r="325" spans="1:6" x14ac:dyDescent="0.35">
      <c r="B325" s="44"/>
      <c r="C325" s="44"/>
    </row>
    <row r="326" spans="1:6" x14ac:dyDescent="0.35">
      <c r="B326" s="44"/>
      <c r="C326" s="44"/>
    </row>
    <row r="327" spans="1:6" x14ac:dyDescent="0.35">
      <c r="B327" s="44"/>
      <c r="C327" s="44"/>
    </row>
    <row r="328" spans="1:6" x14ac:dyDescent="0.35">
      <c r="B328" s="44"/>
      <c r="C328" s="44"/>
    </row>
    <row r="329" spans="1:6" x14ac:dyDescent="0.35">
      <c r="B329" s="44"/>
      <c r="C329" s="44"/>
    </row>
    <row r="330" spans="1:6" x14ac:dyDescent="0.35">
      <c r="B330" s="44"/>
      <c r="C330" s="44"/>
    </row>
    <row r="331" spans="1:6" x14ac:dyDescent="0.35">
      <c r="B331" s="44"/>
      <c r="C331" s="44"/>
    </row>
    <row r="332" spans="1:6" x14ac:dyDescent="0.35">
      <c r="A332" s="190"/>
      <c r="B332" s="44"/>
    </row>
    <row r="333" spans="1:6" x14ac:dyDescent="0.35">
      <c r="A333" s="190"/>
      <c r="B333" s="300"/>
    </row>
    <row r="334" spans="1:6" x14ac:dyDescent="0.35">
      <c r="A334" s="190"/>
      <c r="B334" s="300"/>
    </row>
    <row r="335" spans="1:6" ht="15" x14ac:dyDescent="0.4">
      <c r="A335" s="301"/>
      <c r="B335" s="302"/>
    </row>
    <row r="336" spans="1:6" x14ac:dyDescent="0.35">
      <c r="B336" s="44"/>
      <c r="C336" s="303"/>
    </row>
    <row r="337" spans="1:5" x14ac:dyDescent="0.35">
      <c r="B337" s="44"/>
      <c r="D337" s="304"/>
      <c r="E337" s="107"/>
    </row>
    <row r="338" spans="1:5" x14ac:dyDescent="0.35">
      <c r="B338" s="44"/>
    </row>
    <row r="339" spans="1:5" x14ac:dyDescent="0.35">
      <c r="B339" s="44"/>
      <c r="C339" s="219"/>
    </row>
    <row r="344" spans="1:5" x14ac:dyDescent="0.35">
      <c r="A344" s="221" t="s">
        <v>295</v>
      </c>
      <c r="B344" s="305"/>
      <c r="C344" s="305"/>
      <c r="D344" s="272"/>
      <c r="E344" s="272"/>
    </row>
    <row r="345" spans="1:5" x14ac:dyDescent="0.35">
      <c r="A345" s="279" t="s">
        <v>3</v>
      </c>
      <c r="B345" s="279" t="s">
        <v>20</v>
      </c>
      <c r="C345" s="279"/>
      <c r="D345" s="279" t="s">
        <v>2</v>
      </c>
      <c r="E345" s="279" t="s">
        <v>4</v>
      </c>
    </row>
    <row r="346" spans="1:5" x14ac:dyDescent="0.35">
      <c r="A346" s="279"/>
      <c r="B346" s="279" t="str">
        <f>'Baseline Emission'!B10</f>
        <v>Market Swine</v>
      </c>
      <c r="C346" s="279" t="str">
        <f>'Baseline Emission'!C10</f>
        <v>Breeding Swine</v>
      </c>
      <c r="D346" s="279"/>
      <c r="E346" s="279"/>
    </row>
    <row r="347" spans="1:5" x14ac:dyDescent="0.35">
      <c r="A347" s="306" t="s">
        <v>296</v>
      </c>
      <c r="B347" s="307">
        <v>0.01</v>
      </c>
      <c r="C347" s="308">
        <v>0.02</v>
      </c>
      <c r="D347" s="305" t="s">
        <v>17</v>
      </c>
      <c r="E347" s="309" t="s">
        <v>7</v>
      </c>
    </row>
    <row r="348" spans="1:5" ht="15.5" x14ac:dyDescent="0.35">
      <c r="A348" s="306" t="s">
        <v>297</v>
      </c>
      <c r="B348" s="310">
        <f>'Baseline Emission'!B15</f>
        <v>0</v>
      </c>
      <c r="C348" s="310">
        <f>'Baseline Emission'!C15</f>
        <v>0</v>
      </c>
      <c r="D348" s="305" t="s">
        <v>18</v>
      </c>
      <c r="E348" s="272" t="s">
        <v>29</v>
      </c>
    </row>
    <row r="349" spans="1:5" x14ac:dyDescent="0.35">
      <c r="A349" s="311" t="s">
        <v>26</v>
      </c>
      <c r="B349" s="310">
        <v>1</v>
      </c>
      <c r="C349" s="310">
        <v>1</v>
      </c>
      <c r="D349" s="305"/>
      <c r="E349" s="272" t="s">
        <v>7</v>
      </c>
    </row>
    <row r="350" spans="1:5" x14ac:dyDescent="0.35">
      <c r="A350" s="311" t="s">
        <v>298</v>
      </c>
      <c r="B350" s="312">
        <v>0.36</v>
      </c>
      <c r="C350" s="308">
        <v>0.39</v>
      </c>
      <c r="D350" s="305" t="s">
        <v>19</v>
      </c>
      <c r="E350" s="272" t="s">
        <v>7</v>
      </c>
    </row>
    <row r="351" spans="1:5" x14ac:dyDescent="0.35">
      <c r="A351" s="311" t="s">
        <v>27</v>
      </c>
      <c r="B351" s="313">
        <v>0.7</v>
      </c>
      <c r="C351" s="313">
        <v>0.7</v>
      </c>
      <c r="D351" s="305"/>
      <c r="E351" s="272" t="s">
        <v>33</v>
      </c>
    </row>
    <row r="352" spans="1:5" x14ac:dyDescent="0.35">
      <c r="A352" s="314" t="s">
        <v>22</v>
      </c>
      <c r="B352" s="315">
        <f>21*0.00067*365*B347*B348*B350*(1-B351)</f>
        <v>0</v>
      </c>
      <c r="C352" s="315">
        <f>21*0.00067*365*C347*C348*C350*(1-C351)</f>
        <v>0</v>
      </c>
      <c r="D352" s="221"/>
      <c r="E352" s="221" t="s">
        <v>31</v>
      </c>
    </row>
    <row r="353" spans="1:5" x14ac:dyDescent="0.35">
      <c r="A353" s="221" t="s">
        <v>28</v>
      </c>
      <c r="B353" s="316">
        <f>ROUND(B352+C352,0)</f>
        <v>0</v>
      </c>
      <c r="C353" s="279"/>
      <c r="D353" s="221"/>
      <c r="E353" s="221"/>
    </row>
  </sheetData>
  <customSheetViews>
    <customSheetView guid="{2C071143-29D6-4036-A926-BF7E54293313}" hiddenRows="1" showRuler="0" topLeftCell="A123">
      <selection activeCell="B81" sqref="B81"/>
      <pageMargins left="0.75" right="0.75" top="1" bottom="1" header="0.5" footer="0.5"/>
      <pageSetup paperSize="9" orientation="portrait" horizontalDpi="300" verticalDpi="300" r:id="rId1"/>
      <headerFooter alignWithMargins="0"/>
    </customSheetView>
  </customSheetViews>
  <mergeCells count="53">
    <mergeCell ref="E301:E314"/>
    <mergeCell ref="D283:D295"/>
    <mergeCell ref="E283:E295"/>
    <mergeCell ref="E232:E244"/>
    <mergeCell ref="E249:E262"/>
    <mergeCell ref="D270:D282"/>
    <mergeCell ref="E270:E282"/>
    <mergeCell ref="E297:E298"/>
    <mergeCell ref="D249:D262"/>
    <mergeCell ref="E147:E148"/>
    <mergeCell ref="D72:D86"/>
    <mergeCell ref="E134:E146"/>
    <mergeCell ref="E219:E231"/>
    <mergeCell ref="D134:D146"/>
    <mergeCell ref="D199:D200"/>
    <mergeCell ref="D87:D101"/>
    <mergeCell ref="D102:D103"/>
    <mergeCell ref="E154:E200"/>
    <mergeCell ref="E72:E86"/>
    <mergeCell ref="E87:E101"/>
    <mergeCell ref="E102:E103"/>
    <mergeCell ref="D122:D133"/>
    <mergeCell ref="E122:E133"/>
    <mergeCell ref="D24:D36"/>
    <mergeCell ref="E24:E36"/>
    <mergeCell ref="D37:D49"/>
    <mergeCell ref="E37:E49"/>
    <mergeCell ref="D57:D71"/>
    <mergeCell ref="E57:E71"/>
    <mergeCell ref="B70:C70"/>
    <mergeCell ref="B85:C85"/>
    <mergeCell ref="B200:C200"/>
    <mergeCell ref="D232:D244"/>
    <mergeCell ref="D301:D314"/>
    <mergeCell ref="B198:C198"/>
    <mergeCell ref="B261:C261"/>
    <mergeCell ref="B262:C262"/>
    <mergeCell ref="B182:C182"/>
    <mergeCell ref="B197:C197"/>
    <mergeCell ref="B199:C199"/>
    <mergeCell ref="D219:D231"/>
    <mergeCell ref="D154:D198"/>
    <mergeCell ref="B313:C313"/>
    <mergeCell ref="B314:C314"/>
    <mergeCell ref="B100:C100"/>
    <mergeCell ref="B71:C71"/>
    <mergeCell ref="B86:C86"/>
    <mergeCell ref="B101:C101"/>
    <mergeCell ref="B183:C183"/>
    <mergeCell ref="B168:C168"/>
    <mergeCell ref="B102:C102"/>
    <mergeCell ref="B103:C103"/>
    <mergeCell ref="B167:C167"/>
  </mergeCells>
  <phoneticPr fontId="0" type="noConversion"/>
  <pageMargins left="0.75" right="0.75" top="1" bottom="1" header="0.5" footer="0.5"/>
  <pageSetup paperSize="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53"/>
  <sheetViews>
    <sheetView zoomScale="85" zoomScaleNormal="85" workbookViewId="0">
      <selection activeCell="K22" sqref="K22"/>
    </sheetView>
  </sheetViews>
  <sheetFormatPr defaultColWidth="8.54296875" defaultRowHeight="13.5" x14ac:dyDescent="0.25"/>
  <cols>
    <col min="1" max="1" width="45" style="127" bestFit="1" customWidth="1"/>
    <col min="2" max="2" width="21.6328125" style="127" bestFit="1" customWidth="1"/>
    <col min="3" max="3" width="12.453125" style="127" customWidth="1"/>
    <col min="4" max="4" width="11.54296875" style="127" customWidth="1"/>
    <col min="5" max="5" width="13.26953125" style="127" customWidth="1"/>
    <col min="6" max="6" width="14.7265625" style="127" customWidth="1"/>
    <col min="7" max="8" width="9.81640625" style="127" customWidth="1"/>
    <col min="9" max="9" width="10.81640625" style="127" bestFit="1" customWidth="1"/>
    <col min="10" max="10" width="9.81640625" style="127" customWidth="1"/>
    <col min="11" max="11" width="18.453125" style="127" customWidth="1"/>
    <col min="12" max="12" width="9" style="127" customWidth="1"/>
    <col min="13" max="13" width="12" style="127" bestFit="1" customWidth="1"/>
    <col min="14" max="14" width="6" style="127" bestFit="1" customWidth="1"/>
    <col min="15" max="15" width="9.81640625" style="127" bestFit="1" customWidth="1"/>
    <col min="16" max="16" width="12.453125" style="127" customWidth="1"/>
    <col min="17" max="17" width="12.1796875" style="127" customWidth="1"/>
    <col min="18" max="18" width="11.453125" style="127" customWidth="1"/>
    <col min="19" max="19" width="10.453125" style="127" customWidth="1"/>
    <col min="20" max="20" width="19" style="127" customWidth="1"/>
    <col min="21" max="21" width="11.453125" style="127" customWidth="1"/>
    <col min="22" max="22" width="9.453125" style="127" customWidth="1"/>
    <col min="23" max="23" width="5.453125" style="127" customWidth="1"/>
    <col min="24" max="24" width="9.26953125" style="127" bestFit="1" customWidth="1"/>
    <col min="25" max="25" width="9.81640625" style="127" bestFit="1" customWidth="1"/>
    <col min="26" max="26" width="12" style="127" bestFit="1" customWidth="1"/>
    <col min="27" max="27" width="8.1796875" style="127" customWidth="1"/>
    <col min="28" max="28" width="11.1796875" style="127" customWidth="1"/>
    <col min="29" max="29" width="18.453125" style="127" customWidth="1"/>
    <col min="30" max="30" width="11.453125" style="127" customWidth="1"/>
    <col min="31" max="31" width="14.453125" style="127" customWidth="1"/>
    <col min="32" max="32" width="4.54296875" style="127" customWidth="1"/>
    <col min="33" max="33" width="7.1796875" style="127" customWidth="1"/>
    <col min="34" max="34" width="8.1796875" style="127" customWidth="1"/>
    <col min="35" max="35" width="9.54296875" style="127" customWidth="1"/>
    <col min="36" max="36" width="10.54296875" style="127" customWidth="1"/>
    <col min="37" max="37" width="8.54296875" style="127"/>
    <col min="38" max="38" width="18.1796875" style="127" customWidth="1"/>
    <col min="39" max="39" width="11.1796875" style="127" customWidth="1"/>
    <col min="40" max="40" width="13.453125" style="127" customWidth="1"/>
    <col min="41" max="16384" width="8.54296875" style="127"/>
  </cols>
  <sheetData>
    <row r="1" spans="1:40" ht="19" x14ac:dyDescent="0.25">
      <c r="A1" s="482" t="s">
        <v>103</v>
      </c>
      <c r="B1" s="482"/>
      <c r="C1" s="482"/>
      <c r="D1" s="482"/>
      <c r="E1" s="482"/>
      <c r="F1" s="482"/>
      <c r="G1" s="125"/>
      <c r="H1" s="125"/>
      <c r="I1" s="125"/>
      <c r="J1" s="125"/>
      <c r="K1" s="125"/>
      <c r="L1" s="125"/>
      <c r="M1" s="125"/>
      <c r="N1" s="126"/>
      <c r="O1" s="126"/>
      <c r="P1" s="126"/>
      <c r="Q1" s="126"/>
      <c r="R1" s="126"/>
      <c r="S1" s="126"/>
      <c r="T1" s="126"/>
    </row>
    <row r="2" spans="1:40" ht="31.5" customHeight="1" x14ac:dyDescent="0.25">
      <c r="A2" s="128" t="s">
        <v>104</v>
      </c>
      <c r="B2" s="129" t="s">
        <v>105</v>
      </c>
      <c r="C2" s="483" t="s">
        <v>141</v>
      </c>
      <c r="D2" s="484"/>
      <c r="E2" s="484"/>
      <c r="F2" s="484"/>
      <c r="G2" s="484"/>
      <c r="H2" s="484"/>
      <c r="I2" s="484"/>
      <c r="J2" s="484"/>
      <c r="K2" s="485"/>
      <c r="L2" s="486" t="s">
        <v>142</v>
      </c>
      <c r="M2" s="487"/>
      <c r="N2" s="487"/>
      <c r="O2" s="487"/>
      <c r="P2" s="487"/>
      <c r="Q2" s="487"/>
      <c r="R2" s="487"/>
      <c r="S2" s="487"/>
      <c r="T2" s="488"/>
      <c r="U2" s="483" t="s">
        <v>143</v>
      </c>
      <c r="V2" s="484"/>
      <c r="W2" s="484"/>
      <c r="X2" s="484"/>
      <c r="Y2" s="484"/>
      <c r="Z2" s="484"/>
      <c r="AA2" s="484"/>
      <c r="AB2" s="484"/>
      <c r="AC2" s="485"/>
      <c r="AD2" s="486" t="s">
        <v>144</v>
      </c>
      <c r="AE2" s="487"/>
      <c r="AF2" s="487"/>
      <c r="AG2" s="487"/>
      <c r="AH2" s="487"/>
      <c r="AI2" s="487"/>
      <c r="AJ2" s="487"/>
      <c r="AK2" s="487"/>
      <c r="AL2" s="488"/>
      <c r="AM2" s="478" t="s">
        <v>194</v>
      </c>
      <c r="AN2" s="480" t="s">
        <v>195</v>
      </c>
    </row>
    <row r="3" spans="1:40" ht="30.75" customHeight="1" x14ac:dyDescent="0.25">
      <c r="A3" s="128" t="s">
        <v>104</v>
      </c>
      <c r="B3" s="130" t="s">
        <v>106</v>
      </c>
      <c r="C3" s="131" t="s">
        <v>196</v>
      </c>
      <c r="D3" s="132" t="s">
        <v>197</v>
      </c>
      <c r="E3" s="132" t="s">
        <v>198</v>
      </c>
      <c r="F3" s="132" t="s">
        <v>199</v>
      </c>
      <c r="G3" s="132" t="s">
        <v>200</v>
      </c>
      <c r="H3" s="132" t="s">
        <v>201</v>
      </c>
      <c r="I3" s="132" t="s">
        <v>202</v>
      </c>
      <c r="J3" s="132" t="s">
        <v>203</v>
      </c>
      <c r="K3" s="132"/>
      <c r="L3" s="133" t="s">
        <v>196</v>
      </c>
      <c r="M3" s="134" t="s">
        <v>197</v>
      </c>
      <c r="N3" s="134" t="s">
        <v>198</v>
      </c>
      <c r="O3" s="134" t="s">
        <v>199</v>
      </c>
      <c r="P3" s="134" t="s">
        <v>200</v>
      </c>
      <c r="Q3" s="134" t="s">
        <v>201</v>
      </c>
      <c r="R3" s="134" t="s">
        <v>202</v>
      </c>
      <c r="S3" s="134" t="s">
        <v>203</v>
      </c>
      <c r="T3" s="134"/>
      <c r="U3" s="131" t="s">
        <v>196</v>
      </c>
      <c r="V3" s="132" t="s">
        <v>197</v>
      </c>
      <c r="W3" s="132" t="s">
        <v>198</v>
      </c>
      <c r="X3" s="132" t="s">
        <v>199</v>
      </c>
      <c r="Y3" s="132" t="s">
        <v>200</v>
      </c>
      <c r="Z3" s="132" t="s">
        <v>201</v>
      </c>
      <c r="AA3" s="132" t="s">
        <v>202</v>
      </c>
      <c r="AB3" s="132" t="s">
        <v>203</v>
      </c>
      <c r="AC3" s="132"/>
      <c r="AD3" s="133" t="s">
        <v>196</v>
      </c>
      <c r="AE3" s="134" t="s">
        <v>197</v>
      </c>
      <c r="AF3" s="134" t="s">
        <v>198</v>
      </c>
      <c r="AG3" s="134" t="s">
        <v>199</v>
      </c>
      <c r="AH3" s="134" t="s">
        <v>200</v>
      </c>
      <c r="AI3" s="134" t="s">
        <v>201</v>
      </c>
      <c r="AJ3" s="134" t="s">
        <v>202</v>
      </c>
      <c r="AK3" s="134" t="s">
        <v>203</v>
      </c>
      <c r="AL3" s="134"/>
      <c r="AM3" s="479"/>
      <c r="AN3" s="481"/>
    </row>
    <row r="4" spans="1:40" ht="16" x14ac:dyDescent="0.25">
      <c r="A4" s="320" t="str">
        <f>'monitoring results'!A6</f>
        <v>01-January-2022 to 31-January-2022</v>
      </c>
      <c r="B4" s="135">
        <f>F4+O4+X4+AG4</f>
        <v>146077</v>
      </c>
      <c r="C4" s="136">
        <f>AVERAGE('2022.01'!B5:G20)</f>
        <v>67.829333333333338</v>
      </c>
      <c r="D4" s="136">
        <f>_xlfn.STDEV.S('2022.01'!B5:G20)</f>
        <v>25.824515763406165</v>
      </c>
      <c r="E4" s="132">
        <f>COUNT('2022.01'!B5:G20)</f>
        <v>75</v>
      </c>
      <c r="F4" s="132">
        <f>'2022.01'!D138+'2022.01'!E138</f>
        <v>24208</v>
      </c>
      <c r="G4" s="137">
        <f>F4/B4</f>
        <v>0.16572081847244946</v>
      </c>
      <c r="H4" s="137">
        <f t="shared" ref="H4:H15" si="0">F4*C4/B4</f>
        <v>11.240732636440601</v>
      </c>
      <c r="I4" s="137">
        <f>1-(E4/F4)</f>
        <v>0.99690185062789161</v>
      </c>
      <c r="J4" s="137">
        <f>D4*D4/E4</f>
        <v>8.8920748588588481</v>
      </c>
      <c r="K4" s="138">
        <f t="shared" ref="K4:K15" si="1">G4*G4*I4*J4</f>
        <v>0.24344992860279419</v>
      </c>
      <c r="L4" s="139">
        <f>AVERAGE('2022.01'!B24:G52)</f>
        <v>68.779487179487177</v>
      </c>
      <c r="M4" s="140">
        <f>_xlfn.STDEV.S('2022.01'!B24:G52)</f>
        <v>27.235538834339568</v>
      </c>
      <c r="N4" s="141">
        <f>COUNT('2022.01'!B24:G52)</f>
        <v>117</v>
      </c>
      <c r="O4" s="141">
        <f>'2022.01'!D139+'2022.01'!E139</f>
        <v>38868</v>
      </c>
      <c r="P4" s="142">
        <f>O4/B4</f>
        <v>0.26607884882630395</v>
      </c>
      <c r="Q4" s="143">
        <f t="shared" ref="Q4:Q15" si="2">O4*L4/B4</f>
        <v>18.300766771581479</v>
      </c>
      <c r="R4" s="143">
        <f t="shared" ref="R4:R15" si="3">1-N4/O4</f>
        <v>0.99698981167026857</v>
      </c>
      <c r="S4" s="143">
        <f t="shared" ref="S4:S15" si="4">M4*M4/N4</f>
        <v>6.3399536375796472</v>
      </c>
      <c r="T4" s="143">
        <f t="shared" ref="T4:T15" si="5">P4*P4*R4*S4</f>
        <v>0.44750460435704847</v>
      </c>
      <c r="U4" s="144">
        <f>AVERAGE('2022.01'!B56:G67)</f>
        <v>63.4438596491228</v>
      </c>
      <c r="V4" s="144">
        <f>_xlfn.STDEV.S('2022.01'!B56:G67)</f>
        <v>26.610739088516365</v>
      </c>
      <c r="W4" s="132">
        <f>COUNT('2022.01'!B56:G67)</f>
        <v>57</v>
      </c>
      <c r="X4" s="132">
        <f>'2022.01'!D140+'2022.01'!E140</f>
        <v>18556</v>
      </c>
      <c r="Y4" s="137">
        <f>X4/B4</f>
        <v>0.12702889571938086</v>
      </c>
      <c r="Z4" s="137">
        <f t="shared" ref="Z4:Z15" si="6">X4*U4/B4</f>
        <v>8.0592034314034553</v>
      </c>
      <c r="AA4" s="137">
        <f t="shared" ref="AA4:AA15" si="7">1-W4/X4</f>
        <v>0.99692821728820868</v>
      </c>
      <c r="AB4" s="137">
        <f t="shared" ref="AB4:AB15" si="8">V4*V4/W4</f>
        <v>12.423358505913908</v>
      </c>
      <c r="AC4" s="138">
        <f t="shared" ref="AC4:AC15" si="9">Y4*Y4*AA4*AB4</f>
        <v>0.19985174838567302</v>
      </c>
      <c r="AD4" s="145">
        <f>AVERAGE('2022.01'!B71:D133)</f>
        <v>56.999999999999972</v>
      </c>
      <c r="AE4" s="145">
        <f>AVERAGE('2022.01'!B71:D133)</f>
        <v>56.999999999999972</v>
      </c>
      <c r="AF4" s="134">
        <f>COUNT('2022.01'!B71:D133)</f>
        <v>187</v>
      </c>
      <c r="AG4" s="134">
        <f>'2022.01'!D141+'2022.01'!E141</f>
        <v>64445</v>
      </c>
      <c r="AH4" s="134">
        <f t="shared" ref="AH4:AH15" si="10">AG4/B4</f>
        <v>0.44117143698186573</v>
      </c>
      <c r="AI4" s="143">
        <f t="shared" ref="AI4:AI15" si="11">AG4*AD4/B4</f>
        <v>25.146771907966333</v>
      </c>
      <c r="AJ4" s="143">
        <f t="shared" ref="AJ4:AJ15" si="12">1-AF4/AG4</f>
        <v>0.99709830087671658</v>
      </c>
      <c r="AK4" s="143">
        <f t="shared" ref="AK4:AK15" si="13">AE4*AE4/AF4</f>
        <v>17.374331550802122</v>
      </c>
      <c r="AL4" s="146">
        <f t="shared" ref="AL4:AL15" si="14">AH4*AH4*AJ4*AK4</f>
        <v>3.3717926124867228</v>
      </c>
      <c r="AM4" s="147">
        <f>H4+Q4+Z4+AI4</f>
        <v>62.74747474739187</v>
      </c>
      <c r="AN4" s="148">
        <f>SQRT(K4+T4+AC4+AL4)</f>
        <v>2.0646062321499077</v>
      </c>
    </row>
    <row r="5" spans="1:40" ht="16" x14ac:dyDescent="0.25">
      <c r="A5" s="320" t="str">
        <f>'monitoring results'!A7</f>
        <v>01-February-2022 to 28-February-2022</v>
      </c>
      <c r="B5" s="135">
        <f t="shared" ref="B5:B15" si="15">F5+O5+X5+AG5</f>
        <v>145648</v>
      </c>
      <c r="C5" s="136">
        <f>AVERAGE('2022.02'!B5:G20)</f>
        <v>68.024000000000015</v>
      </c>
      <c r="D5" s="136">
        <f>_xlfn.STDEV.S('2022.02'!B5:G20)</f>
        <v>26.815741847109305</v>
      </c>
      <c r="E5" s="132">
        <f>COUNT('2022.02'!B5:G20)</f>
        <v>75</v>
      </c>
      <c r="F5" s="132">
        <f>'2022.02'!D138+'2022.02'!E138</f>
        <v>23778</v>
      </c>
      <c r="G5" s="137">
        <f t="shared" ref="G5:G15" si="16">F5/B5</f>
        <v>0.16325661869713282</v>
      </c>
      <c r="H5" s="137">
        <f t="shared" si="0"/>
        <v>11.105368230253765</v>
      </c>
      <c r="I5" s="137">
        <f t="shared" ref="I5:I15" si="17">1-(E5/F5)</f>
        <v>0.99684582387080489</v>
      </c>
      <c r="J5" s="137">
        <f t="shared" ref="J5:J15" si="18">D5*D5/E5</f>
        <v>9.5877868108107887</v>
      </c>
      <c r="K5" s="138">
        <f t="shared" si="1"/>
        <v>0.25473461115042056</v>
      </c>
      <c r="L5" s="140">
        <f>AVERAGE('2022.02'!B24:G52)</f>
        <v>69.755555555555546</v>
      </c>
      <c r="M5" s="140">
        <f>_xlfn.STDEV.S('2022.02'!B24:G52)</f>
        <v>26.015026971973189</v>
      </c>
      <c r="N5" s="141">
        <f>COUNT('2022.02'!B24:G52)</f>
        <v>117</v>
      </c>
      <c r="O5" s="141">
        <f>'2022.02'!D139+'2022.02'!E139</f>
        <v>38872</v>
      </c>
      <c r="P5" s="142">
        <f t="shared" ref="P5:P15" si="19">O5/B5</f>
        <v>0.26689003625178515</v>
      </c>
      <c r="Q5" s="143">
        <f t="shared" si="2"/>
        <v>18.617062750985628</v>
      </c>
      <c r="R5" s="143">
        <f t="shared" si="3"/>
        <v>0.99699012142416132</v>
      </c>
      <c r="S5" s="143">
        <f t="shared" si="4"/>
        <v>5.7844583619871148</v>
      </c>
      <c r="T5" s="143">
        <f t="shared" si="5"/>
        <v>0.41078849878616491</v>
      </c>
      <c r="U5" s="144">
        <f>AVERAGE('2022.02'!B56:G67)</f>
        <v>65.807017543859644</v>
      </c>
      <c r="V5" s="144">
        <f>_xlfn.STDEV.S('2022.02'!B56:G67)</f>
        <v>26.916662786998202</v>
      </c>
      <c r="W5" s="132">
        <f>COUNT('2022.02'!B56:G67)</f>
        <v>57</v>
      </c>
      <c r="X5" s="132">
        <f>'2022.02'!D140+'2022.02'!E140</f>
        <v>18553</v>
      </c>
      <c r="Y5" s="137">
        <f t="shared" ref="Y5:Y15" si="20">X5/B5</f>
        <v>0.12738245633307702</v>
      </c>
      <c r="Z5" s="137">
        <f t="shared" si="6"/>
        <v>8.3826595386907332</v>
      </c>
      <c r="AA5" s="137">
        <f t="shared" si="7"/>
        <v>0.99692772058427204</v>
      </c>
      <c r="AB5" s="137">
        <f t="shared" si="8"/>
        <v>12.710644484017084</v>
      </c>
      <c r="AC5" s="138">
        <f t="shared" si="9"/>
        <v>0.20561295858935097</v>
      </c>
      <c r="AD5" s="145">
        <f>AVERAGE('2022.02'!B71:D133)</f>
        <v>57.728342245989339</v>
      </c>
      <c r="AE5" s="145">
        <f>AVERAGE('2022.02'!B71:D133)</f>
        <v>57.728342245989339</v>
      </c>
      <c r="AF5" s="134">
        <f>COUNT('2022.02'!B71:D133)</f>
        <v>187</v>
      </c>
      <c r="AG5" s="134">
        <f>'2022.02'!D141+'2022.02'!E141</f>
        <v>64445</v>
      </c>
      <c r="AH5" s="134">
        <f t="shared" si="10"/>
        <v>0.44247088871800505</v>
      </c>
      <c r="AI5" s="143">
        <f t="shared" si="11"/>
        <v>25.543110897800059</v>
      </c>
      <c r="AJ5" s="143">
        <f t="shared" si="12"/>
        <v>0.99709830087671658</v>
      </c>
      <c r="AK5" s="143">
        <f t="shared" si="13"/>
        <v>17.821184483797204</v>
      </c>
      <c r="AL5" s="146">
        <f t="shared" si="14"/>
        <v>3.4789160387800728</v>
      </c>
      <c r="AM5" s="147">
        <f t="shared" ref="AM5:AM15" si="21">H5+Q5+Z5+AI5</f>
        <v>63.648201417730178</v>
      </c>
      <c r="AN5" s="148">
        <f t="shared" ref="AN5:AN15" si="22">SQRT(K5+T5+AC5+AL5)</f>
        <v>2.0856778531944977</v>
      </c>
    </row>
    <row r="6" spans="1:40" ht="16" x14ac:dyDescent="0.25">
      <c r="A6" s="320" t="str">
        <f>'monitoring results'!A8</f>
        <v>01-March-2022 to 31-March-2022</v>
      </c>
      <c r="B6" s="135">
        <f t="shared" si="15"/>
        <v>146104</v>
      </c>
      <c r="C6" s="136">
        <f>AVERAGE('2022.03'!B5:G20)</f>
        <v>69.094666666666654</v>
      </c>
      <c r="D6" s="136">
        <f>_xlfn.STDEV.S('2022.03'!B5:G20)</f>
        <v>29.253190601374765</v>
      </c>
      <c r="E6" s="132">
        <f>COUNT('2022.03'!B5:G20)</f>
        <v>75</v>
      </c>
      <c r="F6" s="132">
        <f>'2022.03'!D138+'2022.03'!E138</f>
        <v>24226</v>
      </c>
      <c r="G6" s="137">
        <f t="shared" si="16"/>
        <v>0.16581339319936483</v>
      </c>
      <c r="H6" s="137">
        <f t="shared" si="0"/>
        <v>11.456821131979044</v>
      </c>
      <c r="I6" s="137">
        <f t="shared" si="17"/>
        <v>0.99690415256336162</v>
      </c>
      <c r="J6" s="137">
        <f t="shared" si="18"/>
        <v>11.409988804804811</v>
      </c>
      <c r="K6" s="138">
        <f t="shared" si="1"/>
        <v>0.31273597105601919</v>
      </c>
      <c r="L6" s="140">
        <f>AVERAGE('2022.03'!B24:G52)</f>
        <v>68.170085470085453</v>
      </c>
      <c r="M6" s="140">
        <f>_xlfn.STDEV.S('2022.03'!B24:G52)</f>
        <v>26.522921982878763</v>
      </c>
      <c r="N6" s="141">
        <f>COUNT('2022.03'!B24:G52)</f>
        <v>117</v>
      </c>
      <c r="O6" s="141">
        <f>'2022.03'!D139+'2022.03'!E139</f>
        <v>38869</v>
      </c>
      <c r="P6" s="142">
        <f t="shared" si="19"/>
        <v>0.26603652192958438</v>
      </c>
      <c r="Q6" s="143">
        <f t="shared" si="2"/>
        <v>18.135732438104032</v>
      </c>
      <c r="R6" s="143">
        <f t="shared" si="3"/>
        <v>0.99698988911471864</v>
      </c>
      <c r="S6" s="143">
        <f t="shared" si="4"/>
        <v>6.012524705212595</v>
      </c>
      <c r="T6" s="143">
        <f t="shared" si="5"/>
        <v>0.42425810775339101</v>
      </c>
      <c r="U6" s="144">
        <f>AVERAGE('2022.03'!B56:G67)</f>
        <v>62.301754385964919</v>
      </c>
      <c r="V6" s="144">
        <f>_xlfn.STDEV.S('2022.03'!B56:G67)</f>
        <v>29.434603610789633</v>
      </c>
      <c r="W6" s="132">
        <f>COUNT('2022.03'!B56:G67)</f>
        <v>57</v>
      </c>
      <c r="X6" s="132">
        <f>'2022.03'!D140+'2022.03'!E140</f>
        <v>18564</v>
      </c>
      <c r="Y6" s="137">
        <f t="shared" si="20"/>
        <v>0.12706017631276351</v>
      </c>
      <c r="Z6" s="137">
        <f t="shared" si="6"/>
        <v>7.9160718968751898</v>
      </c>
      <c r="AA6" s="137">
        <f t="shared" si="7"/>
        <v>0.99692954104718812</v>
      </c>
      <c r="AB6" s="137">
        <f t="shared" si="8"/>
        <v>15.199927889900177</v>
      </c>
      <c r="AC6" s="138">
        <f t="shared" si="9"/>
        <v>0.24463855346065522</v>
      </c>
      <c r="AD6" s="145">
        <f>AVERAGE('2022.03'!B71:D133)</f>
        <v>59.060962566844921</v>
      </c>
      <c r="AE6" s="145">
        <f>AVERAGE('2022.03'!B71:D133)</f>
        <v>59.060962566844921</v>
      </c>
      <c r="AF6" s="134">
        <f>COUNT('2022.03'!B71:D133)</f>
        <v>187</v>
      </c>
      <c r="AG6" s="134">
        <f>'2022.03'!D141+'2022.03'!E141</f>
        <v>64445</v>
      </c>
      <c r="AH6" s="134">
        <f t="shared" si="10"/>
        <v>0.44108990855828722</v>
      </c>
      <c r="AI6" s="143">
        <f t="shared" si="11"/>
        <v>26.051194577974051</v>
      </c>
      <c r="AJ6" s="143">
        <f t="shared" si="12"/>
        <v>0.99709830087671658</v>
      </c>
      <c r="AK6" s="143">
        <f t="shared" si="13"/>
        <v>18.653461493701908</v>
      </c>
      <c r="AL6" s="146">
        <f t="shared" si="14"/>
        <v>3.6186922890988265</v>
      </c>
      <c r="AM6" s="147">
        <f t="shared" si="21"/>
        <v>63.559820044932316</v>
      </c>
      <c r="AN6" s="148">
        <f t="shared" si="22"/>
        <v>2.1448368052998559</v>
      </c>
    </row>
    <row r="7" spans="1:40" ht="16" x14ac:dyDescent="0.25">
      <c r="A7" s="320" t="str">
        <f>'monitoring results'!A9</f>
        <v>01-April-2022 to 30-April-2022</v>
      </c>
      <c r="B7" s="135">
        <f t="shared" si="15"/>
        <v>146093</v>
      </c>
      <c r="C7" s="136">
        <f>AVERAGE('2022.04'!B5:G20)</f>
        <v>67.897333333333307</v>
      </c>
      <c r="D7" s="136">
        <f>_xlfn.STDEV.S('2022.04'!B5:G20)</f>
        <v>27.605546707301624</v>
      </c>
      <c r="E7" s="132">
        <f>COUNT('2022.04'!B5:G20)</f>
        <v>75</v>
      </c>
      <c r="F7" s="132">
        <f>'2022.04'!D138+'2022.04'!E138</f>
        <v>24225</v>
      </c>
      <c r="G7" s="137">
        <f t="shared" si="16"/>
        <v>0.16581903308166715</v>
      </c>
      <c r="H7" s="137">
        <f t="shared" si="0"/>
        <v>11.258670162156978</v>
      </c>
      <c r="I7" s="137">
        <f t="shared" si="17"/>
        <v>0.99690402476780182</v>
      </c>
      <c r="J7" s="137">
        <f t="shared" si="18"/>
        <v>10.160882786786821</v>
      </c>
      <c r="K7" s="138">
        <f t="shared" si="1"/>
        <v>0.27851817937143925</v>
      </c>
      <c r="L7" s="140">
        <f>AVERAGE('2022.04'!B24:G52)</f>
        <v>67.980341880341896</v>
      </c>
      <c r="M7" s="140">
        <f>_xlfn.STDEV.S('2022.04'!B24:G52)</f>
        <v>24.414496256697863</v>
      </c>
      <c r="N7" s="141">
        <f>COUNT('2022.04'!B24:G52)</f>
        <v>117</v>
      </c>
      <c r="O7" s="141">
        <f>'2022.04'!D139+'2022.04'!E139</f>
        <v>38863</v>
      </c>
      <c r="P7" s="142">
        <f t="shared" si="19"/>
        <v>0.26601548328804253</v>
      </c>
      <c r="Q7" s="143">
        <f t="shared" si="2"/>
        <v>18.08382349938551</v>
      </c>
      <c r="R7" s="143">
        <f t="shared" si="3"/>
        <v>0.99698942438823557</v>
      </c>
      <c r="S7" s="143">
        <f t="shared" si="4"/>
        <v>5.0945951065667856</v>
      </c>
      <c r="T7" s="143">
        <f t="shared" si="5"/>
        <v>0.35942977923791586</v>
      </c>
      <c r="U7" s="144">
        <f>AVERAGE('2022.04'!B56:G67)</f>
        <v>63.191228070175441</v>
      </c>
      <c r="V7" s="144">
        <f>_xlfn.STDEV.S('2022.04'!B56:G67)</f>
        <v>27.017555672864635</v>
      </c>
      <c r="W7" s="132">
        <f>COUNT('2022.04'!B56:G67)</f>
        <v>57</v>
      </c>
      <c r="X7" s="132">
        <f>'2022.04'!D140+'2022.04'!E140</f>
        <v>18560</v>
      </c>
      <c r="Y7" s="137">
        <f t="shared" si="20"/>
        <v>0.12704236342603684</v>
      </c>
      <c r="Z7" s="137">
        <f t="shared" si="6"/>
        <v>8.0279629618288091</v>
      </c>
      <c r="AA7" s="137">
        <f t="shared" si="7"/>
        <v>0.9969288793103448</v>
      </c>
      <c r="AB7" s="137">
        <f t="shared" si="8"/>
        <v>12.806110781339299</v>
      </c>
      <c r="AC7" s="138">
        <f t="shared" si="9"/>
        <v>0.20605281899163064</v>
      </c>
      <c r="AD7" s="145">
        <f>AVERAGE('2022.04'!B71:D133)</f>
        <v>57.919786096256701</v>
      </c>
      <c r="AE7" s="145">
        <f>AVERAGE('2022.04'!B71:D133)</f>
        <v>57.919786096256701</v>
      </c>
      <c r="AF7" s="134">
        <f>COUNT('2022.04'!B71:D133)</f>
        <v>187</v>
      </c>
      <c r="AG7" s="134">
        <f>'2022.04'!D141+'2022.04'!E141</f>
        <v>64445</v>
      </c>
      <c r="AH7" s="134">
        <f t="shared" si="10"/>
        <v>0.44112312020425348</v>
      </c>
      <c r="AI7" s="143">
        <f t="shared" si="11"/>
        <v>25.549756764343691</v>
      </c>
      <c r="AJ7" s="143">
        <f t="shared" si="12"/>
        <v>0.99709830087671658</v>
      </c>
      <c r="AK7" s="143">
        <f t="shared" si="13"/>
        <v>17.939580863294818</v>
      </c>
      <c r="AL7" s="146">
        <f t="shared" si="14"/>
        <v>3.4807265793649109</v>
      </c>
      <c r="AM7" s="147">
        <f t="shared" si="21"/>
        <v>62.920213387714988</v>
      </c>
      <c r="AN7" s="148">
        <f t="shared" si="22"/>
        <v>2.0795978834779323</v>
      </c>
    </row>
    <row r="8" spans="1:40" ht="16" x14ac:dyDescent="0.25">
      <c r="A8" s="320" t="str">
        <f>'monitoring results'!A10</f>
        <v>01-May-2022 to 31-May-2022</v>
      </c>
      <c r="B8" s="135">
        <f t="shared" si="15"/>
        <v>146033</v>
      </c>
      <c r="C8" s="136">
        <f>AVERAGE('2022.05'!B5:G20)</f>
        <v>66.414666666666648</v>
      </c>
      <c r="D8" s="136">
        <f>_xlfn.STDEV.S('2022.05'!B5:G20)</f>
        <v>26.597376894304087</v>
      </c>
      <c r="E8" s="132">
        <f>COUNT('2022.05'!B5:G20)</f>
        <v>75</v>
      </c>
      <c r="F8" s="132">
        <f>'2022.05'!D138+'2022.05'!E138</f>
        <v>24193</v>
      </c>
      <c r="G8" s="137">
        <f t="shared" si="16"/>
        <v>0.16566803393753465</v>
      </c>
      <c r="H8" s="137">
        <f t="shared" si="0"/>
        <v>11.002787251283381</v>
      </c>
      <c r="I8" s="137">
        <f t="shared" si="17"/>
        <v>0.99689992973174058</v>
      </c>
      <c r="J8" s="137">
        <f t="shared" si="18"/>
        <v>9.4322727687688115</v>
      </c>
      <c r="K8" s="138">
        <f t="shared" si="1"/>
        <v>0.25807465382479861</v>
      </c>
      <c r="L8" s="140">
        <f>AVERAGE('2022.05'!B24:G52)</f>
        <v>70.505982905982918</v>
      </c>
      <c r="M8" s="140">
        <f>_xlfn.STDEV.S('2022.05'!B24:G52)</f>
        <v>26.737115139169799</v>
      </c>
      <c r="N8" s="141">
        <f>COUNT('2022.05'!B24:G52)</f>
        <v>117</v>
      </c>
      <c r="O8" s="149">
        <f>'2022.05'!D139+'2022.05'!E139</f>
        <v>38844</v>
      </c>
      <c r="P8" s="142">
        <f t="shared" si="19"/>
        <v>0.26599467243705188</v>
      </c>
      <c r="Q8" s="143">
        <f t="shared" si="2"/>
        <v>18.754215827929308</v>
      </c>
      <c r="R8" s="143">
        <f t="shared" si="3"/>
        <v>0.99698795180722888</v>
      </c>
      <c r="S8" s="143">
        <f t="shared" si="4"/>
        <v>6.1100284270531873</v>
      </c>
      <c r="T8" s="143">
        <f t="shared" si="5"/>
        <v>0.43100173408495912</v>
      </c>
      <c r="U8" s="144">
        <f>AVERAGE('2022.05'!B56:G67)</f>
        <v>63.596491228070178</v>
      </c>
      <c r="V8" s="144">
        <f>_xlfn.STDEV.S('2022.05'!B56:G67)</f>
        <v>25.444673628091603</v>
      </c>
      <c r="W8" s="132">
        <f>COUNT('2022.05'!B56:G67)</f>
        <v>57</v>
      </c>
      <c r="X8" s="150">
        <f>'2022.05'!D140+'2022.05'!E140</f>
        <v>18551</v>
      </c>
      <c r="Y8" s="137">
        <f t="shared" si="20"/>
        <v>0.12703293091287585</v>
      </c>
      <c r="Z8" s="137">
        <f t="shared" si="6"/>
        <v>8.0788486764767544</v>
      </c>
      <c r="AA8" s="137">
        <f t="shared" si="7"/>
        <v>0.99692738935906422</v>
      </c>
      <c r="AB8" s="137">
        <f t="shared" si="8"/>
        <v>11.358445895440356</v>
      </c>
      <c r="AC8" s="138">
        <f t="shared" si="9"/>
        <v>0.18273219796317483</v>
      </c>
      <c r="AD8" s="145">
        <f>AVERAGE('2022.05'!B71:D133)</f>
        <v>58.02085561497325</v>
      </c>
      <c r="AE8" s="145">
        <f>AVERAGE('2022.05'!B71:D133)</f>
        <v>58.02085561497325</v>
      </c>
      <c r="AF8" s="134">
        <f>COUNT('2022.05'!B71:D133)</f>
        <v>187</v>
      </c>
      <c r="AG8" s="151">
        <f>'2022.05'!D141+'2022.05'!E141</f>
        <v>64445</v>
      </c>
      <c r="AH8" s="134">
        <f t="shared" si="10"/>
        <v>0.44130436271253759</v>
      </c>
      <c r="AI8" s="143">
        <f t="shared" si="11"/>
        <v>25.604856711201929</v>
      </c>
      <c r="AJ8" s="143">
        <f t="shared" si="12"/>
        <v>0.99709830087671658</v>
      </c>
      <c r="AK8" s="143">
        <f t="shared" si="13"/>
        <v>18.002244311730337</v>
      </c>
      <c r="AL8" s="146">
        <f t="shared" si="14"/>
        <v>3.4957556580123734</v>
      </c>
      <c r="AM8" s="147">
        <f t="shared" si="21"/>
        <v>63.440708466891365</v>
      </c>
      <c r="AN8" s="148">
        <f t="shared" si="22"/>
        <v>2.0898718247503378</v>
      </c>
    </row>
    <row r="9" spans="1:40" ht="16" x14ac:dyDescent="0.25">
      <c r="A9" s="320" t="str">
        <f>'monitoring results'!A11</f>
        <v>01-June-2022 to 30-June-2022</v>
      </c>
      <c r="B9" s="135">
        <f t="shared" si="15"/>
        <v>146053</v>
      </c>
      <c r="C9" s="136">
        <f>AVERAGE('2022.06'!B5:G20)</f>
        <v>67.737333333333353</v>
      </c>
      <c r="D9" s="136">
        <f>_xlfn.STDEV.S('2022.06'!B5:G20)</f>
        <v>27.110478543302158</v>
      </c>
      <c r="E9" s="132">
        <f>COUNT('2022.06'!B5:G20)</f>
        <v>75</v>
      </c>
      <c r="F9" s="132">
        <f>'2022.06'!D138+'2022.06'!E138</f>
        <v>24198</v>
      </c>
      <c r="G9" s="137">
        <f t="shared" si="16"/>
        <v>0.16567958206952271</v>
      </c>
      <c r="H9" s="137">
        <f t="shared" si="0"/>
        <v>11.22269307717062</v>
      </c>
      <c r="I9" s="137">
        <f t="shared" si="17"/>
        <v>0.99690057029506574</v>
      </c>
      <c r="J9" s="137">
        <f t="shared" si="18"/>
        <v>9.7997072912912895</v>
      </c>
      <c r="K9" s="138">
        <f t="shared" si="1"/>
        <v>0.26816551529534721</v>
      </c>
      <c r="L9" s="140">
        <f>AVERAGE('2022.06'!B24:G52)</f>
        <v>67.506837606837578</v>
      </c>
      <c r="M9" s="140">
        <f>_xlfn.STDEV.S('2022.06'!B24:G52)</f>
        <v>25.340783288440011</v>
      </c>
      <c r="N9" s="141">
        <f>COUNT('2022.06'!B24:G52)</f>
        <v>117</v>
      </c>
      <c r="O9" s="149">
        <f>'2022.06'!D139+'2022.06'!E139</f>
        <v>38840</v>
      </c>
      <c r="P9" s="142">
        <f t="shared" si="19"/>
        <v>0.26593086071494593</v>
      </c>
      <c r="Q9" s="143">
        <f t="shared" si="2"/>
        <v>17.952151428930399</v>
      </c>
      <c r="R9" s="143">
        <f t="shared" si="3"/>
        <v>0.99698764160659115</v>
      </c>
      <c r="S9" s="143">
        <f t="shared" si="4"/>
        <v>5.4885068177066723</v>
      </c>
      <c r="T9" s="143">
        <f t="shared" si="5"/>
        <v>0.3869737101947695</v>
      </c>
      <c r="U9" s="144">
        <f>AVERAGE('2022.06'!B56:G67)</f>
        <v>67.726315789473674</v>
      </c>
      <c r="V9" s="144">
        <v>6</v>
      </c>
      <c r="W9" s="132">
        <f>COUNT('2022.06'!B56:G67)</f>
        <v>57</v>
      </c>
      <c r="X9" s="150">
        <f>'2022.06'!D140+'2022.06'!E140</f>
        <v>18570</v>
      </c>
      <c r="Y9" s="137">
        <f t="shared" si="20"/>
        <v>0.12714562521824269</v>
      </c>
      <c r="Z9" s="137">
        <f t="shared" si="6"/>
        <v>8.6111047647807712</v>
      </c>
      <c r="AA9" s="137">
        <f t="shared" si="7"/>
        <v>0.99693053311793212</v>
      </c>
      <c r="AB9" s="137">
        <f t="shared" si="8"/>
        <v>0.63157894736842102</v>
      </c>
      <c r="AC9" s="138">
        <f t="shared" si="9"/>
        <v>1.0178771987236039E-2</v>
      </c>
      <c r="AD9" s="145">
        <f>AVERAGE('2022.06'!B71:D133)</f>
        <v>58.593048128342232</v>
      </c>
      <c r="AE9" s="145">
        <f>AVERAGE('2022.06'!B71:D133)</f>
        <v>58.593048128342232</v>
      </c>
      <c r="AF9" s="134">
        <f>COUNT('2022.06'!B71:D133)</f>
        <v>187</v>
      </c>
      <c r="AG9" s="151">
        <f>'2022.06'!D141+'2022.06'!E141</f>
        <v>64445</v>
      </c>
      <c r="AH9" s="134">
        <f t="shared" si="10"/>
        <v>0.44124393199728867</v>
      </c>
      <c r="AI9" s="143">
        <f t="shared" si="11"/>
        <v>25.853826943856102</v>
      </c>
      <c r="AJ9" s="143">
        <f t="shared" si="12"/>
        <v>0.99709830087671658</v>
      </c>
      <c r="AK9" s="143">
        <f t="shared" si="13"/>
        <v>18.359065716418339</v>
      </c>
      <c r="AL9" s="146">
        <f t="shared" si="14"/>
        <v>3.5640685179042015</v>
      </c>
      <c r="AM9" s="147">
        <f t="shared" si="21"/>
        <v>63.639776214737893</v>
      </c>
      <c r="AN9" s="148">
        <f t="shared" si="22"/>
        <v>2.0565472314978703</v>
      </c>
    </row>
    <row r="10" spans="1:40" ht="16" x14ac:dyDescent="0.25">
      <c r="A10" s="320" t="str">
        <f>'monitoring results'!A12</f>
        <v>01-July-2022 to 31-July-2022</v>
      </c>
      <c r="B10" s="135">
        <f t="shared" si="15"/>
        <v>146044</v>
      </c>
      <c r="C10" s="136">
        <f>AVERAGE('2022.07'!B5:G20)</f>
        <v>67.782666666666657</v>
      </c>
      <c r="D10" s="136">
        <f>_xlfn.STDEV.S('2022.07'!B5:G20)</f>
        <v>26.563938028906843</v>
      </c>
      <c r="E10" s="132">
        <f>COUNT('2022.07'!B5:G20)</f>
        <v>75</v>
      </c>
      <c r="F10" s="132">
        <f>'2022.07'!D138+'2022.07'!E138</f>
        <v>24206</v>
      </c>
      <c r="G10" s="137">
        <f t="shared" si="16"/>
        <v>0.16574457012954999</v>
      </c>
      <c r="H10" s="137">
        <f t="shared" si="0"/>
        <v>11.234608948901244</v>
      </c>
      <c r="I10" s="137">
        <f t="shared" si="17"/>
        <v>0.99690159464595551</v>
      </c>
      <c r="J10" s="137">
        <f t="shared" si="18"/>
        <v>9.4085707147147097</v>
      </c>
      <c r="K10" s="138">
        <f t="shared" si="1"/>
        <v>0.25766448579253542</v>
      </c>
      <c r="L10" s="140">
        <f>AVERAGE('2022.07'!B24:G52)</f>
        <v>69.127350427350422</v>
      </c>
      <c r="M10" s="140">
        <f>_xlfn.STDEV.S('2022.07'!B24:G52)</f>
        <v>26.479623343280441</v>
      </c>
      <c r="N10" s="141">
        <f>COUNT('2022.07'!B24:G52)</f>
        <v>117</v>
      </c>
      <c r="O10" s="149">
        <f>'2022.07'!D139+'2022.07'!E139</f>
        <v>38849</v>
      </c>
      <c r="P10" s="142">
        <f t="shared" si="19"/>
        <v>0.26600887403796114</v>
      </c>
      <c r="Q10" s="143">
        <f t="shared" si="2"/>
        <v>18.388488652407059</v>
      </c>
      <c r="R10" s="143">
        <f t="shared" si="3"/>
        <v>0.99698833946819743</v>
      </c>
      <c r="S10" s="143">
        <f t="shared" si="4"/>
        <v>5.9929098495897639</v>
      </c>
      <c r="T10" s="143">
        <f t="shared" si="5"/>
        <v>0.42278548958373041</v>
      </c>
      <c r="U10" s="144">
        <f>AVERAGE('2022.07'!B56:G67)</f>
        <v>64.191228070175427</v>
      </c>
      <c r="V10" s="144">
        <f>_xlfn.STDEV.S('2022.07'!B56:G67)</f>
        <v>27.114916036735178</v>
      </c>
      <c r="W10" s="132">
        <f>COUNT('2022.07'!B56:G67)</f>
        <v>57</v>
      </c>
      <c r="X10" s="150">
        <f>'2022.07'!D140+'2022.07'!E140</f>
        <v>18544</v>
      </c>
      <c r="Y10" s="137">
        <f t="shared" si="20"/>
        <v>0.1269754320615705</v>
      </c>
      <c r="Z10" s="137">
        <f t="shared" si="6"/>
        <v>8.1507089187733364</v>
      </c>
      <c r="AA10" s="137">
        <f t="shared" si="7"/>
        <v>0.99692622950819676</v>
      </c>
      <c r="AB10" s="137">
        <f t="shared" si="8"/>
        <v>12.89857318735436</v>
      </c>
      <c r="AC10" s="138">
        <f t="shared" si="9"/>
        <v>0.20732138115180535</v>
      </c>
      <c r="AD10" s="145">
        <f>AVERAGE('2022.07'!B71:D133)</f>
        <v>58.873796791443837</v>
      </c>
      <c r="AE10" s="145">
        <f>AVERAGE('2022.07'!B71:D133)</f>
        <v>58.873796791443837</v>
      </c>
      <c r="AF10" s="134">
        <f>COUNT('2022.07'!B71:D133)</f>
        <v>187</v>
      </c>
      <c r="AG10" s="151">
        <f>'2022.07'!D141+'2022.07'!E141</f>
        <v>64445</v>
      </c>
      <c r="AH10" s="134">
        <f t="shared" si="10"/>
        <v>0.44127112377091837</v>
      </c>
      <c r="AI10" s="143">
        <f t="shared" si="11"/>
        <v>25.979306470821108</v>
      </c>
      <c r="AJ10" s="143">
        <f t="shared" si="12"/>
        <v>0.99709830087671658</v>
      </c>
      <c r="AK10" s="143">
        <f t="shared" si="13"/>
        <v>18.535422185241835</v>
      </c>
      <c r="AL10" s="146">
        <f t="shared" si="14"/>
        <v>3.5987483276336953</v>
      </c>
      <c r="AM10" s="147">
        <f t="shared" si="21"/>
        <v>63.753112990902743</v>
      </c>
      <c r="AN10" s="148">
        <f t="shared" si="22"/>
        <v>2.1181406195438881</v>
      </c>
    </row>
    <row r="11" spans="1:40" ht="16" x14ac:dyDescent="0.25">
      <c r="A11" s="320" t="str">
        <f>'monitoring results'!A13</f>
        <v>01-August-2022 to 31-August-2022</v>
      </c>
      <c r="B11" s="135">
        <f t="shared" si="15"/>
        <v>146056</v>
      </c>
      <c r="C11" s="136">
        <f>AVERAGE('2022.08'!B5:G20)</f>
        <v>65.969333333333367</v>
      </c>
      <c r="D11" s="136">
        <f>_xlfn.STDEV.S('2022.08'!B5:G20)</f>
        <v>27.19511568493715</v>
      </c>
      <c r="E11" s="132">
        <f>COUNT('2022.08'!B5:G20)</f>
        <v>75</v>
      </c>
      <c r="F11" s="132">
        <f>'2022.08'!D138+'2022.08'!E138</f>
        <v>24189</v>
      </c>
      <c r="G11" s="137">
        <f t="shared" si="16"/>
        <v>0.16561455879936463</v>
      </c>
      <c r="H11" s="137">
        <f t="shared" si="0"/>
        <v>10.925482034288224</v>
      </c>
      <c r="I11" s="137">
        <f t="shared" si="17"/>
        <v>0.99689941709041296</v>
      </c>
      <c r="J11" s="137">
        <f t="shared" si="18"/>
        <v>9.8609908948948615</v>
      </c>
      <c r="K11" s="138">
        <f t="shared" si="1"/>
        <v>0.26963044209076759</v>
      </c>
      <c r="L11" s="140">
        <f>AVERAGE('2022.08'!B24:G52)</f>
        <v>69.2222222222222</v>
      </c>
      <c r="M11" s="140">
        <f>_xlfn.STDEV.S('2022.08'!B24:G52)</f>
        <v>24.141969147720861</v>
      </c>
      <c r="N11" s="141">
        <f>COUNT('2022.08'!B24:G52)</f>
        <v>117</v>
      </c>
      <c r="O11" s="149">
        <f>'2022.08'!D139+'2022.08'!E139</f>
        <v>38860</v>
      </c>
      <c r="P11" s="142">
        <f t="shared" si="19"/>
        <v>0.26606233225612091</v>
      </c>
      <c r="Q11" s="143">
        <f t="shared" si="2"/>
        <v>18.417425888395922</v>
      </c>
      <c r="R11" s="143">
        <f t="shared" si="3"/>
        <v>0.99698919197117863</v>
      </c>
      <c r="S11" s="143">
        <f t="shared" si="4"/>
        <v>4.9814929429872299</v>
      </c>
      <c r="T11" s="143">
        <f t="shared" si="5"/>
        <v>0.3515740056524152</v>
      </c>
      <c r="U11" s="144">
        <f>AVERAGE('2022.08'!B56:G67)</f>
        <v>65.215789473684225</v>
      </c>
      <c r="V11" s="144">
        <f>_xlfn.STDEV.S('2022.08'!B56:G67)</f>
        <v>26.699784572924898</v>
      </c>
      <c r="W11" s="132">
        <f>COUNT('2022.08'!B56:G67)</f>
        <v>57</v>
      </c>
      <c r="X11" s="150">
        <f>'2022.08'!D140+'2022.08'!E140</f>
        <v>18562</v>
      </c>
      <c r="Y11" s="137">
        <f t="shared" si="20"/>
        <v>0.12708824012707454</v>
      </c>
      <c r="Z11" s="137">
        <f t="shared" si="6"/>
        <v>8.2881599127083216</v>
      </c>
      <c r="AA11" s="137">
        <f t="shared" si="7"/>
        <v>0.99692921021441649</v>
      </c>
      <c r="AB11" s="137">
        <f t="shared" si="8"/>
        <v>12.506640284922778</v>
      </c>
      <c r="AC11" s="138">
        <f t="shared" si="9"/>
        <v>0.20137971020165515</v>
      </c>
      <c r="AD11" s="145">
        <f>AVERAGE('2022.08'!B71:D133)</f>
        <v>58.165775401069531</v>
      </c>
      <c r="AE11" s="145">
        <f>AVERAGE('2022.08'!B71:D133)</f>
        <v>58.165775401069531</v>
      </c>
      <c r="AF11" s="134">
        <f>COUNT('2022.08'!B71:D133)</f>
        <v>187</v>
      </c>
      <c r="AG11" s="151">
        <f>'2022.08'!D141+'2022.08'!E141</f>
        <v>64445</v>
      </c>
      <c r="AH11" s="134">
        <f t="shared" si="10"/>
        <v>0.4412348688174399</v>
      </c>
      <c r="AI11" s="143">
        <f t="shared" si="11"/>
        <v>25.664768278755584</v>
      </c>
      <c r="AJ11" s="143">
        <f t="shared" si="12"/>
        <v>0.99709830087671658</v>
      </c>
      <c r="AK11" s="143">
        <f t="shared" si="13"/>
        <v>18.092285711270939</v>
      </c>
      <c r="AL11" s="146">
        <f t="shared" si="14"/>
        <v>3.5121338965978945</v>
      </c>
      <c r="AM11" s="147">
        <f t="shared" si="21"/>
        <v>63.295836114148059</v>
      </c>
      <c r="AN11" s="148">
        <f t="shared" si="22"/>
        <v>2.0819985721759591</v>
      </c>
    </row>
    <row r="12" spans="1:40" ht="16" x14ac:dyDescent="0.25">
      <c r="A12" s="320" t="str">
        <f>'monitoring results'!A14</f>
        <v>01-September-2022 to 30-September-2022</v>
      </c>
      <c r="B12" s="135">
        <f t="shared" si="15"/>
        <v>145244</v>
      </c>
      <c r="C12" s="136">
        <f>AVERAGE('2022.09'!B5:G20)</f>
        <v>65.748000000000019</v>
      </c>
      <c r="D12" s="136">
        <f>_xlfn.STDEV.S('2022.09'!B5:G20)</f>
        <v>25.919200646666535</v>
      </c>
      <c r="E12" s="132">
        <f>COUNT('2022.09'!B5:G20)</f>
        <v>75</v>
      </c>
      <c r="F12" s="132">
        <f>'2022.09'!D138+'2022.09'!E138</f>
        <v>23682</v>
      </c>
      <c r="G12" s="137">
        <f t="shared" si="16"/>
        <v>0.1630497645341632</v>
      </c>
      <c r="H12" s="137">
        <f t="shared" si="0"/>
        <v>10.720195918592164</v>
      </c>
      <c r="I12" s="137">
        <f t="shared" si="17"/>
        <v>0.99683303775019005</v>
      </c>
      <c r="J12" s="137">
        <f t="shared" si="18"/>
        <v>8.9573994954954532</v>
      </c>
      <c r="K12" s="138">
        <f t="shared" si="1"/>
        <v>0.2373803244720171</v>
      </c>
      <c r="L12" s="140">
        <f>AVERAGE('2022.09'!B24:G52)</f>
        <v>67.74957264957267</v>
      </c>
      <c r="M12" s="140">
        <f>_xlfn.STDEV.S('2022.09'!B24:G52)</f>
        <v>26.937979930700582</v>
      </c>
      <c r="N12" s="141">
        <f>COUNT('2022.09'!B24:G52)</f>
        <v>117</v>
      </c>
      <c r="O12" s="149">
        <f>'2022.09'!D139+'2022.09'!E139</f>
        <v>38864</v>
      </c>
      <c r="P12" s="142">
        <f t="shared" si="19"/>
        <v>0.26757731816804825</v>
      </c>
      <c r="Q12" s="143">
        <f t="shared" si="2"/>
        <v>18.128248956604008</v>
      </c>
      <c r="R12" s="143">
        <f t="shared" si="3"/>
        <v>0.99698950185261426</v>
      </c>
      <c r="S12" s="143">
        <f t="shared" si="4"/>
        <v>6.2021774593745933</v>
      </c>
      <c r="T12" s="143">
        <f t="shared" si="5"/>
        <v>0.44272430706266386</v>
      </c>
      <c r="U12" s="144">
        <f>AVERAGE('2022.09'!B56:G67)</f>
        <v>63.810526315789474</v>
      </c>
      <c r="V12" s="144">
        <f>_xlfn.STDEV.S('2022.09'!B56:G67)</f>
        <v>25.953926789398807</v>
      </c>
      <c r="W12" s="132">
        <f>COUNT('2022.09'!B56:G67)</f>
        <v>57</v>
      </c>
      <c r="X12" s="150">
        <f>'2022.09'!D140+'2022.09'!E140</f>
        <v>18253</v>
      </c>
      <c r="Y12" s="137">
        <f t="shared" si="20"/>
        <v>0.12567128418385612</v>
      </c>
      <c r="Z12" s="137">
        <f t="shared" si="6"/>
        <v>8.0191507865530092</v>
      </c>
      <c r="AA12" s="137">
        <f t="shared" si="7"/>
        <v>0.99687722566153514</v>
      </c>
      <c r="AB12" s="137">
        <f t="shared" si="8"/>
        <v>11.81765466297321</v>
      </c>
      <c r="AC12" s="138">
        <f t="shared" si="9"/>
        <v>0.18605659775155256</v>
      </c>
      <c r="AD12" s="145">
        <f>AVERAGE('2022.09'!B71:D133)</f>
        <v>57.445454545454467</v>
      </c>
      <c r="AE12" s="145">
        <f>AVERAGE('2022.09'!B71:D133)</f>
        <v>57.445454545454467</v>
      </c>
      <c r="AF12" s="134">
        <f>COUNT('2022.09'!B71:D133)</f>
        <v>187</v>
      </c>
      <c r="AG12" s="151">
        <f>'2022.09'!D141+'2022.09'!E141</f>
        <v>64445</v>
      </c>
      <c r="AH12" s="134">
        <f t="shared" si="10"/>
        <v>0.4437016331139324</v>
      </c>
      <c r="AI12" s="143">
        <f t="shared" si="11"/>
        <v>25.488641996790321</v>
      </c>
      <c r="AJ12" s="143">
        <f t="shared" si="12"/>
        <v>0.99709830087671658</v>
      </c>
      <c r="AK12" s="143">
        <f t="shared" si="13"/>
        <v>17.646953197507354</v>
      </c>
      <c r="AL12" s="146">
        <f t="shared" si="14"/>
        <v>3.464094767081296</v>
      </c>
      <c r="AM12" s="147">
        <f t="shared" si="21"/>
        <v>62.356237658539499</v>
      </c>
      <c r="AN12" s="148">
        <f t="shared" si="22"/>
        <v>2.0809267157609201</v>
      </c>
    </row>
    <row r="13" spans="1:40" ht="16" x14ac:dyDescent="0.25">
      <c r="A13" s="320" t="str">
        <f>'monitoring results'!A15</f>
        <v>01-October-2022 to 31-October-2022</v>
      </c>
      <c r="B13" s="135">
        <f t="shared" si="15"/>
        <v>146052</v>
      </c>
      <c r="C13" s="136">
        <f>AVERAGE('2022.10'!B5:G20)</f>
        <v>68.297333333333341</v>
      </c>
      <c r="D13" s="136">
        <f>_xlfn.STDEV.S('2022.10'!B5:G20)</f>
        <v>25.885783290767478</v>
      </c>
      <c r="E13" s="132">
        <f>COUNT('2022.10'!B5:G20)</f>
        <v>75</v>
      </c>
      <c r="F13" s="132">
        <f>'2022.10'!D138+'2022.10'!E138</f>
        <v>24204</v>
      </c>
      <c r="G13" s="137">
        <f t="shared" si="16"/>
        <v>0.16572179771588202</v>
      </c>
      <c r="H13" s="137">
        <f t="shared" si="0"/>
        <v>11.318356859200835</v>
      </c>
      <c r="I13" s="137">
        <f t="shared" si="17"/>
        <v>0.99690133862171537</v>
      </c>
      <c r="J13" s="137">
        <f t="shared" si="18"/>
        <v>8.9343170210210232</v>
      </c>
      <c r="K13" s="138">
        <f t="shared" si="1"/>
        <v>0.24460921249394896</v>
      </c>
      <c r="L13" s="140">
        <f>AVERAGE('2022.10'!B24:G52)</f>
        <v>69.784615384615407</v>
      </c>
      <c r="M13" s="140">
        <f>_xlfn.STDEV.S('2022.10'!B24:G52)</f>
        <v>27.552375250835716</v>
      </c>
      <c r="N13" s="141">
        <f>COUNT('2022.10'!B24:G52)</f>
        <v>117</v>
      </c>
      <c r="O13" s="149">
        <f>'2022.10'!D139+'2022.10'!E139</f>
        <v>38855</v>
      </c>
      <c r="P13" s="142">
        <f t="shared" si="19"/>
        <v>0.26603538465751925</v>
      </c>
      <c r="Q13" s="143">
        <f t="shared" si="2"/>
        <v>18.565176997023194</v>
      </c>
      <c r="R13" s="143">
        <f t="shared" si="3"/>
        <v>0.99698880452966154</v>
      </c>
      <c r="S13" s="143">
        <f t="shared" si="4"/>
        <v>6.4883195039561068</v>
      </c>
      <c r="T13" s="143">
        <f t="shared" si="5"/>
        <v>0.45782691309234996</v>
      </c>
      <c r="U13" s="144">
        <f>AVERAGE('2022.10'!B56:G67)</f>
        <v>61.187719298245604</v>
      </c>
      <c r="V13" s="144">
        <f>_xlfn.STDEV.S('2022.10'!B56:G67)</f>
        <v>25.302202545116238</v>
      </c>
      <c r="W13" s="132">
        <f>COUNT('2022.10'!B56:G67)</f>
        <v>57</v>
      </c>
      <c r="X13" s="150">
        <f>'2022.10'!D140+'2022.10'!E140</f>
        <v>18548</v>
      </c>
      <c r="Y13" s="137">
        <f t="shared" si="20"/>
        <v>0.1269958644866212</v>
      </c>
      <c r="Z13" s="137">
        <f t="shared" si="6"/>
        <v>7.7705873082454149</v>
      </c>
      <c r="AA13" s="137">
        <f t="shared" si="7"/>
        <v>0.99692689238731935</v>
      </c>
      <c r="AB13" s="137">
        <f t="shared" si="8"/>
        <v>11.231604449720818</v>
      </c>
      <c r="AC13" s="138">
        <f t="shared" si="9"/>
        <v>0.18058607928981071</v>
      </c>
      <c r="AD13" s="145">
        <f>AVERAGE('2022.10'!B71:D133)</f>
        <v>57.836363636363622</v>
      </c>
      <c r="AE13" s="145">
        <f>AVERAGE('2022.10'!B71:D133)</f>
        <v>57.836363636363622</v>
      </c>
      <c r="AF13" s="134">
        <f>COUNT('2022.10'!B71:D133)</f>
        <v>187</v>
      </c>
      <c r="AG13" s="151">
        <f>'2022.10'!D141+'2022.10'!E141</f>
        <v>64445</v>
      </c>
      <c r="AH13" s="134">
        <f t="shared" si="10"/>
        <v>0.44124695313997753</v>
      </c>
      <c r="AI13" s="143">
        <f t="shared" si="11"/>
        <v>25.520119235241239</v>
      </c>
      <c r="AJ13" s="143">
        <f t="shared" si="12"/>
        <v>0.99709830087671658</v>
      </c>
      <c r="AK13" s="143">
        <f t="shared" si="13"/>
        <v>17.88794095549564</v>
      </c>
      <c r="AL13" s="146">
        <f t="shared" si="14"/>
        <v>3.4726560287332853</v>
      </c>
      <c r="AM13" s="147">
        <f t="shared" si="21"/>
        <v>63.174240399710683</v>
      </c>
      <c r="AN13" s="148">
        <f t="shared" si="22"/>
        <v>2.0870261698429649</v>
      </c>
    </row>
    <row r="14" spans="1:40" ht="16" x14ac:dyDescent="0.25">
      <c r="A14" s="320" t="str">
        <f>'monitoring results'!A16</f>
        <v>01-November-2022 to 30-November-2022</v>
      </c>
      <c r="B14" s="135">
        <f t="shared" si="15"/>
        <v>146032</v>
      </c>
      <c r="C14" s="136">
        <f>AVERAGE('2022.11'!B5:G20)</f>
        <v>67.646666666666647</v>
      </c>
      <c r="D14" s="136">
        <f>_xlfn.STDEV.S('2022.11'!B5:G20)</f>
        <v>26.666895832348697</v>
      </c>
      <c r="E14" s="132">
        <f>COUNT('2022.11'!B5:G20)</f>
        <v>75</v>
      </c>
      <c r="F14" s="132">
        <f>'2022.11'!D138+'2022.11'!E138</f>
        <v>24183</v>
      </c>
      <c r="G14" s="137">
        <f t="shared" si="16"/>
        <v>0.16560069025966911</v>
      </c>
      <c r="H14" s="137">
        <f t="shared" si="0"/>
        <v>11.202334693765748</v>
      </c>
      <c r="I14" s="137">
        <f t="shared" si="17"/>
        <v>0.99689864781044535</v>
      </c>
      <c r="J14" s="137">
        <f t="shared" si="18"/>
        <v>9.4816444444444841</v>
      </c>
      <c r="K14" s="138">
        <f t="shared" si="1"/>
        <v>0.2592143008143446</v>
      </c>
      <c r="L14" s="140">
        <f>AVERAGE('2022.11'!B24:G52)</f>
        <v>69.629914529914529</v>
      </c>
      <c r="M14" s="140">
        <f>_xlfn.STDEV.S('2022.11'!B24:G52)</f>
        <v>27.126044441856944</v>
      </c>
      <c r="N14" s="141">
        <f>COUNT('2022.11'!B24:G52)</f>
        <v>117</v>
      </c>
      <c r="O14" s="149">
        <f>'2022.11'!D139+'2022.11'!E139</f>
        <v>38857</v>
      </c>
      <c r="P14" s="142">
        <f t="shared" si="19"/>
        <v>0.26608551550345128</v>
      </c>
      <c r="Q14" s="143">
        <f t="shared" si="2"/>
        <v>18.527511702153561</v>
      </c>
      <c r="R14" s="143">
        <f t="shared" si="3"/>
        <v>0.99698895951823352</v>
      </c>
      <c r="S14" s="143">
        <f t="shared" si="4"/>
        <v>6.2890793765948549</v>
      </c>
      <c r="T14" s="143">
        <f t="shared" si="5"/>
        <v>0.44393551844322332</v>
      </c>
      <c r="U14" s="144">
        <f>AVERAGE('2022.11'!B56:G67)</f>
        <v>62.903508771929836</v>
      </c>
      <c r="V14" s="144">
        <f>_xlfn.STDEV.S('2022.11'!B56:G67)</f>
        <v>27.201798554719293</v>
      </c>
      <c r="W14" s="132">
        <f>COUNT('2022.11'!B56:G67)</f>
        <v>57</v>
      </c>
      <c r="X14" s="150">
        <f>'2022.11'!D140+'2022.11'!E140</f>
        <v>18547</v>
      </c>
      <c r="Y14" s="137">
        <f t="shared" si="20"/>
        <v>0.12700640955407033</v>
      </c>
      <c r="Z14" s="137">
        <f t="shared" si="6"/>
        <v>7.9891487974757771</v>
      </c>
      <c r="AA14" s="137">
        <f t="shared" si="7"/>
        <v>0.99692672669434412</v>
      </c>
      <c r="AB14" s="137">
        <f t="shared" si="8"/>
        <v>12.981365694939099</v>
      </c>
      <c r="AC14" s="138">
        <f t="shared" si="9"/>
        <v>0.20875404583884191</v>
      </c>
      <c r="AD14" s="145">
        <f>AVERAGE('2022.11'!B71:D133)</f>
        <v>58.972192513369002</v>
      </c>
      <c r="AE14" s="145">
        <f>AVERAGE('2022.11'!B71:D133)</f>
        <v>58.972192513369002</v>
      </c>
      <c r="AF14" s="134">
        <f>COUNT('2022.11'!B71:D133)</f>
        <v>187</v>
      </c>
      <c r="AG14" s="151">
        <f>'2022.11'!D141+'2022.11'!E141</f>
        <v>64445</v>
      </c>
      <c r="AH14" s="134">
        <f t="shared" si="10"/>
        <v>0.44130738468280922</v>
      </c>
      <c r="AI14" s="143">
        <f t="shared" si="11"/>
        <v>26.02486404708602</v>
      </c>
      <c r="AJ14" s="143">
        <f t="shared" si="12"/>
        <v>0.99709830087671658</v>
      </c>
      <c r="AK14" s="143">
        <f t="shared" si="13"/>
        <v>18.597430426919011</v>
      </c>
      <c r="AL14" s="146">
        <f t="shared" si="14"/>
        <v>3.6113809977162092</v>
      </c>
      <c r="AM14" s="147">
        <f t="shared" si="21"/>
        <v>63.743859240481108</v>
      </c>
      <c r="AN14" s="148">
        <f t="shared" si="22"/>
        <v>2.1268015569894194</v>
      </c>
    </row>
    <row r="15" spans="1:40" ht="16" x14ac:dyDescent="0.25">
      <c r="A15" s="320" t="str">
        <f>'monitoring results'!A17</f>
        <v>01-December-2022 to 31-December-2022</v>
      </c>
      <c r="B15" s="135">
        <f t="shared" si="15"/>
        <v>146054</v>
      </c>
      <c r="C15" s="136">
        <f>AVERAGE('2022.12'!B5:G20)</f>
        <v>68.718666666666664</v>
      </c>
      <c r="D15" s="136">
        <f>_xlfn.STDEV.S('2022.12'!B5:G20)</f>
        <v>25.331791228550077</v>
      </c>
      <c r="E15" s="132">
        <f>COUNT('2022.12'!B5:G20)</f>
        <v>75</v>
      </c>
      <c r="F15" s="132">
        <f>'2022.12'!D138+'2022.12'!E138</f>
        <v>24199</v>
      </c>
      <c r="G15" s="137">
        <f t="shared" si="16"/>
        <v>0.16568529448012378</v>
      </c>
      <c r="H15" s="137">
        <f t="shared" si="0"/>
        <v>11.385672522948132</v>
      </c>
      <c r="I15" s="137">
        <f t="shared" si="17"/>
        <v>0.99690069837596595</v>
      </c>
      <c r="J15" s="137">
        <f t="shared" si="18"/>
        <v>8.5559952912912891</v>
      </c>
      <c r="K15" s="138">
        <f t="shared" si="1"/>
        <v>0.23414795286758461</v>
      </c>
      <c r="L15" s="140">
        <f>AVERAGE('2022.12'!B24:G52)</f>
        <v>69.181196581196559</v>
      </c>
      <c r="M15" s="140">
        <f>_xlfn.STDEV.S('2022.12'!B24:G52)</f>
        <v>26.626917711813991</v>
      </c>
      <c r="N15" s="141">
        <f>COUNT('2022.12'!B24:G52)</f>
        <v>117</v>
      </c>
      <c r="O15" s="149">
        <f>'2022.12'!D139+'2022.12'!E139</f>
        <v>38861</v>
      </c>
      <c r="P15" s="142">
        <f t="shared" si="19"/>
        <v>0.2660728223807633</v>
      </c>
      <c r="Q15" s="143">
        <f t="shared" si="2"/>
        <v>18.40723623003738</v>
      </c>
      <c r="R15" s="143">
        <f t="shared" si="3"/>
        <v>0.99698926944751809</v>
      </c>
      <c r="S15" s="143">
        <f t="shared" si="4"/>
        <v>6.0597670669377237</v>
      </c>
      <c r="T15" s="143">
        <f t="shared" si="5"/>
        <v>0.42770807280018575</v>
      </c>
      <c r="U15" s="144">
        <f>AVERAGE('2022.12'!B56:G67)</f>
        <v>63.485964912280721</v>
      </c>
      <c r="V15" s="144">
        <f>_xlfn.STDEV.S('2022.12'!B56:G67)</f>
        <v>23.869709126515506</v>
      </c>
      <c r="W15" s="132">
        <f>COUNT('2022.12'!B56:G67)</f>
        <v>57</v>
      </c>
      <c r="X15" s="150">
        <f>'2022.12'!D140+'2022.12'!E140</f>
        <v>18549</v>
      </c>
      <c r="Y15" s="137">
        <f t="shared" si="20"/>
        <v>0.12700097224314294</v>
      </c>
      <c r="Z15" s="137">
        <f t="shared" si="6"/>
        <v>8.0627792676537116</v>
      </c>
      <c r="AA15" s="137">
        <f t="shared" si="7"/>
        <v>0.99692705806242921</v>
      </c>
      <c r="AB15" s="137">
        <f t="shared" si="8"/>
        <v>9.9958423470957474</v>
      </c>
      <c r="AC15" s="138">
        <f t="shared" si="9"/>
        <v>0.16072997337374889</v>
      </c>
      <c r="AD15" s="145">
        <f>AVERAGE('2022.12'!B71:D133)</f>
        <v>58.875935828877019</v>
      </c>
      <c r="AE15" s="145">
        <f>AVERAGE('2022.12'!B71:D133)</f>
        <v>58.875935828877019</v>
      </c>
      <c r="AF15" s="134">
        <f>COUNT('2022.12'!B71:D133)</f>
        <v>187</v>
      </c>
      <c r="AG15" s="151">
        <f>'2022.12'!D141+'2022.12'!E141</f>
        <v>64445</v>
      </c>
      <c r="AH15" s="134">
        <f t="shared" si="10"/>
        <v>0.44124091089597001</v>
      </c>
      <c r="AI15" s="143">
        <f t="shared" si="11"/>
        <v>25.978471554986371</v>
      </c>
      <c r="AJ15" s="143">
        <f t="shared" si="12"/>
        <v>0.99709830087671658</v>
      </c>
      <c r="AK15" s="143">
        <f t="shared" si="13"/>
        <v>18.536769089444089</v>
      </c>
      <c r="AL15" s="146">
        <f t="shared" si="14"/>
        <v>3.5985170201747358</v>
      </c>
      <c r="AM15" s="147">
        <f t="shared" si="21"/>
        <v>63.834159575625591</v>
      </c>
      <c r="AN15" s="148">
        <f t="shared" si="22"/>
        <v>2.1026419141680437</v>
      </c>
    </row>
    <row r="16" spans="1:40" s="152" customFormat="1" ht="19" x14ac:dyDescent="0.25">
      <c r="P16" s="126"/>
    </row>
    <row r="17" spans="1:40" s="152" customFormat="1" ht="16" x14ac:dyDescent="0.25">
      <c r="J17" s="356"/>
    </row>
    <row r="18" spans="1:40" ht="19" x14ac:dyDescent="0.25">
      <c r="A18" s="482" t="s">
        <v>107</v>
      </c>
      <c r="B18" s="482"/>
      <c r="C18" s="482"/>
      <c r="D18" s="482"/>
      <c r="E18" s="482"/>
      <c r="F18" s="482"/>
      <c r="G18" s="153"/>
      <c r="H18" s="153"/>
      <c r="I18" s="153"/>
      <c r="J18" s="153"/>
      <c r="K18" s="154"/>
      <c r="L18" s="153"/>
      <c r="M18" s="153"/>
      <c r="N18" s="126"/>
      <c r="O18" s="126"/>
      <c r="P18" s="126"/>
      <c r="Q18" s="126"/>
      <c r="R18" s="126"/>
      <c r="S18" s="126"/>
      <c r="T18" s="126"/>
      <c r="U18" s="152"/>
      <c r="V18" s="152"/>
      <c r="W18" s="152"/>
      <c r="X18" s="152"/>
      <c r="Y18" s="152"/>
      <c r="Z18" s="152"/>
      <c r="AA18" s="152"/>
      <c r="AB18" s="152"/>
      <c r="AC18" s="152"/>
      <c r="AD18" s="152"/>
      <c r="AE18" s="152"/>
      <c r="AF18" s="152"/>
      <c r="AG18" s="152"/>
      <c r="AH18" s="152"/>
      <c r="AI18" s="152"/>
      <c r="AJ18" s="152"/>
      <c r="AK18" s="152"/>
      <c r="AL18" s="152"/>
      <c r="AM18" s="152"/>
      <c r="AN18" s="152"/>
    </row>
    <row r="19" spans="1:40" ht="39" customHeight="1" x14ac:dyDescent="0.25">
      <c r="A19" s="489"/>
      <c r="B19" s="489"/>
      <c r="C19" s="489"/>
      <c r="D19" s="489"/>
      <c r="E19" s="489"/>
      <c r="F19" s="489"/>
      <c r="G19" s="155"/>
      <c r="H19" s="156"/>
      <c r="I19" s="156"/>
      <c r="J19" s="152"/>
      <c r="K19" s="152"/>
      <c r="L19" s="356"/>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row>
    <row r="20" spans="1:40" ht="17" x14ac:dyDescent="0.25">
      <c r="A20" s="157" t="s">
        <v>204</v>
      </c>
      <c r="B20" s="477" t="s">
        <v>108</v>
      </c>
      <c r="C20" s="477"/>
      <c r="D20" s="477"/>
      <c r="E20" s="477"/>
      <c r="F20" s="477"/>
      <c r="G20" s="158"/>
      <c r="H20" s="159"/>
      <c r="I20" s="159"/>
      <c r="J20" s="152"/>
      <c r="K20" s="152"/>
      <c r="L20" s="356"/>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row>
    <row r="21" spans="1:40" ht="17.5" x14ac:dyDescent="0.25">
      <c r="A21" s="157" t="s">
        <v>205</v>
      </c>
      <c r="B21" s="477" t="s">
        <v>206</v>
      </c>
      <c r="C21" s="477"/>
      <c r="D21" s="477"/>
      <c r="E21" s="477"/>
      <c r="F21" s="477"/>
      <c r="G21" s="158"/>
      <c r="H21" s="159"/>
      <c r="I21" s="159"/>
      <c r="J21" s="152"/>
      <c r="K21" s="152"/>
      <c r="L21" s="356"/>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row>
    <row r="22" spans="1:40" ht="16" x14ac:dyDescent="0.25">
      <c r="A22" s="157" t="s">
        <v>109</v>
      </c>
      <c r="B22" s="477" t="s">
        <v>105</v>
      </c>
      <c r="C22" s="477"/>
      <c r="D22" s="477"/>
      <c r="E22" s="477"/>
      <c r="F22" s="477"/>
      <c r="G22" s="158"/>
      <c r="H22" s="159"/>
      <c r="I22" s="159"/>
      <c r="J22" s="152"/>
      <c r="K22" s="152"/>
      <c r="L22" s="356"/>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row>
    <row r="23" spans="1:40" ht="17.5" x14ac:dyDescent="0.25">
      <c r="A23" s="157" t="s">
        <v>207</v>
      </c>
      <c r="B23" s="477" t="s">
        <v>208</v>
      </c>
      <c r="C23" s="477"/>
      <c r="D23" s="477"/>
      <c r="E23" s="477"/>
      <c r="F23" s="477"/>
      <c r="G23" s="158"/>
      <c r="H23" s="159"/>
      <c r="I23" s="159"/>
      <c r="J23" s="152"/>
      <c r="K23" s="152"/>
      <c r="L23" s="356"/>
      <c r="N23" s="152"/>
      <c r="O23" s="152"/>
      <c r="P23" s="152"/>
      <c r="R23" s="152"/>
      <c r="S23" s="152"/>
      <c r="T23" s="152"/>
      <c r="U23" s="152"/>
    </row>
    <row r="24" spans="1:40" ht="16" x14ac:dyDescent="0.25">
      <c r="A24" s="152"/>
      <c r="B24" s="152"/>
      <c r="C24" s="152"/>
      <c r="D24" s="152"/>
      <c r="E24" s="152"/>
      <c r="F24" s="152"/>
      <c r="G24" s="152"/>
      <c r="H24" s="152"/>
      <c r="I24" s="152"/>
      <c r="J24" s="152"/>
      <c r="K24" s="152"/>
      <c r="L24" s="356"/>
      <c r="M24" s="152"/>
      <c r="N24" s="152"/>
      <c r="O24" s="152"/>
      <c r="P24" s="152"/>
      <c r="Q24" s="152"/>
      <c r="R24" s="152"/>
      <c r="S24" s="152"/>
      <c r="T24" s="152"/>
    </row>
    <row r="25" spans="1:40" ht="16" x14ac:dyDescent="0.25">
      <c r="A25" s="152"/>
      <c r="B25" s="152"/>
      <c r="C25" s="152"/>
      <c r="D25" s="152"/>
      <c r="E25" s="152"/>
      <c r="F25" s="152"/>
      <c r="G25" s="152"/>
      <c r="H25" s="152"/>
      <c r="I25" s="152"/>
      <c r="J25" s="152"/>
      <c r="K25" s="152"/>
      <c r="L25" s="356"/>
      <c r="M25" s="152"/>
      <c r="N25" s="152"/>
      <c r="O25" s="152"/>
      <c r="P25" s="152"/>
      <c r="Q25" s="152"/>
    </row>
    <row r="26" spans="1:40" ht="19" x14ac:dyDescent="0.25">
      <c r="A26" s="482" t="s">
        <v>110</v>
      </c>
      <c r="B26" s="482"/>
      <c r="C26" s="482"/>
      <c r="D26" s="482"/>
      <c r="E26" s="482"/>
      <c r="F26" s="482"/>
      <c r="G26" s="153"/>
      <c r="H26" s="153"/>
      <c r="I26" s="153"/>
      <c r="J26" s="152"/>
      <c r="K26" s="152"/>
      <c r="L26" s="356"/>
      <c r="M26" s="152"/>
      <c r="N26" s="152"/>
      <c r="O26" s="152"/>
      <c r="P26" s="152"/>
      <c r="Q26" s="152"/>
      <c r="R26" s="126"/>
      <c r="S26" s="126"/>
      <c r="T26" s="126"/>
    </row>
    <row r="27" spans="1:40" ht="57" customHeight="1" x14ac:dyDescent="0.25">
      <c r="A27" s="489"/>
      <c r="B27" s="489"/>
      <c r="C27" s="489"/>
      <c r="D27" s="489"/>
      <c r="E27" s="489"/>
      <c r="F27" s="489"/>
      <c r="G27" s="155"/>
      <c r="H27" s="156"/>
      <c r="I27" s="156"/>
      <c r="J27" s="156"/>
      <c r="K27" s="152"/>
      <c r="L27" s="356"/>
      <c r="M27" s="156"/>
      <c r="N27" s="152"/>
      <c r="O27" s="160"/>
      <c r="P27" s="160"/>
      <c r="Q27" s="160"/>
      <c r="R27" s="160"/>
      <c r="S27" s="160"/>
      <c r="T27" s="160"/>
    </row>
    <row r="28" spans="1:40" ht="17" x14ac:dyDescent="0.25">
      <c r="A28" s="157" t="s">
        <v>209</v>
      </c>
      <c r="B28" s="490" t="s">
        <v>111</v>
      </c>
      <c r="C28" s="490"/>
      <c r="D28" s="490"/>
      <c r="E28" s="490"/>
      <c r="F28" s="490"/>
      <c r="G28" s="158"/>
      <c r="H28" s="159"/>
      <c r="I28" s="159"/>
      <c r="J28" s="159"/>
      <c r="K28" s="152"/>
      <c r="L28" s="356"/>
      <c r="M28" s="159"/>
      <c r="N28" s="152"/>
      <c r="O28" s="161"/>
      <c r="P28" s="161"/>
      <c r="Q28" s="161"/>
      <c r="R28" s="161"/>
      <c r="S28" s="161"/>
      <c r="T28" s="161"/>
      <c r="V28" s="152"/>
      <c r="W28" s="152"/>
      <c r="X28" s="152"/>
      <c r="Y28" s="152"/>
      <c r="Z28" s="152"/>
      <c r="AA28" s="152"/>
      <c r="AB28" s="152"/>
      <c r="AC28" s="152"/>
      <c r="AD28" s="152"/>
    </row>
    <row r="29" spans="1:40" ht="17.5" x14ac:dyDescent="0.25">
      <c r="A29" s="157" t="s">
        <v>205</v>
      </c>
      <c r="B29" s="477" t="s">
        <v>206</v>
      </c>
      <c r="C29" s="477"/>
      <c r="D29" s="477"/>
      <c r="E29" s="477"/>
      <c r="F29" s="477"/>
      <c r="G29" s="162"/>
      <c r="H29" s="161"/>
      <c r="I29" s="161"/>
      <c r="J29" s="161"/>
      <c r="K29" s="161"/>
      <c r="L29" s="356"/>
      <c r="M29" s="161"/>
      <c r="N29" s="161"/>
      <c r="O29" s="161"/>
      <c r="P29" s="161"/>
      <c r="Q29" s="161"/>
      <c r="R29" s="161"/>
      <c r="S29" s="161"/>
      <c r="T29" s="161"/>
    </row>
    <row r="30" spans="1:40" ht="16" x14ac:dyDescent="0.25">
      <c r="A30" s="157" t="s">
        <v>109</v>
      </c>
      <c r="B30" s="477" t="s">
        <v>105</v>
      </c>
      <c r="C30" s="477"/>
      <c r="D30" s="477"/>
      <c r="E30" s="477"/>
      <c r="F30" s="477"/>
      <c r="G30" s="158"/>
      <c r="H30" s="159"/>
      <c r="I30" s="159"/>
      <c r="J30" s="159"/>
      <c r="K30" s="159"/>
      <c r="L30" s="356"/>
      <c r="M30" s="159"/>
      <c r="N30" s="161"/>
      <c r="O30" s="161"/>
      <c r="P30" s="161"/>
      <c r="Q30" s="161"/>
      <c r="R30" s="161"/>
      <c r="S30" s="161"/>
      <c r="T30" s="161"/>
    </row>
    <row r="31" spans="1:40" ht="19.5" customHeight="1" x14ac:dyDescent="0.25">
      <c r="A31" s="157" t="s">
        <v>210</v>
      </c>
      <c r="B31" s="490" t="s">
        <v>211</v>
      </c>
      <c r="C31" s="490"/>
      <c r="D31" s="490"/>
      <c r="E31" s="490"/>
      <c r="F31" s="490"/>
      <c r="G31" s="163"/>
      <c r="H31" s="164"/>
      <c r="I31" s="164"/>
      <c r="J31" s="164"/>
      <c r="K31" s="164"/>
      <c r="L31" s="164"/>
      <c r="M31" s="164"/>
      <c r="N31" s="165"/>
      <c r="O31" s="165"/>
      <c r="P31" s="165"/>
      <c r="Q31" s="165"/>
      <c r="R31" s="165"/>
      <c r="S31" s="165"/>
      <c r="T31" s="165"/>
      <c r="AE31" s="152"/>
      <c r="AF31" s="152"/>
      <c r="AG31" s="152"/>
      <c r="AH31" s="152"/>
      <c r="AI31" s="152"/>
      <c r="AJ31" s="152"/>
      <c r="AK31" s="152"/>
      <c r="AL31" s="152"/>
    </row>
    <row r="32" spans="1:40" ht="17.5" x14ac:dyDescent="0.25">
      <c r="A32" s="157" t="s">
        <v>212</v>
      </c>
      <c r="B32" s="477" t="s">
        <v>213</v>
      </c>
      <c r="C32" s="477"/>
      <c r="D32" s="477"/>
      <c r="E32" s="477"/>
      <c r="F32" s="477"/>
      <c r="G32" s="158"/>
      <c r="H32" s="159"/>
      <c r="I32" s="159"/>
      <c r="J32" s="159"/>
      <c r="K32" s="159"/>
      <c r="L32" s="159"/>
      <c r="M32" s="159"/>
      <c r="N32" s="161"/>
      <c r="O32" s="161"/>
      <c r="P32" s="161"/>
      <c r="Q32" s="161"/>
      <c r="R32" s="161"/>
      <c r="S32" s="161"/>
      <c r="T32" s="161"/>
      <c r="AD32" s="152"/>
    </row>
    <row r="34" spans="1:38" ht="19" x14ac:dyDescent="0.25">
      <c r="A34" s="482" t="s">
        <v>112</v>
      </c>
      <c r="B34" s="482"/>
      <c r="C34" s="482"/>
      <c r="D34" s="482"/>
      <c r="E34" s="482"/>
      <c r="F34" s="482"/>
      <c r="G34" s="153"/>
      <c r="H34" s="153"/>
      <c r="I34" s="153"/>
      <c r="J34" s="153"/>
      <c r="K34" s="153"/>
      <c r="L34" s="153"/>
      <c r="M34" s="153"/>
      <c r="N34" s="126"/>
      <c r="O34" s="126"/>
      <c r="P34" s="126"/>
      <c r="Q34" s="126"/>
      <c r="R34" s="126"/>
      <c r="S34" s="126"/>
      <c r="T34" s="126"/>
    </row>
    <row r="35" spans="1:38" ht="93.75" customHeight="1" x14ac:dyDescent="0.25">
      <c r="A35" s="166">
        <f>TINV(0.05,436)</f>
        <v>1.9654198522355233</v>
      </c>
      <c r="B35" s="491" t="s">
        <v>381</v>
      </c>
      <c r="C35" s="491"/>
      <c r="D35" s="491"/>
      <c r="E35" s="491"/>
      <c r="F35" s="491"/>
      <c r="G35" s="167"/>
      <c r="H35" s="167"/>
      <c r="I35" s="167"/>
      <c r="J35" s="167"/>
      <c r="K35" s="167"/>
      <c r="L35" s="167"/>
      <c r="M35" s="167"/>
      <c r="N35" s="168"/>
      <c r="O35" s="168"/>
      <c r="P35" s="168"/>
      <c r="Q35" s="168"/>
      <c r="R35" s="168"/>
      <c r="S35" s="168"/>
      <c r="T35" s="168"/>
    </row>
    <row r="36" spans="1:38" ht="17.25" customHeight="1" x14ac:dyDescent="0.25"/>
    <row r="37" spans="1:38" ht="17.25" customHeight="1" x14ac:dyDescent="0.25">
      <c r="A37" s="482" t="s">
        <v>113</v>
      </c>
      <c r="B37" s="482"/>
      <c r="C37" s="482"/>
      <c r="D37" s="482"/>
      <c r="E37" s="482"/>
      <c r="F37" s="482"/>
      <c r="G37" s="126"/>
      <c r="H37" s="126"/>
      <c r="I37" s="126"/>
      <c r="J37" s="126"/>
      <c r="K37" s="126"/>
      <c r="L37" s="126"/>
      <c r="M37" s="126"/>
      <c r="N37" s="126"/>
      <c r="O37" s="126"/>
      <c r="P37" s="126"/>
      <c r="Q37" s="126"/>
      <c r="R37" s="126"/>
      <c r="S37" s="126"/>
      <c r="T37" s="126"/>
    </row>
    <row r="38" spans="1:38" ht="37.5" customHeight="1" x14ac:dyDescent="0.25">
      <c r="A38" s="166" t="s">
        <v>114</v>
      </c>
      <c r="B38" s="492" t="s">
        <v>214</v>
      </c>
      <c r="C38" s="492"/>
      <c r="D38" s="492"/>
      <c r="E38" s="492"/>
      <c r="F38" s="492"/>
      <c r="G38" s="169"/>
      <c r="H38" s="169"/>
      <c r="I38" s="169"/>
      <c r="J38" s="169"/>
      <c r="K38" s="169"/>
      <c r="L38" s="169"/>
      <c r="M38" s="169"/>
      <c r="N38" s="170"/>
      <c r="O38" s="170"/>
      <c r="P38" s="170"/>
      <c r="Q38" s="170"/>
      <c r="R38" s="170"/>
      <c r="S38" s="170"/>
      <c r="T38" s="170"/>
    </row>
    <row r="40" spans="1:38" ht="19" x14ac:dyDescent="0.25">
      <c r="A40" s="482" t="s">
        <v>115</v>
      </c>
      <c r="B40" s="482"/>
      <c r="C40" s="482"/>
      <c r="D40" s="482"/>
      <c r="E40" s="482"/>
      <c r="F40" s="482"/>
      <c r="G40" s="153"/>
      <c r="H40" s="153"/>
      <c r="I40" s="153"/>
      <c r="J40" s="153"/>
      <c r="K40" s="153"/>
      <c r="L40" s="153"/>
      <c r="M40" s="153"/>
      <c r="N40" s="126"/>
      <c r="O40" s="126"/>
      <c r="P40" s="126"/>
      <c r="Q40" s="126"/>
      <c r="R40" s="126"/>
      <c r="S40" s="126"/>
      <c r="T40" s="126"/>
    </row>
    <row r="41" spans="1:38" ht="34" x14ac:dyDescent="0.25">
      <c r="A41" s="128" t="s">
        <v>131</v>
      </c>
      <c r="B41" s="171" t="s">
        <v>116</v>
      </c>
      <c r="C41" s="171" t="s">
        <v>194</v>
      </c>
      <c r="D41" s="172" t="s">
        <v>195</v>
      </c>
      <c r="E41" s="130" t="s">
        <v>215</v>
      </c>
      <c r="F41" s="172" t="s">
        <v>117</v>
      </c>
      <c r="G41" s="173"/>
      <c r="H41" s="174"/>
      <c r="I41" s="174"/>
      <c r="J41" s="174"/>
      <c r="K41" s="174"/>
      <c r="L41" s="175"/>
      <c r="M41" s="174"/>
      <c r="N41" s="174"/>
      <c r="O41" s="174"/>
      <c r="P41" s="174"/>
      <c r="Q41" s="174"/>
      <c r="R41" s="174"/>
      <c r="S41" s="174"/>
      <c r="T41" s="174"/>
      <c r="U41" s="176"/>
      <c r="V41" s="177"/>
      <c r="W41" s="177"/>
      <c r="X41" s="177"/>
      <c r="Y41" s="177"/>
      <c r="Z41" s="177"/>
      <c r="AA41" s="177"/>
      <c r="AB41" s="177"/>
      <c r="AC41" s="177"/>
      <c r="AD41" s="176"/>
      <c r="AE41" s="177"/>
      <c r="AF41" s="177"/>
      <c r="AG41" s="177"/>
      <c r="AH41" s="177"/>
      <c r="AI41" s="177"/>
      <c r="AJ41" s="177"/>
      <c r="AK41" s="177"/>
      <c r="AL41" s="177"/>
    </row>
    <row r="42" spans="1:38" ht="16" x14ac:dyDescent="0.25">
      <c r="A42" s="324" t="str">
        <f t="shared" ref="A42:A53" si="23">A4</f>
        <v>01-January-2022 to 31-January-2022</v>
      </c>
      <c r="B42" s="178">
        <f t="shared" ref="B42:B53" si="24">$A$35</f>
        <v>1.9654198522355233</v>
      </c>
      <c r="C42" s="179">
        <f t="shared" ref="C42:C53" si="25">AM4</f>
        <v>62.74747474739187</v>
      </c>
      <c r="D42" s="180">
        <f t="shared" ref="D42:D53" si="26">AN4</f>
        <v>2.0646062321499077</v>
      </c>
      <c r="E42" s="181">
        <f t="shared" ref="E42:E53" si="27">B42*D42</f>
        <v>4.0578180757166118</v>
      </c>
      <c r="F42" s="182">
        <f t="shared" ref="F42:F53" si="28">E42/C42</f>
        <v>6.4669025997500837E-2</v>
      </c>
      <c r="G42" s="174"/>
      <c r="H42" s="174"/>
      <c r="I42" s="174"/>
      <c r="J42" s="174"/>
      <c r="K42" s="174"/>
      <c r="L42" s="175"/>
      <c r="M42" s="174"/>
      <c r="N42" s="174"/>
      <c r="O42" s="174"/>
      <c r="P42" s="174"/>
      <c r="Q42" s="174"/>
      <c r="R42" s="174"/>
      <c r="S42" s="174"/>
      <c r="T42" s="174"/>
      <c r="U42" s="176"/>
      <c r="V42" s="177"/>
      <c r="W42" s="177"/>
      <c r="X42" s="177"/>
      <c r="Y42" s="177"/>
      <c r="Z42" s="177"/>
      <c r="AA42" s="177"/>
      <c r="AB42" s="177"/>
      <c r="AC42" s="177"/>
      <c r="AD42" s="176"/>
      <c r="AE42" s="177"/>
      <c r="AF42" s="177"/>
      <c r="AG42" s="177"/>
      <c r="AH42" s="177"/>
      <c r="AI42" s="177"/>
      <c r="AJ42" s="177"/>
      <c r="AK42" s="177"/>
      <c r="AL42" s="177"/>
    </row>
    <row r="43" spans="1:38" ht="16" x14ac:dyDescent="0.25">
      <c r="A43" s="324" t="str">
        <f t="shared" si="23"/>
        <v>01-February-2022 to 28-February-2022</v>
      </c>
      <c r="B43" s="178">
        <f t="shared" si="24"/>
        <v>1.9654198522355233</v>
      </c>
      <c r="C43" s="179">
        <f t="shared" si="25"/>
        <v>63.648201417730178</v>
      </c>
      <c r="D43" s="180">
        <f t="shared" si="26"/>
        <v>2.0856778531944977</v>
      </c>
      <c r="E43" s="181">
        <f t="shared" si="27"/>
        <v>4.0992326580364331</v>
      </c>
      <c r="F43" s="182">
        <f t="shared" si="28"/>
        <v>6.4404532519822769E-2</v>
      </c>
      <c r="G43" s="174"/>
      <c r="H43" s="174"/>
      <c r="I43" s="174"/>
      <c r="J43" s="174"/>
      <c r="K43" s="174"/>
      <c r="L43" s="175"/>
      <c r="M43" s="174"/>
      <c r="N43" s="174"/>
      <c r="O43" s="174"/>
      <c r="P43" s="174"/>
      <c r="Q43" s="174"/>
      <c r="R43" s="174"/>
      <c r="S43" s="174"/>
      <c r="T43" s="174"/>
      <c r="U43" s="176"/>
      <c r="V43" s="177"/>
      <c r="W43" s="177"/>
      <c r="X43" s="177"/>
      <c r="Y43" s="177"/>
      <c r="Z43" s="177"/>
      <c r="AA43" s="177"/>
      <c r="AB43" s="177"/>
      <c r="AC43" s="177"/>
      <c r="AD43" s="176"/>
      <c r="AE43" s="177"/>
      <c r="AF43" s="177"/>
      <c r="AG43" s="177"/>
      <c r="AH43" s="177"/>
      <c r="AI43" s="177"/>
      <c r="AJ43" s="177"/>
      <c r="AK43" s="177"/>
      <c r="AL43" s="177"/>
    </row>
    <row r="44" spans="1:38" ht="16" x14ac:dyDescent="0.25">
      <c r="A44" s="324" t="str">
        <f t="shared" si="23"/>
        <v>01-March-2022 to 31-March-2022</v>
      </c>
      <c r="B44" s="178">
        <f t="shared" si="24"/>
        <v>1.9654198522355233</v>
      </c>
      <c r="C44" s="179">
        <f t="shared" si="25"/>
        <v>63.559820044932316</v>
      </c>
      <c r="D44" s="180">
        <f t="shared" si="26"/>
        <v>2.1448368052998559</v>
      </c>
      <c r="E44" s="181">
        <f t="shared" si="27"/>
        <v>4.2155048369417543</v>
      </c>
      <c r="F44" s="182">
        <f t="shared" si="28"/>
        <v>6.6323423099085066E-2</v>
      </c>
      <c r="G44" s="174"/>
      <c r="H44" s="174"/>
      <c r="I44" s="174"/>
      <c r="J44" s="174"/>
      <c r="K44" s="174"/>
      <c r="L44" s="175"/>
      <c r="M44" s="174"/>
      <c r="N44" s="174"/>
      <c r="O44" s="174"/>
      <c r="P44" s="174"/>
      <c r="Q44" s="174"/>
      <c r="R44" s="174"/>
      <c r="S44" s="174"/>
      <c r="T44" s="174"/>
      <c r="U44" s="176"/>
      <c r="V44" s="177"/>
      <c r="W44" s="177"/>
      <c r="X44" s="177"/>
      <c r="Y44" s="177"/>
      <c r="Z44" s="177"/>
      <c r="AA44" s="177"/>
      <c r="AB44" s="177"/>
      <c r="AC44" s="177"/>
      <c r="AD44" s="176"/>
      <c r="AE44" s="177"/>
      <c r="AF44" s="177"/>
      <c r="AG44" s="177"/>
      <c r="AH44" s="177"/>
      <c r="AI44" s="177"/>
      <c r="AJ44" s="177"/>
      <c r="AK44" s="177"/>
      <c r="AL44" s="177"/>
    </row>
    <row r="45" spans="1:38" ht="16" x14ac:dyDescent="0.25">
      <c r="A45" s="324" t="str">
        <f t="shared" si="23"/>
        <v>01-April-2022 to 30-April-2022</v>
      </c>
      <c r="B45" s="178">
        <f t="shared" si="24"/>
        <v>1.9654198522355233</v>
      </c>
      <c r="C45" s="179">
        <f t="shared" si="25"/>
        <v>62.920213387714988</v>
      </c>
      <c r="D45" s="180">
        <f t="shared" si="26"/>
        <v>2.0795978834779323</v>
      </c>
      <c r="E45" s="181">
        <f t="shared" si="27"/>
        <v>4.0872829648545048</v>
      </c>
      <c r="F45" s="182">
        <f t="shared" si="28"/>
        <v>6.495977595734817E-2</v>
      </c>
      <c r="G45" s="174"/>
      <c r="H45" s="174"/>
      <c r="I45" s="174"/>
      <c r="J45" s="174"/>
      <c r="K45" s="174"/>
      <c r="L45" s="175"/>
      <c r="M45" s="174"/>
      <c r="N45" s="174"/>
      <c r="O45" s="174"/>
      <c r="P45" s="174"/>
      <c r="Q45" s="174"/>
      <c r="R45" s="174"/>
      <c r="S45" s="174"/>
      <c r="T45" s="174"/>
      <c r="U45" s="176"/>
      <c r="V45" s="177"/>
      <c r="W45" s="177"/>
      <c r="X45" s="177"/>
      <c r="Y45" s="177"/>
      <c r="Z45" s="177"/>
      <c r="AA45" s="177"/>
      <c r="AB45" s="177"/>
      <c r="AC45" s="177"/>
      <c r="AD45" s="176"/>
      <c r="AE45" s="177"/>
      <c r="AF45" s="177"/>
      <c r="AG45" s="177"/>
      <c r="AH45" s="177"/>
      <c r="AI45" s="177"/>
      <c r="AJ45" s="177"/>
      <c r="AK45" s="177"/>
      <c r="AL45" s="177"/>
    </row>
    <row r="46" spans="1:38" ht="16" x14ac:dyDescent="0.25">
      <c r="A46" s="324" t="str">
        <f t="shared" si="23"/>
        <v>01-May-2022 to 31-May-2022</v>
      </c>
      <c r="B46" s="178">
        <f t="shared" si="24"/>
        <v>1.9654198522355233</v>
      </c>
      <c r="C46" s="179">
        <f t="shared" si="25"/>
        <v>63.440708466891365</v>
      </c>
      <c r="D46" s="180">
        <f t="shared" si="26"/>
        <v>2.0898718247503378</v>
      </c>
      <c r="E46" s="181">
        <f t="shared" si="27"/>
        <v>4.1074755729919925</v>
      </c>
      <c r="F46" s="182">
        <f t="shared" si="28"/>
        <v>6.474510881503813E-2</v>
      </c>
      <c r="G46" s="174"/>
      <c r="H46" s="174"/>
      <c r="I46" s="174"/>
      <c r="J46" s="174"/>
      <c r="K46" s="174"/>
      <c r="L46" s="175"/>
      <c r="M46" s="174"/>
      <c r="N46" s="174"/>
      <c r="O46" s="174"/>
      <c r="P46" s="174"/>
      <c r="Q46" s="174"/>
      <c r="R46" s="174"/>
      <c r="S46" s="174"/>
      <c r="T46" s="174"/>
      <c r="U46" s="176"/>
      <c r="V46" s="177"/>
      <c r="W46" s="177"/>
      <c r="X46" s="177"/>
      <c r="Y46" s="177"/>
      <c r="Z46" s="177"/>
      <c r="AA46" s="177"/>
      <c r="AB46" s="177"/>
      <c r="AC46" s="177"/>
      <c r="AD46" s="176"/>
      <c r="AE46" s="177"/>
      <c r="AF46" s="177"/>
      <c r="AG46" s="177"/>
      <c r="AH46" s="177"/>
      <c r="AI46" s="177"/>
      <c r="AJ46" s="177"/>
      <c r="AK46" s="177"/>
      <c r="AL46" s="177"/>
    </row>
    <row r="47" spans="1:38" ht="16" x14ac:dyDescent="0.25">
      <c r="A47" s="324" t="str">
        <f t="shared" si="23"/>
        <v>01-June-2022 to 30-June-2022</v>
      </c>
      <c r="B47" s="178">
        <f t="shared" si="24"/>
        <v>1.9654198522355233</v>
      </c>
      <c r="C47" s="179">
        <f t="shared" si="25"/>
        <v>63.639776214737893</v>
      </c>
      <c r="D47" s="180">
        <f t="shared" si="26"/>
        <v>2.0565472314978703</v>
      </c>
      <c r="E47" s="181">
        <f t="shared" si="27"/>
        <v>4.0419787558459186</v>
      </c>
      <c r="F47" s="182">
        <f t="shared" si="28"/>
        <v>6.3513403035975247E-2</v>
      </c>
      <c r="G47" s="174"/>
      <c r="H47" s="174"/>
      <c r="I47" s="174"/>
      <c r="J47" s="174"/>
      <c r="K47" s="174"/>
      <c r="L47" s="175"/>
      <c r="M47" s="174"/>
      <c r="N47" s="174"/>
      <c r="O47" s="174"/>
      <c r="P47" s="174"/>
      <c r="Q47" s="174"/>
      <c r="R47" s="174"/>
      <c r="S47" s="174"/>
      <c r="T47" s="174"/>
      <c r="U47" s="176"/>
      <c r="V47" s="177"/>
      <c r="W47" s="177"/>
      <c r="X47" s="177"/>
      <c r="Y47" s="177"/>
      <c r="Z47" s="177"/>
      <c r="AA47" s="177"/>
      <c r="AB47" s="177"/>
      <c r="AC47" s="177"/>
      <c r="AD47" s="176"/>
      <c r="AE47" s="177"/>
      <c r="AF47" s="177"/>
      <c r="AG47" s="177"/>
      <c r="AH47" s="177"/>
      <c r="AI47" s="177"/>
      <c r="AJ47" s="177"/>
      <c r="AK47" s="177"/>
      <c r="AL47" s="177"/>
    </row>
    <row r="48" spans="1:38" ht="16" x14ac:dyDescent="0.25">
      <c r="A48" s="324" t="str">
        <f t="shared" si="23"/>
        <v>01-July-2022 to 31-July-2022</v>
      </c>
      <c r="B48" s="178">
        <f t="shared" si="24"/>
        <v>1.9654198522355233</v>
      </c>
      <c r="C48" s="179">
        <f t="shared" si="25"/>
        <v>63.753112990902743</v>
      </c>
      <c r="D48" s="180">
        <f t="shared" si="26"/>
        <v>2.1181406195438881</v>
      </c>
      <c r="E48" s="181">
        <f t="shared" si="27"/>
        <v>4.1630356234780086</v>
      </c>
      <c r="F48" s="182">
        <f t="shared" si="28"/>
        <v>6.529933093733091E-2</v>
      </c>
      <c r="G48" s="174"/>
      <c r="H48" s="174"/>
      <c r="I48" s="174"/>
      <c r="J48" s="174"/>
      <c r="K48" s="174"/>
      <c r="L48" s="175"/>
      <c r="M48" s="174"/>
      <c r="N48" s="174"/>
      <c r="O48" s="174"/>
      <c r="P48" s="174"/>
      <c r="Q48" s="174"/>
      <c r="R48" s="174"/>
      <c r="S48" s="174"/>
      <c r="T48" s="174"/>
      <c r="U48" s="176"/>
      <c r="V48" s="177"/>
      <c r="W48" s="177"/>
      <c r="X48" s="177"/>
      <c r="Y48" s="177"/>
      <c r="Z48" s="177"/>
      <c r="AA48" s="177"/>
      <c r="AB48" s="177"/>
      <c r="AC48" s="177"/>
      <c r="AD48" s="176"/>
      <c r="AE48" s="177"/>
      <c r="AF48" s="177"/>
      <c r="AG48" s="177"/>
      <c r="AH48" s="177"/>
      <c r="AI48" s="177"/>
      <c r="AJ48" s="177"/>
      <c r="AK48" s="177"/>
      <c r="AL48" s="177"/>
    </row>
    <row r="49" spans="1:38" ht="16" x14ac:dyDescent="0.25">
      <c r="A49" s="324" t="str">
        <f t="shared" si="23"/>
        <v>01-August-2022 to 31-August-2022</v>
      </c>
      <c r="B49" s="178">
        <f t="shared" si="24"/>
        <v>1.9654198522355233</v>
      </c>
      <c r="C49" s="179">
        <f t="shared" si="25"/>
        <v>63.295836114148059</v>
      </c>
      <c r="D49" s="180">
        <f t="shared" si="26"/>
        <v>2.0819985721759591</v>
      </c>
      <c r="E49" s="181">
        <f t="shared" si="27"/>
        <v>4.092001326080644</v>
      </c>
      <c r="F49" s="182">
        <f t="shared" si="28"/>
        <v>6.4648823323877197E-2</v>
      </c>
      <c r="G49" s="174"/>
      <c r="H49" s="174"/>
      <c r="I49" s="174"/>
      <c r="J49" s="174"/>
      <c r="K49" s="174"/>
      <c r="L49" s="175"/>
      <c r="M49" s="174"/>
      <c r="N49" s="174"/>
      <c r="O49" s="174"/>
      <c r="P49" s="174"/>
      <c r="Q49" s="174"/>
      <c r="R49" s="174"/>
      <c r="S49" s="174"/>
      <c r="T49" s="174"/>
      <c r="U49" s="176"/>
      <c r="V49" s="177"/>
      <c r="W49" s="177"/>
      <c r="X49" s="177"/>
      <c r="Y49" s="177"/>
      <c r="Z49" s="177"/>
      <c r="AA49" s="177"/>
      <c r="AB49" s="177"/>
      <c r="AC49" s="177"/>
      <c r="AD49" s="176"/>
      <c r="AE49" s="177"/>
      <c r="AF49" s="177"/>
      <c r="AG49" s="177"/>
      <c r="AH49" s="177"/>
      <c r="AI49" s="177"/>
      <c r="AJ49" s="177"/>
      <c r="AK49" s="177"/>
      <c r="AL49" s="177"/>
    </row>
    <row r="50" spans="1:38" ht="16" x14ac:dyDescent="0.25">
      <c r="A50" s="324" t="str">
        <f t="shared" si="23"/>
        <v>01-September-2022 to 30-September-2022</v>
      </c>
      <c r="B50" s="178">
        <f t="shared" si="24"/>
        <v>1.9654198522355233</v>
      </c>
      <c r="C50" s="179">
        <f t="shared" si="25"/>
        <v>62.356237658539499</v>
      </c>
      <c r="D50" s="180">
        <f t="shared" si="26"/>
        <v>2.0809267157609201</v>
      </c>
      <c r="E50" s="181">
        <f t="shared" si="27"/>
        <v>4.0898946782037804</v>
      </c>
      <c r="F50" s="182">
        <f t="shared" si="28"/>
        <v>6.5589182923445372E-2</v>
      </c>
    </row>
    <row r="51" spans="1:38" ht="16" x14ac:dyDescent="0.25">
      <c r="A51" s="324" t="str">
        <f t="shared" si="23"/>
        <v>01-October-2022 to 31-October-2022</v>
      </c>
      <c r="B51" s="178">
        <f t="shared" si="24"/>
        <v>1.9654198522355233</v>
      </c>
      <c r="C51" s="179">
        <f t="shared" si="25"/>
        <v>63.174240399710683</v>
      </c>
      <c r="D51" s="180">
        <f t="shared" si="26"/>
        <v>2.0870261698429649</v>
      </c>
      <c r="E51" s="181">
        <f t="shared" si="27"/>
        <v>4.1018826663444301</v>
      </c>
      <c r="F51" s="182">
        <f t="shared" si="28"/>
        <v>6.492967134058672E-2</v>
      </c>
    </row>
    <row r="52" spans="1:38" ht="16" x14ac:dyDescent="0.25">
      <c r="A52" s="324" t="str">
        <f t="shared" si="23"/>
        <v>01-November-2022 to 30-November-2022</v>
      </c>
      <c r="B52" s="178">
        <f t="shared" si="24"/>
        <v>1.9654198522355233</v>
      </c>
      <c r="C52" s="179">
        <f t="shared" si="25"/>
        <v>63.743859240481108</v>
      </c>
      <c r="D52" s="180">
        <f t="shared" si="26"/>
        <v>2.1268015569894194</v>
      </c>
      <c r="E52" s="181">
        <f t="shared" si="27"/>
        <v>4.1800580018724256</v>
      </c>
      <c r="F52" s="182">
        <f t="shared" si="28"/>
        <v>6.5575853920338767E-2</v>
      </c>
    </row>
    <row r="53" spans="1:38" ht="16" x14ac:dyDescent="0.25">
      <c r="A53" s="324" t="str">
        <f t="shared" si="23"/>
        <v>01-December-2022 to 31-December-2022</v>
      </c>
      <c r="B53" s="178">
        <f t="shared" si="24"/>
        <v>1.9654198522355233</v>
      </c>
      <c r="C53" s="179">
        <f t="shared" si="25"/>
        <v>63.834159575625591</v>
      </c>
      <c r="D53" s="180">
        <f t="shared" si="26"/>
        <v>2.1026419141680437</v>
      </c>
      <c r="E53" s="181">
        <f t="shared" si="27"/>
        <v>4.1325741602483745</v>
      </c>
      <c r="F53" s="182">
        <f t="shared" si="28"/>
        <v>6.4739227205653616E-2</v>
      </c>
    </row>
  </sheetData>
  <mergeCells count="25">
    <mergeCell ref="A40:F40"/>
    <mergeCell ref="A26:F26"/>
    <mergeCell ref="A27:F27"/>
    <mergeCell ref="B28:F28"/>
    <mergeCell ref="B29:F29"/>
    <mergeCell ref="B30:F30"/>
    <mergeCell ref="B31:F31"/>
    <mergeCell ref="B32:F32"/>
    <mergeCell ref="A34:F34"/>
    <mergeCell ref="B35:F35"/>
    <mergeCell ref="A37:F37"/>
    <mergeCell ref="B38:F38"/>
    <mergeCell ref="B23:F23"/>
    <mergeCell ref="AM2:AM3"/>
    <mergeCell ref="AN2:AN3"/>
    <mergeCell ref="A1:F1"/>
    <mergeCell ref="C2:K2"/>
    <mergeCell ref="L2:T2"/>
    <mergeCell ref="U2:AC2"/>
    <mergeCell ref="AD2:AL2"/>
    <mergeCell ref="A18:F18"/>
    <mergeCell ref="A19:F19"/>
    <mergeCell ref="B20:F20"/>
    <mergeCell ref="B21:F21"/>
    <mergeCell ref="B22:F22"/>
  </mergeCells>
  <phoneticPr fontId="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G21"/>
  <sheetViews>
    <sheetView tabSelected="1" zoomScale="90" zoomScaleNormal="90" workbookViewId="0">
      <selection activeCell="J12" sqref="J12"/>
    </sheetView>
  </sheetViews>
  <sheetFormatPr defaultRowHeight="13.5" x14ac:dyDescent="0.35"/>
  <cols>
    <col min="1" max="2" width="8.7265625" style="44"/>
    <col min="3" max="3" width="37.90625" style="44" bestFit="1" customWidth="1"/>
    <col min="4" max="4" width="31.453125" style="44" bestFit="1" customWidth="1"/>
    <col min="5" max="5" width="28.81640625" style="44" bestFit="1" customWidth="1"/>
    <col min="6" max="6" width="30.54296875" style="44" bestFit="1" customWidth="1"/>
    <col min="7" max="7" width="34.54296875" style="44" bestFit="1" customWidth="1"/>
    <col min="8" max="16384" width="8.7265625" style="44"/>
  </cols>
  <sheetData>
    <row r="4" spans="3:7" ht="14" thickBot="1" x14ac:dyDescent="0.4"/>
    <row r="5" spans="3:7" ht="18" x14ac:dyDescent="0.35">
      <c r="C5" s="82" t="s">
        <v>129</v>
      </c>
      <c r="D5" s="83" t="s">
        <v>180</v>
      </c>
      <c r="E5" s="83" t="s">
        <v>181</v>
      </c>
      <c r="F5" s="83" t="s">
        <v>182</v>
      </c>
      <c r="G5" s="84" t="s">
        <v>183</v>
      </c>
    </row>
    <row r="6" spans="3:7" ht="24.75" customHeight="1" x14ac:dyDescent="0.35">
      <c r="C6" s="85" t="s">
        <v>380</v>
      </c>
      <c r="D6" s="86">
        <f>'Baseline Emission'!D233</f>
        <v>138664</v>
      </c>
      <c r="E6" s="87">
        <f>'Project Emission'!E329</f>
        <v>14329</v>
      </c>
      <c r="F6" s="88">
        <f>'Leakage Emission'!F318</f>
        <v>5578</v>
      </c>
      <c r="G6" s="89">
        <f>D6-E6-F6</f>
        <v>118757</v>
      </c>
    </row>
    <row r="7" spans="3:7" ht="28" customHeight="1" thickBot="1" x14ac:dyDescent="0.4">
      <c r="C7" s="90" t="s">
        <v>130</v>
      </c>
      <c r="D7" s="91">
        <f>SUM(D6:D6)</f>
        <v>138664</v>
      </c>
      <c r="E7" s="91">
        <f>SUM(E6:E6)</f>
        <v>14329</v>
      </c>
      <c r="F7" s="91">
        <f>SUM(F6:F6)</f>
        <v>5578</v>
      </c>
      <c r="G7" s="92">
        <f>SUM(G6:G6)</f>
        <v>118757</v>
      </c>
    </row>
    <row r="9" spans="3:7" x14ac:dyDescent="0.35">
      <c r="G9" s="361"/>
    </row>
    <row r="16" spans="3:7" x14ac:dyDescent="0.35">
      <c r="D16" s="359"/>
    </row>
    <row r="17" spans="4:6" x14ac:dyDescent="0.35">
      <c r="D17" s="359"/>
    </row>
    <row r="20" spans="4:6" x14ac:dyDescent="0.35">
      <c r="F20" s="108"/>
    </row>
    <row r="21" spans="4:6" x14ac:dyDescent="0.35">
      <c r="F21" s="108"/>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79"/>
  <sheetViews>
    <sheetView zoomScale="85" zoomScaleNormal="85" workbookViewId="0">
      <selection activeCell="L10" sqref="L10"/>
    </sheetView>
  </sheetViews>
  <sheetFormatPr defaultRowHeight="13.5" x14ac:dyDescent="0.35"/>
  <cols>
    <col min="1" max="1" width="37.26953125" style="44" bestFit="1" customWidth="1"/>
    <col min="2" max="2" width="14.453125" style="44" customWidth="1"/>
    <col min="3" max="3" width="14.7265625" style="44" customWidth="1"/>
    <col min="4" max="4" width="13.26953125" style="44" customWidth="1"/>
    <col min="5" max="5" width="19.1796875" style="44" customWidth="1"/>
    <col min="6" max="6" width="17.54296875" style="44" customWidth="1"/>
    <col min="7" max="7" width="37.26953125" style="44" bestFit="1" customWidth="1"/>
    <col min="8" max="8" width="15.453125" style="44" customWidth="1"/>
    <col min="9" max="9" width="20.453125" style="44" customWidth="1"/>
    <col min="10" max="10" width="9.6328125" style="44" bestFit="1" customWidth="1"/>
    <col min="11" max="11" width="10" style="44" bestFit="1" customWidth="1"/>
    <col min="12" max="12" width="16.1796875" style="44" customWidth="1"/>
    <col min="13" max="13" width="17.54296875" style="44" customWidth="1"/>
    <col min="14" max="14" width="12.1796875" style="44" customWidth="1"/>
    <col min="15" max="15" width="9" style="44" customWidth="1"/>
    <col min="16" max="16" width="20.453125" style="44" customWidth="1"/>
    <col min="17" max="17" width="10.81640625" style="44" bestFit="1" customWidth="1"/>
    <col min="18" max="18" width="8.7265625" style="44"/>
    <col min="19" max="19" width="9.81640625" style="44" bestFit="1" customWidth="1"/>
    <col min="20" max="16384" width="8.7265625" style="44"/>
  </cols>
  <sheetData>
    <row r="1" spans="1:14" ht="33.75" customHeight="1" thickBot="1" x14ac:dyDescent="0.4"/>
    <row r="2" spans="1:14" ht="14.25" customHeight="1" x14ac:dyDescent="0.45">
      <c r="A2" s="494" t="s">
        <v>318</v>
      </c>
      <c r="B2" s="495"/>
      <c r="C2" s="495"/>
      <c r="D2" s="495"/>
      <c r="E2" s="496"/>
      <c r="G2" s="494" t="s">
        <v>128</v>
      </c>
      <c r="H2" s="495"/>
      <c r="I2" s="496"/>
    </row>
    <row r="3" spans="1:14" ht="29" x14ac:dyDescent="0.35">
      <c r="A3" s="498" t="s">
        <v>73</v>
      </c>
      <c r="B3" s="379" t="s">
        <v>184</v>
      </c>
      <c r="C3" s="379"/>
      <c r="D3" s="379" t="s">
        <v>185</v>
      </c>
      <c r="E3" s="497"/>
      <c r="G3" s="93" t="s">
        <v>73</v>
      </c>
      <c r="H3" s="94" t="s">
        <v>186</v>
      </c>
      <c r="I3" s="95" t="s">
        <v>127</v>
      </c>
    </row>
    <row r="4" spans="1:14" ht="12.75" customHeight="1" x14ac:dyDescent="0.35">
      <c r="A4" s="499"/>
      <c r="B4" s="392" t="s">
        <v>35</v>
      </c>
      <c r="C4" s="392" t="s">
        <v>93</v>
      </c>
      <c r="D4" s="392" t="s">
        <v>35</v>
      </c>
      <c r="E4" s="448" t="s">
        <v>93</v>
      </c>
      <c r="G4" s="332" t="str">
        <f>A6</f>
        <v>01-January-2022 to 31-January-2022</v>
      </c>
      <c r="H4" s="317">
        <v>35.424510000000005</v>
      </c>
      <c r="I4" s="501" t="s">
        <v>124</v>
      </c>
      <c r="J4" s="333"/>
    </row>
    <row r="5" spans="1:14" x14ac:dyDescent="0.35">
      <c r="A5" s="500"/>
      <c r="B5" s="410"/>
      <c r="C5" s="410"/>
      <c r="D5" s="410"/>
      <c r="E5" s="493"/>
      <c r="F5" s="97"/>
      <c r="G5" s="332" t="str">
        <f t="shared" ref="G5:G15" si="0">A7</f>
        <v>01-February-2022 to 28-February-2022</v>
      </c>
      <c r="H5" s="317">
        <v>37.982940000000006</v>
      </c>
      <c r="I5" s="502"/>
      <c r="J5" s="333"/>
      <c r="M5" s="97"/>
      <c r="N5" s="97"/>
    </row>
    <row r="6" spans="1:14" x14ac:dyDescent="0.35">
      <c r="A6" s="323" t="s">
        <v>321</v>
      </c>
      <c r="B6" s="98">
        <f>'2022.01'!D142</f>
        <v>94226</v>
      </c>
      <c r="C6" s="98">
        <f>'2022.01'!E142</f>
        <v>51851</v>
      </c>
      <c r="D6" s="99">
        <f>'2022.01'!C146</f>
        <v>57.6</v>
      </c>
      <c r="E6" s="100">
        <f>'2022.01'!D146</f>
        <v>72</v>
      </c>
      <c r="F6" s="97"/>
      <c r="G6" s="332" t="str">
        <f t="shared" si="0"/>
        <v>01-March-2022 to 31-March-2022</v>
      </c>
      <c r="H6" s="317">
        <v>36.821050000000007</v>
      </c>
      <c r="I6" s="502"/>
      <c r="J6" s="333"/>
      <c r="M6" s="97"/>
      <c r="N6" s="97"/>
    </row>
    <row r="7" spans="1:14" x14ac:dyDescent="0.35">
      <c r="A7" s="323" t="s">
        <v>322</v>
      </c>
      <c r="B7" s="98">
        <f>'2022.02'!D142</f>
        <v>94226</v>
      </c>
      <c r="C7" s="98">
        <f>'2022.02'!E142</f>
        <v>51422</v>
      </c>
      <c r="D7" s="99">
        <f>'2022.02'!C146</f>
        <v>57.8</v>
      </c>
      <c r="E7" s="100">
        <f>'2022.02'!D146</f>
        <v>74.3</v>
      </c>
      <c r="F7" s="97"/>
      <c r="G7" s="332" t="str">
        <f t="shared" si="0"/>
        <v>01-April-2022 to 30-April-2022</v>
      </c>
      <c r="H7" s="317">
        <v>37.094540000000002</v>
      </c>
      <c r="I7" s="502"/>
      <c r="J7" s="333"/>
      <c r="M7" s="97"/>
      <c r="N7" s="97"/>
    </row>
    <row r="8" spans="1:14" x14ac:dyDescent="0.35">
      <c r="A8" s="323" t="s">
        <v>323</v>
      </c>
      <c r="B8" s="98">
        <f>'2022.03'!D142</f>
        <v>94226</v>
      </c>
      <c r="C8" s="98">
        <f>'2022.03'!E142</f>
        <v>51878</v>
      </c>
      <c r="D8" s="99">
        <f>'2022.03'!C146</f>
        <v>58.6</v>
      </c>
      <c r="E8" s="100">
        <f>'2022.03'!D146</f>
        <v>72.400000000000006</v>
      </c>
      <c r="F8" s="97"/>
      <c r="G8" s="332" t="str">
        <f t="shared" si="0"/>
        <v>01-May-2022 to 31-May-2022</v>
      </c>
      <c r="H8" s="317">
        <v>35.601490000000005</v>
      </c>
      <c r="I8" s="502"/>
      <c r="J8" s="333"/>
      <c r="M8" s="97"/>
      <c r="N8" s="97"/>
    </row>
    <row r="9" spans="1:14" x14ac:dyDescent="0.35">
      <c r="A9" s="323" t="s">
        <v>324</v>
      </c>
      <c r="B9" s="98">
        <f>'2022.04'!D142</f>
        <v>94226</v>
      </c>
      <c r="C9" s="98">
        <f>'2022.04'!E142</f>
        <v>51867</v>
      </c>
      <c r="D9" s="99">
        <f>'2022.04'!C146</f>
        <v>58</v>
      </c>
      <c r="E9" s="100">
        <f>'2022.04'!D146</f>
        <v>71.8</v>
      </c>
      <c r="F9" s="97"/>
      <c r="G9" s="332" t="str">
        <f t="shared" si="0"/>
        <v>01-June-2022 to 30-June-2022</v>
      </c>
      <c r="H9" s="317">
        <v>30.879750000000001</v>
      </c>
      <c r="I9" s="502"/>
      <c r="J9" s="333"/>
      <c r="M9" s="97"/>
      <c r="N9" s="97"/>
    </row>
    <row r="10" spans="1:14" x14ac:dyDescent="0.35">
      <c r="A10" s="323" t="s">
        <v>325</v>
      </c>
      <c r="B10" s="98">
        <f>'2022.05'!D142</f>
        <v>94226</v>
      </c>
      <c r="C10" s="98">
        <f>'2022.05'!E142</f>
        <v>51807</v>
      </c>
      <c r="D10" s="99">
        <f>'2022.05'!C146</f>
        <v>57.9</v>
      </c>
      <c r="E10" s="100">
        <f>'2022.05'!D146</f>
        <v>73.400000000000006</v>
      </c>
      <c r="F10" s="97"/>
      <c r="G10" s="332" t="str">
        <f t="shared" si="0"/>
        <v>01-July-2022 to 31-July-2022</v>
      </c>
      <c r="H10" s="317">
        <v>37.54392</v>
      </c>
      <c r="I10" s="502"/>
      <c r="J10" s="333"/>
      <c r="M10" s="97"/>
      <c r="N10" s="97"/>
    </row>
    <row r="11" spans="1:14" x14ac:dyDescent="0.35">
      <c r="A11" s="323" t="s">
        <v>326</v>
      </c>
      <c r="B11" s="98">
        <f>'2022.06'!D142</f>
        <v>94226</v>
      </c>
      <c r="C11" s="98">
        <f>'2022.06'!E142</f>
        <v>51827</v>
      </c>
      <c r="D11" s="99">
        <f>'2022.06'!C146</f>
        <v>58.9</v>
      </c>
      <c r="E11" s="100">
        <f>'2022.06'!D146</f>
        <v>72.099999999999994</v>
      </c>
      <c r="F11" s="97"/>
      <c r="G11" s="332" t="str">
        <f t="shared" si="0"/>
        <v>01-August-2022 to 31-August-2022</v>
      </c>
      <c r="H11" s="317">
        <v>33.850020000000001</v>
      </c>
      <c r="I11" s="502"/>
      <c r="J11" s="333"/>
      <c r="M11" s="97"/>
      <c r="N11" s="97"/>
    </row>
    <row r="12" spans="1:14" x14ac:dyDescent="0.35">
      <c r="A12" s="323" t="s">
        <v>327</v>
      </c>
      <c r="B12" s="98">
        <f>'2022.07'!D142</f>
        <v>94226</v>
      </c>
      <c r="C12" s="98">
        <f>'2022.07'!E142</f>
        <v>51818</v>
      </c>
      <c r="D12" s="99">
        <f>'2022.07'!C146</f>
        <v>59.1</v>
      </c>
      <c r="E12" s="100">
        <f>'2022.07'!D146</f>
        <v>72.2</v>
      </c>
      <c r="F12" s="97"/>
      <c r="G12" s="332" t="str">
        <f t="shared" si="0"/>
        <v>01-September-2022 to 30-September-2022</v>
      </c>
      <c r="H12" s="317">
        <v>34.948430000000002</v>
      </c>
      <c r="I12" s="502"/>
      <c r="J12" s="333"/>
      <c r="M12" s="97"/>
      <c r="N12" s="97"/>
    </row>
    <row r="13" spans="1:14" x14ac:dyDescent="0.35">
      <c r="A13" s="323" t="s">
        <v>328</v>
      </c>
      <c r="B13" s="98">
        <f>'2022.08'!D142</f>
        <v>94226</v>
      </c>
      <c r="C13" s="98">
        <f>'2022.08'!E142</f>
        <v>51830</v>
      </c>
      <c r="D13" s="99">
        <f>'2022.08'!C146</f>
        <v>58.2</v>
      </c>
      <c r="E13" s="100">
        <f>'2022.08'!D146</f>
        <v>72.400000000000006</v>
      </c>
      <c r="F13" s="97"/>
      <c r="G13" s="332" t="str">
        <f t="shared" si="0"/>
        <v>01-October-2022 to 31-October-2022</v>
      </c>
      <c r="H13" s="317">
        <v>31.642990000000001</v>
      </c>
      <c r="I13" s="502"/>
      <c r="J13" s="333"/>
      <c r="M13" s="97"/>
      <c r="N13" s="97"/>
    </row>
    <row r="14" spans="1:14" x14ac:dyDescent="0.35">
      <c r="A14" s="323" t="s">
        <v>329</v>
      </c>
      <c r="B14" s="98">
        <f>'2022.09'!D142</f>
        <v>94226</v>
      </c>
      <c r="C14" s="98">
        <f>'2022.09'!E142</f>
        <v>51018</v>
      </c>
      <c r="D14" s="99">
        <f>'2022.09'!C146</f>
        <v>57.4</v>
      </c>
      <c r="E14" s="100">
        <f>'2022.09'!D146</f>
        <v>71.400000000000006</v>
      </c>
      <c r="F14" s="97"/>
      <c r="G14" s="332" t="str">
        <f t="shared" si="0"/>
        <v>01-November-2022 to 30-November-2022</v>
      </c>
      <c r="H14" s="317">
        <v>36.86195</v>
      </c>
      <c r="I14" s="502"/>
      <c r="J14" s="333"/>
      <c r="M14" s="97"/>
      <c r="N14" s="97"/>
    </row>
    <row r="15" spans="1:14" x14ac:dyDescent="0.35">
      <c r="A15" s="323" t="s">
        <v>330</v>
      </c>
      <c r="B15" s="98">
        <f>'2022.10'!D142</f>
        <v>94226</v>
      </c>
      <c r="C15" s="98">
        <f>'2022.10'!E142</f>
        <v>51826</v>
      </c>
      <c r="D15" s="99">
        <f>'2022.10'!C146</f>
        <v>57.6</v>
      </c>
      <c r="E15" s="100">
        <f>'2022.10'!D146</f>
        <v>73.099999999999994</v>
      </c>
      <c r="F15" s="97"/>
      <c r="G15" s="332" t="str">
        <f t="shared" si="0"/>
        <v>01-December-2022 to 31-December-2022</v>
      </c>
      <c r="H15" s="317">
        <v>35.995790000000007</v>
      </c>
      <c r="I15" s="502"/>
      <c r="J15" s="333"/>
      <c r="M15" s="97"/>
      <c r="N15" s="97"/>
    </row>
    <row r="16" spans="1:14" ht="14" thickBot="1" x14ac:dyDescent="0.4">
      <c r="A16" s="323" t="s">
        <v>331</v>
      </c>
      <c r="B16" s="98">
        <f>'2022.11'!D142</f>
        <v>94226</v>
      </c>
      <c r="C16" s="98">
        <f>'2022.11'!E142</f>
        <v>51806</v>
      </c>
      <c r="D16" s="99">
        <f>'2022.11'!C146</f>
        <v>58.1</v>
      </c>
      <c r="E16" s="100">
        <f>'2022.11'!D146</f>
        <v>73.8</v>
      </c>
      <c r="F16" s="97"/>
      <c r="G16" s="334" t="s">
        <v>130</v>
      </c>
      <c r="H16" s="335">
        <f>SUM(H4:H15)</f>
        <v>424.64738</v>
      </c>
      <c r="I16" s="503"/>
      <c r="J16" s="333"/>
      <c r="M16" s="97"/>
      <c r="N16" s="97"/>
    </row>
    <row r="17" spans="1:14" x14ac:dyDescent="0.35">
      <c r="A17" s="323" t="s">
        <v>332</v>
      </c>
      <c r="B17" s="98">
        <f>'2022.12'!D142</f>
        <v>94226</v>
      </c>
      <c r="C17" s="98">
        <f>'2022.12'!E142</f>
        <v>51828</v>
      </c>
      <c r="D17" s="99">
        <f>'2022.12'!C146</f>
        <v>58.7</v>
      </c>
      <c r="E17" s="100">
        <f>'2022.12'!D146</f>
        <v>73</v>
      </c>
      <c r="F17" s="97"/>
      <c r="J17" s="116"/>
      <c r="M17" s="97"/>
      <c r="N17" s="97"/>
    </row>
    <row r="18" spans="1:14" ht="14" thickBot="1" x14ac:dyDescent="0.4">
      <c r="A18" s="101" t="s">
        <v>94</v>
      </c>
      <c r="B18" s="102">
        <f>ROUNDDOWN(AVERAGE(B5:B17),0)</f>
        <v>94226</v>
      </c>
      <c r="C18" s="102">
        <f>ROUNDDOWN(AVERAGE(C5:C17),0)</f>
        <v>51731</v>
      </c>
      <c r="D18" s="103">
        <f>ROUNDDOWN(AVERAGE(D6:D17),1)</f>
        <v>58.1</v>
      </c>
      <c r="E18" s="104">
        <f>ROUNDDOWN(AVERAGE(E6:E17),1)</f>
        <v>72.599999999999994</v>
      </c>
      <c r="F18" s="97"/>
    </row>
    <row r="19" spans="1:14" x14ac:dyDescent="0.35">
      <c r="F19" s="97"/>
      <c r="H19" s="105"/>
      <c r="I19" s="105"/>
    </row>
    <row r="20" spans="1:14" x14ac:dyDescent="0.35">
      <c r="D20" s="106"/>
      <c r="E20" s="106"/>
      <c r="H20" s="107"/>
    </row>
    <row r="22" spans="1:14" x14ac:dyDescent="0.35">
      <c r="A22" s="108"/>
    </row>
    <row r="23" spans="1:14" x14ac:dyDescent="0.35">
      <c r="A23" s="108"/>
    </row>
    <row r="24" spans="1:14" x14ac:dyDescent="0.35">
      <c r="A24" s="108"/>
    </row>
    <row r="25" spans="1:14" x14ac:dyDescent="0.35">
      <c r="A25" s="108"/>
    </row>
    <row r="27" spans="1:14" ht="14" thickBot="1" x14ac:dyDescent="0.4"/>
    <row r="28" spans="1:14" ht="16.5" x14ac:dyDescent="0.45">
      <c r="A28" s="362" t="s">
        <v>73</v>
      </c>
      <c r="B28" s="363" t="s">
        <v>187</v>
      </c>
      <c r="C28" s="363" t="s">
        <v>188</v>
      </c>
      <c r="D28" s="363" t="s">
        <v>91</v>
      </c>
      <c r="E28" s="363" t="s">
        <v>189</v>
      </c>
      <c r="F28" s="363" t="s">
        <v>87</v>
      </c>
      <c r="G28" s="363" t="s">
        <v>190</v>
      </c>
      <c r="H28" s="363" t="s">
        <v>88</v>
      </c>
      <c r="I28" s="363" t="s">
        <v>89</v>
      </c>
      <c r="J28" s="363" t="s">
        <v>191</v>
      </c>
      <c r="K28" s="363" t="s">
        <v>192</v>
      </c>
      <c r="L28" s="373" t="s">
        <v>388</v>
      </c>
      <c r="M28" s="364" t="s">
        <v>193</v>
      </c>
    </row>
    <row r="29" spans="1:14" x14ac:dyDescent="0.35">
      <c r="A29" s="369" t="str">
        <f>A6</f>
        <v>01-January-2022 to 31-January-2022</v>
      </c>
      <c r="B29" s="370">
        <v>1097442.3</v>
      </c>
      <c r="C29" s="370">
        <v>1075493.79</v>
      </c>
      <c r="D29" s="113">
        <v>0</v>
      </c>
      <c r="E29" s="360">
        <v>35.43</v>
      </c>
      <c r="F29" s="360">
        <f>E29+273.15</f>
        <v>308.58</v>
      </c>
      <c r="G29" s="45">
        <f>101.325*1000</f>
        <v>101325</v>
      </c>
      <c r="H29" s="45">
        <v>16.04</v>
      </c>
      <c r="I29" s="111">
        <v>8314</v>
      </c>
      <c r="J29" s="112">
        <f>ROUND(G29*H29/F29/I29,2)/1000</f>
        <v>6.3000000000000003E-4</v>
      </c>
      <c r="K29" s="113">
        <v>59.84</v>
      </c>
      <c r="L29" s="374">
        <f>B29/'Baseline Emission'!B58/24</f>
        <v>1475.0568548387098</v>
      </c>
      <c r="M29" s="114">
        <f>J29*K29*B29/100</f>
        <v>413.72696756160002</v>
      </c>
    </row>
    <row r="30" spans="1:14" x14ac:dyDescent="0.35">
      <c r="A30" s="369" t="str">
        <f t="shared" ref="A30:A40" si="1">A7</f>
        <v>01-February-2022 to 28-February-2022</v>
      </c>
      <c r="B30" s="370">
        <v>990015.84</v>
      </c>
      <c r="C30" s="370">
        <v>970213.32</v>
      </c>
      <c r="D30" s="113">
        <v>0</v>
      </c>
      <c r="E30" s="360">
        <v>36.119999999999997</v>
      </c>
      <c r="F30" s="45">
        <f t="shared" ref="F30:F40" si="2">E30+273.15</f>
        <v>309.27</v>
      </c>
      <c r="G30" s="45">
        <f>101.325*1000</f>
        <v>101325</v>
      </c>
      <c r="H30" s="45">
        <v>16.04</v>
      </c>
      <c r="I30" s="111">
        <v>8314</v>
      </c>
      <c r="J30" s="112">
        <f t="shared" ref="J30:J40" si="3">ROUND(G30*H30/F30/I30,2)/1000</f>
        <v>6.3000000000000003E-4</v>
      </c>
      <c r="K30" s="113">
        <v>60.37</v>
      </c>
      <c r="L30" s="374">
        <f>B30/'Baseline Emission'!B59/24</f>
        <v>1473.2378571428571</v>
      </c>
      <c r="M30" s="114">
        <f t="shared" ref="M30:M40" si="4">J30*K30*B30/100</f>
        <v>376.53371444304003</v>
      </c>
    </row>
    <row r="31" spans="1:14" x14ac:dyDescent="0.35">
      <c r="A31" s="369" t="str">
        <f t="shared" si="1"/>
        <v>01-March-2022 to 31-March-2022</v>
      </c>
      <c r="B31" s="370">
        <v>1098526.26</v>
      </c>
      <c r="C31" s="370">
        <v>1076557.46</v>
      </c>
      <c r="D31" s="113">
        <v>0</v>
      </c>
      <c r="E31" s="360">
        <v>35.799999999999997</v>
      </c>
      <c r="F31" s="45">
        <f t="shared" si="2"/>
        <v>308.95</v>
      </c>
      <c r="G31" s="45">
        <f t="shared" ref="G31:G40" si="5">101.325*1000</f>
        <v>101325</v>
      </c>
      <c r="H31" s="45">
        <v>16.04</v>
      </c>
      <c r="I31" s="111">
        <v>8314</v>
      </c>
      <c r="J31" s="112">
        <f t="shared" si="3"/>
        <v>6.3000000000000003E-4</v>
      </c>
      <c r="K31" s="113">
        <v>61.12</v>
      </c>
      <c r="L31" s="374">
        <f>B31/'Baseline Emission'!B60/24</f>
        <v>1476.5137903225807</v>
      </c>
      <c r="M31" s="114">
        <f t="shared" si="4"/>
        <v>422.99412757056001</v>
      </c>
    </row>
    <row r="32" spans="1:14" x14ac:dyDescent="0.35">
      <c r="A32" s="369" t="str">
        <f t="shared" si="1"/>
        <v>01-April-2022 to 30-April-2022</v>
      </c>
      <c r="B32" s="365">
        <v>1065508.56</v>
      </c>
      <c r="C32" s="365">
        <v>1044198.83</v>
      </c>
      <c r="D32" s="113">
        <v>0</v>
      </c>
      <c r="E32" s="360">
        <v>35.39</v>
      </c>
      <c r="F32" s="45">
        <f>E32+273.15</f>
        <v>308.53999999999996</v>
      </c>
      <c r="G32" s="45">
        <f t="shared" si="5"/>
        <v>101325</v>
      </c>
      <c r="H32" s="45">
        <v>16.04</v>
      </c>
      <c r="I32" s="111">
        <v>8314</v>
      </c>
      <c r="J32" s="112">
        <f t="shared" si="3"/>
        <v>6.3000000000000003E-4</v>
      </c>
      <c r="K32" s="113">
        <v>59.99</v>
      </c>
      <c r="L32" s="374">
        <f>B32/'Baseline Emission'!B61/24</f>
        <v>1479.8730000000003</v>
      </c>
      <c r="M32" s="114">
        <f t="shared" si="4"/>
        <v>402.69510864071998</v>
      </c>
    </row>
    <row r="33" spans="1:19" x14ac:dyDescent="0.35">
      <c r="A33" s="369" t="str">
        <f t="shared" si="1"/>
        <v>01-May-2022 to 31-May-2022</v>
      </c>
      <c r="B33" s="365">
        <v>1100102.8799999999</v>
      </c>
      <c r="C33" s="365">
        <v>1078093.43</v>
      </c>
      <c r="D33" s="113">
        <v>0</v>
      </c>
      <c r="E33" s="360">
        <v>35.43</v>
      </c>
      <c r="F33" s="45">
        <f t="shared" si="2"/>
        <v>308.58</v>
      </c>
      <c r="G33" s="45">
        <f t="shared" si="5"/>
        <v>101325</v>
      </c>
      <c r="H33" s="45">
        <v>16.04</v>
      </c>
      <c r="I33" s="111">
        <v>8314</v>
      </c>
      <c r="J33" s="112">
        <f t="shared" si="3"/>
        <v>6.3000000000000003E-4</v>
      </c>
      <c r="K33" s="113">
        <v>60.32</v>
      </c>
      <c r="L33" s="374">
        <f>B33/'Baseline Emission'!B62/24</f>
        <v>1478.6329032258063</v>
      </c>
      <c r="M33" s="114">
        <f t="shared" si="4"/>
        <v>418.05669604607994</v>
      </c>
    </row>
    <row r="34" spans="1:19" x14ac:dyDescent="0.35">
      <c r="A34" s="369" t="str">
        <f t="shared" si="1"/>
        <v>01-June-2022 to 30-June-2022</v>
      </c>
      <c r="B34" s="365">
        <v>1062268.5</v>
      </c>
      <c r="C34" s="365">
        <v>1041013.78</v>
      </c>
      <c r="D34" s="113">
        <v>0</v>
      </c>
      <c r="E34" s="360">
        <v>35.14</v>
      </c>
      <c r="F34" s="45">
        <f t="shared" si="2"/>
        <v>308.28999999999996</v>
      </c>
      <c r="G34" s="45">
        <f t="shared" si="5"/>
        <v>101325</v>
      </c>
      <c r="H34" s="45">
        <v>16.04</v>
      </c>
      <c r="I34" s="111">
        <v>8314</v>
      </c>
      <c r="J34" s="112">
        <f t="shared" si="3"/>
        <v>6.3000000000000003E-4</v>
      </c>
      <c r="K34" s="113">
        <v>60.38</v>
      </c>
      <c r="L34" s="374">
        <f>B34/'Baseline Emission'!B63/24</f>
        <v>1475.3729166666665</v>
      </c>
      <c r="M34" s="114">
        <f t="shared" si="4"/>
        <v>404.080563789</v>
      </c>
      <c r="R34" s="116"/>
    </row>
    <row r="35" spans="1:19" x14ac:dyDescent="0.35">
      <c r="A35" s="369" t="str">
        <f t="shared" si="1"/>
        <v>01-July-2022 to 31-July-2022</v>
      </c>
      <c r="B35" s="365">
        <v>1098466.74</v>
      </c>
      <c r="C35" s="365">
        <v>1076494.58</v>
      </c>
      <c r="D35" s="113">
        <v>0</v>
      </c>
      <c r="E35" s="360">
        <v>36.81</v>
      </c>
      <c r="F35" s="45">
        <f t="shared" si="2"/>
        <v>309.95999999999998</v>
      </c>
      <c r="G35" s="45">
        <f t="shared" si="5"/>
        <v>101325</v>
      </c>
      <c r="H35" s="45">
        <v>16.04</v>
      </c>
      <c r="I35" s="111">
        <v>8314</v>
      </c>
      <c r="J35" s="112">
        <f t="shared" si="3"/>
        <v>6.3000000000000003E-4</v>
      </c>
      <c r="K35" s="113">
        <v>61.08</v>
      </c>
      <c r="L35" s="374">
        <f>B35/'Baseline Emission'!B64/24</f>
        <v>1476.4337903225805</v>
      </c>
      <c r="M35" s="114">
        <f t="shared" si="4"/>
        <v>422.69439541895997</v>
      </c>
      <c r="R35" s="116"/>
    </row>
    <row r="36" spans="1:19" x14ac:dyDescent="0.35">
      <c r="A36" s="369" t="str">
        <f t="shared" si="1"/>
        <v>01-August-2022 to 31-August-2022</v>
      </c>
      <c r="B36" s="365">
        <v>1096407.3600000001</v>
      </c>
      <c r="C36" s="365">
        <v>1074476.3999999999</v>
      </c>
      <c r="D36" s="113">
        <v>0</v>
      </c>
      <c r="E36" s="360">
        <v>36.380000000000003</v>
      </c>
      <c r="F36" s="45">
        <f t="shared" si="2"/>
        <v>309.52999999999997</v>
      </c>
      <c r="G36" s="45">
        <f t="shared" si="5"/>
        <v>101325</v>
      </c>
      <c r="H36" s="45">
        <v>16.04</v>
      </c>
      <c r="I36" s="111">
        <v>8314</v>
      </c>
      <c r="J36" s="112">
        <f t="shared" si="3"/>
        <v>6.3000000000000003E-4</v>
      </c>
      <c r="K36" s="113">
        <v>59.31</v>
      </c>
      <c r="L36" s="374">
        <f>B36/'Baseline Emission'!B65/24</f>
        <v>1473.665806451613</v>
      </c>
      <c r="M36" s="114">
        <f t="shared" si="4"/>
        <v>409.6758992860801</v>
      </c>
    </row>
    <row r="37" spans="1:19" x14ac:dyDescent="0.35">
      <c r="A37" s="369" t="str">
        <f t="shared" si="1"/>
        <v>01-September-2022 to 30-September-2022</v>
      </c>
      <c r="B37" s="365">
        <v>1059202.08</v>
      </c>
      <c r="C37" s="365">
        <v>1038018.18</v>
      </c>
      <c r="D37" s="113">
        <v>0</v>
      </c>
      <c r="E37" s="360">
        <v>35.32</v>
      </c>
      <c r="F37" s="45">
        <f t="shared" si="2"/>
        <v>308.46999999999997</v>
      </c>
      <c r="G37" s="45">
        <f t="shared" si="5"/>
        <v>101325</v>
      </c>
      <c r="H37" s="45">
        <v>16.04</v>
      </c>
      <c r="I37" s="111">
        <v>8314</v>
      </c>
      <c r="J37" s="112">
        <f t="shared" si="3"/>
        <v>6.3000000000000003E-4</v>
      </c>
      <c r="K37" s="113">
        <v>61.29</v>
      </c>
      <c r="L37" s="374">
        <f>B37/'Baseline Emission'!B66/24</f>
        <v>1471.1140000000003</v>
      </c>
      <c r="M37" s="114">
        <f t="shared" si="4"/>
        <v>408.98652154416004</v>
      </c>
    </row>
    <row r="38" spans="1:19" x14ac:dyDescent="0.35">
      <c r="A38" s="369" t="str">
        <f t="shared" si="1"/>
        <v>01-October-2022 to 31-October-2022</v>
      </c>
      <c r="B38" s="365">
        <v>1100689.9199999999</v>
      </c>
      <c r="C38" s="365">
        <v>1078674.1200000001</v>
      </c>
      <c r="D38" s="113">
        <v>0</v>
      </c>
      <c r="E38" s="360">
        <v>35.76</v>
      </c>
      <c r="F38" s="45">
        <f t="shared" si="2"/>
        <v>308.90999999999997</v>
      </c>
      <c r="G38" s="45">
        <f t="shared" si="5"/>
        <v>101325</v>
      </c>
      <c r="H38" s="45">
        <v>16.04</v>
      </c>
      <c r="I38" s="111">
        <v>8314</v>
      </c>
      <c r="J38" s="112">
        <f t="shared" si="3"/>
        <v>6.3000000000000003E-4</v>
      </c>
      <c r="K38" s="113">
        <v>60.48</v>
      </c>
      <c r="L38" s="374">
        <f>B38/'Baseline Emission'!B67/24</f>
        <v>1479.4219354838708</v>
      </c>
      <c r="M38" s="114">
        <f t="shared" si="4"/>
        <v>419.38927607808</v>
      </c>
    </row>
    <row r="39" spans="1:19" x14ac:dyDescent="0.35">
      <c r="A39" s="369" t="str">
        <f t="shared" si="1"/>
        <v>01-November-2022 to 30-November-2022</v>
      </c>
      <c r="B39" s="365">
        <v>1063772.6399999999</v>
      </c>
      <c r="C39" s="365">
        <v>1042489.62</v>
      </c>
      <c r="D39" s="113">
        <v>0</v>
      </c>
      <c r="E39" s="360">
        <v>33.96</v>
      </c>
      <c r="F39" s="45">
        <f t="shared" si="2"/>
        <v>307.10999999999996</v>
      </c>
      <c r="G39" s="45">
        <f t="shared" si="5"/>
        <v>101325</v>
      </c>
      <c r="H39" s="45">
        <v>16.04</v>
      </c>
      <c r="I39" s="111">
        <v>8314</v>
      </c>
      <c r="J39" s="112">
        <f t="shared" si="3"/>
        <v>6.4000000000000005E-4</v>
      </c>
      <c r="K39" s="113">
        <v>60.28</v>
      </c>
      <c r="L39" s="374">
        <f>B39/'Baseline Emission'!B68/24</f>
        <v>1477.4619999999998</v>
      </c>
      <c r="M39" s="114">
        <f t="shared" si="4"/>
        <v>410.39497433088002</v>
      </c>
    </row>
    <row r="40" spans="1:19" x14ac:dyDescent="0.35">
      <c r="A40" s="369" t="str">
        <f t="shared" si="1"/>
        <v>01-December-2022 to 31-December-2022</v>
      </c>
      <c r="B40" s="365">
        <v>1099411.68</v>
      </c>
      <c r="C40" s="365">
        <v>1077423.6599999999</v>
      </c>
      <c r="D40" s="113">
        <v>0</v>
      </c>
      <c r="E40" s="360">
        <v>35.4</v>
      </c>
      <c r="F40" s="45">
        <f t="shared" si="2"/>
        <v>308.54999999999995</v>
      </c>
      <c r="G40" s="45">
        <f t="shared" si="5"/>
        <v>101325</v>
      </c>
      <c r="H40" s="45">
        <v>16.04</v>
      </c>
      <c r="I40" s="111">
        <v>8314</v>
      </c>
      <c r="J40" s="112">
        <f t="shared" si="3"/>
        <v>6.3000000000000003E-4</v>
      </c>
      <c r="K40" s="113">
        <v>61.09</v>
      </c>
      <c r="L40" s="374">
        <f>B40/'Baseline Emission'!B69/24</f>
        <v>1477.7038709677418</v>
      </c>
      <c r="M40" s="114">
        <f t="shared" si="4"/>
        <v>423.12727504656004</v>
      </c>
    </row>
    <row r="41" spans="1:19" ht="14" thickBot="1" x14ac:dyDescent="0.4">
      <c r="A41" s="366" t="s">
        <v>74</v>
      </c>
      <c r="B41" s="367">
        <f>SUM(B29:B40)</f>
        <v>12931814.760000002</v>
      </c>
      <c r="C41" s="367">
        <f>SUM(C29:C40)</f>
        <v>12673147.17</v>
      </c>
      <c r="D41" s="371">
        <f>SUM(D29:D40)</f>
        <v>0</v>
      </c>
      <c r="E41" s="358">
        <f>AVERAGE(E29:E40)</f>
        <v>35.578333333333326</v>
      </c>
      <c r="F41" s="358">
        <f>AVERAGE(F29:F40)</f>
        <v>308.7283333333333</v>
      </c>
      <c r="G41" s="60"/>
      <c r="H41" s="60"/>
      <c r="I41" s="60"/>
      <c r="J41" s="60"/>
      <c r="K41" s="358">
        <f>AVERAGE(K29:K40)</f>
        <v>60.462500000000006</v>
      </c>
      <c r="L41" s="375">
        <f>AVERAGE(L29:L40)</f>
        <v>1476.2073937852022</v>
      </c>
      <c r="M41" s="368">
        <f>SUM(M29:M40)</f>
        <v>4932.3555197557198</v>
      </c>
    </row>
    <row r="42" spans="1:19" x14ac:dyDescent="0.35">
      <c r="P42" s="118"/>
      <c r="Q42" s="119"/>
      <c r="S42" s="116"/>
    </row>
    <row r="43" spans="1:19" x14ac:dyDescent="0.35">
      <c r="E43" s="120"/>
      <c r="P43" s="53"/>
    </row>
    <row r="44" spans="1:19" x14ac:dyDescent="0.35">
      <c r="B44" s="372"/>
      <c r="E44" s="120"/>
      <c r="Q44" s="121"/>
    </row>
    <row r="45" spans="1:19" x14ac:dyDescent="0.35">
      <c r="E45" s="120"/>
      <c r="L45" s="53"/>
      <c r="P45" s="53"/>
      <c r="Q45" s="121"/>
    </row>
    <row r="46" spans="1:19" x14ac:dyDescent="0.35">
      <c r="E46" s="120"/>
      <c r="K46" s="53"/>
    </row>
    <row r="47" spans="1:19" x14ac:dyDescent="0.35">
      <c r="E47" s="120"/>
      <c r="P47" s="122"/>
    </row>
    <row r="48" spans="1:19" x14ac:dyDescent="0.35">
      <c r="E48" s="120"/>
      <c r="G48" s="53"/>
      <c r="H48" s="53"/>
      <c r="L48" s="53"/>
      <c r="P48" s="123"/>
    </row>
    <row r="49" spans="5:16" x14ac:dyDescent="0.35">
      <c r="E49" s="120"/>
      <c r="P49" s="53"/>
    </row>
    <row r="50" spans="5:16" x14ac:dyDescent="0.35">
      <c r="E50" s="120"/>
    </row>
    <row r="51" spans="5:16" x14ac:dyDescent="0.35">
      <c r="E51" s="120"/>
    </row>
    <row r="52" spans="5:16" x14ac:dyDescent="0.35">
      <c r="E52" s="120"/>
    </row>
    <row r="53" spans="5:16" x14ac:dyDescent="0.35">
      <c r="E53" s="120"/>
    </row>
    <row r="54" spans="5:16" x14ac:dyDescent="0.35">
      <c r="E54" s="120"/>
    </row>
    <row r="55" spans="5:16" x14ac:dyDescent="0.35">
      <c r="E55" s="120"/>
    </row>
    <row r="56" spans="5:16" x14ac:dyDescent="0.35">
      <c r="E56" s="120"/>
    </row>
    <row r="57" spans="5:16" x14ac:dyDescent="0.35">
      <c r="E57" s="120"/>
    </row>
    <row r="58" spans="5:16" x14ac:dyDescent="0.35">
      <c r="E58" s="120"/>
    </row>
    <row r="59" spans="5:16" x14ac:dyDescent="0.35">
      <c r="E59" s="120"/>
    </row>
    <row r="60" spans="5:16" x14ac:dyDescent="0.35">
      <c r="E60" s="120"/>
    </row>
    <row r="61" spans="5:16" x14ac:dyDescent="0.35">
      <c r="E61" s="120"/>
    </row>
    <row r="70" spans="6:16" x14ac:dyDescent="0.35">
      <c r="P70" s="121"/>
    </row>
    <row r="75" spans="6:16" x14ac:dyDescent="0.35">
      <c r="F75" s="116"/>
      <c r="G75" s="116"/>
      <c r="H75" s="116"/>
    </row>
    <row r="77" spans="6:16" x14ac:dyDescent="0.35">
      <c r="F77" s="97"/>
      <c r="G77" s="121"/>
      <c r="H77" s="121"/>
    </row>
    <row r="79" spans="6:16" x14ac:dyDescent="0.35">
      <c r="F79" s="121"/>
      <c r="G79" s="124"/>
      <c r="H79" s="124"/>
    </row>
  </sheetData>
  <mergeCells count="10">
    <mergeCell ref="E4:E5"/>
    <mergeCell ref="A2:E2"/>
    <mergeCell ref="G2:I2"/>
    <mergeCell ref="B3:C3"/>
    <mergeCell ref="D3:E3"/>
    <mergeCell ref="A3:A5"/>
    <mergeCell ref="B4:B5"/>
    <mergeCell ref="C4:C5"/>
    <mergeCell ref="D4:D5"/>
    <mergeCell ref="I4:I16"/>
  </mergeCells>
  <phoneticPr fontId="9" type="noConversion"/>
  <conditionalFormatting sqref="F4:F18">
    <cfRule type="duplicateValues" dxfId="1" priority="4" stopIfTrue="1"/>
  </conditionalFormatting>
  <conditionalFormatting sqref="H4:H15">
    <cfRule type="duplicateValues" dxfId="0" priority="1"/>
  </conditionalFormatting>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E902D-628F-481C-9222-F02C6C68FBCF}">
  <dimension ref="A1:G146"/>
  <sheetViews>
    <sheetView topLeftCell="A111" workbookViewId="0">
      <selection activeCell="F125" sqref="F125"/>
    </sheetView>
  </sheetViews>
  <sheetFormatPr defaultRowHeight="14" x14ac:dyDescent="0.25"/>
  <cols>
    <col min="1" max="1" width="25.7265625" style="326" bestFit="1" customWidth="1"/>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23.9</v>
      </c>
      <c r="C5" s="6">
        <v>62.1</v>
      </c>
      <c r="D5" s="6">
        <v>92.3</v>
      </c>
      <c r="E5" s="6">
        <v>46.1</v>
      </c>
      <c r="F5" s="6">
        <v>61.7</v>
      </c>
      <c r="G5" s="6">
        <v>88.2</v>
      </c>
    </row>
    <row r="6" spans="1:7" x14ac:dyDescent="0.25">
      <c r="A6" s="10">
        <v>2</v>
      </c>
      <c r="B6" s="6">
        <v>30.4</v>
      </c>
      <c r="C6" s="6">
        <v>53.2</v>
      </c>
      <c r="D6" s="6">
        <v>73.7</v>
      </c>
      <c r="E6" s="6">
        <v>31.1</v>
      </c>
      <c r="F6" s="6">
        <v>81.8</v>
      </c>
      <c r="G6" s="6">
        <v>94</v>
      </c>
    </row>
    <row r="7" spans="1:7" x14ac:dyDescent="0.25">
      <c r="A7" s="10">
        <v>3</v>
      </c>
      <c r="B7" s="6">
        <v>27.8</v>
      </c>
      <c r="C7" s="6">
        <v>55.3</v>
      </c>
      <c r="D7" s="6">
        <v>94.2</v>
      </c>
      <c r="E7" s="6">
        <v>59.5</v>
      </c>
      <c r="F7" s="6">
        <v>66.099999999999994</v>
      </c>
      <c r="G7" s="6">
        <v>117.7</v>
      </c>
    </row>
    <row r="8" spans="1:7" x14ac:dyDescent="0.25">
      <c r="A8" s="10">
        <v>4</v>
      </c>
      <c r="B8" s="6">
        <v>44.5</v>
      </c>
      <c r="C8" s="6">
        <v>58.6</v>
      </c>
      <c r="D8" s="6">
        <v>76</v>
      </c>
      <c r="E8" s="6">
        <v>38.5</v>
      </c>
      <c r="F8" s="6">
        <v>60.3</v>
      </c>
      <c r="G8" s="6">
        <v>98</v>
      </c>
    </row>
    <row r="9" spans="1:7" x14ac:dyDescent="0.25">
      <c r="A9" s="10">
        <v>5</v>
      </c>
      <c r="B9" s="6">
        <v>43.8</v>
      </c>
      <c r="C9" s="6">
        <v>53.8</v>
      </c>
      <c r="D9" s="6">
        <v>78.900000000000006</v>
      </c>
      <c r="E9" s="6">
        <v>46.9</v>
      </c>
      <c r="F9" s="6">
        <v>68.7</v>
      </c>
      <c r="G9" s="6">
        <v>90.1</v>
      </c>
    </row>
    <row r="10" spans="1:7" x14ac:dyDescent="0.25">
      <c r="A10" s="10">
        <v>6</v>
      </c>
      <c r="B10" s="6">
        <v>45</v>
      </c>
      <c r="C10" s="6">
        <v>55.3</v>
      </c>
      <c r="D10" s="6">
        <v>109.8</v>
      </c>
      <c r="E10" s="6">
        <v>31.6</v>
      </c>
      <c r="F10" s="6">
        <v>60</v>
      </c>
      <c r="G10" s="6">
        <v>102.1</v>
      </c>
    </row>
    <row r="11" spans="1:7" x14ac:dyDescent="0.25">
      <c r="A11" s="10">
        <v>7</v>
      </c>
      <c r="B11" s="6">
        <v>26.2</v>
      </c>
      <c r="C11" s="6">
        <v>63.8</v>
      </c>
      <c r="D11" s="6">
        <v>83.1</v>
      </c>
      <c r="E11" s="6">
        <v>44.6</v>
      </c>
      <c r="F11" s="6">
        <v>74.900000000000006</v>
      </c>
      <c r="G11" s="6">
        <v>89.9</v>
      </c>
    </row>
    <row r="12" spans="1:7" x14ac:dyDescent="0.25">
      <c r="A12" s="10">
        <v>8</v>
      </c>
      <c r="B12" s="6">
        <v>27.3</v>
      </c>
      <c r="C12" s="6">
        <v>56.7</v>
      </c>
      <c r="D12" s="6">
        <v>97.3</v>
      </c>
      <c r="E12" s="6">
        <v>54.6</v>
      </c>
      <c r="F12" s="6">
        <v>74.900000000000006</v>
      </c>
      <c r="G12" s="6">
        <v>93.5</v>
      </c>
    </row>
    <row r="13" spans="1:7" x14ac:dyDescent="0.25">
      <c r="A13" s="10">
        <v>9</v>
      </c>
      <c r="B13" s="6">
        <v>22.8</v>
      </c>
      <c r="C13" s="6">
        <v>52.6</v>
      </c>
      <c r="D13" s="6">
        <v>109.6</v>
      </c>
      <c r="E13" s="6">
        <v>47.4</v>
      </c>
      <c r="F13" s="6">
        <v>65.3</v>
      </c>
      <c r="G13" s="6">
        <v>114.5</v>
      </c>
    </row>
    <row r="14" spans="1:7" x14ac:dyDescent="0.25">
      <c r="A14" s="10">
        <v>10</v>
      </c>
      <c r="B14" s="6"/>
      <c r="C14" s="6"/>
      <c r="D14" s="6"/>
      <c r="E14" s="6">
        <v>56.9</v>
      </c>
      <c r="F14" s="6">
        <v>73.5</v>
      </c>
      <c r="G14" s="6">
        <v>116.8</v>
      </c>
    </row>
    <row r="15" spans="1:7" x14ac:dyDescent="0.25">
      <c r="A15" s="10">
        <v>11</v>
      </c>
      <c r="B15" s="6"/>
      <c r="C15" s="6"/>
      <c r="D15" s="6"/>
      <c r="E15" s="6">
        <v>39.5</v>
      </c>
      <c r="F15" s="6">
        <v>73.2</v>
      </c>
      <c r="G15" s="6">
        <v>115.2</v>
      </c>
    </row>
    <row r="16" spans="1:7" x14ac:dyDescent="0.25">
      <c r="A16" s="10">
        <v>12</v>
      </c>
      <c r="B16" s="6"/>
      <c r="C16" s="6"/>
      <c r="D16" s="6"/>
      <c r="E16" s="6">
        <v>30.9</v>
      </c>
      <c r="F16" s="6">
        <v>71.900000000000006</v>
      </c>
      <c r="G16" s="6">
        <v>90.1</v>
      </c>
    </row>
    <row r="17" spans="1:7" x14ac:dyDescent="0.25">
      <c r="A17" s="10">
        <v>13</v>
      </c>
      <c r="B17" s="6"/>
      <c r="C17" s="6"/>
      <c r="D17" s="6"/>
      <c r="E17" s="6">
        <v>41.3</v>
      </c>
      <c r="F17" s="6">
        <v>82.2</v>
      </c>
      <c r="G17" s="6">
        <v>89.5</v>
      </c>
    </row>
    <row r="18" spans="1:7" x14ac:dyDescent="0.25">
      <c r="A18" s="10">
        <v>14</v>
      </c>
      <c r="B18" s="6"/>
      <c r="C18" s="6"/>
      <c r="D18" s="6"/>
      <c r="E18" s="6">
        <v>45.5</v>
      </c>
      <c r="F18" s="6">
        <v>81.400000000000006</v>
      </c>
      <c r="G18" s="6">
        <v>97.1</v>
      </c>
    </row>
    <row r="19" spans="1:7" x14ac:dyDescent="0.25">
      <c r="A19" s="10">
        <v>15</v>
      </c>
      <c r="B19" s="6"/>
      <c r="C19" s="6"/>
      <c r="D19" s="6"/>
      <c r="E19" s="6">
        <v>40.700000000000003</v>
      </c>
      <c r="F19" s="6">
        <v>81.099999999999994</v>
      </c>
      <c r="G19" s="6">
        <v>92.7</v>
      </c>
    </row>
    <row r="20" spans="1:7" ht="14.5" thickBot="1" x14ac:dyDescent="0.3">
      <c r="A20" s="11">
        <v>16</v>
      </c>
      <c r="B20" s="12"/>
      <c r="C20" s="12"/>
      <c r="D20" s="12"/>
      <c r="E20" s="6">
        <v>55.2</v>
      </c>
      <c r="F20" s="6">
        <v>77.3</v>
      </c>
      <c r="G20" s="6">
        <v>115.2</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28.7</v>
      </c>
      <c r="C24" s="6">
        <v>56.8</v>
      </c>
      <c r="D24" s="6">
        <v>71.099999999999994</v>
      </c>
      <c r="E24" s="6">
        <v>25.3</v>
      </c>
      <c r="F24" s="6">
        <v>67.8</v>
      </c>
      <c r="G24" s="6">
        <v>112</v>
      </c>
    </row>
    <row r="25" spans="1:7" x14ac:dyDescent="0.25">
      <c r="A25" s="10">
        <v>2</v>
      </c>
      <c r="B25" s="6">
        <v>41.6</v>
      </c>
      <c r="C25" s="6">
        <v>60.8</v>
      </c>
      <c r="D25" s="6">
        <v>75.5</v>
      </c>
      <c r="E25" s="6">
        <v>34.4</v>
      </c>
      <c r="F25" s="6">
        <v>76.400000000000006</v>
      </c>
      <c r="G25" s="6">
        <v>85.6</v>
      </c>
    </row>
    <row r="26" spans="1:7" x14ac:dyDescent="0.25">
      <c r="A26" s="10">
        <v>3</v>
      </c>
      <c r="B26" s="6">
        <v>43</v>
      </c>
      <c r="C26" s="6">
        <v>54.7</v>
      </c>
      <c r="D26" s="6">
        <v>96.1</v>
      </c>
      <c r="E26" s="6">
        <v>55.2</v>
      </c>
      <c r="F26" s="6">
        <v>70.599999999999994</v>
      </c>
      <c r="G26" s="6">
        <v>96.3</v>
      </c>
    </row>
    <row r="27" spans="1:7" x14ac:dyDescent="0.25">
      <c r="A27" s="10">
        <v>4</v>
      </c>
      <c r="B27" s="6">
        <v>31.6</v>
      </c>
      <c r="C27" s="6">
        <v>62</v>
      </c>
      <c r="D27" s="6">
        <v>78.400000000000006</v>
      </c>
      <c r="E27" s="6">
        <v>53.7</v>
      </c>
      <c r="F27" s="6">
        <v>61.1</v>
      </c>
      <c r="G27" s="6">
        <v>91.9</v>
      </c>
    </row>
    <row r="28" spans="1:7" x14ac:dyDescent="0.25">
      <c r="A28" s="10">
        <v>5</v>
      </c>
      <c r="B28" s="6">
        <v>43.4</v>
      </c>
      <c r="C28" s="6">
        <v>45.2</v>
      </c>
      <c r="D28" s="6">
        <v>106.8</v>
      </c>
      <c r="E28" s="6">
        <v>27</v>
      </c>
      <c r="F28" s="6">
        <v>83.2</v>
      </c>
      <c r="G28" s="6">
        <v>119.1</v>
      </c>
    </row>
    <row r="29" spans="1:7" x14ac:dyDescent="0.25">
      <c r="A29" s="10">
        <v>6</v>
      </c>
      <c r="B29" s="6">
        <v>20.399999999999999</v>
      </c>
      <c r="C29" s="6">
        <v>51.5</v>
      </c>
      <c r="D29" s="6">
        <v>76.900000000000006</v>
      </c>
      <c r="E29" s="6">
        <v>33.9</v>
      </c>
      <c r="F29" s="6">
        <v>70.2</v>
      </c>
      <c r="G29" s="6">
        <v>89.6</v>
      </c>
    </row>
    <row r="30" spans="1:7" x14ac:dyDescent="0.25">
      <c r="A30" s="10">
        <v>7</v>
      </c>
      <c r="B30" s="6">
        <v>22.9</v>
      </c>
      <c r="C30" s="6">
        <v>58.1</v>
      </c>
      <c r="D30" s="6">
        <v>96.4</v>
      </c>
      <c r="E30" s="6">
        <v>34.700000000000003</v>
      </c>
      <c r="F30" s="6">
        <v>76.400000000000006</v>
      </c>
      <c r="G30" s="6">
        <v>95</v>
      </c>
    </row>
    <row r="31" spans="1:7" x14ac:dyDescent="0.25">
      <c r="A31" s="10">
        <v>8</v>
      </c>
      <c r="B31" s="6">
        <v>24.5</v>
      </c>
      <c r="C31" s="6">
        <v>59.7</v>
      </c>
      <c r="D31" s="6">
        <v>89</v>
      </c>
      <c r="E31" s="6">
        <v>52.2</v>
      </c>
      <c r="F31" s="6">
        <v>69.3</v>
      </c>
      <c r="G31" s="6">
        <v>94.3</v>
      </c>
    </row>
    <row r="32" spans="1:7" x14ac:dyDescent="0.25">
      <c r="A32" s="10">
        <v>9</v>
      </c>
      <c r="B32" s="6">
        <v>40.200000000000003</v>
      </c>
      <c r="C32" s="6">
        <v>50.5</v>
      </c>
      <c r="D32" s="6">
        <v>104.1</v>
      </c>
      <c r="E32" s="6">
        <v>31.4</v>
      </c>
      <c r="F32" s="6">
        <v>67.7</v>
      </c>
      <c r="G32" s="6">
        <v>119</v>
      </c>
    </row>
    <row r="33" spans="1:7" x14ac:dyDescent="0.25">
      <c r="A33" s="10">
        <v>10</v>
      </c>
      <c r="B33" s="6">
        <v>42.2</v>
      </c>
      <c r="C33" s="6">
        <v>58.4</v>
      </c>
      <c r="D33" s="6">
        <v>85.6</v>
      </c>
      <c r="E33" s="6">
        <v>25.9</v>
      </c>
      <c r="F33" s="6">
        <v>64.2</v>
      </c>
      <c r="G33" s="6">
        <v>107.4</v>
      </c>
    </row>
    <row r="34" spans="1:7" x14ac:dyDescent="0.25">
      <c r="A34" s="10">
        <v>11</v>
      </c>
      <c r="B34" s="6"/>
      <c r="C34" s="6"/>
      <c r="D34" s="6"/>
      <c r="E34" s="6">
        <v>43</v>
      </c>
      <c r="F34" s="6">
        <v>75.7</v>
      </c>
      <c r="G34" s="6">
        <v>109.7</v>
      </c>
    </row>
    <row r="35" spans="1:7" x14ac:dyDescent="0.25">
      <c r="A35" s="10">
        <v>12</v>
      </c>
      <c r="B35" s="6"/>
      <c r="C35" s="6"/>
      <c r="D35" s="6"/>
      <c r="E35" s="6">
        <v>25.8</v>
      </c>
      <c r="F35" s="6">
        <v>82.7</v>
      </c>
      <c r="G35" s="6">
        <v>96.6</v>
      </c>
    </row>
    <row r="36" spans="1:7" x14ac:dyDescent="0.25">
      <c r="A36" s="10">
        <v>13</v>
      </c>
      <c r="B36" s="6"/>
      <c r="C36" s="6"/>
      <c r="D36" s="6"/>
      <c r="E36" s="6">
        <v>58.5</v>
      </c>
      <c r="F36" s="6">
        <v>78.2</v>
      </c>
      <c r="G36" s="6">
        <v>114.9</v>
      </c>
    </row>
    <row r="37" spans="1:7" x14ac:dyDescent="0.25">
      <c r="A37" s="10">
        <v>14</v>
      </c>
      <c r="B37" s="6"/>
      <c r="C37" s="6"/>
      <c r="D37" s="6"/>
      <c r="E37" s="6">
        <v>37.4</v>
      </c>
      <c r="F37" s="6">
        <v>65.3</v>
      </c>
      <c r="G37" s="6">
        <v>95.6</v>
      </c>
    </row>
    <row r="38" spans="1:7" x14ac:dyDescent="0.25">
      <c r="A38" s="10">
        <v>15</v>
      </c>
      <c r="B38" s="6"/>
      <c r="C38" s="6"/>
      <c r="D38" s="6"/>
      <c r="E38" s="6">
        <v>36.299999999999997</v>
      </c>
      <c r="F38" s="6">
        <v>82.4</v>
      </c>
      <c r="G38" s="6">
        <v>109.3</v>
      </c>
    </row>
    <row r="39" spans="1:7" x14ac:dyDescent="0.25">
      <c r="A39" s="10">
        <v>16</v>
      </c>
      <c r="B39" s="6"/>
      <c r="C39" s="6"/>
      <c r="D39" s="6"/>
      <c r="E39" s="6">
        <v>37.799999999999997</v>
      </c>
      <c r="F39" s="6">
        <v>80.3</v>
      </c>
      <c r="G39" s="6">
        <v>107.7</v>
      </c>
    </row>
    <row r="40" spans="1:7" x14ac:dyDescent="0.25">
      <c r="A40" s="10">
        <v>17</v>
      </c>
      <c r="B40" s="6"/>
      <c r="C40" s="6"/>
      <c r="D40" s="6"/>
      <c r="E40" s="6">
        <v>44.8</v>
      </c>
      <c r="F40" s="6">
        <v>67.5</v>
      </c>
      <c r="G40" s="6">
        <v>119.4</v>
      </c>
    </row>
    <row r="41" spans="1:7" x14ac:dyDescent="0.25">
      <c r="A41" s="10">
        <v>18</v>
      </c>
      <c r="B41" s="6"/>
      <c r="C41" s="6"/>
      <c r="D41" s="6"/>
      <c r="E41" s="6">
        <v>58.1</v>
      </c>
      <c r="F41" s="6">
        <v>67.900000000000006</v>
      </c>
      <c r="G41" s="6">
        <v>93.3</v>
      </c>
    </row>
    <row r="42" spans="1:7" x14ac:dyDescent="0.25">
      <c r="A42" s="10">
        <v>19</v>
      </c>
      <c r="B42" s="6"/>
      <c r="C42" s="6"/>
      <c r="D42" s="6"/>
      <c r="E42" s="6">
        <v>43.6</v>
      </c>
      <c r="F42" s="6">
        <v>65.5</v>
      </c>
      <c r="G42" s="6">
        <v>91.4</v>
      </c>
    </row>
    <row r="43" spans="1:7" x14ac:dyDescent="0.25">
      <c r="A43" s="10">
        <v>20</v>
      </c>
      <c r="B43" s="6"/>
      <c r="C43" s="6"/>
      <c r="D43" s="6"/>
      <c r="E43" s="6">
        <v>56.7</v>
      </c>
      <c r="F43" s="6">
        <v>60.5</v>
      </c>
      <c r="G43" s="6">
        <v>87.5</v>
      </c>
    </row>
    <row r="44" spans="1:7" x14ac:dyDescent="0.25">
      <c r="A44" s="10">
        <v>21</v>
      </c>
      <c r="B44" s="6"/>
      <c r="C44" s="6"/>
      <c r="D44" s="6"/>
      <c r="E44" s="6">
        <v>45.8</v>
      </c>
      <c r="F44" s="6">
        <v>77.5</v>
      </c>
      <c r="G44" s="6">
        <v>98.4</v>
      </c>
    </row>
    <row r="45" spans="1:7" x14ac:dyDescent="0.25">
      <c r="A45" s="10">
        <v>22</v>
      </c>
      <c r="B45" s="6"/>
      <c r="C45" s="6"/>
      <c r="D45" s="6"/>
      <c r="E45" s="6">
        <v>37.799999999999997</v>
      </c>
      <c r="F45" s="6">
        <v>62.1</v>
      </c>
      <c r="G45" s="6">
        <v>117.8</v>
      </c>
    </row>
    <row r="46" spans="1:7" x14ac:dyDescent="0.25">
      <c r="A46" s="10">
        <v>23</v>
      </c>
      <c r="B46" s="6"/>
      <c r="C46" s="6"/>
      <c r="D46" s="6"/>
      <c r="E46" s="6">
        <v>43.4</v>
      </c>
      <c r="F46" s="6">
        <v>79</v>
      </c>
      <c r="G46" s="6">
        <v>99.5</v>
      </c>
    </row>
    <row r="47" spans="1:7" x14ac:dyDescent="0.25">
      <c r="A47" s="10">
        <v>24</v>
      </c>
      <c r="B47" s="6"/>
      <c r="C47" s="6"/>
      <c r="D47" s="6"/>
      <c r="E47" s="6">
        <v>42.2</v>
      </c>
      <c r="F47" s="6">
        <v>79.599999999999994</v>
      </c>
      <c r="G47" s="6">
        <v>109.6</v>
      </c>
    </row>
    <row r="48" spans="1:7" x14ac:dyDescent="0.25">
      <c r="A48" s="10">
        <v>25</v>
      </c>
      <c r="B48" s="6"/>
      <c r="C48" s="6"/>
      <c r="D48" s="6"/>
      <c r="E48" s="6">
        <v>37.9</v>
      </c>
      <c r="F48" s="6">
        <v>65.3</v>
      </c>
      <c r="G48" s="6">
        <v>108.9</v>
      </c>
    </row>
    <row r="49" spans="1:7" x14ac:dyDescent="0.25">
      <c r="A49" s="10">
        <v>26</v>
      </c>
      <c r="B49" s="6"/>
      <c r="C49" s="13"/>
      <c r="D49" s="6"/>
      <c r="E49" s="6">
        <v>47</v>
      </c>
      <c r="F49" s="6">
        <v>65.7</v>
      </c>
      <c r="G49" s="6">
        <v>105</v>
      </c>
    </row>
    <row r="50" spans="1:7" x14ac:dyDescent="0.25">
      <c r="A50" s="10">
        <v>27</v>
      </c>
      <c r="B50" s="6"/>
      <c r="C50" s="13"/>
      <c r="D50" s="6"/>
      <c r="E50" s="6">
        <v>29.9</v>
      </c>
      <c r="F50" s="6">
        <v>75.8</v>
      </c>
      <c r="G50" s="6">
        <v>115.8</v>
      </c>
    </row>
    <row r="51" spans="1:7" x14ac:dyDescent="0.25">
      <c r="A51" s="10">
        <v>28</v>
      </c>
      <c r="B51" s="6"/>
      <c r="C51" s="14"/>
      <c r="D51" s="6"/>
      <c r="E51" s="6">
        <v>43.7</v>
      </c>
      <c r="F51" s="6">
        <v>67.599999999999994</v>
      </c>
      <c r="G51" s="6">
        <v>109.3</v>
      </c>
    </row>
    <row r="52" spans="1:7" ht="14.5" thickBot="1" x14ac:dyDescent="0.3">
      <c r="A52" s="11">
        <v>29</v>
      </c>
      <c r="B52" s="15"/>
      <c r="C52" s="15"/>
      <c r="D52" s="12"/>
      <c r="E52" s="6">
        <v>42.9</v>
      </c>
      <c r="F52" s="6">
        <v>63.2</v>
      </c>
      <c r="G52" s="6">
        <v>116.2</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25.4</v>
      </c>
      <c r="C56" s="6">
        <v>55.3</v>
      </c>
      <c r="D56" s="6">
        <v>67.900000000000006</v>
      </c>
      <c r="E56" s="6">
        <v>51.9</v>
      </c>
      <c r="F56" s="6">
        <v>61.3</v>
      </c>
      <c r="G56" s="6">
        <v>114.3</v>
      </c>
    </row>
    <row r="57" spans="1:7" x14ac:dyDescent="0.25">
      <c r="A57" s="10">
        <v>2</v>
      </c>
      <c r="B57" s="6">
        <v>30.1</v>
      </c>
      <c r="C57" s="6">
        <v>47</v>
      </c>
      <c r="D57" s="6">
        <v>76.900000000000006</v>
      </c>
      <c r="E57" s="6">
        <v>30.9</v>
      </c>
      <c r="F57" s="6">
        <v>75.3</v>
      </c>
      <c r="G57" s="6">
        <v>117.7</v>
      </c>
    </row>
    <row r="58" spans="1:7" x14ac:dyDescent="0.25">
      <c r="A58" s="10">
        <v>3</v>
      </c>
      <c r="B58" s="6">
        <v>28</v>
      </c>
      <c r="C58" s="6">
        <v>54.3</v>
      </c>
      <c r="D58" s="6">
        <v>104.9</v>
      </c>
      <c r="E58" s="6">
        <v>49.4</v>
      </c>
      <c r="F58" s="6">
        <v>60.4</v>
      </c>
      <c r="G58" s="6">
        <v>101</v>
      </c>
    </row>
    <row r="59" spans="1:7" x14ac:dyDescent="0.25">
      <c r="A59" s="10">
        <v>4</v>
      </c>
      <c r="B59" s="6">
        <v>39.299999999999997</v>
      </c>
      <c r="C59" s="6">
        <v>64</v>
      </c>
      <c r="D59" s="6">
        <v>88.3</v>
      </c>
      <c r="E59" s="6">
        <v>28.6</v>
      </c>
      <c r="F59" s="6">
        <v>76.099999999999994</v>
      </c>
      <c r="G59" s="6">
        <v>93.6</v>
      </c>
    </row>
    <row r="60" spans="1:7" x14ac:dyDescent="0.25">
      <c r="A60" s="10">
        <v>5</v>
      </c>
      <c r="B60" s="6">
        <v>26.5</v>
      </c>
      <c r="C60" s="6">
        <v>59.2</v>
      </c>
      <c r="D60" s="6">
        <v>93.7</v>
      </c>
      <c r="E60" s="6">
        <v>37.5</v>
      </c>
      <c r="F60" s="6">
        <v>80.900000000000006</v>
      </c>
      <c r="G60" s="6">
        <v>119.6</v>
      </c>
    </row>
    <row r="61" spans="1:7" x14ac:dyDescent="0.25">
      <c r="A61" s="10">
        <v>6</v>
      </c>
      <c r="B61" s="6">
        <v>26.4</v>
      </c>
      <c r="C61" s="6">
        <v>59</v>
      </c>
      <c r="D61" s="6">
        <v>84.4</v>
      </c>
      <c r="E61" s="6">
        <v>44.4</v>
      </c>
      <c r="F61" s="6">
        <v>64.3</v>
      </c>
      <c r="G61" s="6">
        <v>86.8</v>
      </c>
    </row>
    <row r="62" spans="1:7" x14ac:dyDescent="0.25">
      <c r="A62" s="10">
        <v>7</v>
      </c>
      <c r="B62" s="6">
        <v>25.5</v>
      </c>
      <c r="C62" s="6">
        <v>49</v>
      </c>
      <c r="D62" s="6">
        <v>94.1</v>
      </c>
      <c r="E62" s="6">
        <v>45.3</v>
      </c>
      <c r="F62" s="6">
        <v>62.7</v>
      </c>
      <c r="G62" s="6">
        <v>103.7</v>
      </c>
    </row>
    <row r="63" spans="1:7" x14ac:dyDescent="0.25">
      <c r="A63" s="10">
        <v>8</v>
      </c>
      <c r="B63" s="6">
        <v>44.1</v>
      </c>
      <c r="C63" s="6">
        <v>58.6</v>
      </c>
      <c r="D63" s="6">
        <v>90.7</v>
      </c>
      <c r="E63" s="6"/>
      <c r="F63" s="6"/>
      <c r="G63" s="6"/>
    </row>
    <row r="64" spans="1:7" x14ac:dyDescent="0.25">
      <c r="A64" s="10">
        <v>9</v>
      </c>
      <c r="B64" s="6">
        <v>44.8</v>
      </c>
      <c r="C64" s="6">
        <v>46.1</v>
      </c>
      <c r="D64" s="6">
        <v>100.2</v>
      </c>
      <c r="E64" s="6"/>
      <c r="F64" s="6"/>
      <c r="G64" s="6"/>
    </row>
    <row r="65" spans="1:7" x14ac:dyDescent="0.25">
      <c r="A65" s="10">
        <v>10</v>
      </c>
      <c r="B65" s="6">
        <v>39.5</v>
      </c>
      <c r="C65" s="6">
        <v>64.099999999999994</v>
      </c>
      <c r="D65" s="6">
        <v>73.5</v>
      </c>
      <c r="E65" s="6"/>
      <c r="F65" s="6"/>
      <c r="G65" s="6"/>
    </row>
    <row r="66" spans="1:7" x14ac:dyDescent="0.25">
      <c r="A66" s="10">
        <v>11</v>
      </c>
      <c r="B66" s="6">
        <v>31.5</v>
      </c>
      <c r="C66" s="6">
        <v>52.5</v>
      </c>
      <c r="D66" s="6">
        <v>87.9</v>
      </c>
      <c r="E66" s="6"/>
      <c r="F66" s="6"/>
      <c r="G66" s="6"/>
    </row>
    <row r="67" spans="1:7" ht="14.5" thickBot="1" x14ac:dyDescent="0.3">
      <c r="A67" s="11">
        <v>12</v>
      </c>
      <c r="B67" s="6">
        <v>25.8</v>
      </c>
      <c r="C67" s="6">
        <v>59.7</v>
      </c>
      <c r="D67" s="6">
        <v>92.4</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25.6</v>
      </c>
      <c r="C71" s="6">
        <v>53.7</v>
      </c>
      <c r="D71" s="6">
        <v>66</v>
      </c>
      <c r="E71" s="6"/>
      <c r="F71" s="6"/>
      <c r="G71" s="6"/>
    </row>
    <row r="72" spans="1:7" x14ac:dyDescent="0.25">
      <c r="A72" s="10">
        <v>2</v>
      </c>
      <c r="B72" s="6">
        <v>37.6</v>
      </c>
      <c r="C72" s="6">
        <v>54.3</v>
      </c>
      <c r="D72" s="6">
        <v>92.1</v>
      </c>
      <c r="E72" s="5"/>
      <c r="F72" s="5"/>
      <c r="G72" s="6"/>
    </row>
    <row r="73" spans="1:7" x14ac:dyDescent="0.25">
      <c r="A73" s="10">
        <v>3</v>
      </c>
      <c r="B73" s="6">
        <v>28.7</v>
      </c>
      <c r="C73" s="6">
        <v>45</v>
      </c>
      <c r="D73" s="6">
        <v>98.7</v>
      </c>
      <c r="E73" s="5"/>
      <c r="F73" s="5"/>
      <c r="G73" s="5"/>
    </row>
    <row r="74" spans="1:7" x14ac:dyDescent="0.25">
      <c r="A74" s="10">
        <v>4</v>
      </c>
      <c r="B74" s="6">
        <v>31.6</v>
      </c>
      <c r="C74" s="6">
        <v>61</v>
      </c>
      <c r="D74" s="6">
        <v>81.7</v>
      </c>
      <c r="E74" s="5"/>
      <c r="F74" s="5"/>
      <c r="G74" s="5"/>
    </row>
    <row r="75" spans="1:7" x14ac:dyDescent="0.25">
      <c r="A75" s="10">
        <v>5</v>
      </c>
      <c r="B75" s="6">
        <v>27.5</v>
      </c>
      <c r="C75" s="6">
        <v>45.3</v>
      </c>
      <c r="D75" s="6">
        <v>95.4</v>
      </c>
      <c r="E75" s="5"/>
      <c r="F75" s="5"/>
      <c r="G75" s="5"/>
    </row>
    <row r="76" spans="1:7" x14ac:dyDescent="0.25">
      <c r="A76" s="10">
        <v>6</v>
      </c>
      <c r="B76" s="6">
        <v>28</v>
      </c>
      <c r="C76" s="6">
        <v>48.3</v>
      </c>
      <c r="D76" s="6">
        <v>101</v>
      </c>
      <c r="E76" s="5"/>
      <c r="F76" s="5"/>
      <c r="G76" s="5"/>
    </row>
    <row r="77" spans="1:7" x14ac:dyDescent="0.25">
      <c r="A77" s="10">
        <v>7</v>
      </c>
      <c r="B77" s="6">
        <v>43.3</v>
      </c>
      <c r="C77" s="6">
        <v>55.4</v>
      </c>
      <c r="D77" s="6">
        <v>78.900000000000006</v>
      </c>
      <c r="E77" s="5"/>
      <c r="F77" s="5"/>
      <c r="G77" s="5"/>
    </row>
    <row r="78" spans="1:7" x14ac:dyDescent="0.25">
      <c r="A78" s="10">
        <v>8</v>
      </c>
      <c r="B78" s="6">
        <v>23.8</v>
      </c>
      <c r="C78" s="6">
        <v>56</v>
      </c>
      <c r="D78" s="6">
        <v>103.2</v>
      </c>
      <c r="E78" s="5"/>
      <c r="F78" s="5"/>
      <c r="G78" s="5"/>
    </row>
    <row r="79" spans="1:7" x14ac:dyDescent="0.25">
      <c r="A79" s="10">
        <v>9</v>
      </c>
      <c r="B79" s="6">
        <v>36.9</v>
      </c>
      <c r="C79" s="6">
        <v>64</v>
      </c>
      <c r="D79" s="6">
        <v>75</v>
      </c>
      <c r="E79" s="5"/>
      <c r="F79" s="5"/>
      <c r="G79" s="5"/>
    </row>
    <row r="80" spans="1:7" x14ac:dyDescent="0.25">
      <c r="A80" s="10">
        <v>10</v>
      </c>
      <c r="B80" s="6">
        <v>25</v>
      </c>
      <c r="C80" s="6">
        <v>64.2</v>
      </c>
      <c r="D80" s="6">
        <v>86.8</v>
      </c>
      <c r="E80" s="5"/>
      <c r="F80" s="5"/>
      <c r="G80" s="5"/>
    </row>
    <row r="81" spans="1:7" x14ac:dyDescent="0.25">
      <c r="A81" s="10">
        <v>11</v>
      </c>
      <c r="B81" s="6">
        <v>30.2</v>
      </c>
      <c r="C81" s="6">
        <v>45.5</v>
      </c>
      <c r="D81" s="6">
        <v>67.900000000000006</v>
      </c>
      <c r="E81" s="5"/>
      <c r="F81" s="5"/>
      <c r="G81" s="5"/>
    </row>
    <row r="82" spans="1:7" x14ac:dyDescent="0.25">
      <c r="A82" s="10">
        <v>12</v>
      </c>
      <c r="B82" s="6">
        <v>39.299999999999997</v>
      </c>
      <c r="C82" s="6">
        <v>62.1</v>
      </c>
      <c r="D82" s="6">
        <v>108.7</v>
      </c>
      <c r="E82" s="5"/>
      <c r="F82" s="5"/>
      <c r="G82" s="5"/>
    </row>
    <row r="83" spans="1:7" x14ac:dyDescent="0.25">
      <c r="A83" s="10">
        <v>13</v>
      </c>
      <c r="B83" s="6">
        <v>43.8</v>
      </c>
      <c r="C83" s="6">
        <v>59.3</v>
      </c>
      <c r="D83" s="6">
        <v>68.7</v>
      </c>
      <c r="E83" s="5"/>
      <c r="F83" s="5"/>
      <c r="G83" s="5"/>
    </row>
    <row r="84" spans="1:7" x14ac:dyDescent="0.25">
      <c r="A84" s="10">
        <v>14</v>
      </c>
      <c r="B84" s="6">
        <v>29.2</v>
      </c>
      <c r="C84" s="6">
        <v>63.3</v>
      </c>
      <c r="D84" s="6">
        <v>85.9</v>
      </c>
      <c r="E84" s="5"/>
      <c r="F84" s="5"/>
      <c r="G84" s="5"/>
    </row>
    <row r="85" spans="1:7" x14ac:dyDescent="0.25">
      <c r="A85" s="10">
        <v>15</v>
      </c>
      <c r="B85" s="6">
        <v>40.799999999999997</v>
      </c>
      <c r="C85" s="6">
        <v>60.7</v>
      </c>
      <c r="D85" s="6">
        <v>85.4</v>
      </c>
      <c r="E85" s="5"/>
      <c r="F85" s="5"/>
      <c r="G85" s="5"/>
    </row>
    <row r="86" spans="1:7" x14ac:dyDescent="0.25">
      <c r="A86" s="10">
        <v>16</v>
      </c>
      <c r="B86" s="6">
        <v>39.9</v>
      </c>
      <c r="C86" s="6">
        <v>46.5</v>
      </c>
      <c r="D86" s="6">
        <v>70.900000000000006</v>
      </c>
      <c r="E86" s="5"/>
      <c r="F86" s="5"/>
      <c r="G86" s="5"/>
    </row>
    <row r="87" spans="1:7" x14ac:dyDescent="0.25">
      <c r="A87" s="10">
        <v>17</v>
      </c>
      <c r="B87" s="6">
        <v>26.8</v>
      </c>
      <c r="C87" s="6">
        <v>49.7</v>
      </c>
      <c r="D87" s="6">
        <v>84.1</v>
      </c>
      <c r="E87" s="5"/>
      <c r="F87" s="5"/>
      <c r="G87" s="5"/>
    </row>
    <row r="88" spans="1:7" x14ac:dyDescent="0.25">
      <c r="A88" s="10">
        <v>18</v>
      </c>
      <c r="B88" s="6">
        <v>38.4</v>
      </c>
      <c r="C88" s="6">
        <v>57.4</v>
      </c>
      <c r="D88" s="6">
        <v>90.9</v>
      </c>
      <c r="E88" s="5"/>
      <c r="F88" s="5"/>
      <c r="G88" s="5"/>
    </row>
    <row r="89" spans="1:7" x14ac:dyDescent="0.25">
      <c r="A89" s="10">
        <v>19</v>
      </c>
      <c r="B89" s="6">
        <v>20.8</v>
      </c>
      <c r="C89" s="6">
        <v>46.2</v>
      </c>
      <c r="D89" s="6">
        <v>71.099999999999994</v>
      </c>
      <c r="E89" s="5"/>
      <c r="F89" s="5"/>
      <c r="G89" s="5"/>
    </row>
    <row r="90" spans="1:7" x14ac:dyDescent="0.25">
      <c r="A90" s="10">
        <v>20</v>
      </c>
      <c r="B90" s="6">
        <v>23.6</v>
      </c>
      <c r="C90" s="6">
        <v>62.1</v>
      </c>
      <c r="D90" s="6">
        <v>70.7</v>
      </c>
      <c r="E90" s="5"/>
      <c r="F90" s="5"/>
      <c r="G90" s="5"/>
    </row>
    <row r="91" spans="1:7" x14ac:dyDescent="0.25">
      <c r="A91" s="10">
        <v>21</v>
      </c>
      <c r="B91" s="6">
        <v>24.8</v>
      </c>
      <c r="C91" s="6">
        <v>60.5</v>
      </c>
      <c r="D91" s="6">
        <v>70.5</v>
      </c>
      <c r="E91" s="5"/>
      <c r="F91" s="5"/>
      <c r="G91" s="5"/>
    </row>
    <row r="92" spans="1:7" x14ac:dyDescent="0.25">
      <c r="A92" s="10">
        <v>22</v>
      </c>
      <c r="B92" s="6">
        <v>39.700000000000003</v>
      </c>
      <c r="C92" s="6">
        <v>48.5</v>
      </c>
      <c r="D92" s="6">
        <v>77.8</v>
      </c>
      <c r="E92" s="5"/>
      <c r="F92" s="5"/>
      <c r="G92" s="5"/>
    </row>
    <row r="93" spans="1:7" x14ac:dyDescent="0.25">
      <c r="A93" s="10">
        <v>23</v>
      </c>
      <c r="B93" s="6">
        <v>27.9</v>
      </c>
      <c r="C93" s="6">
        <v>60.2</v>
      </c>
      <c r="D93" s="6">
        <v>85.1</v>
      </c>
      <c r="E93" s="5"/>
      <c r="F93" s="5"/>
      <c r="G93" s="5"/>
    </row>
    <row r="94" spans="1:7" x14ac:dyDescent="0.25">
      <c r="A94" s="10">
        <v>24</v>
      </c>
      <c r="B94" s="6">
        <v>27.3</v>
      </c>
      <c r="C94" s="6">
        <v>46.7</v>
      </c>
      <c r="D94" s="6">
        <v>96.4</v>
      </c>
      <c r="E94" s="5"/>
      <c r="F94" s="5"/>
      <c r="G94" s="5"/>
    </row>
    <row r="95" spans="1:7" x14ac:dyDescent="0.25">
      <c r="A95" s="10">
        <v>25</v>
      </c>
      <c r="B95" s="6">
        <v>30.7</v>
      </c>
      <c r="C95" s="6">
        <v>47.7</v>
      </c>
      <c r="D95" s="6">
        <v>67.8</v>
      </c>
      <c r="E95" s="5"/>
      <c r="F95" s="5"/>
      <c r="G95" s="5"/>
    </row>
    <row r="96" spans="1:7" x14ac:dyDescent="0.25">
      <c r="A96" s="10">
        <v>26</v>
      </c>
      <c r="B96" s="6">
        <v>36.9</v>
      </c>
      <c r="C96" s="6">
        <v>63.5</v>
      </c>
      <c r="D96" s="6">
        <v>80.3</v>
      </c>
      <c r="E96" s="14"/>
      <c r="F96" s="14"/>
      <c r="G96" s="14"/>
    </row>
    <row r="97" spans="1:7" x14ac:dyDescent="0.25">
      <c r="A97" s="10">
        <v>27</v>
      </c>
      <c r="B97" s="6">
        <v>29.9</v>
      </c>
      <c r="C97" s="6">
        <v>61.7</v>
      </c>
      <c r="D97" s="6">
        <v>65.2</v>
      </c>
      <c r="E97" s="14"/>
      <c r="F97" s="14"/>
      <c r="G97" s="14"/>
    </row>
    <row r="98" spans="1:7" x14ac:dyDescent="0.25">
      <c r="A98" s="10">
        <v>28</v>
      </c>
      <c r="B98" s="6">
        <v>22.7</v>
      </c>
      <c r="C98" s="6">
        <v>57.4</v>
      </c>
      <c r="D98" s="6">
        <v>99.1</v>
      </c>
      <c r="E98" s="14"/>
      <c r="F98" s="14"/>
      <c r="G98" s="14"/>
    </row>
    <row r="99" spans="1:7" x14ac:dyDescent="0.25">
      <c r="A99" s="10">
        <v>29</v>
      </c>
      <c r="B99" s="6">
        <v>20.7</v>
      </c>
      <c r="C99" s="6">
        <v>46.9</v>
      </c>
      <c r="D99" s="6">
        <v>70.5</v>
      </c>
      <c r="E99" s="5"/>
      <c r="F99" s="5"/>
      <c r="G99" s="5"/>
    </row>
    <row r="100" spans="1:7" x14ac:dyDescent="0.25">
      <c r="A100" s="10">
        <v>30</v>
      </c>
      <c r="B100" s="6">
        <v>20.7</v>
      </c>
      <c r="C100" s="6">
        <v>49</v>
      </c>
      <c r="D100" s="6">
        <v>86</v>
      </c>
      <c r="E100" s="1"/>
      <c r="F100" s="1"/>
      <c r="G100" s="1"/>
    </row>
    <row r="101" spans="1:7" x14ac:dyDescent="0.25">
      <c r="A101" s="10">
        <v>31</v>
      </c>
      <c r="B101" s="6">
        <v>30</v>
      </c>
      <c r="C101" s="6">
        <v>48.4</v>
      </c>
      <c r="D101" s="6">
        <v>99.4</v>
      </c>
      <c r="E101" s="1"/>
      <c r="F101" s="1"/>
      <c r="G101" s="1"/>
    </row>
    <row r="102" spans="1:7" x14ac:dyDescent="0.25">
      <c r="A102" s="10">
        <v>32</v>
      </c>
      <c r="B102" s="6">
        <v>38.200000000000003</v>
      </c>
      <c r="C102" s="6">
        <v>52.5</v>
      </c>
      <c r="D102" s="6">
        <v>65.8</v>
      </c>
      <c r="E102" s="1"/>
      <c r="F102" s="1"/>
      <c r="G102" s="1"/>
    </row>
    <row r="103" spans="1:7" x14ac:dyDescent="0.25">
      <c r="A103" s="10">
        <v>33</v>
      </c>
      <c r="B103" s="6">
        <v>20</v>
      </c>
      <c r="C103" s="6">
        <v>52.8</v>
      </c>
      <c r="D103" s="6">
        <v>70.8</v>
      </c>
      <c r="E103" s="1"/>
      <c r="F103" s="1"/>
      <c r="G103" s="1"/>
    </row>
    <row r="104" spans="1:7" x14ac:dyDescent="0.25">
      <c r="A104" s="10">
        <v>34</v>
      </c>
      <c r="B104" s="6">
        <v>23.6</v>
      </c>
      <c r="C104" s="6">
        <v>46.8</v>
      </c>
      <c r="D104" s="6">
        <v>68.099999999999994</v>
      </c>
      <c r="E104" s="1"/>
      <c r="F104" s="1"/>
      <c r="G104" s="1"/>
    </row>
    <row r="105" spans="1:7" x14ac:dyDescent="0.25">
      <c r="A105" s="10">
        <v>35</v>
      </c>
      <c r="B105" s="6">
        <v>38.9</v>
      </c>
      <c r="C105" s="6">
        <v>63.8</v>
      </c>
      <c r="D105" s="6">
        <v>89.8</v>
      </c>
      <c r="E105" s="1"/>
      <c r="F105" s="1"/>
      <c r="G105" s="1"/>
    </row>
    <row r="106" spans="1:7" x14ac:dyDescent="0.25">
      <c r="A106" s="10">
        <v>36</v>
      </c>
      <c r="B106" s="6">
        <v>24.4</v>
      </c>
      <c r="C106" s="6">
        <v>61.5</v>
      </c>
      <c r="D106" s="6">
        <v>95.1</v>
      </c>
      <c r="E106" s="1"/>
      <c r="F106" s="1"/>
      <c r="G106" s="1"/>
    </row>
    <row r="107" spans="1:7" x14ac:dyDescent="0.25">
      <c r="A107" s="10">
        <v>37</v>
      </c>
      <c r="B107" s="6">
        <v>35.9</v>
      </c>
      <c r="C107" s="6">
        <v>50</v>
      </c>
      <c r="D107" s="6">
        <v>97.3</v>
      </c>
      <c r="E107" s="1"/>
      <c r="F107" s="1"/>
      <c r="G107" s="1"/>
    </row>
    <row r="108" spans="1:7" x14ac:dyDescent="0.25">
      <c r="A108" s="10">
        <v>38</v>
      </c>
      <c r="B108" s="6">
        <v>21.6</v>
      </c>
      <c r="C108" s="6">
        <v>52.3</v>
      </c>
      <c r="D108" s="6">
        <v>88.9</v>
      </c>
      <c r="E108" s="1"/>
      <c r="F108" s="1"/>
      <c r="G108" s="1"/>
    </row>
    <row r="109" spans="1:7" x14ac:dyDescent="0.25">
      <c r="A109" s="10">
        <v>39</v>
      </c>
      <c r="B109" s="6">
        <v>23.1</v>
      </c>
      <c r="C109" s="6">
        <v>51.6</v>
      </c>
      <c r="D109" s="6">
        <v>89.5</v>
      </c>
      <c r="E109" s="1"/>
      <c r="F109" s="1"/>
      <c r="G109" s="1"/>
    </row>
    <row r="110" spans="1:7" x14ac:dyDescent="0.25">
      <c r="A110" s="10">
        <v>40</v>
      </c>
      <c r="B110" s="6">
        <v>22.1</v>
      </c>
      <c r="C110" s="6">
        <v>53.4</v>
      </c>
      <c r="D110" s="6">
        <v>109.5</v>
      </c>
      <c r="E110" s="1"/>
      <c r="F110" s="1"/>
      <c r="G110" s="1"/>
    </row>
    <row r="111" spans="1:7" x14ac:dyDescent="0.25">
      <c r="A111" s="10">
        <v>41</v>
      </c>
      <c r="B111" s="6">
        <v>33</v>
      </c>
      <c r="C111" s="6">
        <v>45.9</v>
      </c>
      <c r="D111" s="6">
        <v>109.8</v>
      </c>
      <c r="E111" s="1"/>
      <c r="F111" s="1"/>
      <c r="G111" s="1"/>
    </row>
    <row r="112" spans="1:7" x14ac:dyDescent="0.25">
      <c r="A112" s="10">
        <v>42</v>
      </c>
      <c r="B112" s="6">
        <v>44.8</v>
      </c>
      <c r="C112" s="6">
        <v>57.1</v>
      </c>
      <c r="D112" s="6">
        <v>105.4</v>
      </c>
      <c r="E112" s="1"/>
      <c r="F112" s="1"/>
      <c r="G112" s="1"/>
    </row>
    <row r="113" spans="1:7" x14ac:dyDescent="0.25">
      <c r="A113" s="10">
        <v>43</v>
      </c>
      <c r="B113" s="6">
        <v>20.399999999999999</v>
      </c>
      <c r="C113" s="6">
        <v>58.9</v>
      </c>
      <c r="D113" s="6">
        <v>87</v>
      </c>
      <c r="E113" s="1"/>
      <c r="F113" s="1"/>
      <c r="G113" s="1"/>
    </row>
    <row r="114" spans="1:7" x14ac:dyDescent="0.25">
      <c r="A114" s="10">
        <v>44</v>
      </c>
      <c r="B114" s="6">
        <v>28.9</v>
      </c>
      <c r="C114" s="6">
        <v>46.7</v>
      </c>
      <c r="D114" s="6">
        <v>65.2</v>
      </c>
      <c r="E114" s="1"/>
      <c r="F114" s="1"/>
      <c r="G114" s="1"/>
    </row>
    <row r="115" spans="1:7" x14ac:dyDescent="0.25">
      <c r="A115" s="10">
        <v>45</v>
      </c>
      <c r="B115" s="6">
        <v>20.6</v>
      </c>
      <c r="C115" s="6">
        <v>58.3</v>
      </c>
      <c r="D115" s="6">
        <v>69.099999999999994</v>
      </c>
      <c r="E115" s="1"/>
      <c r="F115" s="1"/>
      <c r="G115" s="1"/>
    </row>
    <row r="116" spans="1:7" x14ac:dyDescent="0.25">
      <c r="A116" s="10">
        <v>46</v>
      </c>
      <c r="B116" s="6">
        <v>31.5</v>
      </c>
      <c r="C116" s="6">
        <v>52.4</v>
      </c>
      <c r="D116" s="6">
        <v>98.6</v>
      </c>
      <c r="E116" s="1"/>
      <c r="F116" s="1"/>
      <c r="G116" s="1"/>
    </row>
    <row r="117" spans="1:7" x14ac:dyDescent="0.25">
      <c r="A117" s="10">
        <v>47</v>
      </c>
      <c r="B117" s="6">
        <v>20.8</v>
      </c>
      <c r="C117" s="6">
        <v>58.6</v>
      </c>
      <c r="D117" s="6">
        <v>99.9</v>
      </c>
      <c r="E117" s="1"/>
      <c r="F117" s="1"/>
      <c r="G117" s="1"/>
    </row>
    <row r="118" spans="1:7" x14ac:dyDescent="0.25">
      <c r="A118" s="10">
        <v>48</v>
      </c>
      <c r="B118" s="6">
        <v>27.9</v>
      </c>
      <c r="C118" s="6">
        <v>48.5</v>
      </c>
      <c r="D118" s="6">
        <v>108.2</v>
      </c>
      <c r="E118" s="1"/>
      <c r="F118" s="1"/>
      <c r="G118" s="1"/>
    </row>
    <row r="119" spans="1:7" x14ac:dyDescent="0.25">
      <c r="A119" s="10">
        <v>49</v>
      </c>
      <c r="B119" s="6">
        <v>31.3</v>
      </c>
      <c r="C119" s="6">
        <v>55.7</v>
      </c>
      <c r="D119" s="6">
        <v>80.8</v>
      </c>
      <c r="E119" s="1"/>
      <c r="F119" s="1"/>
      <c r="G119" s="1"/>
    </row>
    <row r="120" spans="1:7" x14ac:dyDescent="0.25">
      <c r="A120" s="10">
        <v>50</v>
      </c>
      <c r="B120" s="6">
        <v>27.8</v>
      </c>
      <c r="C120" s="6">
        <v>53.6</v>
      </c>
      <c r="D120" s="6">
        <v>83.7</v>
      </c>
      <c r="E120" s="1"/>
      <c r="F120" s="1"/>
      <c r="G120" s="1"/>
    </row>
    <row r="121" spans="1:7" x14ac:dyDescent="0.25">
      <c r="A121" s="10">
        <v>51</v>
      </c>
      <c r="B121" s="6">
        <v>41.8</v>
      </c>
      <c r="C121" s="6">
        <v>53.4</v>
      </c>
      <c r="D121" s="6">
        <v>85.7</v>
      </c>
      <c r="E121" s="1"/>
      <c r="F121" s="1"/>
      <c r="G121" s="1"/>
    </row>
    <row r="122" spans="1:7" x14ac:dyDescent="0.25">
      <c r="A122" s="10">
        <v>52</v>
      </c>
      <c r="B122" s="6">
        <v>24.1</v>
      </c>
      <c r="C122" s="6">
        <v>53.3</v>
      </c>
      <c r="D122" s="6">
        <v>79.5</v>
      </c>
      <c r="E122" s="1"/>
      <c r="F122" s="1"/>
      <c r="G122" s="1"/>
    </row>
    <row r="123" spans="1:7" x14ac:dyDescent="0.25">
      <c r="A123" s="10">
        <v>53</v>
      </c>
      <c r="B123" s="6">
        <v>24.5</v>
      </c>
      <c r="C123" s="6">
        <v>45.4</v>
      </c>
      <c r="D123" s="6">
        <v>98.7</v>
      </c>
      <c r="E123" s="1"/>
      <c r="F123" s="1"/>
      <c r="G123" s="1"/>
    </row>
    <row r="124" spans="1:7" x14ac:dyDescent="0.25">
      <c r="A124" s="10">
        <v>54</v>
      </c>
      <c r="B124" s="6">
        <v>39.299999999999997</v>
      </c>
      <c r="C124" s="6">
        <v>54</v>
      </c>
      <c r="D124" s="6">
        <v>92.3</v>
      </c>
      <c r="E124" s="1"/>
      <c r="F124" s="1"/>
      <c r="G124" s="1"/>
    </row>
    <row r="125" spans="1:7" x14ac:dyDescent="0.25">
      <c r="A125" s="10">
        <v>55</v>
      </c>
      <c r="B125" s="6">
        <v>43</v>
      </c>
      <c r="C125" s="6">
        <v>46.6</v>
      </c>
      <c r="D125" s="6">
        <v>97</v>
      </c>
      <c r="E125" s="1"/>
      <c r="F125" s="1"/>
      <c r="G125" s="1"/>
    </row>
    <row r="126" spans="1:7" x14ac:dyDescent="0.25">
      <c r="A126" s="10">
        <v>56</v>
      </c>
      <c r="B126" s="6">
        <v>45</v>
      </c>
      <c r="C126" s="6">
        <v>61.8</v>
      </c>
      <c r="D126" s="6">
        <v>103.4</v>
      </c>
      <c r="E126" s="1"/>
      <c r="F126" s="1"/>
      <c r="G126" s="1"/>
    </row>
    <row r="127" spans="1:7" x14ac:dyDescent="0.25">
      <c r="A127" s="10">
        <v>57</v>
      </c>
      <c r="B127" s="6">
        <v>42.5</v>
      </c>
      <c r="C127" s="6">
        <v>56.8</v>
      </c>
      <c r="D127" s="6">
        <v>74.8</v>
      </c>
      <c r="E127" s="1"/>
      <c r="F127" s="1"/>
      <c r="G127" s="1"/>
    </row>
    <row r="128" spans="1:7" x14ac:dyDescent="0.25">
      <c r="A128" s="10">
        <v>58</v>
      </c>
      <c r="B128" s="6">
        <v>27.4</v>
      </c>
      <c r="C128" s="6">
        <v>64.3</v>
      </c>
      <c r="D128" s="6">
        <v>96.8</v>
      </c>
      <c r="E128" s="1"/>
      <c r="F128" s="1"/>
      <c r="G128" s="1"/>
    </row>
    <row r="129" spans="1:7" x14ac:dyDescent="0.25">
      <c r="A129" s="10">
        <v>59</v>
      </c>
      <c r="B129" s="6">
        <v>40.799999999999997</v>
      </c>
      <c r="C129" s="6">
        <v>53.5</v>
      </c>
      <c r="D129" s="6">
        <v>99</v>
      </c>
      <c r="E129" s="1"/>
      <c r="F129" s="1"/>
      <c r="G129" s="1"/>
    </row>
    <row r="130" spans="1:7" x14ac:dyDescent="0.25">
      <c r="A130" s="10">
        <v>60</v>
      </c>
      <c r="B130" s="6">
        <v>34.9</v>
      </c>
      <c r="C130" s="6">
        <v>49.2</v>
      </c>
      <c r="D130" s="6">
        <v>84.5</v>
      </c>
      <c r="E130" s="1"/>
      <c r="F130" s="1"/>
      <c r="G130" s="1"/>
    </row>
    <row r="131" spans="1:7" x14ac:dyDescent="0.25">
      <c r="A131" s="10">
        <v>61</v>
      </c>
      <c r="B131" s="6">
        <v>43.3</v>
      </c>
      <c r="C131" s="6">
        <v>59.2</v>
      </c>
      <c r="D131" s="6">
        <v>86</v>
      </c>
      <c r="E131" s="1"/>
      <c r="F131" s="1"/>
      <c r="G131" s="1"/>
    </row>
    <row r="132" spans="1:7" x14ac:dyDescent="0.25">
      <c r="A132" s="10">
        <v>62</v>
      </c>
      <c r="B132" s="6">
        <v>21.4</v>
      </c>
      <c r="C132" s="6">
        <v>57.5</v>
      </c>
      <c r="D132" s="6">
        <v>87.6</v>
      </c>
      <c r="E132" s="1"/>
      <c r="F132" s="1"/>
      <c r="G132" s="1"/>
    </row>
    <row r="133" spans="1:7" ht="14.5" thickBot="1" x14ac:dyDescent="0.3">
      <c r="A133" s="11">
        <v>63</v>
      </c>
      <c r="B133" s="6">
        <v>29.2</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59.9</v>
      </c>
      <c r="C138" s="330">
        <f>ROUNDDOWN(AVERAGE(E5:G20),1)</f>
        <v>72.2</v>
      </c>
      <c r="D138" s="328">
        <f>'[2]NLT-applied'!$B$20</f>
        <v>8254</v>
      </c>
      <c r="E138" s="328">
        <f>'[2]NLT-applied'!$C$20</f>
        <v>15954</v>
      </c>
      <c r="F138" s="328">
        <f>B138*D138</f>
        <v>494414.6</v>
      </c>
      <c r="G138" s="328">
        <f>C138*E138</f>
        <v>1151878.8</v>
      </c>
    </row>
    <row r="139" spans="1:7" x14ac:dyDescent="0.25">
      <c r="A139" s="329" t="str">
        <f>A21</f>
        <v>Dongtai Jianggang Swine farm</v>
      </c>
      <c r="B139" s="330">
        <f>ROUNDDOWN(AVERAGE(B24:D33),1)</f>
        <v>59.2</v>
      </c>
      <c r="C139" s="330">
        <f>ROUNDDOWN(AVERAGE(E24:G52),1)</f>
        <v>72</v>
      </c>
      <c r="D139" s="328">
        <f>'[2]NLT-applied'!$D$20</f>
        <v>9392</v>
      </c>
      <c r="E139" s="328">
        <f>'[2]NLT-applied'!$E$20</f>
        <v>29476</v>
      </c>
      <c r="F139" s="328">
        <f t="shared" ref="F139:G141" si="0">B139*D139</f>
        <v>556006.40000000002</v>
      </c>
      <c r="G139" s="328">
        <f t="shared" si="0"/>
        <v>2122272</v>
      </c>
    </row>
    <row r="140" spans="1:7" x14ac:dyDescent="0.25">
      <c r="A140" s="329" t="str">
        <f>A53</f>
        <v>Sheyang Linhai Swine farm</v>
      </c>
      <c r="B140" s="330">
        <f>ROUNDDOWN(AVERAGE(B56:D67),1)</f>
        <v>58.6</v>
      </c>
      <c r="C140" s="330">
        <f>ROUNDDOWN(AVERAGE(E56:G62),1)</f>
        <v>71.7</v>
      </c>
      <c r="D140" s="328">
        <f>'[2]NLT-applied'!$F$20</f>
        <v>12135</v>
      </c>
      <c r="E140" s="328">
        <f>'[2]NLT-applied'!$G$20</f>
        <v>6421</v>
      </c>
      <c r="F140" s="328">
        <f t="shared" si="0"/>
        <v>711111</v>
      </c>
      <c r="G140" s="328">
        <f t="shared" si="0"/>
        <v>460385.7</v>
      </c>
    </row>
    <row r="141" spans="1:7" x14ac:dyDescent="0.25">
      <c r="A141" s="329" t="str">
        <f>A68</f>
        <v>Siyang Nanliuji Swine farm</v>
      </c>
      <c r="B141" s="330">
        <f>ROUNDDOWN(AVERAGE(B71:D133),1)</f>
        <v>57</v>
      </c>
      <c r="C141" s="328">
        <f>ROUNDDOWN(AVERAGE(0),1)</f>
        <v>0</v>
      </c>
      <c r="D141" s="328">
        <f>'[2]NLT-applied'!$H$20</f>
        <v>64445</v>
      </c>
      <c r="E141" s="328">
        <f>'[3]NLT-applied'!$I$27</f>
        <v>0</v>
      </c>
      <c r="F141" s="328">
        <f t="shared" si="0"/>
        <v>3673365</v>
      </c>
      <c r="G141" s="328">
        <f t="shared" si="0"/>
        <v>0</v>
      </c>
    </row>
    <row r="142" spans="1:7" x14ac:dyDescent="0.25">
      <c r="A142" s="504" t="s">
        <v>343</v>
      </c>
      <c r="B142" s="510"/>
      <c r="C142" s="505"/>
      <c r="D142" s="328">
        <f>SUM(D138:D141)</f>
        <v>94226</v>
      </c>
      <c r="E142" s="328">
        <f>SUM(E138:E141)</f>
        <v>51851</v>
      </c>
      <c r="F142" s="328">
        <f>SUM(F138:F141)</f>
        <v>5434897</v>
      </c>
      <c r="G142" s="328">
        <f>SUM(G138:G141)</f>
        <v>3734536.5</v>
      </c>
    </row>
    <row r="144" spans="1:7" x14ac:dyDescent="0.25">
      <c r="C144" s="504" t="s">
        <v>344</v>
      </c>
      <c r="D144" s="505"/>
    </row>
    <row r="145" spans="3:4" x14ac:dyDescent="0.25">
      <c r="C145" s="328" t="s">
        <v>341</v>
      </c>
      <c r="D145" s="328" t="s">
        <v>342</v>
      </c>
    </row>
    <row r="146" spans="3:4" x14ac:dyDescent="0.25">
      <c r="C146" s="331">
        <f>ROUNDDOWN(F142/D142,1)</f>
        <v>57.6</v>
      </c>
      <c r="D146" s="331">
        <f>ROUNDDOWN(G142/E142,1)</f>
        <v>72</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DCBF-FD1A-443B-9A23-542862672D65}">
  <dimension ref="A1:G146"/>
  <sheetViews>
    <sheetView topLeftCell="A99" workbookViewId="0">
      <selection sqref="A1:G133"/>
    </sheetView>
  </sheetViews>
  <sheetFormatPr defaultRowHeight="14" x14ac:dyDescent="0.25"/>
  <cols>
    <col min="1" max="1" width="8.7265625" style="326"/>
    <col min="2" max="2" width="16.26953125" style="326" bestFit="1" customWidth="1"/>
    <col min="3" max="3" width="22.90625" style="326" bestFit="1" customWidth="1"/>
    <col min="4" max="4" width="22.6328125" style="326" bestFit="1" customWidth="1"/>
    <col min="5" max="5" width="21.453125" style="326" bestFit="1" customWidth="1"/>
    <col min="6" max="6" width="23.453125" style="326" bestFit="1" customWidth="1"/>
    <col min="7" max="7" width="23.08984375" style="326" bestFit="1" customWidth="1"/>
    <col min="8" max="16384" width="8.7265625" style="326"/>
  </cols>
  <sheetData>
    <row r="1" spans="1:7" ht="14.5" x14ac:dyDescent="0.3">
      <c r="A1" s="511" t="s">
        <v>333</v>
      </c>
      <c r="B1" s="512"/>
      <c r="C1" s="512"/>
      <c r="D1" s="512"/>
      <c r="E1" s="512"/>
      <c r="F1" s="512"/>
      <c r="G1" s="513"/>
    </row>
    <row r="2" spans="1:7" x14ac:dyDescent="0.25">
      <c r="A2" s="514" t="s">
        <v>382</v>
      </c>
      <c r="B2" s="514"/>
      <c r="C2" s="514"/>
      <c r="D2" s="514"/>
      <c r="E2" s="514"/>
      <c r="F2" s="514"/>
      <c r="G2" s="514"/>
    </row>
    <row r="3" spans="1:7" ht="14.5" x14ac:dyDescent="0.3">
      <c r="A3" s="327"/>
      <c r="B3" s="515" t="s">
        <v>334</v>
      </c>
      <c r="C3" s="515"/>
      <c r="D3" s="515"/>
      <c r="E3" s="515" t="s">
        <v>335</v>
      </c>
      <c r="F3" s="515"/>
      <c r="G3" s="515"/>
    </row>
    <row r="4" spans="1:7" x14ac:dyDescent="0.25">
      <c r="A4" s="328" t="s">
        <v>336</v>
      </c>
      <c r="B4" s="329" t="s">
        <v>135</v>
      </c>
      <c r="C4" s="329" t="s">
        <v>136</v>
      </c>
      <c r="D4" s="329" t="s">
        <v>137</v>
      </c>
      <c r="E4" s="329" t="s">
        <v>138</v>
      </c>
      <c r="F4" s="329" t="s">
        <v>139</v>
      </c>
      <c r="G4" s="329" t="s">
        <v>140</v>
      </c>
    </row>
    <row r="5" spans="1:7" x14ac:dyDescent="0.25">
      <c r="A5" s="10">
        <v>1</v>
      </c>
      <c r="B5" s="6">
        <v>34.1</v>
      </c>
      <c r="C5" s="6">
        <v>51.2</v>
      </c>
      <c r="D5" s="6">
        <v>67.2</v>
      </c>
      <c r="E5" s="6">
        <v>46.7</v>
      </c>
      <c r="F5" s="6">
        <v>79.8</v>
      </c>
      <c r="G5" s="6">
        <v>98.8</v>
      </c>
    </row>
    <row r="6" spans="1:7" x14ac:dyDescent="0.25">
      <c r="A6" s="10">
        <v>2</v>
      </c>
      <c r="B6" s="6">
        <v>36.9</v>
      </c>
      <c r="C6" s="6">
        <v>58</v>
      </c>
      <c r="D6" s="6">
        <v>93</v>
      </c>
      <c r="E6" s="6">
        <v>58.8</v>
      </c>
      <c r="F6" s="6">
        <v>62.6</v>
      </c>
      <c r="G6" s="6">
        <v>90</v>
      </c>
    </row>
    <row r="7" spans="1:7" x14ac:dyDescent="0.25">
      <c r="A7" s="10">
        <v>3</v>
      </c>
      <c r="B7" s="6">
        <v>33.200000000000003</v>
      </c>
      <c r="C7" s="6">
        <v>48.7</v>
      </c>
      <c r="D7" s="6">
        <v>76.900000000000006</v>
      </c>
      <c r="E7" s="6">
        <v>55.8</v>
      </c>
      <c r="F7" s="6">
        <v>84.7</v>
      </c>
      <c r="G7" s="6">
        <v>116</v>
      </c>
    </row>
    <row r="8" spans="1:7" x14ac:dyDescent="0.25">
      <c r="A8" s="10">
        <v>4</v>
      </c>
      <c r="B8" s="6">
        <v>36.1</v>
      </c>
      <c r="C8" s="6">
        <v>46.9</v>
      </c>
      <c r="D8" s="6">
        <v>102.9</v>
      </c>
      <c r="E8" s="6">
        <v>45.7</v>
      </c>
      <c r="F8" s="6">
        <v>75.8</v>
      </c>
      <c r="G8" s="6">
        <v>112</v>
      </c>
    </row>
    <row r="9" spans="1:7" x14ac:dyDescent="0.25">
      <c r="A9" s="10">
        <v>5</v>
      </c>
      <c r="B9" s="6">
        <v>45</v>
      </c>
      <c r="C9" s="6">
        <v>46.8</v>
      </c>
      <c r="D9" s="6">
        <v>83.2</v>
      </c>
      <c r="E9" s="6">
        <v>34.700000000000003</v>
      </c>
      <c r="F9" s="6">
        <v>72.400000000000006</v>
      </c>
      <c r="G9" s="6">
        <v>88.9</v>
      </c>
    </row>
    <row r="10" spans="1:7" x14ac:dyDescent="0.25">
      <c r="A10" s="10">
        <v>6</v>
      </c>
      <c r="B10" s="6">
        <v>27.7</v>
      </c>
      <c r="C10" s="6">
        <v>53.8</v>
      </c>
      <c r="D10" s="6">
        <v>67.599999999999994</v>
      </c>
      <c r="E10" s="6">
        <v>49.5</v>
      </c>
      <c r="F10" s="6">
        <v>84.3</v>
      </c>
      <c r="G10" s="6">
        <v>119.8</v>
      </c>
    </row>
    <row r="11" spans="1:7" x14ac:dyDescent="0.25">
      <c r="A11" s="10">
        <v>7</v>
      </c>
      <c r="B11" s="6">
        <v>33.799999999999997</v>
      </c>
      <c r="C11" s="6">
        <v>49.8</v>
      </c>
      <c r="D11" s="6">
        <v>94.5</v>
      </c>
      <c r="E11" s="6">
        <v>52.5</v>
      </c>
      <c r="F11" s="6">
        <v>67.900000000000006</v>
      </c>
      <c r="G11" s="6">
        <v>116.2</v>
      </c>
    </row>
    <row r="12" spans="1:7" x14ac:dyDescent="0.25">
      <c r="A12" s="10">
        <v>8</v>
      </c>
      <c r="B12" s="6">
        <v>30</v>
      </c>
      <c r="C12" s="6">
        <v>63.1</v>
      </c>
      <c r="D12" s="6">
        <v>65.8</v>
      </c>
      <c r="E12" s="6">
        <v>26.8</v>
      </c>
      <c r="F12" s="6">
        <v>77</v>
      </c>
      <c r="G12" s="6">
        <v>94.8</v>
      </c>
    </row>
    <row r="13" spans="1:7" x14ac:dyDescent="0.25">
      <c r="A13" s="10">
        <v>9</v>
      </c>
      <c r="B13" s="6">
        <v>21.5</v>
      </c>
      <c r="C13" s="6">
        <v>55.8</v>
      </c>
      <c r="D13" s="6">
        <v>82</v>
      </c>
      <c r="E13" s="6">
        <v>58.6</v>
      </c>
      <c r="F13" s="6">
        <v>68</v>
      </c>
      <c r="G13" s="6">
        <v>103.2</v>
      </c>
    </row>
    <row r="14" spans="1:7" x14ac:dyDescent="0.25">
      <c r="A14" s="10">
        <v>10</v>
      </c>
      <c r="B14" s="6"/>
      <c r="C14" s="6"/>
      <c r="D14" s="6"/>
      <c r="E14" s="6">
        <v>50.2</v>
      </c>
      <c r="F14" s="6">
        <v>84</v>
      </c>
      <c r="G14" s="6">
        <v>118</v>
      </c>
    </row>
    <row r="15" spans="1:7" x14ac:dyDescent="0.25">
      <c r="A15" s="10">
        <v>11</v>
      </c>
      <c r="B15" s="6"/>
      <c r="C15" s="6"/>
      <c r="D15" s="6"/>
      <c r="E15" s="6">
        <v>42.7</v>
      </c>
      <c r="F15" s="6">
        <v>70.7</v>
      </c>
      <c r="G15" s="6">
        <v>109.8</v>
      </c>
    </row>
    <row r="16" spans="1:7" x14ac:dyDescent="0.25">
      <c r="A16" s="10">
        <v>12</v>
      </c>
      <c r="B16" s="6"/>
      <c r="C16" s="6"/>
      <c r="D16" s="6"/>
      <c r="E16" s="6">
        <v>56.1</v>
      </c>
      <c r="F16" s="6">
        <v>76.2</v>
      </c>
      <c r="G16" s="6">
        <v>116.6</v>
      </c>
    </row>
    <row r="17" spans="1:7" x14ac:dyDescent="0.25">
      <c r="A17" s="10">
        <v>13</v>
      </c>
      <c r="B17" s="6"/>
      <c r="C17" s="6"/>
      <c r="D17" s="6"/>
      <c r="E17" s="6">
        <v>25.1</v>
      </c>
      <c r="F17" s="6">
        <v>63.9</v>
      </c>
      <c r="G17" s="6">
        <v>93.8</v>
      </c>
    </row>
    <row r="18" spans="1:7" x14ac:dyDescent="0.25">
      <c r="A18" s="10">
        <v>14</v>
      </c>
      <c r="B18" s="6"/>
      <c r="C18" s="6"/>
      <c r="D18" s="6"/>
      <c r="E18" s="6">
        <v>33</v>
      </c>
      <c r="F18" s="6">
        <v>73.099999999999994</v>
      </c>
      <c r="G18" s="6">
        <v>89.4</v>
      </c>
    </row>
    <row r="19" spans="1:7" x14ac:dyDescent="0.25">
      <c r="A19" s="10">
        <v>15</v>
      </c>
      <c r="B19" s="6"/>
      <c r="C19" s="6"/>
      <c r="D19" s="6"/>
      <c r="E19" s="6">
        <v>35.1</v>
      </c>
      <c r="F19" s="6">
        <v>74.099999999999994</v>
      </c>
      <c r="G19" s="6">
        <v>117.4</v>
      </c>
    </row>
    <row r="20" spans="1:7" ht="14.5" thickBot="1" x14ac:dyDescent="0.3">
      <c r="A20" s="11">
        <v>16</v>
      </c>
      <c r="B20" s="12"/>
      <c r="C20" s="12"/>
      <c r="D20" s="12"/>
      <c r="E20" s="6">
        <v>44.4</v>
      </c>
      <c r="F20" s="6">
        <v>74.900000000000006</v>
      </c>
      <c r="G20" s="6">
        <v>106.5</v>
      </c>
    </row>
    <row r="21" spans="1:7" ht="14.5" thickTop="1" x14ac:dyDescent="0.25">
      <c r="A21" s="506" t="s">
        <v>383</v>
      </c>
      <c r="B21" s="506"/>
      <c r="C21" s="506"/>
      <c r="D21" s="506"/>
      <c r="E21" s="506"/>
      <c r="F21" s="506"/>
      <c r="G21" s="506"/>
    </row>
    <row r="22" spans="1:7" ht="14.5" x14ac:dyDescent="0.3">
      <c r="A22" s="4"/>
      <c r="B22" s="507" t="s">
        <v>334</v>
      </c>
      <c r="C22" s="507"/>
      <c r="D22" s="507"/>
      <c r="E22" s="507" t="s">
        <v>335</v>
      </c>
      <c r="F22" s="507"/>
      <c r="G22" s="507"/>
    </row>
    <row r="23" spans="1:7" x14ac:dyDescent="0.25">
      <c r="A23" s="10" t="s">
        <v>336</v>
      </c>
      <c r="B23" s="5" t="s">
        <v>135</v>
      </c>
      <c r="C23" s="5" t="s">
        <v>136</v>
      </c>
      <c r="D23" s="5" t="s">
        <v>137</v>
      </c>
      <c r="E23" s="5" t="s">
        <v>138</v>
      </c>
      <c r="F23" s="5" t="s">
        <v>139</v>
      </c>
      <c r="G23" s="5" t="s">
        <v>140</v>
      </c>
    </row>
    <row r="24" spans="1:7" x14ac:dyDescent="0.25">
      <c r="A24" s="10">
        <v>1</v>
      </c>
      <c r="B24" s="6">
        <v>28.3</v>
      </c>
      <c r="C24" s="6">
        <v>61.9</v>
      </c>
      <c r="D24" s="6">
        <v>101.5</v>
      </c>
      <c r="E24" s="6">
        <v>57.8</v>
      </c>
      <c r="F24" s="6">
        <v>75.7</v>
      </c>
      <c r="G24" s="6">
        <v>88.3</v>
      </c>
    </row>
    <row r="25" spans="1:7" x14ac:dyDescent="0.25">
      <c r="A25" s="10">
        <v>2</v>
      </c>
      <c r="B25" s="6">
        <v>27.2</v>
      </c>
      <c r="C25" s="6">
        <v>61.4</v>
      </c>
      <c r="D25" s="6">
        <v>97.8</v>
      </c>
      <c r="E25" s="6">
        <v>56.8</v>
      </c>
      <c r="F25" s="6">
        <v>70.3</v>
      </c>
      <c r="G25" s="6">
        <v>97.3</v>
      </c>
    </row>
    <row r="26" spans="1:7" x14ac:dyDescent="0.25">
      <c r="A26" s="10">
        <v>3</v>
      </c>
      <c r="B26" s="6">
        <v>32.1</v>
      </c>
      <c r="C26" s="6">
        <v>52.8</v>
      </c>
      <c r="D26" s="6">
        <v>86.4</v>
      </c>
      <c r="E26" s="6">
        <v>29.9</v>
      </c>
      <c r="F26" s="6">
        <v>79</v>
      </c>
      <c r="G26" s="6">
        <v>92.4</v>
      </c>
    </row>
    <row r="27" spans="1:7" x14ac:dyDescent="0.25">
      <c r="A27" s="10">
        <v>4</v>
      </c>
      <c r="B27" s="6">
        <v>43.5</v>
      </c>
      <c r="C27" s="6">
        <v>47.2</v>
      </c>
      <c r="D27" s="6">
        <v>66.8</v>
      </c>
      <c r="E27" s="6">
        <v>26</v>
      </c>
      <c r="F27" s="6">
        <v>73.3</v>
      </c>
      <c r="G27" s="6">
        <v>90.6</v>
      </c>
    </row>
    <row r="28" spans="1:7" x14ac:dyDescent="0.25">
      <c r="A28" s="10">
        <v>5</v>
      </c>
      <c r="B28" s="6">
        <v>20.7</v>
      </c>
      <c r="C28" s="6">
        <v>64.2</v>
      </c>
      <c r="D28" s="6">
        <v>71.3</v>
      </c>
      <c r="E28" s="6">
        <v>50.6</v>
      </c>
      <c r="F28" s="6">
        <v>66.8</v>
      </c>
      <c r="G28" s="6">
        <v>119.7</v>
      </c>
    </row>
    <row r="29" spans="1:7" x14ac:dyDescent="0.25">
      <c r="A29" s="10">
        <v>6</v>
      </c>
      <c r="B29" s="6">
        <v>35.200000000000003</v>
      </c>
      <c r="C29" s="6">
        <v>49.4</v>
      </c>
      <c r="D29" s="6">
        <v>93.7</v>
      </c>
      <c r="E29" s="6">
        <v>45.8</v>
      </c>
      <c r="F29" s="6">
        <v>64.5</v>
      </c>
      <c r="G29" s="6">
        <v>111.3</v>
      </c>
    </row>
    <row r="30" spans="1:7" x14ac:dyDescent="0.25">
      <c r="A30" s="10">
        <v>7</v>
      </c>
      <c r="B30" s="6">
        <v>33</v>
      </c>
      <c r="C30" s="6">
        <v>49.1</v>
      </c>
      <c r="D30" s="6">
        <v>75.2</v>
      </c>
      <c r="E30" s="6">
        <v>35.200000000000003</v>
      </c>
      <c r="F30" s="6">
        <v>73.900000000000006</v>
      </c>
      <c r="G30" s="6">
        <v>110.6</v>
      </c>
    </row>
    <row r="31" spans="1:7" x14ac:dyDescent="0.25">
      <c r="A31" s="10">
        <v>8</v>
      </c>
      <c r="B31" s="6">
        <v>31.7</v>
      </c>
      <c r="C31" s="6">
        <v>59.9</v>
      </c>
      <c r="D31" s="6">
        <v>97.7</v>
      </c>
      <c r="E31" s="6">
        <v>37.4</v>
      </c>
      <c r="F31" s="6">
        <v>70.5</v>
      </c>
      <c r="G31" s="6">
        <v>101.4</v>
      </c>
    </row>
    <row r="32" spans="1:7" x14ac:dyDescent="0.25">
      <c r="A32" s="10">
        <v>9</v>
      </c>
      <c r="B32" s="6">
        <v>21.4</v>
      </c>
      <c r="C32" s="6">
        <v>63</v>
      </c>
      <c r="D32" s="6">
        <v>73.5</v>
      </c>
      <c r="E32" s="6">
        <v>48</v>
      </c>
      <c r="F32" s="6">
        <v>74</v>
      </c>
      <c r="G32" s="6">
        <v>88</v>
      </c>
    </row>
    <row r="33" spans="1:7" x14ac:dyDescent="0.25">
      <c r="A33" s="10">
        <v>10</v>
      </c>
      <c r="B33" s="6">
        <v>32.1</v>
      </c>
      <c r="C33" s="6">
        <v>53.3</v>
      </c>
      <c r="D33" s="6">
        <v>84.5</v>
      </c>
      <c r="E33" s="6">
        <v>44.5</v>
      </c>
      <c r="F33" s="6">
        <v>60.4</v>
      </c>
      <c r="G33" s="6">
        <v>115.7</v>
      </c>
    </row>
    <row r="34" spans="1:7" x14ac:dyDescent="0.25">
      <c r="A34" s="10">
        <v>11</v>
      </c>
      <c r="B34" s="6"/>
      <c r="C34" s="6"/>
      <c r="D34" s="6"/>
      <c r="E34" s="6">
        <v>58.7</v>
      </c>
      <c r="F34" s="6">
        <v>74.599999999999994</v>
      </c>
      <c r="G34" s="6">
        <v>116.5</v>
      </c>
    </row>
    <row r="35" spans="1:7" x14ac:dyDescent="0.25">
      <c r="A35" s="10">
        <v>12</v>
      </c>
      <c r="B35" s="6"/>
      <c r="C35" s="6"/>
      <c r="D35" s="6"/>
      <c r="E35" s="6">
        <v>33.700000000000003</v>
      </c>
      <c r="F35" s="6">
        <v>73.900000000000006</v>
      </c>
      <c r="G35" s="6">
        <v>110.7</v>
      </c>
    </row>
    <row r="36" spans="1:7" x14ac:dyDescent="0.25">
      <c r="A36" s="10">
        <v>13</v>
      </c>
      <c r="B36" s="6"/>
      <c r="C36" s="6"/>
      <c r="D36" s="6"/>
      <c r="E36" s="6">
        <v>43.3</v>
      </c>
      <c r="F36" s="6">
        <v>83.6</v>
      </c>
      <c r="G36" s="6">
        <v>94.6</v>
      </c>
    </row>
    <row r="37" spans="1:7" x14ac:dyDescent="0.25">
      <c r="A37" s="10">
        <v>14</v>
      </c>
      <c r="B37" s="6"/>
      <c r="C37" s="6"/>
      <c r="D37" s="6"/>
      <c r="E37" s="6">
        <v>53.9</v>
      </c>
      <c r="F37" s="6">
        <v>79.7</v>
      </c>
      <c r="G37" s="6">
        <v>94.1</v>
      </c>
    </row>
    <row r="38" spans="1:7" x14ac:dyDescent="0.25">
      <c r="A38" s="10">
        <v>15</v>
      </c>
      <c r="B38" s="6"/>
      <c r="C38" s="6"/>
      <c r="D38" s="6"/>
      <c r="E38" s="6">
        <v>60</v>
      </c>
      <c r="F38" s="6">
        <v>61.6</v>
      </c>
      <c r="G38" s="6">
        <v>113.5</v>
      </c>
    </row>
    <row r="39" spans="1:7" x14ac:dyDescent="0.25">
      <c r="A39" s="10">
        <v>16</v>
      </c>
      <c r="B39" s="6"/>
      <c r="C39" s="6"/>
      <c r="D39" s="6"/>
      <c r="E39" s="6">
        <v>58.4</v>
      </c>
      <c r="F39" s="6">
        <v>83.1</v>
      </c>
      <c r="G39" s="6">
        <v>88.8</v>
      </c>
    </row>
    <row r="40" spans="1:7" x14ac:dyDescent="0.25">
      <c r="A40" s="10">
        <v>17</v>
      </c>
      <c r="B40" s="6"/>
      <c r="C40" s="6"/>
      <c r="D40" s="6"/>
      <c r="E40" s="6">
        <v>53</v>
      </c>
      <c r="F40" s="6">
        <v>82.2</v>
      </c>
      <c r="G40" s="6">
        <v>119.8</v>
      </c>
    </row>
    <row r="41" spans="1:7" x14ac:dyDescent="0.25">
      <c r="A41" s="10">
        <v>18</v>
      </c>
      <c r="B41" s="6"/>
      <c r="C41" s="6"/>
      <c r="D41" s="6"/>
      <c r="E41" s="6">
        <v>55.2</v>
      </c>
      <c r="F41" s="6">
        <v>73.7</v>
      </c>
      <c r="G41" s="6">
        <v>106.8</v>
      </c>
    </row>
    <row r="42" spans="1:7" x14ac:dyDescent="0.25">
      <c r="A42" s="10">
        <v>19</v>
      </c>
      <c r="B42" s="6"/>
      <c r="C42" s="6"/>
      <c r="D42" s="6"/>
      <c r="E42" s="6">
        <v>45.4</v>
      </c>
      <c r="F42" s="6">
        <v>81.7</v>
      </c>
      <c r="G42" s="6">
        <v>113</v>
      </c>
    </row>
    <row r="43" spans="1:7" x14ac:dyDescent="0.25">
      <c r="A43" s="10">
        <v>20</v>
      </c>
      <c r="B43" s="6"/>
      <c r="C43" s="6"/>
      <c r="D43" s="6"/>
      <c r="E43" s="6">
        <v>49.3</v>
      </c>
      <c r="F43" s="6">
        <v>69.900000000000006</v>
      </c>
      <c r="G43" s="6">
        <v>106.6</v>
      </c>
    </row>
    <row r="44" spans="1:7" x14ac:dyDescent="0.25">
      <c r="A44" s="10">
        <v>21</v>
      </c>
      <c r="B44" s="6"/>
      <c r="C44" s="6"/>
      <c r="D44" s="6"/>
      <c r="E44" s="6">
        <v>55</v>
      </c>
      <c r="F44" s="6">
        <v>68.2</v>
      </c>
      <c r="G44" s="6">
        <v>116.2</v>
      </c>
    </row>
    <row r="45" spans="1:7" x14ac:dyDescent="0.25">
      <c r="A45" s="10">
        <v>22</v>
      </c>
      <c r="B45" s="6"/>
      <c r="C45" s="6"/>
      <c r="D45" s="6"/>
      <c r="E45" s="6">
        <v>31.3</v>
      </c>
      <c r="F45" s="6">
        <v>60.7</v>
      </c>
      <c r="G45" s="6">
        <v>111.7</v>
      </c>
    </row>
    <row r="46" spans="1:7" x14ac:dyDescent="0.25">
      <c r="A46" s="10">
        <v>23</v>
      </c>
      <c r="B46" s="6"/>
      <c r="C46" s="6"/>
      <c r="D46" s="6"/>
      <c r="E46" s="6">
        <v>37</v>
      </c>
      <c r="F46" s="6">
        <v>63</v>
      </c>
      <c r="G46" s="6">
        <v>106.8</v>
      </c>
    </row>
    <row r="47" spans="1:7" x14ac:dyDescent="0.25">
      <c r="A47" s="10">
        <v>24</v>
      </c>
      <c r="B47" s="6"/>
      <c r="C47" s="6"/>
      <c r="D47" s="6"/>
      <c r="E47" s="6">
        <v>38.9</v>
      </c>
      <c r="F47" s="6">
        <v>77</v>
      </c>
      <c r="G47" s="6">
        <v>87.2</v>
      </c>
    </row>
    <row r="48" spans="1:7" x14ac:dyDescent="0.25">
      <c r="A48" s="10">
        <v>25</v>
      </c>
      <c r="B48" s="6"/>
      <c r="C48" s="6"/>
      <c r="D48" s="6"/>
      <c r="E48" s="6">
        <v>54.8</v>
      </c>
      <c r="F48" s="6">
        <v>83.2</v>
      </c>
      <c r="G48" s="6">
        <v>109.5</v>
      </c>
    </row>
    <row r="49" spans="1:7" x14ac:dyDescent="0.25">
      <c r="A49" s="10">
        <v>26</v>
      </c>
      <c r="B49" s="6"/>
      <c r="C49" s="13"/>
      <c r="D49" s="6"/>
      <c r="E49" s="6">
        <v>41.1</v>
      </c>
      <c r="F49" s="6">
        <v>81.900000000000006</v>
      </c>
      <c r="G49" s="6">
        <v>104.1</v>
      </c>
    </row>
    <row r="50" spans="1:7" x14ac:dyDescent="0.25">
      <c r="A50" s="10">
        <v>27</v>
      </c>
      <c r="B50" s="6"/>
      <c r="C50" s="13"/>
      <c r="D50" s="6"/>
      <c r="E50" s="6">
        <v>55.4</v>
      </c>
      <c r="F50" s="6">
        <v>62.1</v>
      </c>
      <c r="G50" s="6">
        <v>95.5</v>
      </c>
    </row>
    <row r="51" spans="1:7" x14ac:dyDescent="0.25">
      <c r="A51" s="10">
        <v>28</v>
      </c>
      <c r="B51" s="6"/>
      <c r="C51" s="14"/>
      <c r="D51" s="6"/>
      <c r="E51" s="6">
        <v>38.200000000000003</v>
      </c>
      <c r="F51" s="6">
        <v>66.5</v>
      </c>
      <c r="G51" s="6">
        <v>95.5</v>
      </c>
    </row>
    <row r="52" spans="1:7" ht="14.5" thickBot="1" x14ac:dyDescent="0.3">
      <c r="A52" s="11">
        <v>29</v>
      </c>
      <c r="B52" s="15"/>
      <c r="C52" s="15"/>
      <c r="D52" s="12"/>
      <c r="E52" s="6">
        <v>40.4</v>
      </c>
      <c r="F52" s="6">
        <v>80.099999999999994</v>
      </c>
      <c r="G52" s="6">
        <v>89.3</v>
      </c>
    </row>
    <row r="53" spans="1:7" ht="14.5" thickTop="1" x14ac:dyDescent="0.25">
      <c r="A53" s="506" t="s">
        <v>384</v>
      </c>
      <c r="B53" s="506"/>
      <c r="C53" s="506"/>
      <c r="D53" s="506"/>
      <c r="E53" s="506"/>
      <c r="F53" s="506"/>
      <c r="G53" s="506"/>
    </row>
    <row r="54" spans="1:7" ht="14.5" x14ac:dyDescent="0.3">
      <c r="A54" s="4"/>
      <c r="B54" s="507" t="s">
        <v>334</v>
      </c>
      <c r="C54" s="507"/>
      <c r="D54" s="507"/>
      <c r="E54" s="507" t="s">
        <v>335</v>
      </c>
      <c r="F54" s="507"/>
      <c r="G54" s="507"/>
    </row>
    <row r="55" spans="1:7" x14ac:dyDescent="0.25">
      <c r="A55" s="10" t="s">
        <v>336</v>
      </c>
      <c r="B55" s="5" t="s">
        <v>135</v>
      </c>
      <c r="C55" s="5" t="s">
        <v>136</v>
      </c>
      <c r="D55" s="5" t="s">
        <v>137</v>
      </c>
      <c r="E55" s="5" t="s">
        <v>138</v>
      </c>
      <c r="F55" s="5" t="s">
        <v>139</v>
      </c>
      <c r="G55" s="5" t="s">
        <v>140</v>
      </c>
    </row>
    <row r="56" spans="1:7" x14ac:dyDescent="0.25">
      <c r="A56" s="10">
        <v>1</v>
      </c>
      <c r="B56" s="6">
        <v>41.2</v>
      </c>
      <c r="C56" s="6">
        <v>64.7</v>
      </c>
      <c r="D56" s="6">
        <v>99.4</v>
      </c>
      <c r="E56" s="6">
        <v>54.2</v>
      </c>
      <c r="F56" s="6">
        <v>76.2</v>
      </c>
      <c r="G56" s="6">
        <v>117</v>
      </c>
    </row>
    <row r="57" spans="1:7" x14ac:dyDescent="0.25">
      <c r="A57" s="10">
        <v>2</v>
      </c>
      <c r="B57" s="6">
        <v>23.3</v>
      </c>
      <c r="C57" s="6">
        <v>45.2</v>
      </c>
      <c r="D57" s="6">
        <v>71.599999999999994</v>
      </c>
      <c r="E57" s="6">
        <v>54.4</v>
      </c>
      <c r="F57" s="6">
        <v>74.5</v>
      </c>
      <c r="G57" s="6">
        <v>112.4</v>
      </c>
    </row>
    <row r="58" spans="1:7" x14ac:dyDescent="0.25">
      <c r="A58" s="10">
        <v>3</v>
      </c>
      <c r="B58" s="6">
        <v>39</v>
      </c>
      <c r="C58" s="6">
        <v>58.2</v>
      </c>
      <c r="D58" s="6">
        <v>89.4</v>
      </c>
      <c r="E58" s="6">
        <v>39.200000000000003</v>
      </c>
      <c r="F58" s="6">
        <v>77.599999999999994</v>
      </c>
      <c r="G58" s="6">
        <v>86.7</v>
      </c>
    </row>
    <row r="59" spans="1:7" x14ac:dyDescent="0.25">
      <c r="A59" s="10">
        <v>4</v>
      </c>
      <c r="B59" s="6">
        <v>26.8</v>
      </c>
      <c r="C59" s="6">
        <v>48.6</v>
      </c>
      <c r="D59" s="6">
        <v>73.3</v>
      </c>
      <c r="E59" s="6">
        <v>58.3</v>
      </c>
      <c r="F59" s="6">
        <v>84.1</v>
      </c>
      <c r="G59" s="6">
        <v>112.3</v>
      </c>
    </row>
    <row r="60" spans="1:7" x14ac:dyDescent="0.25">
      <c r="A60" s="10">
        <v>5</v>
      </c>
      <c r="B60" s="6">
        <v>38.1</v>
      </c>
      <c r="C60" s="6">
        <v>62.9</v>
      </c>
      <c r="D60" s="6">
        <v>103.5</v>
      </c>
      <c r="E60" s="6">
        <v>30.2</v>
      </c>
      <c r="F60" s="6">
        <v>62.2</v>
      </c>
      <c r="G60" s="6">
        <v>102.3</v>
      </c>
    </row>
    <row r="61" spans="1:7" x14ac:dyDescent="0.25">
      <c r="A61" s="10">
        <v>6</v>
      </c>
      <c r="B61" s="6">
        <v>34.6</v>
      </c>
      <c r="C61" s="6">
        <v>60.9</v>
      </c>
      <c r="D61" s="6">
        <v>100.7</v>
      </c>
      <c r="E61" s="6">
        <v>54.8</v>
      </c>
      <c r="F61" s="6">
        <v>78.900000000000006</v>
      </c>
      <c r="G61" s="6">
        <v>113</v>
      </c>
    </row>
    <row r="62" spans="1:7" x14ac:dyDescent="0.25">
      <c r="A62" s="10">
        <v>7</v>
      </c>
      <c r="B62" s="6">
        <v>27.9</v>
      </c>
      <c r="C62" s="6">
        <v>48</v>
      </c>
      <c r="D62" s="6">
        <v>102.4</v>
      </c>
      <c r="E62" s="6">
        <v>25.1</v>
      </c>
      <c r="F62" s="6">
        <v>72.2</v>
      </c>
      <c r="G62" s="6">
        <v>85.4</v>
      </c>
    </row>
    <row r="63" spans="1:7" x14ac:dyDescent="0.25">
      <c r="A63" s="10">
        <v>8</v>
      </c>
      <c r="B63" s="6">
        <v>32.4</v>
      </c>
      <c r="C63" s="6">
        <v>45.5</v>
      </c>
      <c r="D63" s="6">
        <v>93.3</v>
      </c>
      <c r="E63" s="6"/>
      <c r="F63" s="6"/>
      <c r="G63" s="6"/>
    </row>
    <row r="64" spans="1:7" x14ac:dyDescent="0.25">
      <c r="A64" s="10">
        <v>9</v>
      </c>
      <c r="B64" s="6">
        <v>32.5</v>
      </c>
      <c r="C64" s="6">
        <v>55.5</v>
      </c>
      <c r="D64" s="6">
        <v>92.5</v>
      </c>
      <c r="E64" s="6"/>
      <c r="F64" s="6"/>
      <c r="G64" s="6"/>
    </row>
    <row r="65" spans="1:7" x14ac:dyDescent="0.25">
      <c r="A65" s="10">
        <v>10</v>
      </c>
      <c r="B65" s="6">
        <v>35.4</v>
      </c>
      <c r="C65" s="6">
        <v>62</v>
      </c>
      <c r="D65" s="6">
        <v>98.7</v>
      </c>
      <c r="E65" s="6"/>
      <c r="F65" s="6"/>
      <c r="G65" s="6"/>
    </row>
    <row r="66" spans="1:7" x14ac:dyDescent="0.25">
      <c r="A66" s="10">
        <v>11</v>
      </c>
      <c r="B66" s="6">
        <v>42.2</v>
      </c>
      <c r="C66" s="6">
        <v>51.2</v>
      </c>
      <c r="D66" s="6">
        <v>103.1</v>
      </c>
      <c r="E66" s="6"/>
      <c r="F66" s="6"/>
      <c r="G66" s="6"/>
    </row>
    <row r="67" spans="1:7" ht="14.5" thickBot="1" x14ac:dyDescent="0.3">
      <c r="A67" s="11">
        <v>12</v>
      </c>
      <c r="B67" s="6">
        <v>39.299999999999997</v>
      </c>
      <c r="C67" s="6">
        <v>53.2</v>
      </c>
      <c r="D67" s="6">
        <v>83.5</v>
      </c>
      <c r="E67" s="12"/>
      <c r="F67" s="12"/>
      <c r="G67" s="12"/>
    </row>
    <row r="68" spans="1:7" ht="14.5" thickTop="1" x14ac:dyDescent="0.25">
      <c r="A68" s="506" t="s">
        <v>385</v>
      </c>
      <c r="B68" s="506"/>
      <c r="C68" s="506"/>
      <c r="D68" s="506"/>
      <c r="E68" s="506"/>
      <c r="F68" s="506"/>
      <c r="G68" s="506"/>
    </row>
    <row r="69" spans="1:7" ht="14.5" x14ac:dyDescent="0.3">
      <c r="A69" s="4"/>
      <c r="B69" s="507" t="s">
        <v>334</v>
      </c>
      <c r="C69" s="507"/>
      <c r="D69" s="507"/>
      <c r="E69" s="507" t="s">
        <v>335</v>
      </c>
      <c r="F69" s="507"/>
      <c r="G69" s="507"/>
    </row>
    <row r="70" spans="1:7" x14ac:dyDescent="0.25">
      <c r="A70" s="10" t="s">
        <v>336</v>
      </c>
      <c r="B70" s="5" t="s">
        <v>135</v>
      </c>
      <c r="C70" s="5" t="s">
        <v>136</v>
      </c>
      <c r="D70" s="5" t="s">
        <v>137</v>
      </c>
      <c r="E70" s="5" t="s">
        <v>138</v>
      </c>
      <c r="F70" s="5" t="s">
        <v>139</v>
      </c>
      <c r="G70" s="5" t="s">
        <v>140</v>
      </c>
    </row>
    <row r="71" spans="1:7" x14ac:dyDescent="0.25">
      <c r="A71" s="10">
        <v>1</v>
      </c>
      <c r="B71" s="6">
        <v>28.3</v>
      </c>
      <c r="C71" s="6">
        <v>59.7</v>
      </c>
      <c r="D71" s="6">
        <v>93.4</v>
      </c>
      <c r="E71" s="6"/>
      <c r="F71" s="6"/>
      <c r="G71" s="6"/>
    </row>
    <row r="72" spans="1:7" x14ac:dyDescent="0.25">
      <c r="A72" s="10">
        <v>2</v>
      </c>
      <c r="B72" s="6">
        <v>33.200000000000003</v>
      </c>
      <c r="C72" s="6">
        <v>59.9</v>
      </c>
      <c r="D72" s="6">
        <v>102.4</v>
      </c>
      <c r="E72" s="5"/>
      <c r="F72" s="5"/>
      <c r="G72" s="6"/>
    </row>
    <row r="73" spans="1:7" x14ac:dyDescent="0.25">
      <c r="A73" s="10">
        <v>3</v>
      </c>
      <c r="B73" s="6">
        <v>39.799999999999997</v>
      </c>
      <c r="C73" s="6">
        <v>58.5</v>
      </c>
      <c r="D73" s="6">
        <v>90.1</v>
      </c>
      <c r="E73" s="5"/>
      <c r="F73" s="5"/>
      <c r="G73" s="5"/>
    </row>
    <row r="74" spans="1:7" x14ac:dyDescent="0.25">
      <c r="A74" s="10">
        <v>4</v>
      </c>
      <c r="B74" s="6">
        <v>42.3</v>
      </c>
      <c r="C74" s="6">
        <v>51.9</v>
      </c>
      <c r="D74" s="6">
        <v>75.900000000000006</v>
      </c>
      <c r="E74" s="5"/>
      <c r="F74" s="5"/>
      <c r="G74" s="5"/>
    </row>
    <row r="75" spans="1:7" x14ac:dyDescent="0.25">
      <c r="A75" s="10">
        <v>5</v>
      </c>
      <c r="B75" s="6">
        <v>41.8</v>
      </c>
      <c r="C75" s="6">
        <v>55.5</v>
      </c>
      <c r="D75" s="6">
        <v>71.099999999999994</v>
      </c>
      <c r="E75" s="5"/>
      <c r="F75" s="5"/>
      <c r="G75" s="5"/>
    </row>
    <row r="76" spans="1:7" x14ac:dyDescent="0.25">
      <c r="A76" s="10">
        <v>6</v>
      </c>
      <c r="B76" s="6">
        <v>31.1</v>
      </c>
      <c r="C76" s="6">
        <v>61</v>
      </c>
      <c r="D76" s="6">
        <v>80.3</v>
      </c>
      <c r="E76" s="5"/>
      <c r="F76" s="5"/>
      <c r="G76" s="5"/>
    </row>
    <row r="77" spans="1:7" x14ac:dyDescent="0.25">
      <c r="A77" s="10">
        <v>7</v>
      </c>
      <c r="B77" s="6">
        <v>22.2</v>
      </c>
      <c r="C77" s="6">
        <v>63.4</v>
      </c>
      <c r="D77" s="6">
        <v>103.7</v>
      </c>
      <c r="E77" s="5"/>
      <c r="F77" s="5"/>
      <c r="G77" s="5"/>
    </row>
    <row r="78" spans="1:7" x14ac:dyDescent="0.25">
      <c r="A78" s="10">
        <v>8</v>
      </c>
      <c r="B78" s="6">
        <v>44.2</v>
      </c>
      <c r="C78" s="6">
        <v>57.5</v>
      </c>
      <c r="D78" s="6">
        <v>84.9</v>
      </c>
      <c r="E78" s="5"/>
      <c r="F78" s="5"/>
      <c r="G78" s="5"/>
    </row>
    <row r="79" spans="1:7" x14ac:dyDescent="0.25">
      <c r="A79" s="10">
        <v>9</v>
      </c>
      <c r="B79" s="6">
        <v>32.799999999999997</v>
      </c>
      <c r="C79" s="6">
        <v>61.8</v>
      </c>
      <c r="D79" s="6">
        <v>90.4</v>
      </c>
      <c r="E79" s="5"/>
      <c r="F79" s="5"/>
      <c r="G79" s="5"/>
    </row>
    <row r="80" spans="1:7" x14ac:dyDescent="0.25">
      <c r="A80" s="10">
        <v>10</v>
      </c>
      <c r="B80" s="6">
        <v>44.4</v>
      </c>
      <c r="C80" s="6">
        <v>63.2</v>
      </c>
      <c r="D80" s="6">
        <v>108.3</v>
      </c>
      <c r="E80" s="5"/>
      <c r="F80" s="5"/>
      <c r="G80" s="5"/>
    </row>
    <row r="81" spans="1:7" x14ac:dyDescent="0.25">
      <c r="A81" s="10">
        <v>11</v>
      </c>
      <c r="B81" s="6">
        <v>40.5</v>
      </c>
      <c r="C81" s="6">
        <v>58.7</v>
      </c>
      <c r="D81" s="6">
        <v>93.2</v>
      </c>
      <c r="E81" s="5"/>
      <c r="F81" s="5"/>
      <c r="G81" s="5"/>
    </row>
    <row r="82" spans="1:7" x14ac:dyDescent="0.25">
      <c r="A82" s="10">
        <v>12</v>
      </c>
      <c r="B82" s="6">
        <v>22</v>
      </c>
      <c r="C82" s="6">
        <v>46.9</v>
      </c>
      <c r="D82" s="6">
        <v>93</v>
      </c>
      <c r="E82" s="5"/>
      <c r="F82" s="5"/>
      <c r="G82" s="5"/>
    </row>
    <row r="83" spans="1:7" x14ac:dyDescent="0.25">
      <c r="A83" s="10">
        <v>13</v>
      </c>
      <c r="B83" s="6">
        <v>23.5</v>
      </c>
      <c r="C83" s="6">
        <v>52.6</v>
      </c>
      <c r="D83" s="6">
        <v>89.7</v>
      </c>
      <c r="E83" s="5"/>
      <c r="F83" s="5"/>
      <c r="G83" s="5"/>
    </row>
    <row r="84" spans="1:7" x14ac:dyDescent="0.25">
      <c r="A84" s="10">
        <v>14</v>
      </c>
      <c r="B84" s="6">
        <v>44.4</v>
      </c>
      <c r="C84" s="6">
        <v>56.7</v>
      </c>
      <c r="D84" s="6">
        <v>77.099999999999994</v>
      </c>
      <c r="E84" s="5"/>
      <c r="F84" s="5"/>
      <c r="G84" s="5"/>
    </row>
    <row r="85" spans="1:7" x14ac:dyDescent="0.25">
      <c r="A85" s="10">
        <v>15</v>
      </c>
      <c r="B85" s="6">
        <v>27.5</v>
      </c>
      <c r="C85" s="6">
        <v>50.2</v>
      </c>
      <c r="D85" s="6">
        <v>68.3</v>
      </c>
      <c r="E85" s="5"/>
      <c r="F85" s="5"/>
      <c r="G85" s="5"/>
    </row>
    <row r="86" spans="1:7" x14ac:dyDescent="0.25">
      <c r="A86" s="10">
        <v>16</v>
      </c>
      <c r="B86" s="6">
        <v>20</v>
      </c>
      <c r="C86" s="6">
        <v>45.1</v>
      </c>
      <c r="D86" s="6">
        <v>80</v>
      </c>
      <c r="E86" s="5"/>
      <c r="F86" s="5"/>
      <c r="G86" s="5"/>
    </row>
    <row r="87" spans="1:7" x14ac:dyDescent="0.25">
      <c r="A87" s="10">
        <v>17</v>
      </c>
      <c r="B87" s="6">
        <v>39.6</v>
      </c>
      <c r="C87" s="6">
        <v>46.3</v>
      </c>
      <c r="D87" s="6">
        <v>90.3</v>
      </c>
      <c r="E87" s="5"/>
      <c r="F87" s="5"/>
      <c r="G87" s="5"/>
    </row>
    <row r="88" spans="1:7" x14ac:dyDescent="0.25">
      <c r="A88" s="10">
        <v>18</v>
      </c>
      <c r="B88" s="6">
        <v>24.1</v>
      </c>
      <c r="C88" s="6">
        <v>47.5</v>
      </c>
      <c r="D88" s="6">
        <v>86.6</v>
      </c>
      <c r="E88" s="5"/>
      <c r="F88" s="5"/>
      <c r="G88" s="5"/>
    </row>
    <row r="89" spans="1:7" x14ac:dyDescent="0.25">
      <c r="A89" s="10">
        <v>19</v>
      </c>
      <c r="B89" s="6">
        <v>36.299999999999997</v>
      </c>
      <c r="C89" s="6">
        <v>51.1</v>
      </c>
      <c r="D89" s="6">
        <v>108.2</v>
      </c>
      <c r="E89" s="5"/>
      <c r="F89" s="5"/>
      <c r="G89" s="5"/>
    </row>
    <row r="90" spans="1:7" x14ac:dyDescent="0.25">
      <c r="A90" s="10">
        <v>20</v>
      </c>
      <c r="B90" s="6">
        <v>34</v>
      </c>
      <c r="C90" s="6">
        <v>48.2</v>
      </c>
      <c r="D90" s="6">
        <v>93.1</v>
      </c>
      <c r="E90" s="5"/>
      <c r="F90" s="5"/>
      <c r="G90" s="5"/>
    </row>
    <row r="91" spans="1:7" x14ac:dyDescent="0.25">
      <c r="A91" s="10">
        <v>21</v>
      </c>
      <c r="B91" s="6">
        <v>28.4</v>
      </c>
      <c r="C91" s="6">
        <v>60.5</v>
      </c>
      <c r="D91" s="6">
        <v>99</v>
      </c>
      <c r="E91" s="5"/>
      <c r="F91" s="5"/>
      <c r="G91" s="5"/>
    </row>
    <row r="92" spans="1:7" x14ac:dyDescent="0.25">
      <c r="A92" s="10">
        <v>22</v>
      </c>
      <c r="B92" s="6">
        <v>31.4</v>
      </c>
      <c r="C92" s="6">
        <v>63.3</v>
      </c>
      <c r="D92" s="6">
        <v>69.599999999999994</v>
      </c>
      <c r="E92" s="5"/>
      <c r="F92" s="5"/>
      <c r="G92" s="5"/>
    </row>
    <row r="93" spans="1:7" x14ac:dyDescent="0.25">
      <c r="A93" s="10">
        <v>23</v>
      </c>
      <c r="B93" s="6">
        <v>36.5</v>
      </c>
      <c r="C93" s="6">
        <v>46.8</v>
      </c>
      <c r="D93" s="6">
        <v>69</v>
      </c>
      <c r="E93" s="5"/>
      <c r="F93" s="5"/>
      <c r="G93" s="5"/>
    </row>
    <row r="94" spans="1:7" x14ac:dyDescent="0.25">
      <c r="A94" s="10">
        <v>24</v>
      </c>
      <c r="B94" s="6">
        <v>42.3</v>
      </c>
      <c r="C94" s="6">
        <v>57.8</v>
      </c>
      <c r="D94" s="6">
        <v>66.8</v>
      </c>
      <c r="E94" s="5"/>
      <c r="F94" s="5"/>
      <c r="G94" s="5"/>
    </row>
    <row r="95" spans="1:7" x14ac:dyDescent="0.25">
      <c r="A95" s="10">
        <v>25</v>
      </c>
      <c r="B95" s="6">
        <v>30.3</v>
      </c>
      <c r="C95" s="6">
        <v>64</v>
      </c>
      <c r="D95" s="6">
        <v>103.7</v>
      </c>
      <c r="E95" s="5"/>
      <c r="F95" s="5"/>
      <c r="G95" s="5"/>
    </row>
    <row r="96" spans="1:7" x14ac:dyDescent="0.25">
      <c r="A96" s="10">
        <v>26</v>
      </c>
      <c r="B96" s="6">
        <v>22</v>
      </c>
      <c r="C96" s="6">
        <v>61</v>
      </c>
      <c r="D96" s="6">
        <v>107.9</v>
      </c>
      <c r="E96" s="14"/>
      <c r="F96" s="14"/>
      <c r="G96" s="14"/>
    </row>
    <row r="97" spans="1:7" x14ac:dyDescent="0.25">
      <c r="A97" s="10">
        <v>27</v>
      </c>
      <c r="B97" s="6">
        <v>40.299999999999997</v>
      </c>
      <c r="C97" s="6">
        <v>50.7</v>
      </c>
      <c r="D97" s="6">
        <v>79.599999999999994</v>
      </c>
      <c r="E97" s="14"/>
      <c r="F97" s="14"/>
      <c r="G97" s="14"/>
    </row>
    <row r="98" spans="1:7" x14ac:dyDescent="0.25">
      <c r="A98" s="10">
        <v>28</v>
      </c>
      <c r="B98" s="6">
        <v>31.7</v>
      </c>
      <c r="C98" s="6">
        <v>54.2</v>
      </c>
      <c r="D98" s="6">
        <v>65.599999999999994</v>
      </c>
      <c r="E98" s="14"/>
      <c r="F98" s="14"/>
      <c r="G98" s="14"/>
    </row>
    <row r="99" spans="1:7" x14ac:dyDescent="0.25">
      <c r="A99" s="10">
        <v>29</v>
      </c>
      <c r="B99" s="6">
        <v>38.299999999999997</v>
      </c>
      <c r="C99" s="6">
        <v>51.5</v>
      </c>
      <c r="D99" s="6">
        <v>99.8</v>
      </c>
      <c r="E99" s="5"/>
      <c r="F99" s="5"/>
      <c r="G99" s="5"/>
    </row>
    <row r="100" spans="1:7" x14ac:dyDescent="0.25">
      <c r="A100" s="10">
        <v>30</v>
      </c>
      <c r="B100" s="6">
        <v>40.1</v>
      </c>
      <c r="C100" s="6">
        <v>61.6</v>
      </c>
      <c r="D100" s="6">
        <v>102.4</v>
      </c>
      <c r="E100" s="1"/>
      <c r="F100" s="1"/>
      <c r="G100" s="1"/>
    </row>
    <row r="101" spans="1:7" x14ac:dyDescent="0.25">
      <c r="A101" s="10">
        <v>31</v>
      </c>
      <c r="B101" s="6">
        <v>38.200000000000003</v>
      </c>
      <c r="C101" s="6">
        <v>60.5</v>
      </c>
      <c r="D101" s="6">
        <v>70.5</v>
      </c>
      <c r="E101" s="1"/>
      <c r="F101" s="1"/>
      <c r="G101" s="1"/>
    </row>
    <row r="102" spans="1:7" x14ac:dyDescent="0.25">
      <c r="A102" s="10">
        <v>32</v>
      </c>
      <c r="B102" s="6">
        <v>23.3</v>
      </c>
      <c r="C102" s="6">
        <v>59.6</v>
      </c>
      <c r="D102" s="6">
        <v>97.6</v>
      </c>
      <c r="E102" s="1"/>
      <c r="F102" s="1"/>
      <c r="G102" s="1"/>
    </row>
    <row r="103" spans="1:7" x14ac:dyDescent="0.25">
      <c r="A103" s="10">
        <v>33</v>
      </c>
      <c r="B103" s="6">
        <v>33.1</v>
      </c>
      <c r="C103" s="6">
        <v>56.2</v>
      </c>
      <c r="D103" s="6">
        <v>75.900000000000006</v>
      </c>
      <c r="E103" s="1"/>
      <c r="F103" s="1"/>
      <c r="G103" s="1"/>
    </row>
    <row r="104" spans="1:7" x14ac:dyDescent="0.25">
      <c r="A104" s="10">
        <v>34</v>
      </c>
      <c r="B104" s="6">
        <v>21.2</v>
      </c>
      <c r="C104" s="6">
        <v>49.3</v>
      </c>
      <c r="D104" s="6">
        <v>77.2</v>
      </c>
      <c r="E104" s="1"/>
      <c r="F104" s="1"/>
      <c r="G104" s="1"/>
    </row>
    <row r="105" spans="1:7" x14ac:dyDescent="0.25">
      <c r="A105" s="10">
        <v>35</v>
      </c>
      <c r="B105" s="6">
        <v>20.3</v>
      </c>
      <c r="C105" s="6">
        <v>57.9</v>
      </c>
      <c r="D105" s="6">
        <v>81.5</v>
      </c>
      <c r="E105" s="1"/>
      <c r="F105" s="1"/>
      <c r="G105" s="1"/>
    </row>
    <row r="106" spans="1:7" x14ac:dyDescent="0.25">
      <c r="A106" s="10">
        <v>36</v>
      </c>
      <c r="B106" s="6">
        <v>34.700000000000003</v>
      </c>
      <c r="C106" s="6">
        <v>47.4</v>
      </c>
      <c r="D106" s="6">
        <v>106.9</v>
      </c>
      <c r="E106" s="1"/>
      <c r="F106" s="1"/>
      <c r="G106" s="1"/>
    </row>
    <row r="107" spans="1:7" x14ac:dyDescent="0.25">
      <c r="A107" s="10">
        <v>37</v>
      </c>
      <c r="B107" s="6">
        <v>31.3</v>
      </c>
      <c r="C107" s="6">
        <v>56.1</v>
      </c>
      <c r="D107" s="6">
        <v>65</v>
      </c>
      <c r="E107" s="1"/>
      <c r="F107" s="1"/>
      <c r="G107" s="1"/>
    </row>
    <row r="108" spans="1:7" x14ac:dyDescent="0.25">
      <c r="A108" s="10">
        <v>38</v>
      </c>
      <c r="B108" s="6">
        <v>35</v>
      </c>
      <c r="C108" s="6">
        <v>49.3</v>
      </c>
      <c r="D108" s="6">
        <v>67.7</v>
      </c>
      <c r="E108" s="1"/>
      <c r="F108" s="1"/>
      <c r="G108" s="1"/>
    </row>
    <row r="109" spans="1:7" x14ac:dyDescent="0.25">
      <c r="A109" s="10">
        <v>39</v>
      </c>
      <c r="B109" s="6">
        <v>32.9</v>
      </c>
      <c r="C109" s="6">
        <v>62.6</v>
      </c>
      <c r="D109" s="6">
        <v>98.2</v>
      </c>
      <c r="E109" s="1"/>
      <c r="F109" s="1"/>
      <c r="G109" s="1"/>
    </row>
    <row r="110" spans="1:7" x14ac:dyDescent="0.25">
      <c r="A110" s="10">
        <v>40</v>
      </c>
      <c r="B110" s="6">
        <v>31.8</v>
      </c>
      <c r="C110" s="6">
        <v>49</v>
      </c>
      <c r="D110" s="6">
        <v>74.099999999999994</v>
      </c>
      <c r="E110" s="1"/>
      <c r="F110" s="1"/>
      <c r="G110" s="1"/>
    </row>
    <row r="111" spans="1:7" x14ac:dyDescent="0.25">
      <c r="A111" s="10">
        <v>41</v>
      </c>
      <c r="B111" s="6">
        <v>21.2</v>
      </c>
      <c r="C111" s="6">
        <v>51</v>
      </c>
      <c r="D111" s="6">
        <v>101.4</v>
      </c>
      <c r="E111" s="1"/>
      <c r="F111" s="1"/>
      <c r="G111" s="1"/>
    </row>
    <row r="112" spans="1:7" x14ac:dyDescent="0.25">
      <c r="A112" s="10">
        <v>42</v>
      </c>
      <c r="B112" s="6">
        <v>22.4</v>
      </c>
      <c r="C112" s="6">
        <v>63.2</v>
      </c>
      <c r="D112" s="6">
        <v>86.7</v>
      </c>
      <c r="E112" s="1"/>
      <c r="F112" s="1"/>
      <c r="G112" s="1"/>
    </row>
    <row r="113" spans="1:7" x14ac:dyDescent="0.25">
      <c r="A113" s="10">
        <v>43</v>
      </c>
      <c r="B113" s="6">
        <v>36.4</v>
      </c>
      <c r="C113" s="6">
        <v>63.4</v>
      </c>
      <c r="D113" s="6">
        <v>102.6</v>
      </c>
      <c r="E113" s="1"/>
      <c r="F113" s="1"/>
      <c r="G113" s="1"/>
    </row>
    <row r="114" spans="1:7" x14ac:dyDescent="0.25">
      <c r="A114" s="10">
        <v>44</v>
      </c>
      <c r="B114" s="6">
        <v>33.299999999999997</v>
      </c>
      <c r="C114" s="6">
        <v>60.5</v>
      </c>
      <c r="D114" s="6">
        <v>77.900000000000006</v>
      </c>
      <c r="E114" s="1"/>
      <c r="F114" s="1"/>
      <c r="G114" s="1"/>
    </row>
    <row r="115" spans="1:7" x14ac:dyDescent="0.25">
      <c r="A115" s="10">
        <v>45</v>
      </c>
      <c r="B115" s="6">
        <v>21.8</v>
      </c>
      <c r="C115" s="6">
        <v>53.7</v>
      </c>
      <c r="D115" s="6">
        <v>107.2</v>
      </c>
      <c r="E115" s="1"/>
      <c r="F115" s="1"/>
      <c r="G115" s="1"/>
    </row>
    <row r="116" spans="1:7" x14ac:dyDescent="0.25">
      <c r="A116" s="10">
        <v>46</v>
      </c>
      <c r="B116" s="6">
        <v>20.399999999999999</v>
      </c>
      <c r="C116" s="6">
        <v>49.7</v>
      </c>
      <c r="D116" s="6">
        <v>109.3</v>
      </c>
      <c r="E116" s="1"/>
      <c r="F116" s="1"/>
      <c r="G116" s="1"/>
    </row>
    <row r="117" spans="1:7" x14ac:dyDescent="0.25">
      <c r="A117" s="10">
        <v>47</v>
      </c>
      <c r="B117" s="6">
        <v>27.6</v>
      </c>
      <c r="C117" s="6">
        <v>64.400000000000006</v>
      </c>
      <c r="D117" s="6">
        <v>71</v>
      </c>
      <c r="E117" s="1"/>
      <c r="F117" s="1"/>
      <c r="G117" s="1"/>
    </row>
    <row r="118" spans="1:7" x14ac:dyDescent="0.25">
      <c r="A118" s="10">
        <v>48</v>
      </c>
      <c r="B118" s="6">
        <v>23.1</v>
      </c>
      <c r="C118" s="6">
        <v>59.7</v>
      </c>
      <c r="D118" s="6">
        <v>72.2</v>
      </c>
      <c r="E118" s="1"/>
      <c r="F118" s="1"/>
      <c r="G118" s="1"/>
    </row>
    <row r="119" spans="1:7" x14ac:dyDescent="0.25">
      <c r="A119" s="10">
        <v>49</v>
      </c>
      <c r="B119" s="6">
        <v>25.8</v>
      </c>
      <c r="C119" s="6">
        <v>45.4</v>
      </c>
      <c r="D119" s="6">
        <v>83.7</v>
      </c>
      <c r="E119" s="1"/>
      <c r="F119" s="1"/>
      <c r="G119" s="1"/>
    </row>
    <row r="120" spans="1:7" x14ac:dyDescent="0.25">
      <c r="A120" s="10">
        <v>50</v>
      </c>
      <c r="B120" s="6">
        <v>25.8</v>
      </c>
      <c r="C120" s="6">
        <v>63.2</v>
      </c>
      <c r="D120" s="6">
        <v>94.1</v>
      </c>
      <c r="E120" s="1"/>
      <c r="F120" s="1"/>
      <c r="G120" s="1"/>
    </row>
    <row r="121" spans="1:7" x14ac:dyDescent="0.25">
      <c r="A121" s="10">
        <v>51</v>
      </c>
      <c r="B121" s="6">
        <v>30.5</v>
      </c>
      <c r="C121" s="6">
        <v>55.5</v>
      </c>
      <c r="D121" s="6">
        <v>70.5</v>
      </c>
      <c r="E121" s="1"/>
      <c r="F121" s="1"/>
      <c r="G121" s="1"/>
    </row>
    <row r="122" spans="1:7" x14ac:dyDescent="0.25">
      <c r="A122" s="10">
        <v>52</v>
      </c>
      <c r="B122" s="6">
        <v>30.4</v>
      </c>
      <c r="C122" s="6">
        <v>47.7</v>
      </c>
      <c r="D122" s="6">
        <v>110</v>
      </c>
      <c r="E122" s="1"/>
      <c r="F122" s="1"/>
      <c r="G122" s="1"/>
    </row>
    <row r="123" spans="1:7" x14ac:dyDescent="0.25">
      <c r="A123" s="10">
        <v>53</v>
      </c>
      <c r="B123" s="6">
        <v>23.5</v>
      </c>
      <c r="C123" s="6">
        <v>54.4</v>
      </c>
      <c r="D123" s="6">
        <v>89.5</v>
      </c>
      <c r="E123" s="1"/>
      <c r="F123" s="1"/>
      <c r="G123" s="1"/>
    </row>
    <row r="124" spans="1:7" x14ac:dyDescent="0.25">
      <c r="A124" s="10">
        <v>54</v>
      </c>
      <c r="B124" s="6">
        <v>27.5</v>
      </c>
      <c r="C124" s="6">
        <v>55.6</v>
      </c>
      <c r="D124" s="6">
        <v>96.2</v>
      </c>
      <c r="E124" s="1"/>
      <c r="F124" s="1"/>
      <c r="G124" s="1"/>
    </row>
    <row r="125" spans="1:7" x14ac:dyDescent="0.25">
      <c r="A125" s="10">
        <v>55</v>
      </c>
      <c r="B125" s="6">
        <v>21.1</v>
      </c>
      <c r="C125" s="6">
        <v>45.9</v>
      </c>
      <c r="D125" s="6">
        <v>78</v>
      </c>
      <c r="E125" s="1"/>
      <c r="F125" s="1"/>
      <c r="G125" s="1"/>
    </row>
    <row r="126" spans="1:7" x14ac:dyDescent="0.25">
      <c r="A126" s="10">
        <v>56</v>
      </c>
      <c r="B126" s="6">
        <v>28.2</v>
      </c>
      <c r="C126" s="6">
        <v>62.8</v>
      </c>
      <c r="D126" s="6">
        <v>109</v>
      </c>
      <c r="E126" s="1"/>
      <c r="F126" s="1"/>
      <c r="G126" s="1"/>
    </row>
    <row r="127" spans="1:7" x14ac:dyDescent="0.25">
      <c r="A127" s="10">
        <v>57</v>
      </c>
      <c r="B127" s="6">
        <v>32.700000000000003</v>
      </c>
      <c r="C127" s="6">
        <v>55.3</v>
      </c>
      <c r="D127" s="6">
        <v>110</v>
      </c>
      <c r="E127" s="1"/>
      <c r="F127" s="1"/>
      <c r="G127" s="1"/>
    </row>
    <row r="128" spans="1:7" x14ac:dyDescent="0.25">
      <c r="A128" s="10">
        <v>58</v>
      </c>
      <c r="B128" s="6">
        <v>20.399999999999999</v>
      </c>
      <c r="C128" s="6">
        <v>52.1</v>
      </c>
      <c r="D128" s="6">
        <v>96.1</v>
      </c>
      <c r="E128" s="1"/>
      <c r="F128" s="1"/>
      <c r="G128" s="1"/>
    </row>
    <row r="129" spans="1:7" x14ac:dyDescent="0.25">
      <c r="A129" s="10">
        <v>59</v>
      </c>
      <c r="B129" s="6">
        <v>20.5</v>
      </c>
      <c r="C129" s="6">
        <v>54.2</v>
      </c>
      <c r="D129" s="6">
        <v>72.2</v>
      </c>
      <c r="E129" s="1"/>
      <c r="F129" s="1"/>
      <c r="G129" s="1"/>
    </row>
    <row r="130" spans="1:7" x14ac:dyDescent="0.25">
      <c r="A130" s="10">
        <v>60</v>
      </c>
      <c r="B130" s="6">
        <v>44.2</v>
      </c>
      <c r="C130" s="6">
        <v>55</v>
      </c>
      <c r="D130" s="6">
        <v>92.2</v>
      </c>
      <c r="E130" s="1"/>
      <c r="F130" s="1"/>
      <c r="G130" s="1"/>
    </row>
    <row r="131" spans="1:7" x14ac:dyDescent="0.25">
      <c r="A131" s="10">
        <v>61</v>
      </c>
      <c r="B131" s="6">
        <v>25.1</v>
      </c>
      <c r="C131" s="6">
        <v>55.2</v>
      </c>
      <c r="D131" s="6">
        <v>68.8</v>
      </c>
      <c r="E131" s="1"/>
      <c r="F131" s="1"/>
      <c r="G131" s="1"/>
    </row>
    <row r="132" spans="1:7" x14ac:dyDescent="0.25">
      <c r="A132" s="10">
        <v>62</v>
      </c>
      <c r="B132" s="6">
        <v>26.6</v>
      </c>
      <c r="C132" s="6">
        <v>48.6</v>
      </c>
      <c r="D132" s="6">
        <v>76.400000000000006</v>
      </c>
      <c r="E132" s="1"/>
      <c r="F132" s="1"/>
      <c r="G132" s="1"/>
    </row>
    <row r="133" spans="1:7" ht="14.5" thickBot="1" x14ac:dyDescent="0.3">
      <c r="A133" s="11">
        <v>63</v>
      </c>
      <c r="B133" s="6">
        <v>27.1</v>
      </c>
      <c r="C133" s="12"/>
      <c r="D133" s="12"/>
      <c r="E133" s="16"/>
      <c r="F133" s="16"/>
      <c r="G133" s="16"/>
    </row>
    <row r="134" spans="1:7" ht="14.5" thickTop="1" x14ac:dyDescent="0.25"/>
    <row r="136" spans="1:7" x14ac:dyDescent="0.25">
      <c r="A136" s="508" t="s">
        <v>337</v>
      </c>
      <c r="B136" s="504" t="s">
        <v>338</v>
      </c>
      <c r="C136" s="505"/>
      <c r="D136" s="504" t="s">
        <v>339</v>
      </c>
      <c r="E136" s="505"/>
      <c r="F136" s="504" t="s">
        <v>340</v>
      </c>
      <c r="G136" s="505"/>
    </row>
    <row r="137" spans="1:7" x14ac:dyDescent="0.25">
      <c r="A137" s="509"/>
      <c r="B137" s="328" t="s">
        <v>341</v>
      </c>
      <c r="C137" s="328" t="s">
        <v>342</v>
      </c>
      <c r="D137" s="328" t="s">
        <v>341</v>
      </c>
      <c r="E137" s="328" t="s">
        <v>342</v>
      </c>
      <c r="F137" s="328" t="s">
        <v>341</v>
      </c>
      <c r="G137" s="328" t="s">
        <v>342</v>
      </c>
    </row>
    <row r="138" spans="1:7" x14ac:dyDescent="0.25">
      <c r="A138" s="329" t="str">
        <f>A2</f>
        <v>Siyang Aiyuan Swine farm</v>
      </c>
      <c r="B138" s="330">
        <f>ROUNDDOWN(AVERAGE(B5:D13),1)</f>
        <v>55.7</v>
      </c>
      <c r="C138" s="330">
        <f>ROUNDDOWN(AVERAGE(E5:G20),1)</f>
        <v>74.900000000000006</v>
      </c>
      <c r="D138" s="328">
        <f>'2022.01'!D138</f>
        <v>8254</v>
      </c>
      <c r="E138" s="328">
        <f>'[2]NLT-applied'!$C$21</f>
        <v>15524</v>
      </c>
      <c r="F138" s="328">
        <f>B138*D138</f>
        <v>459747.80000000005</v>
      </c>
      <c r="G138" s="328">
        <f>C138*E138</f>
        <v>1162747.6000000001</v>
      </c>
    </row>
    <row r="139" spans="1:7" x14ac:dyDescent="0.25">
      <c r="A139" s="329" t="str">
        <f>A21</f>
        <v>Dongtai Jianggang Swine farm</v>
      </c>
      <c r="B139" s="330">
        <f>ROUNDDOWN(AVERAGE(B24:D33),1)</f>
        <v>57.1</v>
      </c>
      <c r="C139" s="330">
        <f>ROUNDDOWN(AVERAGE(E24:G52),1)</f>
        <v>74</v>
      </c>
      <c r="D139" s="328">
        <f>'2022.01'!D139</f>
        <v>9392</v>
      </c>
      <c r="E139" s="328">
        <f>'[2]NLT-applied'!$E$21</f>
        <v>29480</v>
      </c>
      <c r="F139" s="328">
        <f t="shared" ref="F139:G141" si="0">B139*D139</f>
        <v>536283.20000000007</v>
      </c>
      <c r="G139" s="328">
        <f t="shared" si="0"/>
        <v>2181520</v>
      </c>
    </row>
    <row r="140" spans="1:7" x14ac:dyDescent="0.25">
      <c r="A140" s="329" t="str">
        <f>A53</f>
        <v>Sheyang Linhai Swine farm</v>
      </c>
      <c r="B140" s="330">
        <f>ROUNDDOWN(AVERAGE(B56:D67),1)</f>
        <v>60.5</v>
      </c>
      <c r="C140" s="330">
        <f>ROUNDDOWN(AVERAGE(E56:G62),1)</f>
        <v>74.8</v>
      </c>
      <c r="D140" s="328">
        <f>'2022.01'!D140</f>
        <v>12135</v>
      </c>
      <c r="E140" s="328">
        <f>'[2]NLT-applied'!$G$21</f>
        <v>6418</v>
      </c>
      <c r="F140" s="328">
        <f t="shared" si="0"/>
        <v>734167.5</v>
      </c>
      <c r="G140" s="328">
        <f t="shared" si="0"/>
        <v>480066.39999999997</v>
      </c>
    </row>
    <row r="141" spans="1:7" x14ac:dyDescent="0.25">
      <c r="A141" s="329" t="str">
        <f>A68</f>
        <v>Siyang Nanliuji Swine farm</v>
      </c>
      <c r="B141" s="330">
        <f>ROUNDDOWN(AVERAGE(B71:D133),1)</f>
        <v>57.7</v>
      </c>
      <c r="C141" s="328">
        <f>ROUNDDOWN(AVERAGE(0),1)</f>
        <v>0</v>
      </c>
      <c r="D141" s="328">
        <f>'2022.01'!D141</f>
        <v>64445</v>
      </c>
      <c r="E141" s="328">
        <f>'[3]NLT-applied'!$I$27</f>
        <v>0</v>
      </c>
      <c r="F141" s="328">
        <f t="shared" si="0"/>
        <v>3718476.5</v>
      </c>
      <c r="G141" s="328">
        <f t="shared" si="0"/>
        <v>0</v>
      </c>
    </row>
    <row r="142" spans="1:7" x14ac:dyDescent="0.25">
      <c r="A142" s="504" t="s">
        <v>343</v>
      </c>
      <c r="B142" s="510"/>
      <c r="C142" s="505"/>
      <c r="D142" s="328">
        <f>SUM(D138:D141)</f>
        <v>94226</v>
      </c>
      <c r="E142" s="328">
        <f>SUM(E138:E141)</f>
        <v>51422</v>
      </c>
      <c r="F142" s="328">
        <f>SUM(F138:F141)</f>
        <v>5448675</v>
      </c>
      <c r="G142" s="328">
        <f>SUM(G138:G141)</f>
        <v>3824334</v>
      </c>
    </row>
    <row r="144" spans="1:7" x14ac:dyDescent="0.25">
      <c r="C144" s="504" t="s">
        <v>344</v>
      </c>
      <c r="D144" s="505"/>
    </row>
    <row r="145" spans="3:4" x14ac:dyDescent="0.25">
      <c r="C145" s="328" t="s">
        <v>341</v>
      </c>
      <c r="D145" s="328" t="s">
        <v>342</v>
      </c>
    </row>
    <row r="146" spans="3:4" x14ac:dyDescent="0.25">
      <c r="C146" s="331">
        <f>ROUNDDOWN(F142/D142,1)</f>
        <v>57.8</v>
      </c>
      <c r="D146" s="331">
        <f>ROUNDDOWN(G142/E142,1)</f>
        <v>74.3</v>
      </c>
    </row>
  </sheetData>
  <mergeCells count="19">
    <mergeCell ref="B22:D22"/>
    <mergeCell ref="E22:G22"/>
    <mergeCell ref="A1:G1"/>
    <mergeCell ref="A2:G2"/>
    <mergeCell ref="B3:D3"/>
    <mergeCell ref="E3:G3"/>
    <mergeCell ref="A21:G21"/>
    <mergeCell ref="C144:D144"/>
    <mergeCell ref="A53:G53"/>
    <mergeCell ref="B54:D54"/>
    <mergeCell ref="E54:G54"/>
    <mergeCell ref="A68:G68"/>
    <mergeCell ref="B69:D69"/>
    <mergeCell ref="E69:G69"/>
    <mergeCell ref="A136:A137"/>
    <mergeCell ref="B136:C136"/>
    <mergeCell ref="D136:E136"/>
    <mergeCell ref="F136:G136"/>
    <mergeCell ref="A142:C142"/>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Cover Page</vt:lpstr>
      <vt:lpstr>Baseline Emission</vt:lpstr>
      <vt:lpstr>Project Emission</vt:lpstr>
      <vt:lpstr>Leakage Emission</vt:lpstr>
      <vt:lpstr>Reliability Check</vt:lpstr>
      <vt:lpstr>Emission Reductions</vt:lpstr>
      <vt:lpstr>monitoring results</vt:lpstr>
      <vt:lpstr>2022.01</vt:lpstr>
      <vt:lpstr>2022.02</vt:lpstr>
      <vt:lpstr>2022.03</vt:lpstr>
      <vt:lpstr>2022.04</vt:lpstr>
      <vt:lpstr>2022.05</vt:lpstr>
      <vt:lpstr>2022.06</vt:lpstr>
      <vt:lpstr>2022.07</vt:lpstr>
      <vt:lpstr>2022.08</vt:lpstr>
      <vt:lpstr>2022.09</vt:lpstr>
      <vt:lpstr>2022.10</vt:lpstr>
      <vt:lpstr>2022.11</vt:lpstr>
      <vt:lpstr>2022.12</vt:lpstr>
    </vt:vector>
  </TitlesOfParts>
  <Manager>ywert.visser@carbonvietnam.com</Manager>
  <Company>INTRACO Co., Ltd Carbon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dc:creator>
  <cp:lastModifiedBy>5851</cp:lastModifiedBy>
  <cp:lastPrinted>2011-01-07T02:59:39Z</cp:lastPrinted>
  <dcterms:created xsi:type="dcterms:W3CDTF">2006-12-11T01:48:55Z</dcterms:created>
  <dcterms:modified xsi:type="dcterms:W3CDTF">2023-12-05T09:07:29Z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Ywert Visser</vt:lpwstr>
  </property>
</Properties>
</file>