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co2balance.sharepoint.com/Shared Documents/Projects/Active/CODE-SL/Sierra_Leone_SW/4_Reviews/5_Re-validation/GS_CP_renewal/OS/"/>
    </mc:Choice>
  </mc:AlternateContent>
  <xr:revisionPtr revIDLastSave="0" documentId="8_{E2F34FAC-025B-4373-B12D-F10E2DA6EB1F}" xr6:coauthVersionLast="47" xr6:coauthVersionMax="47" xr10:uidLastSave="{00000000-0000-0000-0000-000000000000}"/>
  <bookViews>
    <workbookView xWindow="-98" yWindow="-98" windowWidth="21795" windowHeight="12975" firstSheet="1" activeTab="2" xr2:uid="{00000000-000D-0000-FFFF-FFFF00000000}"/>
  </bookViews>
  <sheets>
    <sheet name="Summary (VPA)" sheetId="22" r:id="rId1"/>
    <sheet name="Summary (Project)" sheetId="19" r:id="rId2"/>
    <sheet name="SDWS Ex-Antes" sheetId="12" r:id="rId3"/>
    <sheet name="SDG Impacts" sheetId="21" r:id="rId4"/>
  </sheets>
  <externalReferences>
    <externalReference r:id="rId5"/>
    <externalReference r:id="rId6"/>
    <externalReference r:id="rId7"/>
    <externalReference r:id="rId8"/>
  </externalReferences>
  <definedNames>
    <definedName name="__123Graph_D" hidden="1">[1]PkRp!#REF!</definedName>
    <definedName name="_Fill" hidden="1">#REF!</definedName>
    <definedName name="_ftn1" localSheetId="2">'SDWS Ex-Antes'!#REF!</definedName>
    <definedName name="_ftnref1" localSheetId="2">'SDWS Ex-Antes'!$D$25</definedName>
    <definedName name="_Key1" hidden="1">[2]L_23!#REF!</definedName>
    <definedName name="_Key2" hidden="1">[2]L_23!#REF!</definedName>
    <definedName name="_Order1" hidden="1">0</definedName>
    <definedName name="_Sort" hidden="1">[3]UshDeb00!#REF!</definedName>
    <definedName name="aa" hidden="1">{#N/A,#N/A,FALSE,"M.42"}</definedName>
    <definedName name="d" hidden="1">[3]UshDeb00!#REF!</definedName>
    <definedName name="D_TDLec">[4]Parameters!$D$37</definedName>
    <definedName name="D_tp_y">[4]Parameters!#REF!</definedName>
    <definedName name="EE" hidden="1">{#N/A,#N/A,FALSE,"M.42"}</definedName>
    <definedName name="h" hidden="1">{#N/A,#N/A,FALSE,"M.31"}</definedName>
    <definedName name="ha" hidden="1">[2]L_23!#REF!</definedName>
    <definedName name="HTML_CodePage" hidden="1">1252</definedName>
    <definedName name="HTML_Control" hidden="1">{"'Sheet1'!$A$1:$H$145"}</definedName>
    <definedName name="HTML_Description" hidden="1">""</definedName>
    <definedName name="HTML_Email" hidden="1">""</definedName>
    <definedName name="HTML_Header" hidden="1">"Country Risk Premiums"</definedName>
    <definedName name="HTML_LastUpdate" hidden="1">"2/19/99"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HD:HomePageStuff:New_Home_Page:datafile:ctryprem.html"</definedName>
    <definedName name="HTML_Title" hidden="1">"Country Risk Premiums"</definedName>
    <definedName name="k" hidden="1">{#N/A,#N/A,FALSE,"M.33"}</definedName>
    <definedName name="kinerja" hidden="1">{#N/A,#N/A,FALSE,"M.32"}</definedName>
    <definedName name="lamsd" hidden="1">{#N/A,#N/A,FALSE,"M.42"}</definedName>
    <definedName name="M_DNp_y">[4]Parameters!#REF!</definedName>
    <definedName name="M_DOp_y">[4]Parameters!$E$49</definedName>
    <definedName name="M_DPp_y">[4]Parameters!#REF!</definedName>
    <definedName name="M_ECp_y">[4]Parameters!$E$51</definedName>
    <definedName name="M_EFec_less_than_250_kWh">[4]Parameters!$E$35</definedName>
    <definedName name="M_EFec_more_than_250_kWh">[4]Parameters!$E$34</definedName>
    <definedName name="M_fNRB_f_y">[4]Parameters!$E$41</definedName>
    <definedName name="M_HHp_y">[4]Parameters!$E$48</definedName>
    <definedName name="M_HNp_y_Fulltime">[4]Parameters!$E$46</definedName>
    <definedName name="M_HNp_y_Halftime">[4]Parameters!$E$47</definedName>
    <definedName name="M_Mq_y">[4]Parameters!$E$38</definedName>
    <definedName name="M_Np_y">[4]Parameters!#REF!</definedName>
    <definedName name="M_Pp_f_y">[4]Parameters!$E$50</definedName>
    <definedName name="M_Qm_y">[4]Parameters!$E$43</definedName>
    <definedName name="M_QPWp_Full_day_premises_Boarding_school">[4]Parameters!$E$44</definedName>
    <definedName name="M_SE_o">[4]Parameters!$E$53</definedName>
    <definedName name="M_tp_y">[4]Parameters!#REF!</definedName>
    <definedName name="M_Up_y">[4]Parameters!#REF!</definedName>
    <definedName name="M_Xcleanboi_y">[4]Parameters!$E$42</definedName>
    <definedName name="M_𝐶𝑏">[4]Parameters!$E$31</definedName>
    <definedName name="M_𝐸𝐹𝑓">[4]Parameters!$E$33</definedName>
    <definedName name="M_𝑁𝐶𝑉𝑓">[4]Parameters!$E$32</definedName>
    <definedName name="M_𝑇𝐷𝐿𝑒𝑐">[4]Parameters!$E$37</definedName>
    <definedName name="M_𝑞𝑖">[4]Parameters!#REF!</definedName>
    <definedName name="M_𝑥𝑓_Other_Convention_Stove_Users_with_wood">[4]Parameters!$E$15</definedName>
    <definedName name="M_𝑥𝑓_Traditional_Stove_Users_with_wood">[4]Parameters!$E$14</definedName>
    <definedName name="mj" hidden="1">{#N/A,#N/A,FALSE,"M.42"}</definedName>
    <definedName name="mmc" hidden="1">{#N/A,#N/A,FALSE,"M.42"}</definedName>
    <definedName name="mmd" hidden="1">{#N/A,#N/A,FALSE,"M.32"}</definedName>
    <definedName name="nnm" hidden="1">{#N/A,#N/A,FALSE,"M.43"}</definedName>
    <definedName name="nnnm" hidden="1">{#N/A,#N/A,FALSE,"M.42"}</definedName>
    <definedName name="p" hidden="1">{#N/A,#N/A,FALSE,"M.34"}</definedName>
    <definedName name="pp" hidden="1">{"'Sheet1'!$A$1:$H$145"}</definedName>
    <definedName name="prediksi_th03" hidden="1">{#N/A,#N/A,FALSE,"M.01";#N/A,#N/A,FALSE,"M.01"}</definedName>
    <definedName name="Q_40">#REF!,#REF!</definedName>
    <definedName name="qqq" hidden="1">{#N/A,#N/A,FALSE,"M.42"}</definedName>
    <definedName name="qw" hidden="1">{#N/A,#N/A,FALSE,"M.33"}</definedName>
    <definedName name="s" hidden="1">{#N/A,#N/A,FALSE,"M.43"}</definedName>
    <definedName name="ss" hidden="1">{#N/A,#N/A,FALSE,"M.43"}</definedName>
    <definedName name="t" hidden="1">{#N/A,#N/A,FALSE,"M.02"}</definedName>
    <definedName name="u" hidden="1">{#N/A,#N/A,FALSE,"M.32"}</definedName>
    <definedName name="w" hidden="1">{#N/A,#N/A,FALSE,"M.01";#N/A,#N/A,FALSE,"M.01"}</definedName>
    <definedName name="wrn.M.01." hidden="1">{#N/A,#N/A,FALSE,"M.01"}</definedName>
    <definedName name="wrn.M.01D." hidden="1">{#N/A,#N/A,FALSE,"M.01";#N/A,#N/A,FALSE,"M.01"}</definedName>
    <definedName name="wrn.M.02." hidden="1">{#N/A,#N/A,FALSE,"M.02"}</definedName>
    <definedName name="wrn.M.31." hidden="1">{#N/A,#N/A,FALSE,"M.31"}</definedName>
    <definedName name="wrn.M.32." hidden="1">{#N/A,#N/A,FALSE,"M.32"}</definedName>
    <definedName name="wrn.M.33." hidden="1">{#N/A,#N/A,FALSE,"M.33"}</definedName>
    <definedName name="wrn.M.34." hidden="1">{#N/A,#N/A,FALSE,"M.34"}</definedName>
    <definedName name="wrn.M.41." hidden="1">{#N/A,#N/A,FALSE,"M.41"}</definedName>
    <definedName name="wrn.M.42" hidden="1">{#N/A,#N/A,FALSE,"M.41"}</definedName>
    <definedName name="wrn.M.42." hidden="1">{#N/A,#N/A,FALSE,"M.42"}</definedName>
    <definedName name="wrn.M.43." hidden="1">{#N/A,#N/A,FALSE,"M.43"}</definedName>
    <definedName name="wrn.PARA._.MARCO." hidden="1">{#N/A,#N/A,FALSE,"420-22 MOLIENDA";#N/A,#N/A,FALSE,"384-22 PREHOM. ADIT";#N/A,#N/A,FALSE,"560-23 MONT MEC ENFRIADOR";#N/A,#N/A,FALSE,"540-23 MONT MEC HORNO"}</definedName>
    <definedName name="x" hidden="1">{#N/A,#N/A,FALSE,"M.42"}</definedName>
    <definedName name="z" hidden="1">{#N/A,#N/A,FALSE,"M.01"}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21" l="1"/>
  <c r="I5" i="12"/>
  <c r="E39" i="21" l="1"/>
  <c r="E40" i="21" s="1"/>
  <c r="B10" i="22" l="1"/>
  <c r="B7" i="22"/>
  <c r="B38" i="22" s="1"/>
  <c r="C38" i="22" s="1"/>
  <c r="B42" i="22"/>
  <c r="B40" i="22"/>
  <c r="B39" i="22"/>
  <c r="B32" i="22"/>
  <c r="B30" i="22"/>
  <c r="B29" i="22"/>
  <c r="B22" i="22"/>
  <c r="B20" i="22"/>
  <c r="B51" i="22" s="1"/>
  <c r="B19" i="22"/>
  <c r="B50" i="22" s="1"/>
  <c r="C7" i="22"/>
  <c r="C8" i="22" s="1"/>
  <c r="E21" i="21"/>
  <c r="E9" i="12"/>
  <c r="E33" i="12"/>
  <c r="B21" i="22" l="1"/>
  <c r="B52" i="22" s="1"/>
  <c r="B41" i="22"/>
  <c r="B31" i="22"/>
  <c r="C39" i="22"/>
  <c r="C40" i="22" s="1"/>
  <c r="B28" i="22"/>
  <c r="C28" i="22" s="1"/>
  <c r="C29" i="22" s="1"/>
  <c r="C30" i="22" s="1"/>
  <c r="B18" i="22"/>
  <c r="C9" i="22"/>
  <c r="B53" i="22"/>
  <c r="I44" i="21"/>
  <c r="I43" i="21"/>
  <c r="E42" i="21"/>
  <c r="E41" i="21"/>
  <c r="E13" i="21"/>
  <c r="E14" i="21" s="1"/>
  <c r="D30" i="22" l="1"/>
  <c r="D29" i="22"/>
  <c r="D32" i="22"/>
  <c r="D28" i="22"/>
  <c r="D31" i="22"/>
  <c r="C41" i="22"/>
  <c r="C42" i="22" s="1"/>
  <c r="C31" i="22"/>
  <c r="C32" i="22" s="1"/>
  <c r="B49" i="22"/>
  <c r="C49" i="22" s="1"/>
  <c r="C50" i="22" s="1"/>
  <c r="C51" i="22" s="1"/>
  <c r="C52" i="22" s="1"/>
  <c r="C53" i="22" s="1"/>
  <c r="C18" i="22"/>
  <c r="C10" i="22"/>
  <c r="E45" i="21"/>
  <c r="I12" i="12"/>
  <c r="E6" i="12"/>
  <c r="D33" i="22" l="1"/>
  <c r="C19" i="22"/>
  <c r="C11" i="22"/>
  <c r="E47" i="21"/>
  <c r="C20" i="22" l="1"/>
  <c r="I41" i="21"/>
  <c r="I39" i="21"/>
  <c r="E25" i="21"/>
  <c r="E21" i="12"/>
  <c r="D42" i="22" l="1"/>
  <c r="D43" i="22" s="1"/>
  <c r="D41" i="22"/>
  <c r="E26" i="21"/>
  <c r="I42" i="21"/>
  <c r="I45" i="21" s="1"/>
  <c r="E43" i="21" s="1"/>
  <c r="E44" i="21" s="1"/>
  <c r="D39" i="22"/>
  <c r="D38" i="22"/>
  <c r="D40" i="22"/>
  <c r="C21" i="22"/>
  <c r="B39" i="19"/>
  <c r="B40" i="19"/>
  <c r="B41" i="19"/>
  <c r="B42" i="19"/>
  <c r="B38" i="19"/>
  <c r="B29" i="19"/>
  <c r="B30" i="19"/>
  <c r="B31" i="19"/>
  <c r="B32" i="19"/>
  <c r="B28" i="19"/>
  <c r="B19" i="19"/>
  <c r="B50" i="19" s="1"/>
  <c r="B20" i="19"/>
  <c r="B51" i="19" s="1"/>
  <c r="B21" i="19"/>
  <c r="B52" i="19" s="1"/>
  <c r="B22" i="19"/>
  <c r="B53" i="19" s="1"/>
  <c r="B18" i="19"/>
  <c r="B49" i="19" s="1"/>
  <c r="C49" i="19" s="1"/>
  <c r="C50" i="19" s="1"/>
  <c r="C51" i="19" s="1"/>
  <c r="C52" i="19" s="1"/>
  <c r="C53" i="19" s="1"/>
  <c r="D44" i="22" l="1"/>
  <c r="E27" i="21" s="1"/>
  <c r="C22" i="22"/>
  <c r="E36" i="12"/>
  <c r="E39" i="12"/>
  <c r="E32" i="12" l="1"/>
  <c r="C38" i="19"/>
  <c r="C39" i="19" s="1"/>
  <c r="C40" i="19" s="1"/>
  <c r="C41" i="19" s="1"/>
  <c r="C42" i="19" s="1"/>
  <c r="C28" i="19"/>
  <c r="C29" i="19" s="1"/>
  <c r="C30" i="19" s="1"/>
  <c r="C31" i="19" s="1"/>
  <c r="C32" i="19" s="1"/>
  <c r="C18" i="19"/>
  <c r="C19" i="19" s="1"/>
  <c r="C20" i="19" s="1"/>
  <c r="C21" i="19" s="1"/>
  <c r="C22" i="19" s="1"/>
  <c r="E51" i="12" l="1"/>
  <c r="E50" i="12"/>
  <c r="E45" i="12" s="1"/>
  <c r="E46" i="12"/>
  <c r="E44" i="12" l="1"/>
  <c r="E28" i="12" l="1"/>
  <c r="E13" i="12" l="1"/>
  <c r="E22" i="12" l="1"/>
  <c r="C7" i="19" l="1"/>
  <c r="D38" i="19" l="1"/>
  <c r="C8" i="19"/>
  <c r="E12" i="12"/>
  <c r="C9" i="19" l="1"/>
  <c r="D39" i="19"/>
  <c r="E64" i="12"/>
  <c r="F11" i="22" l="1"/>
  <c r="F10" i="22"/>
  <c r="F9" i="22"/>
  <c r="F7" i="22"/>
  <c r="C10" i="19"/>
  <c r="D40" i="19"/>
  <c r="F11" i="19"/>
  <c r="F10" i="19"/>
  <c r="F9" i="19"/>
  <c r="F7" i="19"/>
  <c r="F8" i="19" s="1"/>
  <c r="F8" i="22" l="1"/>
  <c r="C11" i="19"/>
  <c r="D41" i="19"/>
  <c r="E5" i="21"/>
  <c r="D20" i="22" l="1"/>
  <c r="D19" i="22"/>
  <c r="D22" i="22"/>
  <c r="D18" i="22"/>
  <c r="D21" i="22"/>
  <c r="D42" i="19"/>
  <c r="D43" i="19" s="1"/>
  <c r="D19" i="19"/>
  <c r="D21" i="19"/>
  <c r="D22" i="19"/>
  <c r="D20" i="19"/>
  <c r="D18" i="19"/>
  <c r="D23" i="22" l="1"/>
  <c r="D23" i="19"/>
  <c r="D28" i="19"/>
  <c r="D29" i="19"/>
  <c r="D30" i="19"/>
  <c r="D31" i="19"/>
  <c r="D32" i="19"/>
  <c r="D33" i="19" l="1"/>
  <c r="D44" i="19" l="1"/>
  <c r="E48" i="21" l="1"/>
  <c r="E49" i="21" s="1"/>
  <c r="E37" i="12"/>
  <c r="E49" i="22" l="1"/>
  <c r="E50" i="22"/>
  <c r="E51" i="22"/>
  <c r="E52" i="22"/>
  <c r="E53" i="22"/>
  <c r="E52" i="19"/>
  <c r="E49" i="19"/>
  <c r="E51" i="19"/>
  <c r="E53" i="19"/>
  <c r="E50" i="19"/>
  <c r="E50" i="21"/>
  <c r="E51" i="21" s="1"/>
  <c r="D49" i="22" s="1"/>
  <c r="E8" i="12"/>
  <c r="E5" i="12" s="1"/>
  <c r="E63" i="12" s="1"/>
  <c r="E7" i="22" l="1"/>
  <c r="E8" i="22"/>
  <c r="E9" i="22"/>
  <c r="E10" i="22"/>
  <c r="E11" i="22"/>
  <c r="E54" i="22"/>
  <c r="D50" i="22"/>
  <c r="F50" i="22" s="1"/>
  <c r="D51" i="22"/>
  <c r="F51" i="22" s="1"/>
  <c r="D52" i="22"/>
  <c r="F52" i="22" s="1"/>
  <c r="D53" i="22"/>
  <c r="E52" i="21" s="1"/>
  <c r="E55" i="22"/>
  <c r="E54" i="19"/>
  <c r="E55" i="19"/>
  <c r="E9" i="19"/>
  <c r="E66" i="12"/>
  <c r="E11" i="19"/>
  <c r="E7" i="19"/>
  <c r="E10" i="19"/>
  <c r="E8" i="19"/>
  <c r="D50" i="19"/>
  <c r="F50" i="19" s="1"/>
  <c r="D53" i="19"/>
  <c r="F53" i="19" s="1"/>
  <c r="D52" i="19"/>
  <c r="F52" i="19" s="1"/>
  <c r="D51" i="19"/>
  <c r="F51" i="19" s="1"/>
  <c r="D49" i="19"/>
  <c r="E67" i="12" l="1"/>
  <c r="E68" i="12" s="1"/>
  <c r="B3" i="22" s="1"/>
  <c r="C3" i="22" s="1"/>
  <c r="G7" i="22"/>
  <c r="G9" i="22"/>
  <c r="H9" i="22" s="1"/>
  <c r="I9" i="22" s="1"/>
  <c r="G8" i="22"/>
  <c r="H8" i="22" s="1"/>
  <c r="I8" i="22" s="1"/>
  <c r="G11" i="22"/>
  <c r="H11" i="22" s="1"/>
  <c r="I11" i="22" s="1"/>
  <c r="G10" i="22"/>
  <c r="H10" i="22"/>
  <c r="I10" i="22" s="1"/>
  <c r="E13" i="22"/>
  <c r="E12" i="22"/>
  <c r="H7" i="22"/>
  <c r="D55" i="22"/>
  <c r="E53" i="21" s="1"/>
  <c r="D54" i="22"/>
  <c r="F49" i="22"/>
  <c r="F53" i="22"/>
  <c r="E13" i="19"/>
  <c r="E12" i="19"/>
  <c r="D55" i="19"/>
  <c r="D54" i="19"/>
  <c r="G10" i="19"/>
  <c r="H10" i="19" s="1"/>
  <c r="G8" i="19"/>
  <c r="H8" i="19" s="1"/>
  <c r="I8" i="19" s="1"/>
  <c r="G11" i="19"/>
  <c r="H11" i="19" s="1"/>
  <c r="G9" i="19"/>
  <c r="H9" i="19" s="1"/>
  <c r="I9" i="19" s="1"/>
  <c r="G7" i="19"/>
  <c r="H7" i="19" s="1"/>
  <c r="I7" i="19" s="1"/>
  <c r="F49" i="19"/>
  <c r="B3" i="19" l="1"/>
  <c r="C3" i="19" s="1"/>
  <c r="I20" i="12"/>
  <c r="E32" i="21"/>
  <c r="E33" i="21" s="1"/>
  <c r="H13" i="22"/>
  <c r="E34" i="21" s="1"/>
  <c r="H12" i="22"/>
  <c r="I7" i="22"/>
  <c r="F55" i="22"/>
  <c r="I12" i="19"/>
  <c r="F54" i="22"/>
  <c r="F54" i="19"/>
  <c r="F55" i="19"/>
  <c r="H12" i="19"/>
  <c r="H13" i="19"/>
  <c r="I13" i="22" l="1"/>
  <c r="I12" i="22"/>
  <c r="I13" i="19"/>
</calcChain>
</file>

<file path=xl/sharedStrings.xml><?xml version="1.0" encoding="utf-8"?>
<sst xmlns="http://schemas.openxmlformats.org/spreadsheetml/2006/main" count="474" uniqueCount="211">
  <si>
    <t>Country</t>
  </si>
  <si>
    <t>ERs/water point</t>
  </si>
  <si>
    <t xml:space="preserve">Water Points/MS VPA </t>
  </si>
  <si>
    <t>Sierra Leone</t>
  </si>
  <si>
    <t>SDG 13 Emission Reductions per Year</t>
  </si>
  <si>
    <t>Year</t>
  </si>
  <si>
    <t>New Water Points / year (est.)</t>
  </si>
  <si>
    <t>Cumulative Water Points</t>
  </si>
  <si>
    <t>Staggered Implementation (fraction)</t>
  </si>
  <si>
    <t>Baseline Emissions</t>
  </si>
  <si>
    <t>Project Emissions</t>
  </si>
  <si>
    <t>Leakage Emissions</t>
  </si>
  <si>
    <t>Year 1</t>
  </si>
  <si>
    <t>Year 2</t>
  </si>
  <si>
    <t>Year 3</t>
  </si>
  <si>
    <t>Year 4</t>
  </si>
  <si>
    <t>Year 5</t>
  </si>
  <si>
    <t>Total</t>
  </si>
  <si>
    <t xml:space="preserve">Average </t>
  </si>
  <si>
    <t>SDG 1 Proportion of population living in HHs with access to basic service</t>
  </si>
  <si>
    <t>Paccess</t>
  </si>
  <si>
    <t>Average</t>
  </si>
  <si>
    <t>SDG 5 Total reduction time spent collecting water for project activity in year y (proportion)</t>
  </si>
  <si>
    <r>
      <t>TR</t>
    </r>
    <r>
      <rPr>
        <b/>
        <vertAlign val="subscript"/>
        <sz val="10"/>
        <color theme="1"/>
        <rFont val="Arial"/>
        <family val="2"/>
        <scheme val="minor"/>
      </rPr>
      <t>y</t>
    </r>
  </si>
  <si>
    <t>SDG 7 Total No of households with access to Safe Water from a clean treatment technology</t>
  </si>
  <si>
    <t>SDG 15 Total non-renewable firewood saved (tons)</t>
  </si>
  <si>
    <t>Total non-renewable firewood saved (tons) in the project scenario</t>
  </si>
  <si>
    <t>Baseline non-renewable firewood usage (tonnes/year)</t>
  </si>
  <si>
    <t>Project non-renewable firewood usage</t>
  </si>
  <si>
    <t>Baseline Emissions (BEy)</t>
  </si>
  <si>
    <t xml:space="preserve">Project Inputs </t>
  </si>
  <si>
    <t>BEy = EFb x (1 - Cb - Xcleanboil,y) x Qy x Mq,y</t>
  </si>
  <si>
    <t xml:space="preserve">Number of Systems </t>
  </si>
  <si>
    <t>=</t>
  </si>
  <si>
    <r>
      <t>Baseline emissions from the use of fuel to obtain safe water in the baseline (tCO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e)</t>
    </r>
  </si>
  <si>
    <t>Calculated</t>
  </si>
  <si>
    <t>Number of Users/System</t>
  </si>
  <si>
    <t>Proportion of project households who in the baseline were already using a safe water supply that did not require boiling it (%)</t>
  </si>
  <si>
    <t>Baseline</t>
  </si>
  <si>
    <t>Average L/day/System</t>
  </si>
  <si>
    <t>Value taken from sum of pump capacities divided by number of water points. Meter data used during verification</t>
  </si>
  <si>
    <r>
      <t xml:space="preserve">Proportion of project households that boil safe water in the project year </t>
    </r>
    <r>
      <rPr>
        <i/>
        <sz val="12"/>
        <color theme="1"/>
        <rFont val="Calibri"/>
        <family val="2"/>
      </rPr>
      <t xml:space="preserve">y </t>
    </r>
    <r>
      <rPr>
        <sz val="12"/>
        <color theme="1"/>
        <rFont val="Calibri"/>
        <family val="2"/>
      </rPr>
      <t>(%)</t>
    </r>
  </si>
  <si>
    <t>Estimated</t>
  </si>
  <si>
    <t xml:space="preserve">HH Size </t>
  </si>
  <si>
    <t>HNp,y</t>
  </si>
  <si>
    <t>Baseline Survey</t>
  </si>
  <si>
    <r>
      <t xml:space="preserve">Quantity of safe drinking water provided by the project in year </t>
    </r>
    <r>
      <rPr>
        <i/>
        <sz val="12"/>
        <color theme="1"/>
        <rFont val="Calibri"/>
        <family val="2"/>
      </rPr>
      <t>y</t>
    </r>
    <r>
      <rPr>
        <sz val="12"/>
        <color theme="1"/>
        <rFont val="Calibri"/>
        <family val="2"/>
      </rPr>
      <t xml:space="preserve"> (L)</t>
    </r>
  </si>
  <si>
    <t>Number of HH</t>
  </si>
  <si>
    <t>HHpy</t>
  </si>
  <si>
    <t>Current average of HHs per WP, times by proportion of premises that use for at least every 2 days</t>
  </si>
  <si>
    <r>
      <t xml:space="preserve">Modifier for the water quality in year </t>
    </r>
    <r>
      <rPr>
        <i/>
        <sz val="12"/>
        <color theme="1"/>
        <rFont val="Calibri"/>
        <family val="2"/>
      </rPr>
      <t>y</t>
    </r>
  </si>
  <si>
    <t>Project Assumptions</t>
  </si>
  <si>
    <t>EFb = SEw,b,y x ∑f (xf x EFb,f,co2 x fnrb,f,y + EFb,f,nonCO2) / 10^9</t>
  </si>
  <si>
    <r>
      <t>Emission factor for the use of fuel to obtain safe water in the baseline (tCO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e/L)</t>
    </r>
  </si>
  <si>
    <t>Cb - baseline access to safe water</t>
  </si>
  <si>
    <t>Specific energy required to boil water (kJ/L), to be calculated as per the paragraph below</t>
  </si>
  <si>
    <t>Mq,y - water quality modifier</t>
  </si>
  <si>
    <t>Estimate (min. requirement from year 3)</t>
  </si>
  <si>
    <t>Proportion of wood fuel used in the baseline (fraction)</t>
  </si>
  <si>
    <t>fNRB</t>
  </si>
  <si>
    <t>Calculated using TOOL30</t>
  </si>
  <si>
    <t>Proportion of charcoal fuel used in the baseline (fraction)</t>
  </si>
  <si>
    <t xml:space="preserve">f - index for wood fuel </t>
  </si>
  <si>
    <r>
      <t>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emission factor from use of wood fuel (tCO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/TJ)</t>
    </r>
  </si>
  <si>
    <t>IPCC Default</t>
  </si>
  <si>
    <t xml:space="preserve">f - index for charcoal fuel </t>
  </si>
  <si>
    <r>
      <t>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emission factor from use of charcoal fuel (tCO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/TJ)</t>
    </r>
  </si>
  <si>
    <t>Functionality</t>
  </si>
  <si>
    <r>
      <t>Non-CO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emission factor arising from use of wood fuel, when the baseline fuel </t>
    </r>
    <r>
      <rPr>
        <i/>
        <sz val="12"/>
        <color theme="1"/>
        <rFont val="Calibri"/>
        <family val="2"/>
      </rPr>
      <t>f</t>
    </r>
    <r>
      <rPr>
        <sz val="12"/>
        <color theme="1"/>
        <rFont val="Calibri"/>
        <family val="2"/>
      </rPr>
      <t xml:space="preserve"> is biomass or charcoal (tCO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e/TJ). This parameter is omitted when </t>
    </r>
    <r>
      <rPr>
        <i/>
        <sz val="12"/>
        <color theme="1"/>
        <rFont val="Calibri"/>
        <family val="2"/>
      </rPr>
      <t>f</t>
    </r>
    <r>
      <rPr>
        <sz val="12"/>
        <color theme="1"/>
        <rFont val="Calibri"/>
        <family val="2"/>
      </rPr>
      <t xml:space="preserve"> is a fossil fuel.</t>
    </r>
  </si>
  <si>
    <t>nwb - 3SF</t>
  </si>
  <si>
    <r>
      <t>Non-CO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emission factor arising from use of charcoal fuel, when the baseline fuel </t>
    </r>
    <r>
      <rPr>
        <i/>
        <sz val="12"/>
        <color theme="1"/>
        <rFont val="Calibri"/>
        <family val="2"/>
      </rPr>
      <t>f</t>
    </r>
    <r>
      <rPr>
        <sz val="12"/>
        <color theme="1"/>
        <rFont val="Calibri"/>
        <family val="2"/>
      </rPr>
      <t xml:space="preserve"> is biomass or charcoal (tCO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e/TJ). This parameter is omitted when </t>
    </r>
    <r>
      <rPr>
        <i/>
        <sz val="12"/>
        <color theme="1"/>
        <rFont val="Calibri"/>
        <family val="2"/>
      </rPr>
      <t>f</t>
    </r>
    <r>
      <rPr>
        <sz val="12"/>
        <color theme="1"/>
        <rFont val="Calibri"/>
        <family val="2"/>
      </rPr>
      <t xml:space="preserve"> is a fossil fuel.</t>
    </r>
  </si>
  <si>
    <t>nwb - ICS</t>
  </si>
  <si>
    <r>
      <t xml:space="preserve">Fractional non-renewability status of woody biomass fuel during year </t>
    </r>
    <r>
      <rPr>
        <i/>
        <sz val="12"/>
        <color theme="1"/>
        <rFont val="Calibri"/>
        <family val="2"/>
      </rPr>
      <t>y</t>
    </r>
    <r>
      <rPr>
        <sz val="12"/>
        <color theme="1"/>
        <rFont val="Calibri"/>
        <family val="2"/>
      </rPr>
      <t xml:space="preserve"> (fraction). For biomass, it is the fraction of woody biomass that can be established as non-renewable. This parameter is omitted when </t>
    </r>
    <r>
      <rPr>
        <i/>
        <sz val="12"/>
        <color theme="1"/>
        <rFont val="Calibri"/>
        <family val="2"/>
      </rPr>
      <t>f</t>
    </r>
    <r>
      <rPr>
        <sz val="12"/>
        <color theme="1"/>
        <rFont val="Calibri"/>
        <family val="2"/>
      </rPr>
      <t xml:space="preserve"> is a fossil fuel.</t>
    </r>
  </si>
  <si>
    <t>fNRB calculation</t>
  </si>
  <si>
    <t>CCs per person</t>
  </si>
  <si>
    <t>f</t>
  </si>
  <si>
    <t>Index for baseline wood fuel</t>
  </si>
  <si>
    <t>Index for baseline charcoal fuel</t>
  </si>
  <si>
    <t>SEw,b,y = 360.83/nwb</t>
  </si>
  <si>
    <t>Default amount of energy required to boil 1 L of water from a first principles approach[1]</t>
  </si>
  <si>
    <t>Methodological Default</t>
  </si>
  <si>
    <t>3SF - Efficiency of the baseline water boiling (%). Weighted average of baseline stove types.</t>
  </si>
  <si>
    <t>ICS - Efficiency of the baseline water boiling (%). Weighted average of baseline stove types.</t>
  </si>
  <si>
    <t>Weighted efficiency</t>
  </si>
  <si>
    <t>Qy = min (Qm,y, Qpop,y)</t>
  </si>
  <si>
    <r>
      <t xml:space="preserve">Monitored quantity of safe water provided by the project in year </t>
    </r>
    <r>
      <rPr>
        <i/>
        <sz val="12"/>
        <color theme="1"/>
        <rFont val="Calibri"/>
        <family val="2"/>
      </rPr>
      <t>y</t>
    </r>
    <r>
      <rPr>
        <sz val="12"/>
        <color theme="1"/>
        <rFont val="Calibri"/>
        <family val="2"/>
      </rPr>
      <t xml:space="preserve"> (L). </t>
    </r>
    <r>
      <rPr>
        <sz val="8"/>
        <color theme="1"/>
        <rFont val="Calibri"/>
        <family val="2"/>
      </rPr>
      <t> </t>
    </r>
  </si>
  <si>
    <t>Measured</t>
  </si>
  <si>
    <r>
      <t xml:space="preserve">Quantity of safe drinking water that could be consumed by project households in year </t>
    </r>
    <r>
      <rPr>
        <i/>
        <sz val="12"/>
        <color theme="1"/>
        <rFont val="Calibri"/>
        <family val="2"/>
      </rPr>
      <t>y</t>
    </r>
    <r>
      <rPr>
        <sz val="12"/>
        <color theme="1"/>
        <rFont val="Calibri"/>
        <family val="2"/>
      </rPr>
      <t xml:space="preserve"> (L)</t>
    </r>
  </si>
  <si>
    <t>Qpop,y = ∑p HHp,y x HNp,y x QPWp x DOp,y</t>
  </si>
  <si>
    <r>
      <t xml:space="preserve">Number of premises type p served by the project in year </t>
    </r>
    <r>
      <rPr>
        <i/>
        <sz val="12"/>
        <color theme="1"/>
        <rFont val="Calibri"/>
        <family val="2"/>
      </rPr>
      <t>y</t>
    </r>
  </si>
  <si>
    <t xml:space="preserve">Number of individuals per premises type p in year y </t>
  </si>
  <si>
    <r>
      <t>Volume of drinking water per person per day for premises type p (L)</t>
    </r>
    <r>
      <rPr>
        <sz val="8"/>
        <color theme="1"/>
        <rFont val="Calibri"/>
        <family val="2"/>
      </rPr>
      <t> </t>
    </r>
    <r>
      <rPr>
        <sz val="12"/>
        <color theme="1"/>
        <rFont val="Calibri"/>
        <family val="2"/>
      </rPr>
      <t xml:space="preserve">. Apply the default value or monitored value through water consumption field tests in the project scenario, capped at 5.5L per person per day </t>
    </r>
  </si>
  <si>
    <t>Methodogical Default</t>
  </si>
  <si>
    <r>
      <t xml:space="preserve">Days the project technology is operational in year </t>
    </r>
    <r>
      <rPr>
        <i/>
        <sz val="12"/>
        <color theme="1"/>
        <rFont val="Calibri"/>
        <family val="2"/>
      </rPr>
      <t>y</t>
    </r>
  </si>
  <si>
    <t>Project Emissions (PEy)</t>
  </si>
  <si>
    <t>PEy = PEff,p,y + PEec,p,y</t>
  </si>
  <si>
    <r>
      <t xml:space="preserve">Project emissions in year </t>
    </r>
    <r>
      <rPr>
        <i/>
        <sz val="12"/>
        <color theme="1"/>
        <rFont val="Calibri"/>
        <family val="2"/>
      </rPr>
      <t>y</t>
    </r>
    <r>
      <rPr>
        <sz val="12"/>
        <color theme="1"/>
        <rFont val="Calibri"/>
        <family val="2"/>
      </rPr>
      <t xml:space="preserve"> (tCO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)</t>
    </r>
  </si>
  <si>
    <r>
      <t xml:space="preserve">Project emissions from fossil fuel use in year </t>
    </r>
    <r>
      <rPr>
        <i/>
        <sz val="12"/>
        <color theme="1"/>
        <rFont val="Calibri"/>
        <family val="2"/>
      </rPr>
      <t>y</t>
    </r>
    <r>
      <rPr>
        <sz val="12"/>
        <color theme="1"/>
        <rFont val="Calibri"/>
        <family val="2"/>
      </rPr>
      <t xml:space="preserve"> (tCO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)</t>
    </r>
  </si>
  <si>
    <r>
      <t xml:space="preserve">Project emissions from electricity use in year </t>
    </r>
    <r>
      <rPr>
        <i/>
        <sz val="12"/>
        <color theme="1"/>
        <rFont val="Calibri"/>
        <family val="2"/>
      </rPr>
      <t>y</t>
    </r>
    <r>
      <rPr>
        <sz val="12"/>
        <color theme="1"/>
        <rFont val="Calibri"/>
        <family val="2"/>
      </rPr>
      <t xml:space="preserve"> (tCO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)</t>
    </r>
  </si>
  <si>
    <t>PEff,p,y = ∑ Pp,f,y x NCVf x EFf</t>
  </si>
  <si>
    <r>
      <t xml:space="preserve">Quantity of fossil fuel </t>
    </r>
    <r>
      <rPr>
        <i/>
        <sz val="12"/>
        <color theme="1"/>
        <rFont val="Calibri"/>
        <family val="2"/>
      </rPr>
      <t>f</t>
    </r>
    <r>
      <rPr>
        <sz val="12"/>
        <color theme="1"/>
        <rFont val="Calibri"/>
        <family val="2"/>
      </rPr>
      <t xml:space="preserve"> that is consumed in the project during year </t>
    </r>
    <r>
      <rPr>
        <i/>
        <sz val="12"/>
        <color theme="1"/>
        <rFont val="Calibri"/>
        <family val="2"/>
      </rPr>
      <t>y</t>
    </r>
    <r>
      <rPr>
        <sz val="12"/>
        <color theme="1"/>
        <rFont val="Calibri"/>
        <family val="2"/>
      </rPr>
      <t xml:space="preserve"> (mass or volume units)</t>
    </r>
  </si>
  <si>
    <t>Net calorific value of wood (TJ/fuel units)</t>
  </si>
  <si>
    <t>Net calorific value of charcoal(TJ/fuel units)</t>
  </si>
  <si>
    <r>
      <t>Emission factor of wood (tCO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/TJ)</t>
    </r>
  </si>
  <si>
    <r>
      <t>Emission factor of charcoal (tCO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/TJ)</t>
    </r>
  </si>
  <si>
    <t>PEec,p,y = ∑ECp,y x EFec</t>
  </si>
  <si>
    <r>
      <t xml:space="preserve">Quantity of electricity that is used by the project during year </t>
    </r>
    <r>
      <rPr>
        <i/>
        <sz val="12"/>
        <color theme="1"/>
        <rFont val="Calibri"/>
        <family val="2"/>
      </rPr>
      <t>y</t>
    </r>
    <r>
      <rPr>
        <sz val="12"/>
        <color theme="1"/>
        <rFont val="Calibri"/>
        <family val="2"/>
      </rPr>
      <t xml:space="preserve"> (kWh)</t>
    </r>
  </si>
  <si>
    <r>
      <t>Emission factor associated with the electricity use (tCO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/kWh)</t>
    </r>
  </si>
  <si>
    <t xml:space="preserve">Methodological Default </t>
  </si>
  <si>
    <t>Transmission and distribution losses associated with the electricity use (%)</t>
  </si>
  <si>
    <t xml:space="preserve">Emission Reductions </t>
  </si>
  <si>
    <t>ERy = BEy - PEy * LEy</t>
  </si>
  <si>
    <t>LEy</t>
  </si>
  <si>
    <t>Leakage (default 95% fraction)</t>
  </si>
  <si>
    <t>Default</t>
  </si>
  <si>
    <t>Leakage (tCo2e)</t>
  </si>
  <si>
    <t>ERy</t>
  </si>
  <si>
    <t>Emission Reductions (rounded down)</t>
  </si>
  <si>
    <t>SDG 1</t>
  </si>
  <si>
    <t>Parameter</t>
  </si>
  <si>
    <t>Description</t>
  </si>
  <si>
    <t>Unit</t>
  </si>
  <si>
    <t>Value</t>
  </si>
  <si>
    <t>Baseline: Basic (Baselines survey)</t>
  </si>
  <si>
    <t>Drinking water from an improved source, provided collection time is not more than 30 minutes for a round trip, including queuing</t>
  </si>
  <si>
    <t>%</t>
  </si>
  <si>
    <t>Project: Basic (assumed in advance of project data)</t>
  </si>
  <si>
    <t>Project Survey</t>
  </si>
  <si>
    <t>Percentage of the population (additional persons) having access to basic/limited safe water in the project activity compared to the baseline scenario in year y</t>
  </si>
  <si>
    <t>SDG 5</t>
  </si>
  <si>
    <r>
      <t>T</t>
    </r>
    <r>
      <rPr>
        <vertAlign val="subscript"/>
        <sz val="9"/>
        <color theme="1"/>
        <rFont val="Arial"/>
        <family val="2"/>
        <scheme val="minor"/>
      </rPr>
      <t>b,y</t>
    </r>
    <r>
      <rPr>
        <sz val="9"/>
        <color theme="1"/>
        <rFont val="Arial"/>
        <family val="2"/>
        <scheme val="minor"/>
      </rPr>
      <t xml:space="preserve"> (Baseline Survey)</t>
    </r>
  </si>
  <si>
    <r>
      <t>T</t>
    </r>
    <r>
      <rPr>
        <vertAlign val="subscript"/>
        <sz val="9"/>
        <color theme="1"/>
        <rFont val="Arial"/>
        <family val="2"/>
        <scheme val="minor"/>
      </rPr>
      <t>b,y</t>
    </r>
    <r>
      <rPr>
        <sz val="9"/>
        <color theme="1"/>
        <rFont val="Arial"/>
        <family val="2"/>
        <scheme val="minor"/>
      </rPr>
      <t xml:space="preserve"> (Baseline Survey) - Time spent collecting water and fuel per household per day prior to project </t>
    </r>
  </si>
  <si>
    <t>Hours</t>
  </si>
  <si>
    <r>
      <t>T</t>
    </r>
    <r>
      <rPr>
        <vertAlign val="subscript"/>
        <sz val="9"/>
        <color theme="1"/>
        <rFont val="Arial"/>
        <family val="2"/>
        <scheme val="minor"/>
      </rPr>
      <t>p,y</t>
    </r>
    <r>
      <rPr>
        <sz val="9"/>
        <color theme="1"/>
        <rFont val="Arial"/>
        <family val="2"/>
        <scheme val="minor"/>
      </rPr>
      <t xml:space="preserve"> (estimated time reduction in project)</t>
    </r>
  </si>
  <si>
    <r>
      <t>T</t>
    </r>
    <r>
      <rPr>
        <vertAlign val="subscript"/>
        <sz val="9"/>
        <color theme="1"/>
        <rFont val="Arial"/>
        <family val="2"/>
        <scheme val="minor"/>
      </rPr>
      <t>p,y</t>
    </r>
    <r>
      <rPr>
        <sz val="9"/>
        <color theme="1"/>
        <rFont val="Arial"/>
        <family val="2"/>
        <scheme val="minor"/>
      </rPr>
      <t xml:space="preserve"> (estimated time reduction in project) - Time spent collecting water and fuel per household per day in project </t>
    </r>
  </si>
  <si>
    <r>
      <t>TR</t>
    </r>
    <r>
      <rPr>
        <vertAlign val="subscript"/>
        <sz val="9"/>
        <color theme="1"/>
        <rFont val="Arial"/>
        <family val="2"/>
        <scheme val="minor"/>
      </rPr>
      <t>y</t>
    </r>
  </si>
  <si>
    <t>Percentage reduction in time spent collecting water for project activity in year y (proportion)</t>
  </si>
  <si>
    <t>Percentage</t>
  </si>
  <si>
    <t>SDG 7</t>
  </si>
  <si>
    <t>HHp,y</t>
  </si>
  <si>
    <t>Households</t>
  </si>
  <si>
    <t>User List</t>
  </si>
  <si>
    <t>Cb</t>
  </si>
  <si>
    <t>Expressed as a percentage, proportion of project end-users who in the baseline were already using a safe water supply that did not require boiling</t>
  </si>
  <si>
    <r>
      <t>U</t>
    </r>
    <r>
      <rPr>
        <vertAlign val="subscript"/>
        <sz val="9"/>
        <color theme="1"/>
        <rFont val="Arial"/>
        <family val="2"/>
        <scheme val="minor"/>
      </rPr>
      <t>p,y</t>
    </r>
    <r>
      <rPr>
        <sz val="9"/>
        <color theme="1"/>
        <rFont val="Arial"/>
        <family val="2"/>
        <scheme val="minor"/>
      </rPr>
      <t xml:space="preserve"> (estimated usage rate)</t>
    </r>
  </si>
  <si>
    <t>Usage rate in project scenario p during year y</t>
  </si>
  <si>
    <t>Usage Survey</t>
  </si>
  <si>
    <t>SDG 13</t>
  </si>
  <si>
    <t>tCO2e</t>
  </si>
  <si>
    <t>tCO2 VERs</t>
  </si>
  <si>
    <t>SDG 15</t>
  </si>
  <si>
    <t>Where Wb,y: SEw,b,y/NCVwood</t>
  </si>
  <si>
    <t>NCVwood</t>
  </si>
  <si>
    <t>TJ/ton</t>
  </si>
  <si>
    <t>IPCC Default NCV for Wood</t>
  </si>
  <si>
    <t>Np,y</t>
  </si>
  <si>
    <t>People</t>
  </si>
  <si>
    <t>Estimated ex-ante</t>
  </si>
  <si>
    <t>KJ/kg</t>
  </si>
  <si>
    <t>QPw,p</t>
  </si>
  <si>
    <t>Quantity of safe water supplied in the project scenario p during year y, using the “zero or low” emissions’ clean water supply technology</t>
  </si>
  <si>
    <t>Litres</t>
  </si>
  <si>
    <t>NCVcharcoal</t>
  </si>
  <si>
    <t>IPCC Default NCV for Charcoal</t>
  </si>
  <si>
    <t>Wb,y</t>
  </si>
  <si>
    <t>Average firewood usage (tonnes) for boiling 1 liter of water</t>
  </si>
  <si>
    <t>Tonnes/L</t>
  </si>
  <si>
    <t>NCVweighted</t>
  </si>
  <si>
    <t>Pb,y</t>
  </si>
  <si>
    <t>Quantity of fuel that is consumed in the baseline scenario b during year y (kg/person-day)</t>
  </si>
  <si>
    <t>Tonnes/pp-day</t>
  </si>
  <si>
    <t>KJ/L</t>
  </si>
  <si>
    <t>Default amount of energy required to obtain 1 L of water after 5 minutes of boiling from a first principles
approach</t>
  </si>
  <si>
    <t>DOp,y</t>
  </si>
  <si>
    <t>Days the project technology is operational for end-users in premises p in year y</t>
  </si>
  <si>
    <t>SEw,b,y</t>
  </si>
  <si>
    <t>Specific energy required to boil water (kJ/L), based on baseline fuel/technology use</t>
  </si>
  <si>
    <t>Up,y</t>
  </si>
  <si>
    <t>kg/L</t>
  </si>
  <si>
    <t>Quantity of wood fuel or fossil fuel required to boil 1 litre of water using technologies representative of baseline scenario b during year y</t>
  </si>
  <si>
    <r>
      <t xml:space="preserve">Fractional non-renewability status of woody biomass fuel during year </t>
    </r>
    <r>
      <rPr>
        <i/>
        <sz val="9"/>
        <color theme="1"/>
        <rFont val="Arial"/>
        <family val="2"/>
        <scheme val="minor"/>
      </rPr>
      <t>y</t>
    </r>
    <r>
      <rPr>
        <sz val="9"/>
        <color theme="1"/>
        <rFont val="Arial"/>
        <family val="2"/>
        <scheme val="minor"/>
      </rPr>
      <t xml:space="preserve"> (fraction). For biomass, it is the fraction of woody biomass that can be established as non-renewable. This parameter is omitted when </t>
    </r>
    <r>
      <rPr>
        <i/>
        <sz val="9"/>
        <color theme="1"/>
        <rFont val="Arial"/>
        <family val="2"/>
        <scheme val="minor"/>
      </rPr>
      <t>f</t>
    </r>
    <r>
      <rPr>
        <sz val="9"/>
        <color theme="1"/>
        <rFont val="Arial"/>
        <family val="2"/>
        <scheme val="minor"/>
      </rPr>
      <t xml:space="preserve"> is a fossil fuel.</t>
    </r>
  </si>
  <si>
    <t>Wb,n</t>
  </si>
  <si>
    <t>Baseline average firewood usage for boiling water (tonnes)</t>
  </si>
  <si>
    <t>Tonnes/year</t>
  </si>
  <si>
    <t>Wb, NRB</t>
  </si>
  <si>
    <t>Wp,n</t>
  </si>
  <si>
    <t>Tonnes of firewood per year saved through the project (total users)</t>
  </si>
  <si>
    <t>Tonnes</t>
  </si>
  <si>
    <t>Wp, NRB</t>
  </si>
  <si>
    <t>Total non-renewable firewood saved (tonnes) in the project scenario in year y per water point</t>
  </si>
  <si>
    <t>Total non-renewable firewood saved (tonnes) in the project scenario in year y per VPA</t>
  </si>
  <si>
    <t>Tonnes of Carbon Dioxide equivalent  in year y per water point</t>
  </si>
  <si>
    <t>Total number of project households provided access to safe water in year y per water point</t>
  </si>
  <si>
    <t>Total number of project households provided access to safe water in year y per VPA</t>
  </si>
  <si>
    <t>Hhaccess per Project</t>
  </si>
  <si>
    <t>ERs per year per project</t>
  </si>
  <si>
    <t>Capped ERs per year per VPA</t>
  </si>
  <si>
    <t xml:space="preserve">Capped ERs per year </t>
  </si>
  <si>
    <t>Number of People served by the project in year y per water point</t>
  </si>
  <si>
    <t>Current average recorded in CP1 data</t>
  </si>
  <si>
    <t xml:space="preserve">                                       </t>
  </si>
  <si>
    <t>Average number of project households provided access to safe water in year y per VPA</t>
  </si>
  <si>
    <t>Total Tonnes of Carbon Dioxide equivalent  in year y per VPA</t>
  </si>
  <si>
    <t>Average Tonnes of Carbon Dioxide equivalent  in year y per VPA</t>
  </si>
  <si>
    <t>ERs per year per VPA</t>
  </si>
  <si>
    <t>Average non-renewable firewood saved (tonnes) in the project scenario in year y per VPA</t>
  </si>
  <si>
    <t>Hhaccess per VPA</t>
  </si>
  <si>
    <t>HHaccess</t>
  </si>
  <si>
    <t>Average Number of People served by the project in year y per VPA</t>
  </si>
  <si>
    <t>Number of households with access to safe water from a clean treatment technology in the project scenario per water point</t>
  </si>
  <si>
    <t>Average number of households with access to safe water from a clean treatment technology in the project scenario per VPA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</si>
</sst>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0.0%"/>
    <numFmt numFmtId="165" formatCode="_-* #,##0_-;\-* #,##0_-;_-* &quot;-&quot;??_-;_-@_-"/>
    <numFmt numFmtId="166" formatCode="_-* #,##0.00000_-;\-* #,##0.00000_-;_-* &quot;-&quot;??_-;_-@_-"/>
    <numFmt numFmtId="167" formatCode="_-* #,##0.000000_-;\-* #,##0.000000_-;_-* &quot;-&quot;??_-;_-@_-"/>
    <numFmt numFmtId="168" formatCode="0.0000"/>
    <numFmt numFmtId="169" formatCode="#,##0.0000"/>
    <numFmt numFmtId="170" formatCode="0.00000"/>
    <numFmt numFmtId="171" formatCode="0.0000000"/>
    <numFmt numFmtId="172" formatCode="0.0"/>
    <numFmt numFmtId="173" formatCode="#,##0.00000"/>
  </numFmts>
  <fonts count="25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i/>
      <sz val="12"/>
      <color theme="1"/>
      <name val="Calibri"/>
      <family val="2"/>
    </font>
    <font>
      <sz val="10"/>
      <color rgb="FF000000"/>
      <name val="Calibri"/>
      <family val="2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b/>
      <u/>
      <sz val="12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0"/>
      <color rgb="FF000000"/>
      <name val="Arial"/>
      <family val="2"/>
      <scheme val="minor"/>
    </font>
    <font>
      <sz val="9"/>
      <color theme="1"/>
      <name val="Arial"/>
      <family val="2"/>
      <scheme val="minor"/>
    </font>
    <font>
      <vertAlign val="subscript"/>
      <sz val="9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i/>
      <sz val="9"/>
      <color theme="1"/>
      <name val="Arial"/>
      <family val="2"/>
      <scheme val="minor"/>
    </font>
    <font>
      <sz val="8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vertAlign val="subscript"/>
      <sz val="10"/>
      <color theme="1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6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</cellStyleXfs>
  <cellXfs count="200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vertical="center"/>
    </xf>
    <xf numFmtId="0" fontId="5" fillId="0" borderId="1" xfId="1" applyFont="1" applyBorder="1"/>
    <xf numFmtId="0" fontId="6" fillId="0" borderId="1" xfId="1" applyFont="1" applyBorder="1" applyAlignment="1">
      <alignment vertical="top" wrapText="1"/>
    </xf>
    <xf numFmtId="0" fontId="6" fillId="0" borderId="1" xfId="1" applyFont="1" applyBorder="1" applyAlignment="1">
      <alignment vertical="center" wrapText="1"/>
    </xf>
    <xf numFmtId="43" fontId="5" fillId="0" borderId="0" xfId="1" applyNumberFormat="1" applyFont="1"/>
    <xf numFmtId="0" fontId="8" fillId="0" borderId="1" xfId="1" applyFont="1" applyBorder="1" applyAlignment="1">
      <alignment horizontal="center" vertical="center" wrapText="1"/>
    </xf>
    <xf numFmtId="165" fontId="5" fillId="0" borderId="0" xfId="1" applyNumberFormat="1" applyFont="1"/>
    <xf numFmtId="2" fontId="5" fillId="0" borderId="0" xfId="1" applyNumberFormat="1" applyFont="1"/>
    <xf numFmtId="166" fontId="5" fillId="0" borderId="0" xfId="1" applyNumberFormat="1" applyFont="1"/>
    <xf numFmtId="167" fontId="5" fillId="0" borderId="0" xfId="1" applyNumberFormat="1" applyFont="1"/>
    <xf numFmtId="0" fontId="5" fillId="0" borderId="0" xfId="1" applyFont="1" applyAlignment="1">
      <alignment vertical="center"/>
    </xf>
    <xf numFmtId="0" fontId="9" fillId="0" borderId="0" xfId="0" applyFont="1"/>
    <xf numFmtId="0" fontId="12" fillId="0" borderId="0" xfId="1" applyFont="1" applyAlignment="1">
      <alignment vertical="center"/>
    </xf>
    <xf numFmtId="2" fontId="8" fillId="0" borderId="1" xfId="1" applyNumberFormat="1" applyFont="1" applyBorder="1" applyAlignment="1">
      <alignment horizontal="center" vertical="center" wrapText="1"/>
    </xf>
    <xf numFmtId="0" fontId="10" fillId="0" borderId="1" xfId="3" applyFont="1" applyBorder="1" applyAlignment="1">
      <alignment vertical="center" wrapText="1"/>
    </xf>
    <xf numFmtId="2" fontId="5" fillId="0" borderId="1" xfId="1" applyNumberFormat="1" applyFont="1" applyBorder="1"/>
    <xf numFmtId="165" fontId="5" fillId="0" borderId="1" xfId="1" applyNumberFormat="1" applyFont="1" applyBorder="1"/>
    <xf numFmtId="0" fontId="6" fillId="0" borderId="1" xfId="1" applyFont="1" applyBorder="1" applyAlignment="1">
      <alignment vertical="center"/>
    </xf>
    <xf numFmtId="0" fontId="5" fillId="0" borderId="0" xfId="1" applyFont="1" applyAlignment="1">
      <alignment vertical="center" textRotation="90"/>
    </xf>
    <xf numFmtId="0" fontId="8" fillId="0" borderId="1" xfId="1" applyFont="1" applyBorder="1" applyAlignment="1">
      <alignment vertical="top" wrapText="1"/>
    </xf>
    <xf numFmtId="1" fontId="5" fillId="0" borderId="0" xfId="1" applyNumberFormat="1" applyFont="1"/>
    <xf numFmtId="3" fontId="5" fillId="0" borderId="0" xfId="1" applyNumberFormat="1" applyFont="1"/>
    <xf numFmtId="0" fontId="13" fillId="8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6" fillId="0" borderId="0" xfId="1" applyFont="1" applyAlignment="1">
      <alignment vertical="top" wrapText="1"/>
    </xf>
    <xf numFmtId="0" fontId="6" fillId="0" borderId="0" xfId="1" applyFont="1" applyAlignment="1">
      <alignment vertical="center" wrapText="1"/>
    </xf>
    <xf numFmtId="0" fontId="16" fillId="0" borderId="0" xfId="7" applyFont="1"/>
    <xf numFmtId="0" fontId="16" fillId="0" borderId="0" xfId="7" applyFont="1" applyAlignment="1">
      <alignment wrapText="1"/>
    </xf>
    <xf numFmtId="0" fontId="16" fillId="0" borderId="6" xfId="7" applyFont="1" applyBorder="1"/>
    <xf numFmtId="2" fontId="16" fillId="0" borderId="0" xfId="7" applyNumberFormat="1" applyFont="1"/>
    <xf numFmtId="0" fontId="16" fillId="11" borderId="8" xfId="7" applyFont="1" applyFill="1" applyBorder="1" applyAlignment="1">
      <alignment horizontal="left"/>
    </xf>
    <xf numFmtId="0" fontId="16" fillId="11" borderId="9" xfId="10" applyFont="1" applyFill="1" applyBorder="1"/>
    <xf numFmtId="0" fontId="16" fillId="11" borderId="10" xfId="10" applyFont="1" applyFill="1" applyBorder="1"/>
    <xf numFmtId="0" fontId="16" fillId="0" borderId="8" xfId="7" applyFont="1" applyBorder="1"/>
    <xf numFmtId="169" fontId="16" fillId="0" borderId="9" xfId="7" applyNumberFormat="1" applyFont="1" applyBorder="1"/>
    <xf numFmtId="0" fontId="16" fillId="0" borderId="9" xfId="7" applyFont="1" applyBorder="1" applyAlignment="1">
      <alignment wrapText="1"/>
    </xf>
    <xf numFmtId="0" fontId="16" fillId="0" borderId="10" xfId="7" applyFont="1" applyBorder="1" applyAlignment="1">
      <alignment vertical="top" wrapText="1"/>
    </xf>
    <xf numFmtId="0" fontId="16" fillId="0" borderId="7" xfId="7" applyFont="1" applyBorder="1" applyAlignment="1">
      <alignment vertical="top" wrapText="1"/>
    </xf>
    <xf numFmtId="0" fontId="16" fillId="0" borderId="11" xfId="7" applyFont="1" applyBorder="1"/>
    <xf numFmtId="4" fontId="16" fillId="0" borderId="12" xfId="7" applyNumberFormat="1" applyFont="1" applyBorder="1"/>
    <xf numFmtId="0" fontId="16" fillId="0" borderId="12" xfId="7" applyFont="1" applyBorder="1" applyAlignment="1">
      <alignment wrapText="1"/>
    </xf>
    <xf numFmtId="0" fontId="16" fillId="0" borderId="13" xfId="7" applyFont="1" applyBorder="1" applyAlignment="1">
      <alignment vertical="top" wrapText="1"/>
    </xf>
    <xf numFmtId="1" fontId="16" fillId="0" borderId="0" xfId="7" applyNumberFormat="1" applyFont="1"/>
    <xf numFmtId="0" fontId="0" fillId="0" borderId="15" xfId="0" applyBorder="1"/>
    <xf numFmtId="0" fontId="0" fillId="0" borderId="16" xfId="0" applyBorder="1"/>
    <xf numFmtId="0" fontId="0" fillId="0" borderId="14" xfId="0" applyBorder="1"/>
    <xf numFmtId="165" fontId="0" fillId="0" borderId="0" xfId="5" applyNumberFormat="1" applyFont="1" applyBorder="1"/>
    <xf numFmtId="0" fontId="6" fillId="0" borderId="2" xfId="1" applyFont="1" applyBorder="1" applyAlignment="1">
      <alignment vertical="center" wrapText="1"/>
    </xf>
    <xf numFmtId="0" fontId="5" fillId="0" borderId="3" xfId="1" applyFont="1" applyBorder="1"/>
    <xf numFmtId="0" fontId="6" fillId="0" borderId="5" xfId="1" applyFont="1" applyBorder="1" applyAlignment="1">
      <alignment vertical="center" wrapText="1"/>
    </xf>
    <xf numFmtId="0" fontId="21" fillId="13" borderId="17" xfId="0" applyFont="1" applyFill="1" applyBorder="1"/>
    <xf numFmtId="0" fontId="21" fillId="13" borderId="18" xfId="0" applyFont="1" applyFill="1" applyBorder="1" applyAlignment="1">
      <alignment wrapText="1"/>
    </xf>
    <xf numFmtId="1" fontId="4" fillId="0" borderId="0" xfId="0" applyNumberFormat="1" applyFont="1" applyAlignment="1">
      <alignment horizontal="center"/>
    </xf>
    <xf numFmtId="164" fontId="0" fillId="0" borderId="19" xfId="6" applyNumberFormat="1" applyFont="1" applyBorder="1"/>
    <xf numFmtId="164" fontId="0" fillId="0" borderId="20" xfId="6" applyNumberFormat="1" applyFont="1" applyBorder="1"/>
    <xf numFmtId="0" fontId="23" fillId="13" borderId="21" xfId="7" applyFont="1" applyFill="1" applyBorder="1" applyAlignment="1">
      <alignment wrapText="1"/>
    </xf>
    <xf numFmtId="171" fontId="5" fillId="0" borderId="1" xfId="1" applyNumberFormat="1" applyFont="1" applyBorder="1"/>
    <xf numFmtId="4" fontId="16" fillId="0" borderId="0" xfId="7" applyNumberFormat="1" applyFont="1"/>
    <xf numFmtId="0" fontId="16" fillId="0" borderId="7" xfId="7" applyFont="1" applyBorder="1"/>
    <xf numFmtId="43" fontId="5" fillId="0" borderId="1" xfId="1" applyNumberFormat="1" applyFont="1" applyBorder="1"/>
    <xf numFmtId="164" fontId="5" fillId="0" borderId="1" xfId="1" applyNumberFormat="1" applyFont="1" applyBorder="1"/>
    <xf numFmtId="9" fontId="5" fillId="0" borderId="1" xfId="1" applyNumberFormat="1" applyFont="1" applyBorder="1"/>
    <xf numFmtId="10" fontId="5" fillId="0" borderId="1" xfId="1" applyNumberFormat="1" applyFont="1" applyBorder="1"/>
    <xf numFmtId="168" fontId="5" fillId="0" borderId="1" xfId="1" applyNumberFormat="1" applyFont="1" applyBorder="1"/>
    <xf numFmtId="172" fontId="5" fillId="0" borderId="1" xfId="1" applyNumberFormat="1" applyFont="1" applyBorder="1"/>
    <xf numFmtId="0" fontId="0" fillId="0" borderId="22" xfId="0" applyBorder="1"/>
    <xf numFmtId="0" fontId="0" fillId="0" borderId="23" xfId="0" applyBorder="1"/>
    <xf numFmtId="165" fontId="0" fillId="0" borderId="14" xfId="5" applyNumberFormat="1" applyFont="1" applyBorder="1"/>
    <xf numFmtId="165" fontId="0" fillId="0" borderId="0" xfId="0" applyNumberFormat="1"/>
    <xf numFmtId="165" fontId="0" fillId="0" borderId="24" xfId="5" applyNumberFormat="1" applyFont="1" applyBorder="1"/>
    <xf numFmtId="165" fontId="0" fillId="0" borderId="19" xfId="5" applyNumberFormat="1" applyFont="1" applyBorder="1"/>
    <xf numFmtId="165" fontId="0" fillId="0" borderId="20" xfId="5" applyNumberFormat="1" applyFont="1" applyBorder="1"/>
    <xf numFmtId="10" fontId="5" fillId="14" borderId="1" xfId="1" applyNumberFormat="1" applyFont="1" applyFill="1" applyBorder="1"/>
    <xf numFmtId="0" fontId="5" fillId="14" borderId="1" xfId="1" applyFont="1" applyFill="1" applyBorder="1"/>
    <xf numFmtId="164" fontId="5" fillId="14" borderId="1" xfId="1" applyNumberFormat="1" applyFont="1" applyFill="1" applyBorder="1"/>
    <xf numFmtId="9" fontId="5" fillId="14" borderId="1" xfId="1" applyNumberFormat="1" applyFont="1" applyFill="1" applyBorder="1"/>
    <xf numFmtId="10" fontId="5" fillId="14" borderId="1" xfId="6" applyNumberFormat="1" applyFont="1" applyFill="1" applyBorder="1"/>
    <xf numFmtId="3" fontId="5" fillId="14" borderId="1" xfId="1" applyNumberFormat="1" applyFont="1" applyFill="1" applyBorder="1"/>
    <xf numFmtId="2" fontId="5" fillId="14" borderId="1" xfId="1" applyNumberFormat="1" applyFont="1" applyFill="1" applyBorder="1"/>
    <xf numFmtId="0" fontId="5" fillId="0" borderId="1" xfId="1" applyFont="1" applyBorder="1" applyAlignment="1">
      <alignment horizontal="center"/>
    </xf>
    <xf numFmtId="0" fontId="5" fillId="0" borderId="0" xfId="1" applyFont="1" applyAlignment="1">
      <alignment horizontal="center"/>
    </xf>
    <xf numFmtId="43" fontId="5" fillId="0" borderId="0" xfId="1" applyNumberFormat="1" applyFont="1" applyAlignment="1">
      <alignment horizontal="center"/>
    </xf>
    <xf numFmtId="165" fontId="5" fillId="0" borderId="0" xfId="1" applyNumberFormat="1" applyFont="1" applyAlignment="1">
      <alignment horizontal="center"/>
    </xf>
    <xf numFmtId="0" fontId="23" fillId="13" borderId="24" xfId="7" applyFont="1" applyFill="1" applyBorder="1" applyAlignment="1">
      <alignment wrapText="1"/>
    </xf>
    <xf numFmtId="165" fontId="5" fillId="14" borderId="1" xfId="5" applyNumberFormat="1" applyFont="1" applyFill="1" applyBorder="1"/>
    <xf numFmtId="165" fontId="5" fillId="0" borderId="1" xfId="5" applyNumberFormat="1" applyFont="1" applyBorder="1"/>
    <xf numFmtId="165" fontId="5" fillId="0" borderId="1" xfId="1" applyNumberFormat="1" applyFont="1" applyBorder="1" applyAlignment="1">
      <alignment horizontal="right"/>
    </xf>
    <xf numFmtId="0" fontId="5" fillId="0" borderId="1" xfId="1" applyFont="1" applyBorder="1" applyAlignment="1">
      <alignment horizontal="right"/>
    </xf>
    <xf numFmtId="165" fontId="14" fillId="10" borderId="1" xfId="1" applyNumberFormat="1" applyFont="1" applyFill="1" applyBorder="1" applyAlignment="1">
      <alignment horizontal="right"/>
    </xf>
    <xf numFmtId="43" fontId="16" fillId="0" borderId="0" xfId="7" applyNumberFormat="1" applyFont="1"/>
    <xf numFmtId="165" fontId="0" fillId="0" borderId="22" xfId="5" applyNumberFormat="1" applyFont="1" applyBorder="1"/>
    <xf numFmtId="165" fontId="0" fillId="0" borderId="24" xfId="0" applyNumberFormat="1" applyBorder="1"/>
    <xf numFmtId="165" fontId="0" fillId="0" borderId="15" xfId="5" applyNumberFormat="1" applyFont="1" applyBorder="1"/>
    <xf numFmtId="165" fontId="0" fillId="0" borderId="19" xfId="0" applyNumberFormat="1" applyBorder="1"/>
    <xf numFmtId="165" fontId="0" fillId="0" borderId="16" xfId="5" applyNumberFormat="1" applyFont="1" applyBorder="1"/>
    <xf numFmtId="165" fontId="0" fillId="0" borderId="20" xfId="0" applyNumberFormat="1" applyBorder="1"/>
    <xf numFmtId="0" fontId="16" fillId="0" borderId="0" xfId="7" applyFont="1" applyAlignment="1">
      <alignment vertical="center"/>
    </xf>
    <xf numFmtId="0" fontId="16" fillId="0" borderId="1" xfId="7" applyFont="1" applyBorder="1" applyAlignment="1">
      <alignment horizontal="center"/>
    </xf>
    <xf numFmtId="0" fontId="16" fillId="0" borderId="1" xfId="7" applyFont="1" applyBorder="1" applyAlignment="1">
      <alignment vertical="center" wrapText="1"/>
    </xf>
    <xf numFmtId="0" fontId="16" fillId="0" borderId="1" xfId="7" applyFont="1" applyBorder="1" applyAlignment="1">
      <alignment horizontal="center" vertical="center" wrapText="1"/>
    </xf>
    <xf numFmtId="164" fontId="16" fillId="0" borderId="1" xfId="7" applyNumberFormat="1" applyFont="1" applyBorder="1" applyAlignment="1">
      <alignment horizontal="center" vertical="center" wrapText="1"/>
    </xf>
    <xf numFmtId="0" fontId="16" fillId="0" borderId="1" xfId="7" applyFont="1" applyBorder="1" applyAlignment="1">
      <alignment horizontal="left" vertical="center" wrapText="1"/>
    </xf>
    <xf numFmtId="0" fontId="16" fillId="15" borderId="1" xfId="7" applyFont="1" applyFill="1" applyBorder="1" applyAlignment="1">
      <alignment horizontal="left" vertical="center"/>
    </xf>
    <xf numFmtId="0" fontId="16" fillId="15" borderId="1" xfId="7" applyFont="1" applyFill="1" applyBorder="1" applyAlignment="1">
      <alignment horizontal="center" vertical="center"/>
    </xf>
    <xf numFmtId="164" fontId="16" fillId="15" borderId="1" xfId="7" applyNumberFormat="1" applyFont="1" applyFill="1" applyBorder="1" applyAlignment="1">
      <alignment horizontal="center" vertical="center"/>
    </xf>
    <xf numFmtId="0" fontId="16" fillId="15" borderId="1" xfId="7" applyFont="1" applyFill="1" applyBorder="1" applyAlignment="1">
      <alignment vertical="center" wrapText="1"/>
    </xf>
    <xf numFmtId="0" fontId="16" fillId="0" borderId="1" xfId="7" applyFont="1" applyBorder="1" applyAlignment="1">
      <alignment horizontal="center" vertical="center"/>
    </xf>
    <xf numFmtId="0" fontId="16" fillId="0" borderId="1" xfId="7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2" fontId="16" fillId="0" borderId="1" xfId="7" applyNumberFormat="1" applyFont="1" applyBorder="1" applyAlignment="1">
      <alignment horizontal="center" vertical="center"/>
    </xf>
    <xf numFmtId="0" fontId="16" fillId="15" borderId="1" xfId="7" applyFont="1" applyFill="1" applyBorder="1" applyAlignment="1">
      <alignment horizontal="center" vertical="center" wrapText="1"/>
    </xf>
    <xf numFmtId="0" fontId="16" fillId="7" borderId="1" xfId="7" applyFont="1" applyFill="1" applyBorder="1" applyAlignment="1">
      <alignment vertical="center" wrapText="1"/>
    </xf>
    <xf numFmtId="10" fontId="16" fillId="0" borderId="1" xfId="6" applyNumberFormat="1" applyFont="1" applyBorder="1" applyAlignment="1">
      <alignment horizontal="center" vertical="center"/>
    </xf>
    <xf numFmtId="9" fontId="16" fillId="0" borderId="1" xfId="8" applyFont="1" applyBorder="1" applyAlignment="1">
      <alignment horizontal="center" vertical="center"/>
    </xf>
    <xf numFmtId="0" fontId="16" fillId="7" borderId="1" xfId="7" applyFont="1" applyFill="1" applyBorder="1" applyAlignment="1">
      <alignment horizontal="center" vertical="center" wrapText="1"/>
    </xf>
    <xf numFmtId="0" fontId="16" fillId="9" borderId="1" xfId="7" applyFont="1" applyFill="1" applyBorder="1" applyAlignment="1">
      <alignment vertical="center"/>
    </xf>
    <xf numFmtId="0" fontId="16" fillId="9" borderId="1" xfId="7" applyFont="1" applyFill="1" applyBorder="1" applyAlignment="1">
      <alignment vertical="center" wrapText="1"/>
    </xf>
    <xf numFmtId="0" fontId="16" fillId="9" borderId="1" xfId="7" applyFont="1" applyFill="1" applyBorder="1" applyAlignment="1">
      <alignment horizontal="center" vertical="center"/>
    </xf>
    <xf numFmtId="3" fontId="16" fillId="9" borderId="1" xfId="7" applyNumberFormat="1" applyFont="1" applyFill="1" applyBorder="1" applyAlignment="1">
      <alignment horizontal="center" vertical="center"/>
    </xf>
    <xf numFmtId="1" fontId="16" fillId="0" borderId="1" xfId="8" applyNumberFormat="1" applyFont="1" applyBorder="1" applyAlignment="1">
      <alignment horizontal="center" vertical="center"/>
    </xf>
    <xf numFmtId="170" fontId="16" fillId="0" borderId="1" xfId="7" applyNumberFormat="1" applyFont="1" applyBorder="1" applyAlignment="1">
      <alignment horizontal="center" vertical="center" wrapText="1"/>
    </xf>
    <xf numFmtId="173" fontId="16" fillId="0" borderId="1" xfId="7" applyNumberFormat="1" applyFont="1" applyBorder="1" applyAlignment="1">
      <alignment horizontal="center" vertical="center"/>
    </xf>
    <xf numFmtId="2" fontId="16" fillId="0" borderId="1" xfId="7" applyNumberFormat="1" applyFont="1" applyBorder="1" applyAlignment="1">
      <alignment horizontal="center" vertical="center" wrapText="1"/>
    </xf>
    <xf numFmtId="9" fontId="16" fillId="0" borderId="1" xfId="7" applyNumberFormat="1" applyFont="1" applyBorder="1" applyAlignment="1">
      <alignment horizontal="center" vertical="center" wrapText="1"/>
    </xf>
    <xf numFmtId="1" fontId="16" fillId="0" borderId="1" xfId="7" applyNumberFormat="1" applyFont="1" applyBorder="1" applyAlignment="1">
      <alignment horizontal="center" vertical="center" wrapText="1"/>
    </xf>
    <xf numFmtId="3" fontId="16" fillId="0" borderId="1" xfId="7" applyNumberFormat="1" applyFont="1" applyBorder="1" applyAlignment="1">
      <alignment horizontal="center" vertical="center" wrapText="1"/>
    </xf>
    <xf numFmtId="165" fontId="16" fillId="0" borderId="1" xfId="5" applyNumberFormat="1" applyFont="1" applyBorder="1" applyAlignment="1">
      <alignment horizontal="center" vertical="center" wrapText="1"/>
    </xf>
    <xf numFmtId="0" fontId="16" fillId="10" borderId="1" xfId="7" applyFont="1" applyFill="1" applyBorder="1" applyAlignment="1">
      <alignment horizontal="center" vertical="center" wrapText="1"/>
    </xf>
    <xf numFmtId="3" fontId="16" fillId="10" borderId="1" xfId="7" applyNumberFormat="1" applyFont="1" applyFill="1" applyBorder="1" applyAlignment="1">
      <alignment horizontal="center" vertical="center" wrapText="1"/>
    </xf>
    <xf numFmtId="0" fontId="21" fillId="0" borderId="22" xfId="0" applyFont="1" applyBorder="1"/>
    <xf numFmtId="165" fontId="0" fillId="0" borderId="23" xfId="5" applyNumberFormat="1" applyFont="1" applyBorder="1"/>
    <xf numFmtId="0" fontId="21" fillId="0" borderId="16" xfId="0" applyFont="1" applyBorder="1"/>
    <xf numFmtId="165" fontId="0" fillId="0" borderId="14" xfId="0" applyNumberFormat="1" applyBorder="1"/>
    <xf numFmtId="0" fontId="0" fillId="0" borderId="0" xfId="0" applyAlignment="1">
      <alignment vertical="center"/>
    </xf>
    <xf numFmtId="0" fontId="21" fillId="13" borderId="17" xfId="0" applyFont="1" applyFill="1" applyBorder="1" applyAlignment="1">
      <alignment vertical="center" wrapText="1"/>
    </xf>
    <xf numFmtId="0" fontId="21" fillId="13" borderId="18" xfId="0" applyFont="1" applyFill="1" applyBorder="1" applyAlignment="1">
      <alignment vertical="center" wrapText="1"/>
    </xf>
    <xf numFmtId="0" fontId="21" fillId="0" borderId="17" xfId="0" applyFont="1" applyBorder="1"/>
    <xf numFmtId="164" fontId="0" fillId="0" borderId="21" xfId="6" applyNumberFormat="1" applyFont="1" applyBorder="1"/>
    <xf numFmtId="0" fontId="21" fillId="13" borderId="17" xfId="0" applyFont="1" applyFill="1" applyBorder="1" applyAlignment="1">
      <alignment vertical="center"/>
    </xf>
    <xf numFmtId="0" fontId="23" fillId="13" borderId="21" xfId="7" applyFont="1" applyFill="1" applyBorder="1" applyAlignment="1">
      <alignment vertical="center"/>
    </xf>
    <xf numFmtId="0" fontId="23" fillId="13" borderId="21" xfId="7" applyFont="1" applyFill="1" applyBorder="1" applyAlignment="1">
      <alignment vertical="center" wrapText="1"/>
    </xf>
    <xf numFmtId="3" fontId="16" fillId="0" borderId="0" xfId="7" applyNumberFormat="1" applyFont="1" applyAlignment="1">
      <alignment horizontal="left" vertical="center"/>
    </xf>
    <xf numFmtId="0" fontId="16" fillId="14" borderId="0" xfId="7" applyFont="1" applyFill="1" applyAlignment="1">
      <alignment vertical="center"/>
    </xf>
    <xf numFmtId="3" fontId="16" fillId="0" borderId="0" xfId="7" applyNumberFormat="1" applyFont="1" applyAlignment="1">
      <alignment vertical="center"/>
    </xf>
    <xf numFmtId="0" fontId="16" fillId="0" borderId="0" xfId="7" applyFont="1" applyAlignment="1">
      <alignment vertical="center" wrapText="1"/>
    </xf>
    <xf numFmtId="2" fontId="0" fillId="0" borderId="0" xfId="0" applyNumberFormat="1"/>
    <xf numFmtId="0" fontId="21" fillId="13" borderId="22" xfId="0" applyFont="1" applyFill="1" applyBorder="1"/>
    <xf numFmtId="0" fontId="21" fillId="13" borderId="23" xfId="0" applyFont="1" applyFill="1" applyBorder="1" applyAlignment="1">
      <alignment wrapText="1"/>
    </xf>
    <xf numFmtId="0" fontId="21" fillId="0" borderId="15" xfId="0" applyFont="1" applyBorder="1"/>
    <xf numFmtId="0" fontId="21" fillId="13" borderId="23" xfId="0" applyFont="1" applyFill="1" applyBorder="1" applyAlignment="1">
      <alignment vertical="center" wrapText="1"/>
    </xf>
    <xf numFmtId="0" fontId="21" fillId="13" borderId="25" xfId="0" applyFont="1" applyFill="1" applyBorder="1" applyAlignment="1">
      <alignment vertical="center" wrapText="1"/>
    </xf>
    <xf numFmtId="0" fontId="21" fillId="13" borderId="22" xfId="0" applyFont="1" applyFill="1" applyBorder="1" applyAlignment="1">
      <alignment vertical="center" wrapText="1"/>
    </xf>
    <xf numFmtId="0" fontId="0" fillId="0" borderId="16" xfId="0" applyBorder="1" applyAlignment="1">
      <alignment vertical="center"/>
    </xf>
    <xf numFmtId="0" fontId="0" fillId="0" borderId="14" xfId="0" applyBorder="1" applyAlignment="1">
      <alignment vertical="center"/>
    </xf>
    <xf numFmtId="165" fontId="0" fillId="0" borderId="14" xfId="5" applyNumberFormat="1" applyFont="1" applyBorder="1" applyAlignment="1">
      <alignment vertical="center"/>
    </xf>
    <xf numFmtId="0" fontId="21" fillId="13" borderId="21" xfId="0" applyFont="1" applyFill="1" applyBorder="1" applyAlignment="1">
      <alignment vertical="center" wrapText="1"/>
    </xf>
    <xf numFmtId="165" fontId="16" fillId="0" borderId="1" xfId="9" applyNumberFormat="1" applyFont="1" applyFill="1" applyBorder="1" applyAlignment="1">
      <alignment horizontal="center" vertical="center"/>
    </xf>
    <xf numFmtId="3" fontId="16" fillId="0" borderId="1" xfId="7" applyNumberFormat="1" applyFont="1" applyBorder="1" applyAlignment="1">
      <alignment horizontal="center" vertical="center"/>
    </xf>
    <xf numFmtId="0" fontId="16" fillId="14" borderId="1" xfId="7" applyFont="1" applyFill="1" applyBorder="1" applyAlignment="1">
      <alignment vertical="center" wrapText="1"/>
    </xf>
    <xf numFmtId="0" fontId="16" fillId="10" borderId="1" xfId="7" applyFont="1" applyFill="1" applyBorder="1" applyAlignment="1">
      <alignment vertical="center"/>
    </xf>
    <xf numFmtId="0" fontId="16" fillId="10" borderId="1" xfId="7" applyFont="1" applyFill="1" applyBorder="1" applyAlignment="1">
      <alignment vertical="center" wrapText="1"/>
    </xf>
    <xf numFmtId="43" fontId="16" fillId="0" borderId="0" xfId="7" applyNumberFormat="1" applyFont="1" applyAlignment="1">
      <alignment vertical="center"/>
    </xf>
    <xf numFmtId="165" fontId="16" fillId="10" borderId="1" xfId="9" applyNumberFormat="1" applyFont="1" applyFill="1" applyBorder="1" applyAlignment="1">
      <alignment horizontal="left" vertical="center" wrapText="1"/>
    </xf>
    <xf numFmtId="165" fontId="16" fillId="7" borderId="1" xfId="5" applyNumberFormat="1" applyFont="1" applyFill="1" applyBorder="1" applyAlignment="1">
      <alignment vertical="center" wrapText="1"/>
    </xf>
    <xf numFmtId="165" fontId="16" fillId="0" borderId="1" xfId="5" applyNumberFormat="1" applyFont="1" applyFill="1" applyBorder="1" applyAlignment="1">
      <alignment vertical="center" wrapText="1"/>
    </xf>
    <xf numFmtId="165" fontId="16" fillId="0" borderId="1" xfId="9" applyNumberFormat="1" applyFont="1" applyFill="1" applyBorder="1" applyAlignment="1">
      <alignment horizontal="left" vertical="center" wrapText="1"/>
    </xf>
    <xf numFmtId="0" fontId="22" fillId="12" borderId="22" xfId="0" applyFont="1" applyFill="1" applyBorder="1" applyAlignment="1">
      <alignment horizontal="center" vertical="center"/>
    </xf>
    <xf numFmtId="0" fontId="22" fillId="12" borderId="23" xfId="0" applyFont="1" applyFill="1" applyBorder="1" applyAlignment="1">
      <alignment horizontal="center" vertical="center"/>
    </xf>
    <xf numFmtId="0" fontId="22" fillId="12" borderId="24" xfId="0" applyFont="1" applyFill="1" applyBorder="1" applyAlignment="1">
      <alignment horizontal="center" vertical="center"/>
    </xf>
    <xf numFmtId="0" fontId="22" fillId="13" borderId="17" xfId="0" applyFont="1" applyFill="1" applyBorder="1" applyAlignment="1">
      <alignment horizontal="center" wrapText="1"/>
    </xf>
    <xf numFmtId="0" fontId="22" fillId="13" borderId="18" xfId="0" applyFont="1" applyFill="1" applyBorder="1" applyAlignment="1">
      <alignment horizontal="center" wrapText="1"/>
    </xf>
    <xf numFmtId="0" fontId="22" fillId="13" borderId="21" xfId="0" applyFont="1" applyFill="1" applyBorder="1" applyAlignment="1">
      <alignment horizontal="center" wrapText="1"/>
    </xf>
    <xf numFmtId="0" fontId="22" fillId="12" borderId="17" xfId="0" applyFont="1" applyFill="1" applyBorder="1" applyAlignment="1">
      <alignment horizontal="center" vertical="center"/>
    </xf>
    <xf numFmtId="0" fontId="22" fillId="12" borderId="18" xfId="0" applyFont="1" applyFill="1" applyBorder="1" applyAlignment="1">
      <alignment horizontal="center" vertical="center"/>
    </xf>
    <xf numFmtId="0" fontId="22" fillId="12" borderId="21" xfId="0" applyFont="1" applyFill="1" applyBorder="1" applyAlignment="1">
      <alignment horizontal="center" vertical="center"/>
    </xf>
    <xf numFmtId="0" fontId="5" fillId="5" borderId="0" xfId="1" applyFont="1" applyFill="1" applyAlignment="1">
      <alignment horizontal="center"/>
    </xf>
    <xf numFmtId="0" fontId="6" fillId="2" borderId="1" xfId="1" applyFont="1" applyFill="1" applyBorder="1" applyAlignment="1">
      <alignment horizontal="center" vertical="center"/>
    </xf>
    <xf numFmtId="0" fontId="5" fillId="4" borderId="0" xfId="1" applyFont="1" applyFill="1" applyAlignment="1">
      <alignment horizontal="center"/>
    </xf>
    <xf numFmtId="0" fontId="6" fillId="2" borderId="2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16" fillId="10" borderId="8" xfId="7" applyFont="1" applyFill="1" applyBorder="1" applyAlignment="1">
      <alignment horizontal="center" wrapText="1"/>
    </xf>
    <xf numFmtId="0" fontId="16" fillId="10" borderId="9" xfId="7" applyFont="1" applyFill="1" applyBorder="1" applyAlignment="1">
      <alignment horizontal="center" wrapText="1"/>
    </xf>
    <xf numFmtId="0" fontId="16" fillId="10" borderId="10" xfId="7" applyFont="1" applyFill="1" applyBorder="1" applyAlignment="1">
      <alignment horizontal="center" wrapText="1"/>
    </xf>
    <xf numFmtId="0" fontId="16" fillId="15" borderId="5" xfId="7" applyFont="1" applyFill="1" applyBorder="1" applyAlignment="1">
      <alignment horizontal="center"/>
    </xf>
    <xf numFmtId="0" fontId="16" fillId="15" borderId="8" xfId="7" applyFont="1" applyFill="1" applyBorder="1" applyAlignment="1">
      <alignment horizontal="center"/>
    </xf>
    <xf numFmtId="0" fontId="16" fillId="15" borderId="9" xfId="7" applyFont="1" applyFill="1" applyBorder="1" applyAlignment="1">
      <alignment horizontal="center"/>
    </xf>
    <xf numFmtId="0" fontId="16" fillId="15" borderId="10" xfId="7" applyFont="1" applyFill="1" applyBorder="1" applyAlignment="1">
      <alignment horizontal="center"/>
    </xf>
    <xf numFmtId="0" fontId="16" fillId="7" borderId="8" xfId="7" applyFont="1" applyFill="1" applyBorder="1" applyAlignment="1">
      <alignment horizontal="center"/>
    </xf>
    <xf numFmtId="0" fontId="16" fillId="7" borderId="9" xfId="7" applyFont="1" applyFill="1" applyBorder="1" applyAlignment="1">
      <alignment horizontal="center"/>
    </xf>
    <xf numFmtId="0" fontId="16" fillId="7" borderId="10" xfId="7" applyFont="1" applyFill="1" applyBorder="1" applyAlignment="1">
      <alignment horizontal="center"/>
    </xf>
    <xf numFmtId="0" fontId="16" fillId="9" borderId="8" xfId="7" applyFont="1" applyFill="1" applyBorder="1" applyAlignment="1">
      <alignment horizontal="center"/>
    </xf>
    <xf numFmtId="0" fontId="16" fillId="9" borderId="9" xfId="7" applyFont="1" applyFill="1" applyBorder="1" applyAlignment="1">
      <alignment horizontal="center"/>
    </xf>
    <xf numFmtId="0" fontId="16" fillId="9" borderId="10" xfId="7" applyFont="1" applyFill="1" applyBorder="1" applyAlignment="1">
      <alignment horizontal="center"/>
    </xf>
  </cellXfs>
  <cellStyles count="11">
    <cellStyle name="Comma" xfId="5" builtinId="3"/>
    <cellStyle name="Comma 2" xfId="4" xr:uid="{A9BB3A77-57DF-4838-BA53-2936E63507CF}"/>
    <cellStyle name="Comma 3" xfId="9" xr:uid="{F7F7EA2F-EC97-4D72-A1FF-1B63DAFC523C}"/>
    <cellStyle name="Hyperlink 2" xfId="3" xr:uid="{07108BF6-D06B-43AC-9C40-0559E25A46E8}"/>
    <cellStyle name="Normal" xfId="0" builtinId="0"/>
    <cellStyle name="Normal 2" xfId="1" xr:uid="{1050602C-4E53-4799-90F8-B3515CFE5B17}"/>
    <cellStyle name="Normal 3" xfId="7" xr:uid="{32B0D8CA-83C2-4393-B474-243335FFBD46}"/>
    <cellStyle name="Normal 3 2" xfId="10" xr:uid="{27EFD5F9-48C2-443B-803B-DA68241F110B}"/>
    <cellStyle name="Percent" xfId="6" builtinId="5"/>
    <cellStyle name="Percent 2" xfId="2" xr:uid="{32827E3D-8339-4619-AF6A-6A0C96F9D1A1}"/>
    <cellStyle name="Percent 3" xfId="8" xr:uid="{588A238A-9B7C-4627-ABE5-3B629D44E315}"/>
  </cellStyles>
  <dxfs count="0"/>
  <tableStyles count="0" defaultTableStyle="TableStyleMedium2" defaultPivotStyle="PivotStyleLight16"/>
  <colors>
    <mruColors>
      <color rgb="FFFF99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</xdr:col>
      <xdr:colOff>247650</xdr:colOff>
      <xdr:row>11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B92670-19B5-4EB3-BC10-0F81918A6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2475"/>
          <a:ext cx="24765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12</xdr:row>
      <xdr:rowOff>0</xdr:rowOff>
    </xdr:from>
    <xdr:to>
      <xdr:col>1</xdr:col>
      <xdr:colOff>447675</xdr:colOff>
      <xdr:row>12</xdr:row>
      <xdr:rowOff>200025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FA4811D-575E-482A-82E3-BC6B8152B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88720"/>
          <a:ext cx="44767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1</xdr:col>
      <xdr:colOff>142875</xdr:colOff>
      <xdr:row>13</xdr:row>
      <xdr:rowOff>200025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9EE4CFF-6576-49B4-A122-57BD7FE8A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77340"/>
          <a:ext cx="14287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16</xdr:row>
      <xdr:rowOff>0</xdr:rowOff>
    </xdr:from>
    <xdr:to>
      <xdr:col>1</xdr:col>
      <xdr:colOff>561975</xdr:colOff>
      <xdr:row>16</xdr:row>
      <xdr:rowOff>200025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89B500B-4B45-4059-8053-CDE5B74FB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83080"/>
          <a:ext cx="56197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2</xdr:col>
      <xdr:colOff>152400</xdr:colOff>
      <xdr:row>18</xdr:row>
      <xdr:rowOff>200025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3CA8AF8-01BC-4393-BCFA-899081BA8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26920"/>
          <a:ext cx="8763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1</xdr:col>
      <xdr:colOff>476250</xdr:colOff>
      <xdr:row>19</xdr:row>
      <xdr:rowOff>200025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BA4F1ED-AB09-481D-BD61-F3CEA0DA6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05100"/>
          <a:ext cx="47625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1</xdr:col>
      <xdr:colOff>238125</xdr:colOff>
      <xdr:row>25</xdr:row>
      <xdr:rowOff>180975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07E608E-9AEF-48E4-B9F8-8B1990C05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808220"/>
          <a:ext cx="2381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</xdr:col>
      <xdr:colOff>266700</xdr:colOff>
      <xdr:row>4</xdr:row>
      <xdr:rowOff>200025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10F64BD-770A-40A2-8A0C-7A966CC32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42950"/>
          <a:ext cx="2667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</xdr:col>
      <xdr:colOff>152400</xdr:colOff>
      <xdr:row>5</xdr:row>
      <xdr:rowOff>180975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D496BD71-6504-4FE7-B124-36A645C08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774180"/>
          <a:ext cx="1524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2</xdr:col>
      <xdr:colOff>76200</xdr:colOff>
      <xdr:row>6</xdr:row>
      <xdr:rowOff>200025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BB02939-564B-4EFF-AF38-FB685CA01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53300"/>
          <a:ext cx="8001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1</xdr:col>
      <xdr:colOff>171450</xdr:colOff>
      <xdr:row>7</xdr:row>
      <xdr:rowOff>200025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91796B1-EFA6-4079-A39A-C6CE7405A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49540"/>
          <a:ext cx="17145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1</xdr:col>
      <xdr:colOff>285750</xdr:colOff>
      <xdr:row>8</xdr:row>
      <xdr:rowOff>200025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FE69EF8-94F8-4F08-BAD2-AC4E3C2D4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145780"/>
          <a:ext cx="28575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31</xdr:row>
      <xdr:rowOff>0</xdr:rowOff>
    </xdr:from>
    <xdr:to>
      <xdr:col>1</xdr:col>
      <xdr:colOff>304800</xdr:colOff>
      <xdr:row>31</xdr:row>
      <xdr:rowOff>200025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65ECD98-B548-426B-B798-FDBB6079F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915400"/>
          <a:ext cx="304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32</xdr:row>
      <xdr:rowOff>0</xdr:rowOff>
    </xdr:from>
    <xdr:to>
      <xdr:col>1</xdr:col>
      <xdr:colOff>400050</xdr:colOff>
      <xdr:row>32</xdr:row>
      <xdr:rowOff>200025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36E5254B-E220-4AAD-8135-2CA5C4696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311640"/>
          <a:ext cx="40005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1</xdr:col>
      <xdr:colOff>381000</xdr:colOff>
      <xdr:row>35</xdr:row>
      <xdr:rowOff>200025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769E2DCA-BDDF-4C79-AC59-765FE9C33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462260"/>
          <a:ext cx="3810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285750</xdr:colOff>
      <xdr:row>36</xdr:row>
      <xdr:rowOff>200025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EE97290D-1EA4-408A-90D2-7EBE92F8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668000"/>
          <a:ext cx="28575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1</xdr:col>
      <xdr:colOff>381000</xdr:colOff>
      <xdr:row>37</xdr:row>
      <xdr:rowOff>200025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47DAF3C2-B947-4BD0-9458-2E589419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873740"/>
          <a:ext cx="3810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1</xdr:col>
      <xdr:colOff>381000</xdr:colOff>
      <xdr:row>37</xdr:row>
      <xdr:rowOff>200025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C9A556B9-A04E-40D8-8EB4-F3ED3894D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873740"/>
          <a:ext cx="3810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1</xdr:col>
      <xdr:colOff>257175</xdr:colOff>
      <xdr:row>43</xdr:row>
      <xdr:rowOff>200025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76D10F77-AF74-4B50-A64C-C667F724B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342620"/>
          <a:ext cx="25717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1</xdr:col>
      <xdr:colOff>495300</xdr:colOff>
      <xdr:row>44</xdr:row>
      <xdr:rowOff>200025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C3F72A2C-9D41-45E0-A03E-8AC21B97F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586460"/>
          <a:ext cx="4953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1</xdr:col>
      <xdr:colOff>485775</xdr:colOff>
      <xdr:row>45</xdr:row>
      <xdr:rowOff>200025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A9424D81-B678-4F58-B13C-4EBB83568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830300"/>
          <a:ext cx="48577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1</xdr:col>
      <xdr:colOff>333375</xdr:colOff>
      <xdr:row>48</xdr:row>
      <xdr:rowOff>200025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C9CBBA5E-C52B-4CEF-A70F-744F4D5AD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563600"/>
          <a:ext cx="33337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1</xdr:col>
      <xdr:colOff>342900</xdr:colOff>
      <xdr:row>49</xdr:row>
      <xdr:rowOff>200025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3301F551-DD07-44EE-AE24-2C5E003EA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628620"/>
          <a:ext cx="3429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238125</xdr:colOff>
      <xdr:row>51</xdr:row>
      <xdr:rowOff>200025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5EA288D8-1E02-409F-AFD4-62EBC81BA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834360"/>
          <a:ext cx="23812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342900</xdr:colOff>
      <xdr:row>55</xdr:row>
      <xdr:rowOff>200025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5B7A96C9-D5FE-43B6-BB0D-AC086EC78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228820"/>
          <a:ext cx="3429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56</xdr:row>
      <xdr:rowOff>0</xdr:rowOff>
    </xdr:from>
    <xdr:to>
      <xdr:col>1</xdr:col>
      <xdr:colOff>285750</xdr:colOff>
      <xdr:row>56</xdr:row>
      <xdr:rowOff>180975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1017AC2C-5FC5-4346-B1C1-79568A405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588" y="15912353"/>
          <a:ext cx="28575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62</xdr:row>
      <xdr:rowOff>0</xdr:rowOff>
    </xdr:from>
    <xdr:to>
      <xdr:col>1</xdr:col>
      <xdr:colOff>266700</xdr:colOff>
      <xdr:row>62</xdr:row>
      <xdr:rowOff>200025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E52D969D-FC33-454B-9192-9AFABA342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42950"/>
          <a:ext cx="2667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63</xdr:row>
      <xdr:rowOff>0</xdr:rowOff>
    </xdr:from>
    <xdr:to>
      <xdr:col>1</xdr:col>
      <xdr:colOff>257175</xdr:colOff>
      <xdr:row>63</xdr:row>
      <xdr:rowOff>200025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80699294-2663-4827-9BF9-EA783842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306175"/>
          <a:ext cx="25717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1</xdr:col>
      <xdr:colOff>238125</xdr:colOff>
      <xdr:row>27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06B140-5641-4365-95E3-9CB9E800F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753350"/>
          <a:ext cx="24130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1</xdr:col>
      <xdr:colOff>142875</xdr:colOff>
      <xdr:row>14</xdr:row>
      <xdr:rowOff>193675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0007EE0-4912-4EF7-95FA-B6E88C818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857" y="3347357"/>
          <a:ext cx="142875" cy="193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15</xdr:row>
      <xdr:rowOff>0</xdr:rowOff>
    </xdr:from>
    <xdr:to>
      <xdr:col>1</xdr:col>
      <xdr:colOff>561975</xdr:colOff>
      <xdr:row>15</xdr:row>
      <xdr:rowOff>200025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8194AD77-8DB2-4C65-831D-A4CDE7B76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3" y="4464844"/>
          <a:ext cx="56197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2</xdr:col>
      <xdr:colOff>152400</xdr:colOff>
      <xdr:row>17</xdr:row>
      <xdr:rowOff>200025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880041B2-009E-4BA6-B605-25F2B4BEB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3" y="4905375"/>
          <a:ext cx="854868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2</xdr:col>
      <xdr:colOff>152400</xdr:colOff>
      <xdr:row>17</xdr:row>
      <xdr:rowOff>200025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22D66759-845A-4222-8EA0-FC3AD1FC6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3" y="5143500"/>
          <a:ext cx="854868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52</xdr:row>
      <xdr:rowOff>0</xdr:rowOff>
    </xdr:from>
    <xdr:to>
      <xdr:col>1</xdr:col>
      <xdr:colOff>238125</xdr:colOff>
      <xdr:row>52</xdr:row>
      <xdr:rowOff>200025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88ADDC7E-B2EF-4D7E-9835-4FE77CF94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588" y="14687176"/>
          <a:ext cx="23812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22413</xdr:colOff>
      <xdr:row>57</xdr:row>
      <xdr:rowOff>29882</xdr:rowOff>
    </xdr:from>
    <xdr:to>
      <xdr:col>1</xdr:col>
      <xdr:colOff>354535</xdr:colOff>
      <xdr:row>57</xdr:row>
      <xdr:rowOff>188640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881EFB51-8BD2-DB57-570A-FC5D01344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635001" y="16166353"/>
          <a:ext cx="330217" cy="158758"/>
        </a:xfrm>
        <a:prstGeom prst="rect">
          <a:avLst/>
        </a:prstGeom>
      </xdr:spPr>
    </xdr:pic>
    <xdr:clientData/>
  </xdr:twoCellAnchor>
  <xdr:twoCellAnchor editAs="oneCell">
    <xdr:from>
      <xdr:col>1</xdr:col>
      <xdr:colOff>67236</xdr:colOff>
      <xdr:row>38</xdr:row>
      <xdr:rowOff>22412</xdr:rowOff>
    </xdr:from>
    <xdr:to>
      <xdr:col>1</xdr:col>
      <xdr:colOff>421266</xdr:colOff>
      <xdr:row>38</xdr:row>
      <xdr:rowOff>220951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A731A94D-1B48-9DBD-6256-2A78C4E14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79824" y="10533530"/>
          <a:ext cx="349268" cy="1714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hegoldstandard1.sharepoint.com/192.168.1.50/Projects/A/Clients/PLN/PLN%20Budget/PLN%20budget%20forms/Lk200312-02-03-04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hegoldstandard1.sharepoint.com/192.168.1.50/Projects/Volumes/NURUL%20JOE/LKSEM2001PJ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exuscarbonfordevelopme.sharepoint.com/Working_HH/_KfW/_CEDAC/Final%20Report/CashFlow012001Anggaran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o2balance.sharepoint.com/Shared%20Documents/Projects/Active/City_Ministries/Nigeria_Plateau_SWS/4_Reviews/2_Validation/VVB_Validation/OS/GS12115_SWS_ER-Tool_CWS_Nigeria_Ex-antes_v1.xlsx" TargetMode="External"/><Relationship Id="rId1" Type="http://schemas.openxmlformats.org/officeDocument/2006/relationships/externalLinkPath" Target="/Shared%20Documents/Projects/Active/City_Ministries/Nigeria_Plateau_SWS/4_Reviews/2_Validation/VVB_Validation/OS/GS12115_SWS_ER-Tool_CWS_Nigeria_Ex-antes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kRp"/>
      <sheetName val="PkVal"/>
      <sheetName val="PkJtRp"/>
      <sheetName val="PkJtVal"/>
      <sheetName val="ByDkpRp"/>
      <sheetName val="ByDkpVal"/>
      <sheetName val="ByDkpJtRp"/>
      <sheetName val="ByDkpJtVal"/>
      <sheetName val="ByPinjRp"/>
      <sheetName val="ByPinjV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_23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hDeb00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Parameters"/>
      <sheetName val="BE per unit"/>
      <sheetName val="SDG Impacts (Full MP)"/>
      <sheetName val="ER schedule per month"/>
      <sheetName val="PE&amp;L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B3DB6-8F6B-44D5-8DC8-BCAB4D482F39}">
  <dimension ref="A2:K56"/>
  <sheetViews>
    <sheetView showGridLines="0" topLeftCell="A10" zoomScale="80" zoomScaleNormal="80" workbookViewId="0">
      <selection activeCell="B10" sqref="B10"/>
    </sheetView>
  </sheetViews>
  <sheetFormatPr defaultRowHeight="12.75" x14ac:dyDescent="0.35"/>
  <cols>
    <col min="1" max="1" width="14.265625" customWidth="1"/>
    <col min="2" max="2" width="17.86328125" customWidth="1"/>
    <col min="3" max="3" width="24.73046875" customWidth="1"/>
    <col min="4" max="4" width="23.86328125" bestFit="1" customWidth="1"/>
    <col min="5" max="5" width="20.796875" customWidth="1"/>
    <col min="6" max="6" width="11.59765625" customWidth="1"/>
    <col min="7" max="7" width="12" customWidth="1"/>
    <col min="8" max="8" width="11.86328125" customWidth="1"/>
    <col min="9" max="9" width="13.53125" customWidth="1"/>
    <col min="11" max="11" width="15.59765625" customWidth="1"/>
  </cols>
  <sheetData>
    <row r="2" spans="1:11" ht="14.25" x14ac:dyDescent="0.45">
      <c r="A2" s="25" t="s">
        <v>0</v>
      </c>
      <c r="B2" s="25" t="s">
        <v>1</v>
      </c>
      <c r="C2" s="25" t="s">
        <v>2</v>
      </c>
    </row>
    <row r="3" spans="1:11" ht="14.25" x14ac:dyDescent="0.45">
      <c r="A3" s="26" t="s">
        <v>3</v>
      </c>
      <c r="B3" s="27">
        <f>'SDWS Ex-Antes'!E68</f>
        <v>123</v>
      </c>
      <c r="C3" s="27">
        <f>10000/B3</f>
        <v>81.300813008130078</v>
      </c>
      <c r="E3" s="56"/>
      <c r="F3" s="56"/>
      <c r="G3" s="56"/>
      <c r="H3" s="1"/>
    </row>
    <row r="4" spans="1:11" ht="14.65" thickBot="1" x14ac:dyDescent="0.5">
      <c r="B4" s="1"/>
      <c r="C4" s="1"/>
      <c r="D4" s="1"/>
      <c r="E4" s="1"/>
      <c r="F4" s="1"/>
      <c r="G4" s="1"/>
      <c r="H4" s="1"/>
    </row>
    <row r="5" spans="1:11" s="137" customFormat="1" ht="17.25" customHeight="1" thickBot="1" x14ac:dyDescent="0.4">
      <c r="A5" s="170" t="s">
        <v>4</v>
      </c>
      <c r="B5" s="171"/>
      <c r="C5" s="171"/>
      <c r="D5" s="171"/>
      <c r="E5" s="171"/>
      <c r="F5" s="171"/>
      <c r="G5" s="171"/>
      <c r="H5" s="171"/>
      <c r="I5" s="172"/>
    </row>
    <row r="6" spans="1:11" s="137" customFormat="1" ht="43.5" customHeight="1" thickBot="1" x14ac:dyDescent="0.4">
      <c r="A6" s="138" t="s">
        <v>5</v>
      </c>
      <c r="B6" s="139" t="s">
        <v>6</v>
      </c>
      <c r="C6" s="139" t="s">
        <v>7</v>
      </c>
      <c r="D6" s="139" t="s">
        <v>8</v>
      </c>
      <c r="E6" s="139" t="s">
        <v>9</v>
      </c>
      <c r="F6" s="139" t="s">
        <v>10</v>
      </c>
      <c r="G6" s="139" t="s">
        <v>11</v>
      </c>
      <c r="H6" s="139" t="s">
        <v>204</v>
      </c>
      <c r="I6" s="159" t="s">
        <v>196</v>
      </c>
    </row>
    <row r="7" spans="1:11" x14ac:dyDescent="0.35">
      <c r="A7" s="69" t="s">
        <v>12</v>
      </c>
      <c r="B7" s="70">
        <f>132/3</f>
        <v>44</v>
      </c>
      <c r="C7" s="70">
        <f>B7</f>
        <v>44</v>
      </c>
      <c r="D7" s="70">
        <v>1</v>
      </c>
      <c r="E7" s="134">
        <f>'SDWS Ex-Antes'!E63*D7*B7</f>
        <v>5676</v>
      </c>
      <c r="F7" s="70">
        <f>'SDWS Ex-Antes'!E64*B7*D7</f>
        <v>0</v>
      </c>
      <c r="G7" s="70">
        <f>'SDWS Ex-Antes'!E66*'Summary (VPA)'!D7*'Summary (VPA)'!B7</f>
        <v>264</v>
      </c>
      <c r="H7" s="134">
        <f>E7-F7-G7</f>
        <v>5412</v>
      </c>
      <c r="I7" s="73">
        <f>H7</f>
        <v>5412</v>
      </c>
      <c r="J7" s="72"/>
      <c r="K7" s="72"/>
    </row>
    <row r="8" spans="1:11" x14ac:dyDescent="0.35">
      <c r="A8" s="47" t="s">
        <v>13</v>
      </c>
      <c r="B8">
        <v>0</v>
      </c>
      <c r="C8">
        <f>B8+C7</f>
        <v>44</v>
      </c>
      <c r="D8">
        <v>1</v>
      </c>
      <c r="E8" s="50">
        <f>('SDWS Ex-Antes'!E63*D8*B8)+('SDWS Ex-Antes'!E63*B7)</f>
        <v>5676</v>
      </c>
      <c r="F8">
        <f>('SDWS Ex-Antes'!E64*D8*B8)+F7</f>
        <v>0</v>
      </c>
      <c r="G8">
        <f>('SDWS Ex-Antes'!E66*D8*B8)+('SDWS Ex-Antes'!E66*'Summary (VPA)'!B7)</f>
        <v>264</v>
      </c>
      <c r="H8" s="50">
        <f>E8-F8-G8</f>
        <v>5412</v>
      </c>
      <c r="I8" s="74">
        <f t="shared" ref="I8:I11" si="0">H8</f>
        <v>5412</v>
      </c>
    </row>
    <row r="9" spans="1:11" x14ac:dyDescent="0.35">
      <c r="A9" s="47" t="s">
        <v>14</v>
      </c>
      <c r="B9">
        <v>0</v>
      </c>
      <c r="C9">
        <f>B9+C8</f>
        <v>44</v>
      </c>
      <c r="D9">
        <v>1</v>
      </c>
      <c r="E9" s="50">
        <f>('SDWS Ex-Antes'!E63*'Summary (VPA)'!D9*'Summary (VPA)'!B9)+((B7+B8)*'SDWS Ex-Antes'!E63)</f>
        <v>5676</v>
      </c>
      <c r="F9">
        <f>'SDWS Ex-Antes'!E64</f>
        <v>0</v>
      </c>
      <c r="G9">
        <f>('SDWS Ex-Antes'!E66*D9*B9)+('SDWS Ex-Antes'!E66*(B7+B8))</f>
        <v>264</v>
      </c>
      <c r="H9" s="50">
        <f>E9-F9-G9</f>
        <v>5412</v>
      </c>
      <c r="I9" s="74">
        <f t="shared" si="0"/>
        <v>5412</v>
      </c>
    </row>
    <row r="10" spans="1:11" x14ac:dyDescent="0.35">
      <c r="A10" s="47" t="s">
        <v>15</v>
      </c>
      <c r="B10">
        <f>60/3</f>
        <v>20</v>
      </c>
      <c r="C10">
        <f>B10+C9</f>
        <v>64</v>
      </c>
      <c r="D10">
        <v>1</v>
      </c>
      <c r="E10" s="50">
        <f>('SDWS Ex-Antes'!E63*'Summary (VPA)'!D10*'Summary (VPA)'!B10)+((B7+B8+B9)*'SDWS Ex-Antes'!E63)</f>
        <v>8256</v>
      </c>
      <c r="F10">
        <f>'SDWS Ex-Antes'!E64</f>
        <v>0</v>
      </c>
      <c r="G10">
        <f>('SDWS Ex-Antes'!E66*D10*B10)+('SDWS Ex-Antes'!E66*(B7+B8+B9))</f>
        <v>384</v>
      </c>
      <c r="H10" s="50">
        <f>E10-F10-G10</f>
        <v>7872</v>
      </c>
      <c r="I10" s="74">
        <f t="shared" si="0"/>
        <v>7872</v>
      </c>
    </row>
    <row r="11" spans="1:11" s="137" customFormat="1" ht="15.4" customHeight="1" thickBot="1" x14ac:dyDescent="0.4">
      <c r="A11" s="156" t="s">
        <v>16</v>
      </c>
      <c r="B11" s="157">
        <v>0</v>
      </c>
      <c r="C11" s="157">
        <f>B11+C10</f>
        <v>64</v>
      </c>
      <c r="D11" s="157">
        <v>1</v>
      </c>
      <c r="E11" s="158">
        <f>('SDWS Ex-Antes'!E63*'Summary (VPA)'!D11*'Summary (VPA)'!B11)+((B7+B8+B9+B10)*'SDWS Ex-Antes'!E63)</f>
        <v>8256</v>
      </c>
      <c r="F11" s="157">
        <f>'SDWS Ex-Antes'!E64</f>
        <v>0</v>
      </c>
      <c r="G11" s="157">
        <f>('SDWS Ex-Antes'!E66*D11*B11)+('SDWS Ex-Antes'!E66*(B7+B8+B9+B10))</f>
        <v>384</v>
      </c>
      <c r="H11" s="158">
        <f>E11-F11-G11</f>
        <v>7872</v>
      </c>
      <c r="I11" s="75">
        <f t="shared" si="0"/>
        <v>7872</v>
      </c>
    </row>
    <row r="12" spans="1:11" ht="13.15" x14ac:dyDescent="0.4">
      <c r="D12" s="152" t="s">
        <v>17</v>
      </c>
      <c r="E12" s="50">
        <f>SUM(E7:E11)</f>
        <v>33540</v>
      </c>
      <c r="H12" s="50">
        <f>SUM(H7:H11)</f>
        <v>31980</v>
      </c>
      <c r="I12" s="74">
        <f>SUM(I7:I11)</f>
        <v>31980</v>
      </c>
    </row>
    <row r="13" spans="1:11" ht="13.5" thickBot="1" x14ac:dyDescent="0.45">
      <c r="D13" s="135" t="s">
        <v>18</v>
      </c>
      <c r="E13" s="71">
        <f>AVERAGE(E7:E11)</f>
        <v>6708</v>
      </c>
      <c r="F13" s="49"/>
      <c r="G13" s="49"/>
      <c r="H13" s="136">
        <f>AVERAGE(H7:H11)</f>
        <v>6396</v>
      </c>
      <c r="I13" s="99">
        <f>AVERAGE(I7:I11)</f>
        <v>6396</v>
      </c>
    </row>
    <row r="15" spans="1:11" ht="13.15" thickBot="1" x14ac:dyDescent="0.4"/>
    <row r="16" spans="1:11" ht="31.5" customHeight="1" thickBot="1" x14ac:dyDescent="0.45">
      <c r="A16" s="173" t="s">
        <v>19</v>
      </c>
      <c r="B16" s="174"/>
      <c r="C16" s="174"/>
      <c r="D16" s="175"/>
    </row>
    <row r="17" spans="1:5" s="137" customFormat="1" ht="30.4" customHeight="1" thickBot="1" x14ac:dyDescent="0.4">
      <c r="A17" s="142" t="s">
        <v>5</v>
      </c>
      <c r="B17" s="139" t="s">
        <v>6</v>
      </c>
      <c r="C17" s="139" t="s">
        <v>7</v>
      </c>
      <c r="D17" s="143" t="s">
        <v>20</v>
      </c>
    </row>
    <row r="18" spans="1:5" x14ac:dyDescent="0.35">
      <c r="A18" s="47" t="s">
        <v>12</v>
      </c>
      <c r="B18">
        <f>B7</f>
        <v>44</v>
      </c>
      <c r="C18">
        <f>B18</f>
        <v>44</v>
      </c>
      <c r="D18" s="57">
        <f>'SDG Impacts'!$E$5</f>
        <v>0.47989999999999999</v>
      </c>
      <c r="E18" s="149"/>
    </row>
    <row r="19" spans="1:5" x14ac:dyDescent="0.35">
      <c r="A19" s="47" t="s">
        <v>13</v>
      </c>
      <c r="B19">
        <f t="shared" ref="B19:B22" si="1">B8</f>
        <v>0</v>
      </c>
      <c r="C19">
        <f>B19+C18</f>
        <v>44</v>
      </c>
      <c r="D19" s="57">
        <f>'SDG Impacts'!$E$5</f>
        <v>0.47989999999999999</v>
      </c>
      <c r="E19" s="149"/>
    </row>
    <row r="20" spans="1:5" x14ac:dyDescent="0.35">
      <c r="A20" s="47" t="s">
        <v>14</v>
      </c>
      <c r="B20">
        <f t="shared" si="1"/>
        <v>0</v>
      </c>
      <c r="C20">
        <f>B20+C19</f>
        <v>44</v>
      </c>
      <c r="D20" s="57">
        <f>'SDG Impacts'!$E$5</f>
        <v>0.47989999999999999</v>
      </c>
    </row>
    <row r="21" spans="1:5" x14ac:dyDescent="0.35">
      <c r="A21" s="47" t="s">
        <v>15</v>
      </c>
      <c r="B21">
        <f t="shared" si="1"/>
        <v>20</v>
      </c>
      <c r="C21">
        <f>B21+C20</f>
        <v>64</v>
      </c>
      <c r="D21" s="57">
        <f>'SDG Impacts'!$E$5</f>
        <v>0.47989999999999999</v>
      </c>
    </row>
    <row r="22" spans="1:5" ht="13.15" thickBot="1" x14ac:dyDescent="0.4">
      <c r="A22" s="48" t="s">
        <v>16</v>
      </c>
      <c r="B22" s="49">
        <f t="shared" si="1"/>
        <v>0</v>
      </c>
      <c r="C22" s="49">
        <f>B22+C21</f>
        <v>64</v>
      </c>
      <c r="D22" s="58">
        <f>'SDG Impacts'!$E$5</f>
        <v>0.47989999999999999</v>
      </c>
    </row>
    <row r="23" spans="1:5" ht="13.5" thickBot="1" x14ac:dyDescent="0.45">
      <c r="C23" s="140" t="s">
        <v>21</v>
      </c>
      <c r="D23" s="141">
        <f>AVERAGE(D18:D22)</f>
        <v>0.47989999999999994</v>
      </c>
    </row>
    <row r="25" spans="1:5" ht="13.15" thickBot="1" x14ac:dyDescent="0.4"/>
    <row r="26" spans="1:5" ht="34.15" customHeight="1" thickBot="1" x14ac:dyDescent="0.45">
      <c r="A26" s="173" t="s">
        <v>22</v>
      </c>
      <c r="B26" s="174"/>
      <c r="C26" s="174"/>
      <c r="D26" s="175"/>
    </row>
    <row r="27" spans="1:5" s="137" customFormat="1" ht="26.65" thickBot="1" x14ac:dyDescent="0.4">
      <c r="A27" s="142" t="s">
        <v>5</v>
      </c>
      <c r="B27" s="139" t="s">
        <v>6</v>
      </c>
      <c r="C27" s="139" t="s">
        <v>7</v>
      </c>
      <c r="D27" s="144" t="s">
        <v>23</v>
      </c>
    </row>
    <row r="28" spans="1:5" x14ac:dyDescent="0.35">
      <c r="A28" s="47" t="s">
        <v>12</v>
      </c>
      <c r="B28">
        <f>B7</f>
        <v>44</v>
      </c>
      <c r="C28">
        <f>B28</f>
        <v>44</v>
      </c>
      <c r="D28" s="57">
        <f>'SDG Impacts'!$E$14</f>
        <v>0.30674846625766872</v>
      </c>
    </row>
    <row r="29" spans="1:5" x14ac:dyDescent="0.35">
      <c r="A29" s="47" t="s">
        <v>13</v>
      </c>
      <c r="B29">
        <f t="shared" ref="B29:B32" si="2">B8</f>
        <v>0</v>
      </c>
      <c r="C29">
        <f>B29+C28</f>
        <v>44</v>
      </c>
      <c r="D29" s="57">
        <f>'SDG Impacts'!$E$14</f>
        <v>0.30674846625766872</v>
      </c>
    </row>
    <row r="30" spans="1:5" x14ac:dyDescent="0.35">
      <c r="A30" s="47" t="s">
        <v>14</v>
      </c>
      <c r="B30">
        <f t="shared" si="2"/>
        <v>0</v>
      </c>
      <c r="C30">
        <f>B30+C29</f>
        <v>44</v>
      </c>
      <c r="D30" s="57">
        <f>'SDG Impacts'!$E$14</f>
        <v>0.30674846625766872</v>
      </c>
    </row>
    <row r="31" spans="1:5" x14ac:dyDescent="0.35">
      <c r="A31" s="47" t="s">
        <v>15</v>
      </c>
      <c r="B31">
        <f t="shared" si="2"/>
        <v>20</v>
      </c>
      <c r="C31">
        <f>B31+C30</f>
        <v>64</v>
      </c>
      <c r="D31" s="57">
        <f>'SDG Impacts'!$E$14</f>
        <v>0.30674846625766872</v>
      </c>
    </row>
    <row r="32" spans="1:5" ht="13.15" thickBot="1" x14ac:dyDescent="0.4">
      <c r="A32" s="48" t="s">
        <v>16</v>
      </c>
      <c r="B32" s="49">
        <f t="shared" si="2"/>
        <v>0</v>
      </c>
      <c r="C32" s="49">
        <f>B32+C31</f>
        <v>64</v>
      </c>
      <c r="D32" s="58">
        <f>'SDG Impacts'!$E$14</f>
        <v>0.30674846625766872</v>
      </c>
    </row>
    <row r="33" spans="1:6" ht="13.5" thickBot="1" x14ac:dyDescent="0.45">
      <c r="C33" s="140" t="s">
        <v>21</v>
      </c>
      <c r="D33" s="141">
        <f>AVERAGE(D28:D32)</f>
        <v>0.30674846625766872</v>
      </c>
    </row>
    <row r="35" spans="1:6" ht="13.15" thickBot="1" x14ac:dyDescent="0.4"/>
    <row r="36" spans="1:6" ht="15.4" thickBot="1" x14ac:dyDescent="0.45">
      <c r="A36" s="173" t="s">
        <v>24</v>
      </c>
      <c r="B36" s="174"/>
      <c r="C36" s="174"/>
      <c r="D36" s="175"/>
    </row>
    <row r="37" spans="1:6" ht="26.65" thickBot="1" x14ac:dyDescent="0.45">
      <c r="A37" s="150" t="s">
        <v>5</v>
      </c>
      <c r="B37" s="151" t="s">
        <v>6</v>
      </c>
      <c r="C37" s="151" t="s">
        <v>7</v>
      </c>
      <c r="D37" s="87" t="s">
        <v>206</v>
      </c>
    </row>
    <row r="38" spans="1:6" x14ac:dyDescent="0.35">
      <c r="A38" s="69" t="s">
        <v>12</v>
      </c>
      <c r="B38" s="70">
        <f>B7</f>
        <v>44</v>
      </c>
      <c r="C38" s="70">
        <f>B38</f>
        <v>44</v>
      </c>
      <c r="D38" s="73">
        <f>'SDG Impacts'!$E$25*C7</f>
        <v>2068</v>
      </c>
    </row>
    <row r="39" spans="1:6" x14ac:dyDescent="0.35">
      <c r="A39" s="47" t="s">
        <v>13</v>
      </c>
      <c r="B39">
        <f t="shared" ref="B39:B42" si="3">B8</f>
        <v>0</v>
      </c>
      <c r="C39">
        <f>B39+C38</f>
        <v>44</v>
      </c>
      <c r="D39" s="74">
        <f>'SDG Impacts'!$E$25*C8</f>
        <v>2068</v>
      </c>
    </row>
    <row r="40" spans="1:6" x14ac:dyDescent="0.35">
      <c r="A40" s="47" t="s">
        <v>14</v>
      </c>
      <c r="B40">
        <f t="shared" si="3"/>
        <v>0</v>
      </c>
      <c r="C40">
        <f>B40+C39</f>
        <v>44</v>
      </c>
      <c r="D40" s="74">
        <f>'SDG Impacts'!$E$25*C9</f>
        <v>2068</v>
      </c>
    </row>
    <row r="41" spans="1:6" x14ac:dyDescent="0.35">
      <c r="A41" s="47" t="s">
        <v>15</v>
      </c>
      <c r="B41">
        <f t="shared" si="3"/>
        <v>20</v>
      </c>
      <c r="C41">
        <f>B41+C40</f>
        <v>64</v>
      </c>
      <c r="D41" s="74">
        <f>'SDG Impacts'!$E$25*C10</f>
        <v>3008</v>
      </c>
    </row>
    <row r="42" spans="1:6" ht="13.15" thickBot="1" x14ac:dyDescent="0.4">
      <c r="A42" s="48" t="s">
        <v>16</v>
      </c>
      <c r="B42" s="49">
        <f t="shared" si="3"/>
        <v>0</v>
      </c>
      <c r="C42" s="49">
        <f>B42+C41</f>
        <v>64</v>
      </c>
      <c r="D42" s="75">
        <f>'SDG Impacts'!$E$25*C11</f>
        <v>3008</v>
      </c>
    </row>
    <row r="43" spans="1:6" ht="13.15" x14ac:dyDescent="0.4">
      <c r="C43" s="152" t="s">
        <v>17</v>
      </c>
      <c r="D43" s="74">
        <f>D42</f>
        <v>3008</v>
      </c>
    </row>
    <row r="44" spans="1:6" ht="13.5" thickBot="1" x14ac:dyDescent="0.45">
      <c r="C44" s="135" t="s">
        <v>21</v>
      </c>
      <c r="D44" s="75">
        <f>AVERAGE(D38:D42)</f>
        <v>2444</v>
      </c>
    </row>
    <row r="46" spans="1:6" ht="13.15" thickBot="1" x14ac:dyDescent="0.4"/>
    <row r="47" spans="1:6" ht="15.4" thickBot="1" x14ac:dyDescent="0.45">
      <c r="A47" s="173" t="s">
        <v>25</v>
      </c>
      <c r="B47" s="174"/>
      <c r="C47" s="174"/>
      <c r="D47" s="175"/>
    </row>
    <row r="48" spans="1:6" ht="52.9" thickBot="1" x14ac:dyDescent="0.45">
      <c r="A48" s="54" t="s">
        <v>5</v>
      </c>
      <c r="B48" s="55" t="s">
        <v>6</v>
      </c>
      <c r="C48" s="55" t="s">
        <v>7</v>
      </c>
      <c r="D48" s="59" t="s">
        <v>26</v>
      </c>
      <c r="E48" s="59" t="s">
        <v>27</v>
      </c>
      <c r="F48" s="59" t="s">
        <v>28</v>
      </c>
    </row>
    <row r="49" spans="1:7" x14ac:dyDescent="0.35">
      <c r="A49" s="69" t="s">
        <v>12</v>
      </c>
      <c r="B49" s="70">
        <f>B18</f>
        <v>44</v>
      </c>
      <c r="C49" s="70">
        <f>B49</f>
        <v>44</v>
      </c>
      <c r="D49" s="73">
        <f>'SDG Impacts'!$E$51*C18</f>
        <v>2872.506645418393</v>
      </c>
      <c r="E49" s="94">
        <f>'SDG Impacts'!$E$49*C18</f>
        <v>3374.5760736570965</v>
      </c>
      <c r="F49" s="95">
        <f>E49-D49</f>
        <v>502.06942823870349</v>
      </c>
      <c r="G49" s="72"/>
    </row>
    <row r="50" spans="1:7" x14ac:dyDescent="0.35">
      <c r="A50" s="47" t="s">
        <v>13</v>
      </c>
      <c r="B50">
        <f t="shared" ref="B50:B53" si="4">B19</f>
        <v>0</v>
      </c>
      <c r="C50">
        <f>B50+C49</f>
        <v>44</v>
      </c>
      <c r="D50" s="74">
        <f>'SDG Impacts'!$E$51*C19</f>
        <v>2872.506645418393</v>
      </c>
      <c r="E50" s="96">
        <f>'SDG Impacts'!$E$49*C19</f>
        <v>3374.5760736570965</v>
      </c>
      <c r="F50" s="97">
        <f t="shared" ref="F50:F53" si="5">E50-D50</f>
        <v>502.06942823870349</v>
      </c>
    </row>
    <row r="51" spans="1:7" x14ac:dyDescent="0.35">
      <c r="A51" s="47" t="s">
        <v>14</v>
      </c>
      <c r="B51">
        <f t="shared" si="4"/>
        <v>0</v>
      </c>
      <c r="C51">
        <f>B51+C50</f>
        <v>44</v>
      </c>
      <c r="D51" s="74">
        <f>'SDG Impacts'!$E$51*C20</f>
        <v>2872.506645418393</v>
      </c>
      <c r="E51" s="96">
        <f>'SDG Impacts'!$E$49*C20</f>
        <v>3374.5760736570965</v>
      </c>
      <c r="F51" s="97">
        <f t="shared" si="5"/>
        <v>502.06942823870349</v>
      </c>
    </row>
    <row r="52" spans="1:7" x14ac:dyDescent="0.35">
      <c r="A52" s="47" t="s">
        <v>15</v>
      </c>
      <c r="B52">
        <f t="shared" si="4"/>
        <v>20</v>
      </c>
      <c r="C52">
        <f>B52+C51</f>
        <v>64</v>
      </c>
      <c r="D52" s="74">
        <f>'SDG Impacts'!$E$51*C21</f>
        <v>4178.1914842449351</v>
      </c>
      <c r="E52" s="96">
        <f>'SDG Impacts'!$E$49*C21</f>
        <v>4908.4742889557765</v>
      </c>
      <c r="F52" s="97">
        <f t="shared" si="5"/>
        <v>730.28280471084145</v>
      </c>
    </row>
    <row r="53" spans="1:7" ht="13.15" thickBot="1" x14ac:dyDescent="0.4">
      <c r="A53" s="48" t="s">
        <v>16</v>
      </c>
      <c r="B53" s="49">
        <f t="shared" si="4"/>
        <v>0</v>
      </c>
      <c r="C53" s="49">
        <f>B53+C52</f>
        <v>64</v>
      </c>
      <c r="D53" s="75">
        <f>'SDG Impacts'!$E$51*C22</f>
        <v>4178.1914842449351</v>
      </c>
      <c r="E53" s="98">
        <f>'SDG Impacts'!$E$49*C22</f>
        <v>4908.4742889557765</v>
      </c>
      <c r="F53" s="99">
        <f t="shared" si="5"/>
        <v>730.28280471084145</v>
      </c>
    </row>
    <row r="54" spans="1:7" ht="13.15" x14ac:dyDescent="0.4">
      <c r="C54" s="133" t="s">
        <v>17</v>
      </c>
      <c r="D54" s="134">
        <f>SUM(D49:D53)</f>
        <v>16973.902904745049</v>
      </c>
      <c r="E54" s="134">
        <f t="shared" ref="E54:F54" si="6">SUM(E49:E53)</f>
        <v>19940.676798882843</v>
      </c>
      <c r="F54" s="73">
        <f t="shared" si="6"/>
        <v>2966.7738941377934</v>
      </c>
    </row>
    <row r="55" spans="1:7" ht="13.5" thickBot="1" x14ac:dyDescent="0.45">
      <c r="C55" s="135" t="s">
        <v>21</v>
      </c>
      <c r="D55" s="71">
        <f>AVERAGE(D49:D53)</f>
        <v>3394.7805809490101</v>
      </c>
      <c r="E55" s="71">
        <f t="shared" ref="E55:F55" si="7">AVERAGE(E49:E53)</f>
        <v>3988.1353597765687</v>
      </c>
      <c r="F55" s="75">
        <f t="shared" si="7"/>
        <v>593.35477882755868</v>
      </c>
    </row>
    <row r="56" spans="1:7" x14ac:dyDescent="0.35">
      <c r="E56" s="72"/>
      <c r="F56" s="72"/>
    </row>
  </sheetData>
  <mergeCells count="5">
    <mergeCell ref="A5:I5"/>
    <mergeCell ref="A16:D16"/>
    <mergeCell ref="A26:D26"/>
    <mergeCell ref="A36:D36"/>
    <mergeCell ref="A47:D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48A59-BDFC-405B-A2B0-BE7E77C2748B}">
  <dimension ref="A2:K56"/>
  <sheetViews>
    <sheetView showGridLines="0" zoomScale="80" zoomScaleNormal="80" workbookViewId="0">
      <selection activeCell="J16" sqref="J16"/>
    </sheetView>
  </sheetViews>
  <sheetFormatPr defaultRowHeight="12.75" x14ac:dyDescent="0.35"/>
  <cols>
    <col min="1" max="1" width="14.265625" customWidth="1"/>
    <col min="2" max="2" width="17.86328125" customWidth="1"/>
    <col min="3" max="3" width="24.73046875" customWidth="1"/>
    <col min="4" max="4" width="23.86328125" bestFit="1" customWidth="1"/>
    <col min="5" max="5" width="20.796875" customWidth="1"/>
    <col min="6" max="6" width="11.59765625" customWidth="1"/>
    <col min="7" max="7" width="23.86328125" customWidth="1"/>
    <col min="8" max="8" width="11.86328125" customWidth="1"/>
    <col min="9" max="9" width="13.53125" customWidth="1"/>
    <col min="11" max="11" width="15.59765625" customWidth="1"/>
  </cols>
  <sheetData>
    <row r="2" spans="1:11" ht="14.25" x14ac:dyDescent="0.45">
      <c r="A2" s="25" t="s">
        <v>0</v>
      </c>
      <c r="B2" s="25" t="s">
        <v>1</v>
      </c>
      <c r="C2" s="25" t="s">
        <v>2</v>
      </c>
    </row>
    <row r="3" spans="1:11" ht="14.25" x14ac:dyDescent="0.45">
      <c r="A3" s="26" t="s">
        <v>3</v>
      </c>
      <c r="B3" s="27">
        <f>'SDWS Ex-Antes'!E68</f>
        <v>123</v>
      </c>
      <c r="C3" s="27">
        <f>10000/B3</f>
        <v>81.300813008130078</v>
      </c>
      <c r="E3" s="56"/>
      <c r="F3" s="56"/>
      <c r="G3" s="56"/>
      <c r="H3" s="1"/>
    </row>
    <row r="4" spans="1:11" ht="14.65" thickBot="1" x14ac:dyDescent="0.5">
      <c r="B4" s="1"/>
      <c r="C4" s="1"/>
      <c r="D4" s="1"/>
      <c r="E4" s="1"/>
      <c r="F4" s="1"/>
      <c r="G4" s="1"/>
      <c r="H4" s="1"/>
    </row>
    <row r="5" spans="1:11" s="137" customFormat="1" ht="17.25" customHeight="1" thickBot="1" x14ac:dyDescent="0.4">
      <c r="A5" s="176" t="s">
        <v>4</v>
      </c>
      <c r="B5" s="177"/>
      <c r="C5" s="177"/>
      <c r="D5" s="177"/>
      <c r="E5" s="177"/>
      <c r="F5" s="177"/>
      <c r="G5" s="177"/>
      <c r="H5" s="177"/>
      <c r="I5" s="178"/>
    </row>
    <row r="6" spans="1:11" s="137" customFormat="1" ht="43.5" customHeight="1" thickBot="1" x14ac:dyDescent="0.4">
      <c r="A6" s="155" t="s">
        <v>5</v>
      </c>
      <c r="B6" s="153" t="s">
        <v>6</v>
      </c>
      <c r="C6" s="153" t="s">
        <v>7</v>
      </c>
      <c r="D6" s="153" t="s">
        <v>8</v>
      </c>
      <c r="E6" s="153" t="s">
        <v>9</v>
      </c>
      <c r="F6" s="153" t="s">
        <v>10</v>
      </c>
      <c r="G6" s="153" t="s">
        <v>11</v>
      </c>
      <c r="H6" s="153" t="s">
        <v>195</v>
      </c>
      <c r="I6" s="154" t="s">
        <v>197</v>
      </c>
    </row>
    <row r="7" spans="1:11" x14ac:dyDescent="0.35">
      <c r="A7" s="69" t="s">
        <v>12</v>
      </c>
      <c r="B7" s="70">
        <v>132</v>
      </c>
      <c r="C7" s="70">
        <f>B7</f>
        <v>132</v>
      </c>
      <c r="D7" s="70">
        <v>1</v>
      </c>
      <c r="E7" s="134">
        <f>'SDWS Ex-Antes'!E63*D7*B7</f>
        <v>17028</v>
      </c>
      <c r="F7" s="70">
        <f>'SDWS Ex-Antes'!E64*B7*D7</f>
        <v>0</v>
      </c>
      <c r="G7" s="134">
        <f>'SDWS Ex-Antes'!E66*'Summary (Project)'!D7*'Summary (Project)'!B7</f>
        <v>792</v>
      </c>
      <c r="H7" s="134">
        <f>E7-F7-G7</f>
        <v>16236</v>
      </c>
      <c r="I7" s="73">
        <f>H7</f>
        <v>16236</v>
      </c>
      <c r="J7" s="72"/>
      <c r="K7" s="72"/>
    </row>
    <row r="8" spans="1:11" x14ac:dyDescent="0.35">
      <c r="A8" s="47" t="s">
        <v>13</v>
      </c>
      <c r="B8">
        <v>0</v>
      </c>
      <c r="C8">
        <f>B8+C7</f>
        <v>132</v>
      </c>
      <c r="D8">
        <v>1</v>
      </c>
      <c r="E8" s="50">
        <f>('SDWS Ex-Antes'!E63*D8*B8)+('SDWS Ex-Antes'!E63*B7)</f>
        <v>17028</v>
      </c>
      <c r="F8">
        <f>('SDWS Ex-Antes'!E64*D8*B8)+F7</f>
        <v>0</v>
      </c>
      <c r="G8" s="50">
        <f>('SDWS Ex-Antes'!E66*D8*B8)+('SDWS Ex-Antes'!E66*'Summary (Project)'!B7)</f>
        <v>792</v>
      </c>
      <c r="H8" s="50">
        <f>E8-F8-G8</f>
        <v>16236</v>
      </c>
      <c r="I8" s="74">
        <f t="shared" ref="I8:I9" si="0">H8</f>
        <v>16236</v>
      </c>
    </row>
    <row r="9" spans="1:11" x14ac:dyDescent="0.35">
      <c r="A9" s="47" t="s">
        <v>14</v>
      </c>
      <c r="B9">
        <v>0</v>
      </c>
      <c r="C9">
        <f>B9+C8</f>
        <v>132</v>
      </c>
      <c r="D9">
        <v>1</v>
      </c>
      <c r="E9" s="50">
        <f>('SDWS Ex-Antes'!E63*'Summary (Project)'!D9*'Summary (Project)'!B9)+((B7+B8)*'SDWS Ex-Antes'!E63)</f>
        <v>17028</v>
      </c>
      <c r="F9">
        <f>'SDWS Ex-Antes'!E64</f>
        <v>0</v>
      </c>
      <c r="G9" s="50">
        <f>('SDWS Ex-Antes'!E66*D9*B9)+('SDWS Ex-Antes'!E66*(B7+B8))</f>
        <v>792</v>
      </c>
      <c r="H9" s="50">
        <f>E9-F9-G9</f>
        <v>16236</v>
      </c>
      <c r="I9" s="74">
        <f t="shared" si="0"/>
        <v>16236</v>
      </c>
    </row>
    <row r="10" spans="1:11" x14ac:dyDescent="0.35">
      <c r="A10" s="47" t="s">
        <v>15</v>
      </c>
      <c r="B10">
        <v>60</v>
      </c>
      <c r="C10">
        <f>B10+C9</f>
        <v>192</v>
      </c>
      <c r="D10">
        <v>1</v>
      </c>
      <c r="E10" s="50">
        <f>('SDWS Ex-Antes'!E63*'Summary (Project)'!D10*'Summary (Project)'!B10)+((B7+B8+B9)*'SDWS Ex-Antes'!E63)</f>
        <v>24768</v>
      </c>
      <c r="F10">
        <f>'SDWS Ex-Antes'!E64</f>
        <v>0</v>
      </c>
      <c r="G10" s="50">
        <f>('SDWS Ex-Antes'!E66*D10*B10)+('SDWS Ex-Antes'!E66*(B7+B8+B9))</f>
        <v>1152</v>
      </c>
      <c r="H10" s="50">
        <f>E10-F10-G10</f>
        <v>23616</v>
      </c>
      <c r="I10" s="74">
        <v>30000</v>
      </c>
    </row>
    <row r="11" spans="1:11" ht="13.15" thickBot="1" x14ac:dyDescent="0.4">
      <c r="A11" s="48" t="s">
        <v>16</v>
      </c>
      <c r="B11" s="49">
        <v>0</v>
      </c>
      <c r="C11" s="49">
        <f>B11+C10</f>
        <v>192</v>
      </c>
      <c r="D11" s="49">
        <v>1</v>
      </c>
      <c r="E11" s="71">
        <f>('SDWS Ex-Antes'!E63*'Summary (Project)'!D11*'Summary (Project)'!B11)+((B7+B8+B9+B10)*'SDWS Ex-Antes'!E63)</f>
        <v>24768</v>
      </c>
      <c r="F11" s="49">
        <f>'SDWS Ex-Antes'!E64</f>
        <v>0</v>
      </c>
      <c r="G11" s="71">
        <f>('SDWS Ex-Antes'!E66*D11*B11)+('SDWS Ex-Antes'!E66*(B7+B8+B9+B10))</f>
        <v>1152</v>
      </c>
      <c r="H11" s="71">
        <f>E11-F11-G11</f>
        <v>23616</v>
      </c>
      <c r="I11" s="75">
        <v>30000</v>
      </c>
    </row>
    <row r="12" spans="1:11" ht="13.15" x14ac:dyDescent="0.4">
      <c r="D12" s="152" t="s">
        <v>17</v>
      </c>
      <c r="E12" s="50">
        <f>SUM(E7:E11)</f>
        <v>100620</v>
      </c>
      <c r="H12" s="50">
        <f>SUM(H7:H11)</f>
        <v>95940</v>
      </c>
      <c r="I12" s="74">
        <f>SUM(I7:I11)</f>
        <v>108708</v>
      </c>
    </row>
    <row r="13" spans="1:11" ht="13.5" thickBot="1" x14ac:dyDescent="0.45">
      <c r="D13" s="135" t="s">
        <v>18</v>
      </c>
      <c r="E13" s="71">
        <f>AVERAGE(E7:E11)</f>
        <v>20124</v>
      </c>
      <c r="F13" s="49"/>
      <c r="G13" s="49"/>
      <c r="H13" s="136">
        <f>AVERAGE(H7:H11)</f>
        <v>19188</v>
      </c>
      <c r="I13" s="99">
        <f>AVERAGE(I7:I11)</f>
        <v>21741.599999999999</v>
      </c>
    </row>
    <row r="15" spans="1:11" ht="13.15" thickBot="1" x14ac:dyDescent="0.4"/>
    <row r="16" spans="1:11" ht="31.5" customHeight="1" thickBot="1" x14ac:dyDescent="0.45">
      <c r="A16" s="173" t="s">
        <v>19</v>
      </c>
      <c r="B16" s="174"/>
      <c r="C16" s="174"/>
      <c r="D16" s="175"/>
    </row>
    <row r="17" spans="1:5" s="137" customFormat="1" ht="30.4" customHeight="1" thickBot="1" x14ac:dyDescent="0.4">
      <c r="A17" s="142" t="s">
        <v>5</v>
      </c>
      <c r="B17" s="139" t="s">
        <v>6</v>
      </c>
      <c r="C17" s="139" t="s">
        <v>7</v>
      </c>
      <c r="D17" s="143" t="s">
        <v>20</v>
      </c>
    </row>
    <row r="18" spans="1:5" x14ac:dyDescent="0.35">
      <c r="A18" s="47" t="s">
        <v>12</v>
      </c>
      <c r="B18">
        <f>B7</f>
        <v>132</v>
      </c>
      <c r="C18">
        <f>B18</f>
        <v>132</v>
      </c>
      <c r="D18" s="57">
        <f>'SDG Impacts'!$E$5</f>
        <v>0.47989999999999999</v>
      </c>
      <c r="E18" s="149"/>
    </row>
    <row r="19" spans="1:5" x14ac:dyDescent="0.35">
      <c r="A19" s="47" t="s">
        <v>13</v>
      </c>
      <c r="B19">
        <f t="shared" ref="B19:B22" si="1">B8</f>
        <v>0</v>
      </c>
      <c r="C19">
        <f>B19+C18</f>
        <v>132</v>
      </c>
      <c r="D19" s="57">
        <f>'SDG Impacts'!$E$5</f>
        <v>0.47989999999999999</v>
      </c>
      <c r="E19" s="149"/>
    </row>
    <row r="20" spans="1:5" x14ac:dyDescent="0.35">
      <c r="A20" s="47" t="s">
        <v>14</v>
      </c>
      <c r="B20">
        <f t="shared" si="1"/>
        <v>0</v>
      </c>
      <c r="C20">
        <f>B20+C19</f>
        <v>132</v>
      </c>
      <c r="D20" s="57">
        <f>'SDG Impacts'!$E$5</f>
        <v>0.47989999999999999</v>
      </c>
    </row>
    <row r="21" spans="1:5" x14ac:dyDescent="0.35">
      <c r="A21" s="47" t="s">
        <v>15</v>
      </c>
      <c r="B21">
        <f t="shared" si="1"/>
        <v>60</v>
      </c>
      <c r="C21">
        <f>B21+C20</f>
        <v>192</v>
      </c>
      <c r="D21" s="57">
        <f>'SDG Impacts'!$E$5</f>
        <v>0.47989999999999999</v>
      </c>
    </row>
    <row r="22" spans="1:5" ht="13.15" thickBot="1" x14ac:dyDescent="0.4">
      <c r="A22" s="48" t="s">
        <v>16</v>
      </c>
      <c r="B22" s="49">
        <f t="shared" si="1"/>
        <v>0</v>
      </c>
      <c r="C22" s="49">
        <f>B22+C21</f>
        <v>192</v>
      </c>
      <c r="D22" s="58">
        <f>'SDG Impacts'!$E$5</f>
        <v>0.47989999999999999</v>
      </c>
    </row>
    <row r="23" spans="1:5" ht="13.5" thickBot="1" x14ac:dyDescent="0.45">
      <c r="C23" s="140" t="s">
        <v>21</v>
      </c>
      <c r="D23" s="141">
        <f>AVERAGE(D18:D22)</f>
        <v>0.47989999999999994</v>
      </c>
    </row>
    <row r="25" spans="1:5" ht="13.15" thickBot="1" x14ac:dyDescent="0.4"/>
    <row r="26" spans="1:5" ht="34.15" customHeight="1" thickBot="1" x14ac:dyDescent="0.45">
      <c r="A26" s="173" t="s">
        <v>22</v>
      </c>
      <c r="B26" s="174"/>
      <c r="C26" s="174"/>
      <c r="D26" s="175"/>
    </row>
    <row r="27" spans="1:5" s="137" customFormat="1" ht="26.65" thickBot="1" x14ac:dyDescent="0.4">
      <c r="A27" s="142" t="s">
        <v>5</v>
      </c>
      <c r="B27" s="139" t="s">
        <v>6</v>
      </c>
      <c r="C27" s="139" t="s">
        <v>7</v>
      </c>
      <c r="D27" s="144" t="s">
        <v>23</v>
      </c>
    </row>
    <row r="28" spans="1:5" x14ac:dyDescent="0.35">
      <c r="A28" s="47" t="s">
        <v>12</v>
      </c>
      <c r="B28">
        <f>B7</f>
        <v>132</v>
      </c>
      <c r="C28">
        <f>B28</f>
        <v>132</v>
      </c>
      <c r="D28" s="57">
        <f>'SDG Impacts'!$E$14</f>
        <v>0.30674846625766872</v>
      </c>
    </row>
    <row r="29" spans="1:5" x14ac:dyDescent="0.35">
      <c r="A29" s="47" t="s">
        <v>13</v>
      </c>
      <c r="B29">
        <f t="shared" ref="B29:B32" si="2">B8</f>
        <v>0</v>
      </c>
      <c r="C29">
        <f>B29+C28</f>
        <v>132</v>
      </c>
      <c r="D29" s="57">
        <f>'SDG Impacts'!$E$14</f>
        <v>0.30674846625766872</v>
      </c>
    </row>
    <row r="30" spans="1:5" x14ac:dyDescent="0.35">
      <c r="A30" s="47" t="s">
        <v>14</v>
      </c>
      <c r="B30">
        <f t="shared" si="2"/>
        <v>0</v>
      </c>
      <c r="C30">
        <f>B30+C29</f>
        <v>132</v>
      </c>
      <c r="D30" s="57">
        <f>'SDG Impacts'!$E$14</f>
        <v>0.30674846625766872</v>
      </c>
    </row>
    <row r="31" spans="1:5" x14ac:dyDescent="0.35">
      <c r="A31" s="47" t="s">
        <v>15</v>
      </c>
      <c r="B31">
        <f t="shared" si="2"/>
        <v>60</v>
      </c>
      <c r="C31">
        <f>B31+C30</f>
        <v>192</v>
      </c>
      <c r="D31" s="57">
        <f>'SDG Impacts'!$E$14</f>
        <v>0.30674846625766872</v>
      </c>
    </row>
    <row r="32" spans="1:5" ht="13.15" thickBot="1" x14ac:dyDescent="0.4">
      <c r="A32" s="48" t="s">
        <v>16</v>
      </c>
      <c r="B32" s="49">
        <f t="shared" si="2"/>
        <v>0</v>
      </c>
      <c r="C32" s="49">
        <f>B32+C31</f>
        <v>192</v>
      </c>
      <c r="D32" s="58">
        <f>'SDG Impacts'!$E$14</f>
        <v>0.30674846625766872</v>
      </c>
    </row>
    <row r="33" spans="1:6" ht="13.5" thickBot="1" x14ac:dyDescent="0.45">
      <c r="C33" s="140" t="s">
        <v>21</v>
      </c>
      <c r="D33" s="141">
        <f>AVERAGE(D28:D32)</f>
        <v>0.30674846625766872</v>
      </c>
    </row>
    <row r="35" spans="1:6" ht="13.15" thickBot="1" x14ac:dyDescent="0.4"/>
    <row r="36" spans="1:6" ht="15.4" thickBot="1" x14ac:dyDescent="0.45">
      <c r="A36" s="173" t="s">
        <v>24</v>
      </c>
      <c r="B36" s="174"/>
      <c r="C36" s="174"/>
      <c r="D36" s="175"/>
    </row>
    <row r="37" spans="1:6" ht="26.65" thickBot="1" x14ac:dyDescent="0.45">
      <c r="A37" s="150" t="s">
        <v>5</v>
      </c>
      <c r="B37" s="151" t="s">
        <v>6</v>
      </c>
      <c r="C37" s="151" t="s">
        <v>7</v>
      </c>
      <c r="D37" s="87" t="s">
        <v>194</v>
      </c>
    </row>
    <row r="38" spans="1:6" x14ac:dyDescent="0.35">
      <c r="A38" s="69" t="s">
        <v>12</v>
      </c>
      <c r="B38" s="70">
        <f>B7</f>
        <v>132</v>
      </c>
      <c r="C38" s="70">
        <f>B38</f>
        <v>132</v>
      </c>
      <c r="D38" s="73">
        <f>'SDG Impacts'!$E$25*C7</f>
        <v>6204</v>
      </c>
    </row>
    <row r="39" spans="1:6" x14ac:dyDescent="0.35">
      <c r="A39" s="47" t="s">
        <v>13</v>
      </c>
      <c r="B39">
        <f t="shared" ref="B39:B42" si="3">B8</f>
        <v>0</v>
      </c>
      <c r="C39">
        <f>B39+C38</f>
        <v>132</v>
      </c>
      <c r="D39" s="74">
        <f>'SDG Impacts'!$E$25*C8</f>
        <v>6204</v>
      </c>
    </row>
    <row r="40" spans="1:6" x14ac:dyDescent="0.35">
      <c r="A40" s="47" t="s">
        <v>14</v>
      </c>
      <c r="B40">
        <f t="shared" si="3"/>
        <v>0</v>
      </c>
      <c r="C40">
        <f>B40+C39</f>
        <v>132</v>
      </c>
      <c r="D40" s="74">
        <f>'SDG Impacts'!$E$25*C9</f>
        <v>6204</v>
      </c>
    </row>
    <row r="41" spans="1:6" x14ac:dyDescent="0.35">
      <c r="A41" s="47" t="s">
        <v>15</v>
      </c>
      <c r="B41">
        <f t="shared" si="3"/>
        <v>60</v>
      </c>
      <c r="C41">
        <f>B41+C40</f>
        <v>192</v>
      </c>
      <c r="D41" s="74">
        <f>'SDG Impacts'!$E$25*C10</f>
        <v>9024</v>
      </c>
    </row>
    <row r="42" spans="1:6" ht="13.15" thickBot="1" x14ac:dyDescent="0.4">
      <c r="A42" s="48" t="s">
        <v>16</v>
      </c>
      <c r="B42" s="49">
        <f t="shared" si="3"/>
        <v>0</v>
      </c>
      <c r="C42" s="49">
        <f>B42+C41</f>
        <v>192</v>
      </c>
      <c r="D42" s="75">
        <f>'SDG Impacts'!$E$25*C11</f>
        <v>9024</v>
      </c>
    </row>
    <row r="43" spans="1:6" ht="13.15" x14ac:dyDescent="0.4">
      <c r="C43" s="152" t="s">
        <v>17</v>
      </c>
      <c r="D43" s="74">
        <f>D42</f>
        <v>9024</v>
      </c>
    </row>
    <row r="44" spans="1:6" ht="13.5" thickBot="1" x14ac:dyDescent="0.45">
      <c r="C44" s="135" t="s">
        <v>21</v>
      </c>
      <c r="D44" s="75">
        <f>AVERAGE(D38:D42)</f>
        <v>7332</v>
      </c>
    </row>
    <row r="46" spans="1:6" ht="13.15" thickBot="1" x14ac:dyDescent="0.4"/>
    <row r="47" spans="1:6" ht="15.4" thickBot="1" x14ac:dyDescent="0.45">
      <c r="A47" s="173" t="s">
        <v>25</v>
      </c>
      <c r="B47" s="174"/>
      <c r="C47" s="174"/>
      <c r="D47" s="175"/>
    </row>
    <row r="48" spans="1:6" ht="52.9" thickBot="1" x14ac:dyDescent="0.45">
      <c r="A48" s="54" t="s">
        <v>5</v>
      </c>
      <c r="B48" s="55" t="s">
        <v>6</v>
      </c>
      <c r="C48" s="55" t="s">
        <v>7</v>
      </c>
      <c r="D48" s="59" t="s">
        <v>26</v>
      </c>
      <c r="E48" s="59" t="s">
        <v>27</v>
      </c>
      <c r="F48" s="59" t="s">
        <v>28</v>
      </c>
    </row>
    <row r="49" spans="1:6" x14ac:dyDescent="0.35">
      <c r="A49" s="69" t="s">
        <v>12</v>
      </c>
      <c r="B49" s="70">
        <f>B18</f>
        <v>132</v>
      </c>
      <c r="C49" s="70">
        <f>B49</f>
        <v>132</v>
      </c>
      <c r="D49" s="73">
        <f>'SDG Impacts'!$E$51*C18</f>
        <v>8617.5199362551793</v>
      </c>
      <c r="E49" s="94">
        <f>'SDG Impacts'!$E$49*C18</f>
        <v>10123.728220971288</v>
      </c>
      <c r="F49" s="95">
        <f>E49-D49</f>
        <v>1506.2082847161091</v>
      </c>
    </row>
    <row r="50" spans="1:6" x14ac:dyDescent="0.35">
      <c r="A50" s="47" t="s">
        <v>13</v>
      </c>
      <c r="B50">
        <f t="shared" ref="B50:B53" si="4">B19</f>
        <v>0</v>
      </c>
      <c r="C50">
        <f>B50+C49</f>
        <v>132</v>
      </c>
      <c r="D50" s="74">
        <f>'SDG Impacts'!$E$51*C19</f>
        <v>8617.5199362551793</v>
      </c>
      <c r="E50" s="96">
        <f>'SDG Impacts'!$E$49*C19</f>
        <v>10123.728220971288</v>
      </c>
      <c r="F50" s="97">
        <f t="shared" ref="F50:F53" si="5">E50-D50</f>
        <v>1506.2082847161091</v>
      </c>
    </row>
    <row r="51" spans="1:6" x14ac:dyDescent="0.35">
      <c r="A51" s="47" t="s">
        <v>14</v>
      </c>
      <c r="B51">
        <f t="shared" si="4"/>
        <v>0</v>
      </c>
      <c r="C51">
        <f>B51+C50</f>
        <v>132</v>
      </c>
      <c r="D51" s="74">
        <f>'SDG Impacts'!$E$51*C20</f>
        <v>8617.5199362551793</v>
      </c>
      <c r="E51" s="96">
        <f>'SDG Impacts'!$E$49*C20</f>
        <v>10123.728220971288</v>
      </c>
      <c r="F51" s="97">
        <f t="shared" si="5"/>
        <v>1506.2082847161091</v>
      </c>
    </row>
    <row r="52" spans="1:6" x14ac:dyDescent="0.35">
      <c r="A52" s="47" t="s">
        <v>15</v>
      </c>
      <c r="B52">
        <f t="shared" si="4"/>
        <v>60</v>
      </c>
      <c r="C52">
        <f>B52+C51</f>
        <v>192</v>
      </c>
      <c r="D52" s="74">
        <f>'SDG Impacts'!$E$51*C21</f>
        <v>12534.574452734805</v>
      </c>
      <c r="E52" s="96">
        <f>'SDG Impacts'!$E$49*C21</f>
        <v>14725.42286686733</v>
      </c>
      <c r="F52" s="97">
        <f t="shared" si="5"/>
        <v>2190.8484141325243</v>
      </c>
    </row>
    <row r="53" spans="1:6" ht="13.15" thickBot="1" x14ac:dyDescent="0.4">
      <c r="A53" s="48" t="s">
        <v>16</v>
      </c>
      <c r="B53" s="49">
        <f t="shared" si="4"/>
        <v>0</v>
      </c>
      <c r="C53" s="49">
        <f>B53+C52</f>
        <v>192</v>
      </c>
      <c r="D53" s="75">
        <f>'SDG Impacts'!$E$51*C22</f>
        <v>12534.574452734805</v>
      </c>
      <c r="E53" s="98">
        <f>'SDG Impacts'!$E$49*C22</f>
        <v>14725.42286686733</v>
      </c>
      <c r="F53" s="99">
        <f t="shared" si="5"/>
        <v>2190.8484141325243</v>
      </c>
    </row>
    <row r="54" spans="1:6" ht="13.15" x14ac:dyDescent="0.4">
      <c r="C54" s="133" t="s">
        <v>17</v>
      </c>
      <c r="D54" s="134">
        <f>SUM(D49:D53)</f>
        <v>50921.708714235152</v>
      </c>
      <c r="E54" s="134">
        <f t="shared" ref="E54:F54" si="6">SUM(E49:E53)</f>
        <v>59822.03039664853</v>
      </c>
      <c r="F54" s="73">
        <f t="shared" si="6"/>
        <v>8900.321682413376</v>
      </c>
    </row>
    <row r="55" spans="1:6" ht="13.5" thickBot="1" x14ac:dyDescent="0.45">
      <c r="C55" s="135" t="s">
        <v>21</v>
      </c>
      <c r="D55" s="71">
        <f>AVERAGE(D49:D53)</f>
        <v>10184.341742847031</v>
      </c>
      <c r="E55" s="71">
        <f t="shared" ref="E55:F55" si="7">AVERAGE(E49:E53)</f>
        <v>11964.406079329707</v>
      </c>
      <c r="F55" s="75">
        <f t="shared" si="7"/>
        <v>1780.0643364826751</v>
      </c>
    </row>
    <row r="56" spans="1:6" x14ac:dyDescent="0.35">
      <c r="E56" s="72"/>
      <c r="F56" s="72"/>
    </row>
  </sheetData>
  <mergeCells count="5">
    <mergeCell ref="A36:D36"/>
    <mergeCell ref="A5:I5"/>
    <mergeCell ref="A16:D16"/>
    <mergeCell ref="A26:D26"/>
    <mergeCell ref="A47:D47"/>
  </mergeCells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306FC-5FC3-415F-948D-9DA4B9F01897}">
  <dimension ref="A2:R103"/>
  <sheetViews>
    <sheetView showGridLines="0" tabSelected="1" zoomScale="85" zoomScaleNormal="85" workbookViewId="0">
      <selection activeCell="E36" sqref="E36"/>
    </sheetView>
  </sheetViews>
  <sheetFormatPr defaultColWidth="8.86328125" defaultRowHeight="14.25" x14ac:dyDescent="0.45"/>
  <cols>
    <col min="1" max="1" width="8.33203125" style="2" customWidth="1"/>
    <col min="2" max="2" width="8.19921875" style="2" customWidth="1"/>
    <col min="3" max="3" width="8.86328125" style="2"/>
    <col min="4" max="4" width="82.59765625" style="2" customWidth="1"/>
    <col min="5" max="5" width="10.53125" style="2" customWidth="1"/>
    <col min="6" max="6" width="20.86328125" style="2" bestFit="1" customWidth="1"/>
    <col min="7" max="7" width="25.86328125" style="2" customWidth="1"/>
    <col min="8" max="8" width="8.1328125" style="84" customWidth="1"/>
    <col min="9" max="9" width="13.59765625" style="2" bestFit="1" customWidth="1"/>
    <col min="10" max="10" width="8.86328125" style="2"/>
    <col min="11" max="11" width="9" style="2" bestFit="1" customWidth="1"/>
    <col min="12" max="12" width="10.1328125" style="2" bestFit="1" customWidth="1"/>
    <col min="13" max="13" width="9" style="2" bestFit="1" customWidth="1"/>
    <col min="14" max="14" width="9.86328125" style="2" bestFit="1" customWidth="1"/>
    <col min="15" max="15" width="9" style="2" bestFit="1" customWidth="1"/>
    <col min="16" max="16" width="8.86328125" style="2"/>
    <col min="17" max="18" width="9" style="2" bestFit="1" customWidth="1"/>
    <col min="19" max="16384" width="8.86328125" style="2"/>
  </cols>
  <sheetData>
    <row r="2" spans="2:10" x14ac:dyDescent="0.45">
      <c r="B2" s="186" t="s">
        <v>29</v>
      </c>
      <c r="C2" s="186"/>
      <c r="D2" s="186"/>
      <c r="E2" s="186"/>
      <c r="G2" s="185" t="s">
        <v>30</v>
      </c>
      <c r="H2" s="185"/>
      <c r="I2" s="185"/>
    </row>
    <row r="4" spans="2:10" ht="15.75" x14ac:dyDescent="0.45">
      <c r="B4" s="180" t="s">
        <v>31</v>
      </c>
      <c r="C4" s="180"/>
      <c r="D4" s="180"/>
      <c r="E4" s="180"/>
      <c r="G4" s="4" t="s">
        <v>32</v>
      </c>
      <c r="H4" s="83"/>
      <c r="I4" s="4">
        <v>1</v>
      </c>
    </row>
    <row r="5" spans="2:10" ht="18" x14ac:dyDescent="0.45">
      <c r="B5" s="5"/>
      <c r="C5" s="6" t="s">
        <v>33</v>
      </c>
      <c r="D5" s="6" t="s">
        <v>34</v>
      </c>
      <c r="E5" s="19">
        <f>ROUNDDOWN(E12*(1-E6-E7)*E8*E9,0)</f>
        <v>129</v>
      </c>
      <c r="F5" s="2" t="s">
        <v>35</v>
      </c>
      <c r="G5" s="4" t="s">
        <v>36</v>
      </c>
      <c r="H5" s="83"/>
      <c r="I5" s="81">
        <f>I4*(I8*I7)</f>
        <v>379.46480000000003</v>
      </c>
    </row>
    <row r="6" spans="2:10" ht="31.5" x14ac:dyDescent="0.45">
      <c r="B6" s="5"/>
      <c r="C6" s="6" t="s">
        <v>33</v>
      </c>
      <c r="D6" s="6" t="s">
        <v>37</v>
      </c>
      <c r="E6" s="64">
        <f>0.0542</f>
        <v>5.4199999999999998E-2</v>
      </c>
      <c r="F6" s="2" t="s">
        <v>38</v>
      </c>
      <c r="G6" s="4" t="s">
        <v>39</v>
      </c>
      <c r="H6" s="83"/>
      <c r="I6" s="81">
        <v>5388.5</v>
      </c>
      <c r="J6" s="2" t="s">
        <v>40</v>
      </c>
    </row>
    <row r="7" spans="2:10" ht="15.75" x14ac:dyDescent="0.45">
      <c r="B7" s="5"/>
      <c r="C7" s="6" t="s">
        <v>33</v>
      </c>
      <c r="D7" s="6" t="s">
        <v>41</v>
      </c>
      <c r="E7" s="77">
        <v>0</v>
      </c>
      <c r="F7" s="2" t="s">
        <v>42</v>
      </c>
      <c r="G7" s="4" t="s">
        <v>43</v>
      </c>
      <c r="H7" s="83" t="s">
        <v>44</v>
      </c>
      <c r="I7" s="82">
        <v>6.82</v>
      </c>
      <c r="J7" s="2" t="s">
        <v>199</v>
      </c>
    </row>
    <row r="8" spans="2:10" ht="15.75" x14ac:dyDescent="0.45">
      <c r="B8" s="5"/>
      <c r="C8" s="6" t="s">
        <v>33</v>
      </c>
      <c r="D8" s="6" t="s">
        <v>46</v>
      </c>
      <c r="E8" s="88">
        <f>MIN(E32,E33)</f>
        <v>526317.67760000005</v>
      </c>
      <c r="F8" s="2" t="s">
        <v>35</v>
      </c>
      <c r="G8" s="4" t="s">
        <v>47</v>
      </c>
      <c r="H8" s="83" t="s">
        <v>48</v>
      </c>
      <c r="I8" s="68">
        <v>55.64</v>
      </c>
      <c r="J8" s="2" t="s">
        <v>49</v>
      </c>
    </row>
    <row r="9" spans="2:10" ht="15.75" x14ac:dyDescent="0.45">
      <c r="B9" s="5"/>
      <c r="C9" s="6" t="s">
        <v>33</v>
      </c>
      <c r="D9" s="6" t="s">
        <v>50</v>
      </c>
      <c r="E9" s="65">
        <f>I13</f>
        <v>0.9</v>
      </c>
      <c r="F9" s="2" t="s">
        <v>42</v>
      </c>
    </row>
    <row r="10" spans="2:10" x14ac:dyDescent="0.45">
      <c r="G10" s="185" t="s">
        <v>51</v>
      </c>
      <c r="H10" s="185"/>
      <c r="I10" s="185"/>
      <c r="J10" s="2" t="s">
        <v>200</v>
      </c>
    </row>
    <row r="11" spans="2:10" ht="15.75" x14ac:dyDescent="0.45">
      <c r="B11" s="180" t="s">
        <v>52</v>
      </c>
      <c r="C11" s="180"/>
      <c r="D11" s="180"/>
      <c r="E11" s="180"/>
    </row>
    <row r="12" spans="2:10" ht="18" x14ac:dyDescent="0.45">
      <c r="B12" s="5"/>
      <c r="C12" s="6" t="s">
        <v>33</v>
      </c>
      <c r="D12" s="6" t="s">
        <v>53</v>
      </c>
      <c r="E12" s="60">
        <f>E13*((E14*(E16*E20+E18))+((E15*(E17*E20+E19))))/10^9</f>
        <v>2.8873616600000004E-4</v>
      </c>
      <c r="F12" s="2" t="s">
        <v>35</v>
      </c>
      <c r="G12" s="4" t="s">
        <v>54</v>
      </c>
      <c r="H12" s="83"/>
      <c r="I12" s="78">
        <f>0.0542</f>
        <v>5.4199999999999998E-2</v>
      </c>
      <c r="J12" s="2" t="s">
        <v>45</v>
      </c>
    </row>
    <row r="13" spans="2:10" ht="15.75" x14ac:dyDescent="0.45">
      <c r="B13" s="5"/>
      <c r="C13" s="6" t="s">
        <v>33</v>
      </c>
      <c r="D13" s="6" t="s">
        <v>55</v>
      </c>
      <c r="E13" s="4">
        <f>E25/E28</f>
        <v>3608.2999999999997</v>
      </c>
      <c r="F13" s="2" t="s">
        <v>35</v>
      </c>
      <c r="G13" s="4" t="s">
        <v>56</v>
      </c>
      <c r="H13" s="83"/>
      <c r="I13" s="79">
        <v>0.9</v>
      </c>
      <c r="J13" s="2" t="s">
        <v>57</v>
      </c>
    </row>
    <row r="14" spans="2:10" ht="15.75" x14ac:dyDescent="0.45">
      <c r="B14" s="5"/>
      <c r="C14" s="6" t="s">
        <v>33</v>
      </c>
      <c r="D14" s="6" t="s">
        <v>58</v>
      </c>
      <c r="E14" s="78">
        <v>1</v>
      </c>
      <c r="F14" s="2" t="s">
        <v>38</v>
      </c>
      <c r="G14" s="4" t="s">
        <v>59</v>
      </c>
      <c r="H14" s="83"/>
      <c r="I14" s="79">
        <v>0.95</v>
      </c>
      <c r="J14" s="2" t="s">
        <v>60</v>
      </c>
    </row>
    <row r="15" spans="2:10" ht="15.75" x14ac:dyDescent="0.45">
      <c r="B15" s="5"/>
      <c r="C15" s="6" t="s">
        <v>33</v>
      </c>
      <c r="D15" s="6" t="s">
        <v>61</v>
      </c>
      <c r="E15" s="78">
        <v>0</v>
      </c>
      <c r="F15" s="2" t="s">
        <v>38</v>
      </c>
      <c r="G15" s="4" t="s">
        <v>62</v>
      </c>
      <c r="H15" s="83"/>
      <c r="I15" s="66">
        <v>1</v>
      </c>
    </row>
    <row r="16" spans="2:10" ht="18" x14ac:dyDescent="0.45">
      <c r="B16" s="5"/>
      <c r="C16" s="6" t="s">
        <v>33</v>
      </c>
      <c r="D16" s="6" t="s">
        <v>63</v>
      </c>
      <c r="E16" s="4">
        <v>112</v>
      </c>
      <c r="F16" s="2" t="s">
        <v>64</v>
      </c>
      <c r="G16" s="4" t="s">
        <v>65</v>
      </c>
      <c r="H16" s="83"/>
      <c r="I16" s="66">
        <v>0</v>
      </c>
    </row>
    <row r="17" spans="2:14" ht="18" x14ac:dyDescent="0.45">
      <c r="B17" s="5"/>
      <c r="C17" s="6" t="s">
        <v>33</v>
      </c>
      <c r="D17" s="6" t="s">
        <v>66</v>
      </c>
      <c r="E17" s="4">
        <v>165.22</v>
      </c>
      <c r="F17" s="2" t="s">
        <v>64</v>
      </c>
      <c r="G17" s="4" t="s">
        <v>67</v>
      </c>
      <c r="H17" s="83"/>
      <c r="I17" s="65">
        <v>0.95</v>
      </c>
    </row>
    <row r="18" spans="2:14" ht="36" x14ac:dyDescent="0.45">
      <c r="B18" s="5"/>
      <c r="C18" s="6" t="s">
        <v>33</v>
      </c>
      <c r="D18" s="6" t="s">
        <v>68</v>
      </c>
      <c r="E18" s="4">
        <v>9.4600000000000009</v>
      </c>
      <c r="F18" s="2" t="s">
        <v>64</v>
      </c>
      <c r="G18" s="4" t="s">
        <v>69</v>
      </c>
      <c r="H18" s="83"/>
      <c r="I18" s="80">
        <v>1</v>
      </c>
      <c r="J18" s="2" t="s">
        <v>45</v>
      </c>
    </row>
    <row r="19" spans="2:14" ht="36" x14ac:dyDescent="0.45">
      <c r="B19" s="5"/>
      <c r="C19" s="6" t="s">
        <v>33</v>
      </c>
      <c r="D19" s="6" t="s">
        <v>70</v>
      </c>
      <c r="E19" s="4">
        <v>44.83</v>
      </c>
      <c r="F19" s="2" t="s">
        <v>64</v>
      </c>
      <c r="G19" s="4" t="s">
        <v>71</v>
      </c>
      <c r="H19" s="83"/>
      <c r="I19" s="80">
        <v>0</v>
      </c>
      <c r="J19" s="2" t="s">
        <v>45</v>
      </c>
    </row>
    <row r="20" spans="2:14" ht="47.25" x14ac:dyDescent="0.45">
      <c r="B20" s="5"/>
      <c r="C20" s="6" t="s">
        <v>33</v>
      </c>
      <c r="D20" s="6" t="s">
        <v>72</v>
      </c>
      <c r="E20" s="76">
        <v>0.63</v>
      </c>
      <c r="F20" s="2" t="s">
        <v>73</v>
      </c>
      <c r="G20" s="4" t="s">
        <v>74</v>
      </c>
      <c r="H20" s="83"/>
      <c r="I20" s="63">
        <f>E68/I5</f>
        <v>0.32414073716455383</v>
      </c>
    </row>
    <row r="21" spans="2:14" ht="15.75" x14ac:dyDescent="0.45">
      <c r="B21" s="8" t="s">
        <v>75</v>
      </c>
      <c r="C21" s="6" t="s">
        <v>33</v>
      </c>
      <c r="D21" s="6" t="s">
        <v>76</v>
      </c>
      <c r="E21" s="66">
        <f>I15</f>
        <v>1</v>
      </c>
      <c r="F21" s="2" t="s">
        <v>38</v>
      </c>
    </row>
    <row r="22" spans="2:14" ht="15.75" x14ac:dyDescent="0.45">
      <c r="B22" s="8" t="s">
        <v>75</v>
      </c>
      <c r="C22" s="6" t="s">
        <v>33</v>
      </c>
      <c r="D22" s="6" t="s">
        <v>77</v>
      </c>
      <c r="E22" s="66">
        <f>I16</f>
        <v>0</v>
      </c>
      <c r="F22" s="2" t="s">
        <v>38</v>
      </c>
    </row>
    <row r="24" spans="2:14" ht="15.75" x14ac:dyDescent="0.45">
      <c r="B24" s="180" t="s">
        <v>78</v>
      </c>
      <c r="C24" s="180"/>
      <c r="D24" s="180"/>
      <c r="E24" s="180"/>
    </row>
    <row r="25" spans="2:14" ht="15.75" x14ac:dyDescent="0.45">
      <c r="B25" s="16">
        <v>360.83</v>
      </c>
      <c r="C25" s="6" t="s">
        <v>33</v>
      </c>
      <c r="D25" s="17" t="s">
        <v>79</v>
      </c>
      <c r="E25" s="18">
        <v>360.83</v>
      </c>
      <c r="F25" s="2" t="s">
        <v>80</v>
      </c>
    </row>
    <row r="26" spans="2:14" ht="15.75" x14ac:dyDescent="0.45">
      <c r="B26" s="5"/>
      <c r="C26" s="6" t="s">
        <v>33</v>
      </c>
      <c r="D26" s="6" t="s">
        <v>81</v>
      </c>
      <c r="E26" s="4">
        <v>0.1</v>
      </c>
      <c r="F26" s="2" t="s">
        <v>80</v>
      </c>
      <c r="K26" s="23"/>
    </row>
    <row r="27" spans="2:14" ht="15.75" x14ac:dyDescent="0.45">
      <c r="B27" s="5"/>
      <c r="C27" s="6" t="s">
        <v>33</v>
      </c>
      <c r="D27" s="6" t="s">
        <v>82</v>
      </c>
      <c r="E27" s="4">
        <v>0.2</v>
      </c>
      <c r="F27" s="2" t="s">
        <v>80</v>
      </c>
      <c r="K27" s="23"/>
    </row>
    <row r="28" spans="2:14" ht="15.75" x14ac:dyDescent="0.45">
      <c r="B28" s="5"/>
      <c r="C28" s="6"/>
      <c r="D28" s="6" t="s">
        <v>83</v>
      </c>
      <c r="E28" s="67">
        <f>(E26*I18)+(E27*I19)</f>
        <v>0.1</v>
      </c>
      <c r="F28" s="2" t="s">
        <v>35</v>
      </c>
      <c r="K28" s="23"/>
    </row>
    <row r="29" spans="2:14" ht="15.75" x14ac:dyDescent="0.45">
      <c r="B29" s="28"/>
      <c r="C29" s="29"/>
      <c r="D29" s="29"/>
      <c r="K29" s="23"/>
    </row>
    <row r="31" spans="2:14" ht="15.75" x14ac:dyDescent="0.45">
      <c r="B31" s="182" t="s">
        <v>84</v>
      </c>
      <c r="C31" s="183"/>
      <c r="D31" s="183"/>
      <c r="E31" s="184"/>
      <c r="K31" s="24"/>
      <c r="L31" s="7"/>
    </row>
    <row r="32" spans="2:14" ht="15.75" x14ac:dyDescent="0.45">
      <c r="B32" s="5"/>
      <c r="C32" s="6" t="s">
        <v>33</v>
      </c>
      <c r="D32" s="6" t="s">
        <v>85</v>
      </c>
      <c r="E32" s="89">
        <f>I4*I6*E39</f>
        <v>1868462.375</v>
      </c>
      <c r="F32" s="2" t="s">
        <v>86</v>
      </c>
      <c r="N32" s="7"/>
    </row>
    <row r="33" spans="2:14" ht="15.75" x14ac:dyDescent="0.45">
      <c r="B33" s="5"/>
      <c r="C33" s="6" t="s">
        <v>33</v>
      </c>
      <c r="D33" s="6" t="s">
        <v>87</v>
      </c>
      <c r="E33" s="89">
        <f>I8*I7*E38*E39</f>
        <v>526317.67760000005</v>
      </c>
      <c r="F33" s="2" t="s">
        <v>35</v>
      </c>
      <c r="N33" s="7"/>
    </row>
    <row r="35" spans="2:14" ht="15.75" x14ac:dyDescent="0.45">
      <c r="B35" s="182" t="s">
        <v>88</v>
      </c>
      <c r="C35" s="183"/>
      <c r="D35" s="183"/>
      <c r="E35" s="184"/>
    </row>
    <row r="36" spans="2:14" ht="15.75" x14ac:dyDescent="0.45">
      <c r="B36" s="5"/>
      <c r="C36" s="6" t="s">
        <v>33</v>
      </c>
      <c r="D36" s="6" t="s">
        <v>89</v>
      </c>
      <c r="E36" s="89">
        <f>I8</f>
        <v>55.64</v>
      </c>
      <c r="F36" s="2" t="s">
        <v>38</v>
      </c>
      <c r="M36" s="9"/>
    </row>
    <row r="37" spans="2:14" ht="15.75" x14ac:dyDescent="0.45">
      <c r="B37" s="5"/>
      <c r="C37" s="6" t="s">
        <v>33</v>
      </c>
      <c r="D37" s="6" t="s">
        <v>90</v>
      </c>
      <c r="E37" s="18">
        <f>I7</f>
        <v>6.82</v>
      </c>
      <c r="F37" s="2" t="s">
        <v>38</v>
      </c>
      <c r="K37" s="3"/>
      <c r="M37" s="9"/>
    </row>
    <row r="38" spans="2:14" ht="47.25" x14ac:dyDescent="0.45">
      <c r="B38" s="5"/>
      <c r="C38" s="6" t="s">
        <v>33</v>
      </c>
      <c r="D38" s="6" t="s">
        <v>91</v>
      </c>
      <c r="E38" s="4">
        <v>4</v>
      </c>
      <c r="F38" s="2" t="s">
        <v>92</v>
      </c>
      <c r="M38" s="9"/>
    </row>
    <row r="39" spans="2:14" ht="19.5" customHeight="1" x14ac:dyDescent="0.45">
      <c r="B39" s="5"/>
      <c r="C39" s="6" t="s">
        <v>33</v>
      </c>
      <c r="D39" s="6" t="s">
        <v>93</v>
      </c>
      <c r="E39" s="4">
        <f>365*I17</f>
        <v>346.75</v>
      </c>
      <c r="F39" s="2" t="s">
        <v>35</v>
      </c>
      <c r="M39" s="9"/>
    </row>
    <row r="40" spans="2:14" x14ac:dyDescent="0.45">
      <c r="M40" s="9"/>
    </row>
    <row r="41" spans="2:14" x14ac:dyDescent="0.45">
      <c r="B41" s="181" t="s">
        <v>94</v>
      </c>
      <c r="C41" s="181"/>
      <c r="D41" s="181"/>
      <c r="E41" s="181"/>
      <c r="M41" s="7"/>
    </row>
    <row r="42" spans="2:14" ht="15.75" x14ac:dyDescent="0.45">
      <c r="B42" s="3"/>
    </row>
    <row r="43" spans="2:14" ht="15.75" x14ac:dyDescent="0.45">
      <c r="B43" s="180" t="s">
        <v>95</v>
      </c>
      <c r="C43" s="180"/>
      <c r="D43" s="180"/>
      <c r="E43" s="180"/>
      <c r="M43" s="11"/>
    </row>
    <row r="44" spans="2:14" ht="18" x14ac:dyDescent="0.45">
      <c r="B44" s="5"/>
      <c r="C44" s="6" t="s">
        <v>33</v>
      </c>
      <c r="D44" s="6" t="s">
        <v>96</v>
      </c>
      <c r="E44" s="4">
        <f>E45+E46</f>
        <v>0</v>
      </c>
      <c r="F44" s="2" t="s">
        <v>35</v>
      </c>
      <c r="N44" s="12"/>
    </row>
    <row r="45" spans="2:14" ht="18" x14ac:dyDescent="0.45">
      <c r="B45" s="22"/>
      <c r="C45" s="6" t="s">
        <v>33</v>
      </c>
      <c r="D45" s="6" t="s">
        <v>97</v>
      </c>
      <c r="E45" s="4">
        <f>E49*E50*E52</f>
        <v>0</v>
      </c>
      <c r="F45" s="2" t="s">
        <v>35</v>
      </c>
      <c r="N45" s="7"/>
    </row>
    <row r="46" spans="2:14" ht="18" x14ac:dyDescent="0.45">
      <c r="B46" s="22"/>
      <c r="C46" s="6" t="s">
        <v>33</v>
      </c>
      <c r="D46" s="6" t="s">
        <v>98</v>
      </c>
      <c r="E46" s="4">
        <f>E56*E57</f>
        <v>0</v>
      </c>
      <c r="F46" s="2" t="s">
        <v>35</v>
      </c>
    </row>
    <row r="48" spans="2:14" ht="15.75" x14ac:dyDescent="0.45">
      <c r="B48" s="180" t="s">
        <v>99</v>
      </c>
      <c r="C48" s="180"/>
      <c r="D48" s="180"/>
      <c r="E48" s="180"/>
    </row>
    <row r="49" spans="2:16" ht="15.75" x14ac:dyDescent="0.45">
      <c r="B49" s="5"/>
      <c r="C49" s="6" t="s">
        <v>33</v>
      </c>
      <c r="D49" s="6" t="s">
        <v>100</v>
      </c>
      <c r="E49" s="4">
        <v>0</v>
      </c>
      <c r="F49" s="2" t="s">
        <v>35</v>
      </c>
    </row>
    <row r="50" spans="2:16" ht="15.75" x14ac:dyDescent="0.45">
      <c r="B50" s="22"/>
      <c r="C50" s="6" t="s">
        <v>33</v>
      </c>
      <c r="D50" s="6" t="s">
        <v>101</v>
      </c>
      <c r="E50" s="4">
        <f>'SDG Impacts'!I38</f>
        <v>1.5599999999999999E-2</v>
      </c>
      <c r="F50" s="13" t="s">
        <v>64</v>
      </c>
      <c r="G50" s="7"/>
      <c r="H50" s="85"/>
    </row>
    <row r="51" spans="2:16" ht="15.75" x14ac:dyDescent="0.45">
      <c r="B51" s="22"/>
      <c r="C51" s="6"/>
      <c r="D51" s="6" t="s">
        <v>102</v>
      </c>
      <c r="E51" s="4">
        <f>'SDG Impacts'!I40</f>
        <v>2.9499999999999998E-2</v>
      </c>
      <c r="F51" s="13" t="s">
        <v>64</v>
      </c>
      <c r="G51" s="7"/>
      <c r="H51" s="85"/>
    </row>
    <row r="52" spans="2:16" ht="18" x14ac:dyDescent="0.45">
      <c r="B52" s="22"/>
      <c r="C52" s="6" t="s">
        <v>33</v>
      </c>
      <c r="D52" s="6" t="s">
        <v>103</v>
      </c>
      <c r="E52" s="4">
        <v>112</v>
      </c>
      <c r="F52" s="13" t="s">
        <v>64</v>
      </c>
    </row>
    <row r="53" spans="2:16" ht="18" x14ac:dyDescent="0.45">
      <c r="B53" s="22"/>
      <c r="C53" s="6" t="s">
        <v>33</v>
      </c>
      <c r="D53" s="6" t="s">
        <v>104</v>
      </c>
      <c r="E53" s="4">
        <v>112</v>
      </c>
      <c r="F53" s="13" t="s">
        <v>64</v>
      </c>
    </row>
    <row r="55" spans="2:16" ht="15.75" x14ac:dyDescent="0.45">
      <c r="B55" s="180" t="s">
        <v>105</v>
      </c>
      <c r="C55" s="180"/>
      <c r="D55" s="180"/>
      <c r="E55" s="180"/>
      <c r="K55" s="3"/>
    </row>
    <row r="56" spans="2:16" ht="15.75" x14ac:dyDescent="0.45">
      <c r="B56" s="5"/>
      <c r="C56" s="6" t="s">
        <v>33</v>
      </c>
      <c r="D56" s="6" t="s">
        <v>106</v>
      </c>
      <c r="E56" s="4">
        <v>0</v>
      </c>
      <c r="F56" s="2" t="s">
        <v>35</v>
      </c>
    </row>
    <row r="57" spans="2:16" ht="18" x14ac:dyDescent="0.45">
      <c r="B57" s="22"/>
      <c r="C57" s="6" t="s">
        <v>33</v>
      </c>
      <c r="D57" s="53" t="s">
        <v>107</v>
      </c>
      <c r="E57" s="4">
        <v>8.0000000000000004E-4</v>
      </c>
      <c r="F57" s="2" t="s">
        <v>108</v>
      </c>
    </row>
    <row r="58" spans="2:16" ht="15.75" x14ac:dyDescent="0.45">
      <c r="B58" s="22"/>
      <c r="C58" s="51" t="s">
        <v>33</v>
      </c>
      <c r="D58" s="4" t="s">
        <v>109</v>
      </c>
      <c r="E58" s="52">
        <v>0.2</v>
      </c>
      <c r="F58" s="2" t="s">
        <v>108</v>
      </c>
    </row>
    <row r="60" spans="2:16" x14ac:dyDescent="0.45">
      <c r="B60" s="179" t="s">
        <v>110</v>
      </c>
      <c r="C60" s="179"/>
      <c r="D60" s="179"/>
      <c r="E60" s="179"/>
    </row>
    <row r="61" spans="2:16" ht="15.75" x14ac:dyDescent="0.45">
      <c r="B61" s="3"/>
    </row>
    <row r="62" spans="2:16" ht="15.75" x14ac:dyDescent="0.45">
      <c r="B62" s="180" t="s">
        <v>111</v>
      </c>
      <c r="C62" s="180"/>
      <c r="D62" s="180"/>
      <c r="E62" s="180"/>
      <c r="I62" s="3"/>
    </row>
    <row r="63" spans="2:16" ht="18" x14ac:dyDescent="0.45">
      <c r="B63" s="5"/>
      <c r="C63" s="6" t="s">
        <v>33</v>
      </c>
      <c r="D63" s="6" t="s">
        <v>34</v>
      </c>
      <c r="E63" s="90">
        <f>ROUNDDOWN(E5,0)</f>
        <v>129</v>
      </c>
      <c r="F63" s="2" t="s">
        <v>35</v>
      </c>
    </row>
    <row r="64" spans="2:16" ht="18" x14ac:dyDescent="0.45">
      <c r="B64" s="5"/>
      <c r="C64" s="6" t="s">
        <v>33</v>
      </c>
      <c r="D64" s="6" t="s">
        <v>96</v>
      </c>
      <c r="E64" s="91">
        <f>E44</f>
        <v>0</v>
      </c>
      <c r="F64" s="2" t="s">
        <v>35</v>
      </c>
      <c r="N64" s="14"/>
      <c r="O64" s="14"/>
      <c r="P64" s="14"/>
    </row>
    <row r="65" spans="1:18" ht="15.75" x14ac:dyDescent="0.45">
      <c r="B65" s="20" t="s">
        <v>112</v>
      </c>
      <c r="C65" s="4" t="s">
        <v>33</v>
      </c>
      <c r="D65" s="4" t="s">
        <v>113</v>
      </c>
      <c r="E65" s="91">
        <v>0.95</v>
      </c>
      <c r="F65" s="2" t="s">
        <v>114</v>
      </c>
      <c r="N65" s="14"/>
      <c r="O65" s="14"/>
      <c r="P65" s="14"/>
    </row>
    <row r="66" spans="1:18" ht="15.75" x14ac:dyDescent="0.45">
      <c r="B66" s="20" t="s">
        <v>112</v>
      </c>
      <c r="C66" s="4" t="s">
        <v>33</v>
      </c>
      <c r="D66" s="4" t="s">
        <v>115</v>
      </c>
      <c r="E66" s="90">
        <f>ROUND(E63*(1-E65),0)</f>
        <v>6</v>
      </c>
      <c r="F66" s="2" t="s">
        <v>35</v>
      </c>
      <c r="N66" s="14"/>
      <c r="O66" s="14"/>
      <c r="P66" s="14"/>
    </row>
    <row r="67" spans="1:18" ht="16.5" customHeight="1" x14ac:dyDescent="0.45">
      <c r="A67" s="21"/>
      <c r="B67" s="20" t="s">
        <v>116</v>
      </c>
      <c r="C67" s="4" t="s">
        <v>33</v>
      </c>
      <c r="D67" s="4" t="s">
        <v>110</v>
      </c>
      <c r="E67" s="90">
        <f>(E63-E64-E66)</f>
        <v>123</v>
      </c>
      <c r="F67" s="2" t="s">
        <v>35</v>
      </c>
      <c r="N67" s="14"/>
      <c r="O67" s="14"/>
      <c r="P67" s="14"/>
    </row>
    <row r="68" spans="1:18" ht="15.75" x14ac:dyDescent="0.45">
      <c r="A68" s="21"/>
      <c r="B68" s="20" t="s">
        <v>116</v>
      </c>
      <c r="C68" s="4" t="s">
        <v>33</v>
      </c>
      <c r="D68" s="4" t="s">
        <v>117</v>
      </c>
      <c r="E68" s="92">
        <f>ROUNDDOWN(E67,0)</f>
        <v>123</v>
      </c>
      <c r="F68" s="2" t="s">
        <v>35</v>
      </c>
      <c r="N68" s="14"/>
      <c r="O68" s="14"/>
      <c r="P68" s="14"/>
    </row>
    <row r="69" spans="1:18" x14ac:dyDescent="0.45">
      <c r="A69" s="21"/>
      <c r="N69" s="14"/>
      <c r="O69" s="14"/>
      <c r="P69" s="14"/>
    </row>
    <row r="70" spans="1:18" x14ac:dyDescent="0.45">
      <c r="N70" s="14"/>
      <c r="O70" s="14"/>
      <c r="P70" s="14"/>
    </row>
    <row r="71" spans="1:18" ht="15.75" x14ac:dyDescent="0.45">
      <c r="B71" s="15"/>
    </row>
    <row r="72" spans="1:18" ht="15.75" x14ac:dyDescent="0.45">
      <c r="B72" s="3"/>
      <c r="R72" s="10"/>
    </row>
    <row r="73" spans="1:18" ht="15.75" x14ac:dyDescent="0.45">
      <c r="B73" s="3"/>
    </row>
    <row r="74" spans="1:18" x14ac:dyDescent="0.45">
      <c r="E74" s="9"/>
    </row>
    <row r="76" spans="1:18" ht="15.75" x14ac:dyDescent="0.45">
      <c r="K76" s="3"/>
    </row>
    <row r="78" spans="1:18" x14ac:dyDescent="0.45">
      <c r="L78" s="7"/>
    </row>
    <row r="84" spans="11:11" ht="15.75" x14ac:dyDescent="0.45">
      <c r="K84" s="3"/>
    </row>
    <row r="93" spans="11:11" ht="15.75" x14ac:dyDescent="0.45">
      <c r="K93" s="3"/>
    </row>
    <row r="102" spans="5:11" ht="15.75" x14ac:dyDescent="0.45">
      <c r="G102" s="9"/>
      <c r="H102" s="86"/>
      <c r="K102" s="3"/>
    </row>
    <row r="103" spans="5:11" x14ac:dyDescent="0.45">
      <c r="E103" s="9"/>
    </row>
  </sheetData>
  <mergeCells count="14">
    <mergeCell ref="B4:E4"/>
    <mergeCell ref="B31:E31"/>
    <mergeCell ref="B35:E35"/>
    <mergeCell ref="G10:I10"/>
    <mergeCell ref="G2:I2"/>
    <mergeCell ref="B2:E2"/>
    <mergeCell ref="B60:E60"/>
    <mergeCell ref="B62:E62"/>
    <mergeCell ref="B48:E48"/>
    <mergeCell ref="B55:E55"/>
    <mergeCell ref="B11:E11"/>
    <mergeCell ref="B24:E24"/>
    <mergeCell ref="B41:E41"/>
    <mergeCell ref="B43:E43"/>
  </mergeCells>
  <hyperlinks>
    <hyperlink ref="D25" location="_ftn1" display="_ftn1" xr:uid="{7EAFFFCD-5E34-4414-9C33-80F98B736E6B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E2B66-B28F-4CA1-B66A-8A29BD1175DB}">
  <dimension ref="B1:K53"/>
  <sheetViews>
    <sheetView showGridLines="0" topLeftCell="A45" zoomScaleNormal="100" workbookViewId="0">
      <selection activeCell="G23" sqref="G23"/>
    </sheetView>
  </sheetViews>
  <sheetFormatPr defaultColWidth="8.86328125" defaultRowHeight="12.75" x14ac:dyDescent="0.35"/>
  <cols>
    <col min="1" max="1" width="8.86328125" style="30"/>
    <col min="2" max="2" width="23.86328125" style="30" bestFit="1" customWidth="1"/>
    <col min="3" max="3" width="40.9296875" style="30" customWidth="1"/>
    <col min="4" max="4" width="11.3984375" style="30" bestFit="1" customWidth="1"/>
    <col min="5" max="5" width="9.59765625" style="30" customWidth="1"/>
    <col min="6" max="6" width="13.1328125" style="100" customWidth="1"/>
    <col min="7" max="7" width="10.1328125" customWidth="1"/>
    <col min="8" max="8" width="12" style="30" bestFit="1" customWidth="1"/>
    <col min="9" max="9" width="15" style="30" customWidth="1"/>
    <col min="10" max="10" width="10" style="30" bestFit="1" customWidth="1"/>
    <col min="11" max="11" width="36.1328125" style="30" customWidth="1"/>
    <col min="12" max="12" width="34.86328125" style="30" customWidth="1"/>
    <col min="13" max="16384" width="8.86328125" style="30"/>
  </cols>
  <sheetData>
    <row r="1" spans="2:8" x14ac:dyDescent="0.35">
      <c r="B1" s="190" t="s">
        <v>118</v>
      </c>
      <c r="C1" s="190"/>
      <c r="D1" s="190"/>
      <c r="E1" s="190"/>
    </row>
    <row r="2" spans="2:8" x14ac:dyDescent="0.35">
      <c r="B2" s="101" t="s">
        <v>119</v>
      </c>
      <c r="C2" s="101" t="s">
        <v>120</v>
      </c>
      <c r="D2" s="101" t="s">
        <v>121</v>
      </c>
      <c r="E2" s="101" t="s">
        <v>122</v>
      </c>
    </row>
    <row r="3" spans="2:8" ht="41.65" customHeight="1" x14ac:dyDescent="0.35">
      <c r="B3" s="105" t="s">
        <v>123</v>
      </c>
      <c r="C3" s="102" t="s">
        <v>124</v>
      </c>
      <c r="D3" s="103" t="s">
        <v>125</v>
      </c>
      <c r="E3" s="104">
        <v>2.01E-2</v>
      </c>
      <c r="F3" s="100" t="s">
        <v>45</v>
      </c>
    </row>
    <row r="4" spans="2:8" ht="39.4" customHeight="1" x14ac:dyDescent="0.35">
      <c r="B4" s="105" t="s">
        <v>126</v>
      </c>
      <c r="C4" s="102" t="s">
        <v>124</v>
      </c>
      <c r="D4" s="103" t="s">
        <v>125</v>
      </c>
      <c r="E4" s="104">
        <v>0.5</v>
      </c>
      <c r="F4" s="145" t="s">
        <v>127</v>
      </c>
    </row>
    <row r="5" spans="2:8" ht="51.4" customHeight="1" x14ac:dyDescent="0.35">
      <c r="B5" s="106" t="s">
        <v>20</v>
      </c>
      <c r="C5" s="109" t="s">
        <v>128</v>
      </c>
      <c r="D5" s="107" t="s">
        <v>125</v>
      </c>
      <c r="E5" s="108">
        <f>E4-E3</f>
        <v>0.47989999999999999</v>
      </c>
      <c r="F5" s="100" t="s">
        <v>35</v>
      </c>
    </row>
    <row r="10" spans="2:8" x14ac:dyDescent="0.35">
      <c r="B10" s="191" t="s">
        <v>129</v>
      </c>
      <c r="C10" s="192"/>
      <c r="D10" s="192"/>
      <c r="E10" s="193"/>
    </row>
    <row r="11" spans="2:8" x14ac:dyDescent="0.35">
      <c r="B11" s="110" t="s">
        <v>119</v>
      </c>
      <c r="C11" s="110" t="s">
        <v>120</v>
      </c>
      <c r="D11" s="110" t="s">
        <v>121</v>
      </c>
      <c r="E11" s="110" t="s">
        <v>122</v>
      </c>
    </row>
    <row r="12" spans="2:8" ht="36" customHeight="1" x14ac:dyDescent="0.35">
      <c r="B12" s="111" t="s">
        <v>130</v>
      </c>
      <c r="C12" s="112" t="s">
        <v>131</v>
      </c>
      <c r="D12" s="110" t="s">
        <v>132</v>
      </c>
      <c r="E12" s="113">
        <v>1.63</v>
      </c>
      <c r="F12" s="100" t="s">
        <v>45</v>
      </c>
    </row>
    <row r="13" spans="2:8" ht="40.5" customHeight="1" x14ac:dyDescent="0.35">
      <c r="B13" s="111" t="s">
        <v>133</v>
      </c>
      <c r="C13" s="112" t="s">
        <v>134</v>
      </c>
      <c r="D13" s="110" t="s">
        <v>132</v>
      </c>
      <c r="E13" s="113">
        <f>E12-0.5</f>
        <v>1.1299999999999999</v>
      </c>
      <c r="F13" s="145" t="s">
        <v>127</v>
      </c>
      <c r="H13" s="33"/>
    </row>
    <row r="14" spans="2:8" ht="30" customHeight="1" x14ac:dyDescent="0.35">
      <c r="B14" s="109" t="s">
        <v>135</v>
      </c>
      <c r="C14" s="109" t="s">
        <v>136</v>
      </c>
      <c r="D14" s="114" t="s">
        <v>137</v>
      </c>
      <c r="E14" s="108">
        <f>(E12-E13)/E12</f>
        <v>0.30674846625766872</v>
      </c>
      <c r="F14" s="100" t="s">
        <v>35</v>
      </c>
    </row>
    <row r="19" spans="2:8" x14ac:dyDescent="0.35">
      <c r="B19" s="194" t="s">
        <v>138</v>
      </c>
      <c r="C19" s="195"/>
      <c r="D19" s="195"/>
      <c r="E19" s="196"/>
    </row>
    <row r="20" spans="2:8" x14ac:dyDescent="0.35">
      <c r="B20" s="110" t="s">
        <v>119</v>
      </c>
      <c r="C20" s="110" t="s">
        <v>120</v>
      </c>
      <c r="D20" s="110" t="s">
        <v>121</v>
      </c>
      <c r="E20" s="110" t="s">
        <v>122</v>
      </c>
    </row>
    <row r="21" spans="2:8" ht="41.65" customHeight="1" x14ac:dyDescent="0.35">
      <c r="B21" s="115" t="s">
        <v>139</v>
      </c>
      <c r="C21" s="115" t="s">
        <v>209</v>
      </c>
      <c r="D21" s="118" t="s">
        <v>140</v>
      </c>
      <c r="E21" s="167">
        <f>'SDWS Ex-Antes'!I8</f>
        <v>55.64</v>
      </c>
      <c r="F21" s="100" t="s">
        <v>141</v>
      </c>
      <c r="G21" s="30"/>
      <c r="H21" s="93"/>
    </row>
    <row r="22" spans="2:8" ht="41.65" customHeight="1" x14ac:dyDescent="0.35">
      <c r="C22" s="102" t="s">
        <v>210</v>
      </c>
      <c r="D22" s="103" t="s">
        <v>140</v>
      </c>
      <c r="E22" s="168">
        <f>E21*(AVERAGE('Summary (VPA)'!C38:C42))</f>
        <v>2893.28</v>
      </c>
      <c r="F22" s="100" t="s">
        <v>35</v>
      </c>
      <c r="G22" s="30"/>
      <c r="H22" s="93"/>
    </row>
    <row r="23" spans="2:8" ht="52.5" customHeight="1" x14ac:dyDescent="0.35">
      <c r="B23" s="111" t="s">
        <v>142</v>
      </c>
      <c r="C23" s="102" t="s">
        <v>143</v>
      </c>
      <c r="D23" s="110" t="s">
        <v>125</v>
      </c>
      <c r="E23" s="116">
        <v>5.4199999999999998E-2</v>
      </c>
      <c r="F23" s="146" t="s">
        <v>45</v>
      </c>
    </row>
    <row r="24" spans="2:8" x14ac:dyDescent="0.35">
      <c r="B24" s="111" t="s">
        <v>144</v>
      </c>
      <c r="C24" s="102" t="s">
        <v>145</v>
      </c>
      <c r="D24" s="110" t="s">
        <v>125</v>
      </c>
      <c r="E24" s="117">
        <v>0.9</v>
      </c>
      <c r="F24" s="100" t="s">
        <v>146</v>
      </c>
    </row>
    <row r="25" spans="2:8" ht="26.65" customHeight="1" x14ac:dyDescent="0.35">
      <c r="B25" s="115" t="s">
        <v>207</v>
      </c>
      <c r="C25" s="115" t="s">
        <v>192</v>
      </c>
      <c r="D25" s="118" t="s">
        <v>140</v>
      </c>
      <c r="E25" s="167">
        <f>ROUNDDOWN(E21*(1-E23)*E24,0)</f>
        <v>47</v>
      </c>
      <c r="F25" s="100" t="s">
        <v>35</v>
      </c>
    </row>
    <row r="26" spans="2:8" ht="26.65" customHeight="1" x14ac:dyDescent="0.35">
      <c r="C26" s="102" t="s">
        <v>193</v>
      </c>
      <c r="D26" s="103" t="s">
        <v>140</v>
      </c>
      <c r="E26" s="160">
        <f>E25*'Summary (VPA)'!C42</f>
        <v>3008</v>
      </c>
      <c r="F26" s="100" t="s">
        <v>35</v>
      </c>
    </row>
    <row r="27" spans="2:8" ht="26.65" customHeight="1" x14ac:dyDescent="0.35">
      <c r="C27" s="102" t="s">
        <v>201</v>
      </c>
      <c r="D27" s="103" t="s">
        <v>140</v>
      </c>
      <c r="E27" s="160">
        <f>'Summary (VPA)'!D44</f>
        <v>2444</v>
      </c>
      <c r="F27" s="100" t="s">
        <v>35</v>
      </c>
    </row>
    <row r="30" spans="2:8" x14ac:dyDescent="0.35">
      <c r="B30" s="197" t="s">
        <v>147</v>
      </c>
      <c r="C30" s="198"/>
      <c r="D30" s="198"/>
      <c r="E30" s="199"/>
      <c r="F30" s="137"/>
    </row>
    <row r="31" spans="2:8" x14ac:dyDescent="0.35">
      <c r="B31" s="101" t="s">
        <v>119</v>
      </c>
      <c r="C31" s="101" t="s">
        <v>120</v>
      </c>
      <c r="D31" s="101" t="s">
        <v>121</v>
      </c>
      <c r="E31" s="101" t="s">
        <v>122</v>
      </c>
    </row>
    <row r="32" spans="2:8" ht="25.5" customHeight="1" x14ac:dyDescent="0.35">
      <c r="B32" s="119" t="s">
        <v>148</v>
      </c>
      <c r="C32" s="120" t="s">
        <v>191</v>
      </c>
      <c r="D32" s="121" t="s">
        <v>149</v>
      </c>
      <c r="E32" s="122">
        <f>'SDWS Ex-Antes'!E68</f>
        <v>123</v>
      </c>
      <c r="F32" s="100" t="s">
        <v>35</v>
      </c>
    </row>
    <row r="33" spans="2:11" ht="25.5" customHeight="1" x14ac:dyDescent="0.35">
      <c r="C33" s="102" t="s">
        <v>202</v>
      </c>
      <c r="D33" s="110" t="s">
        <v>149</v>
      </c>
      <c r="E33" s="161">
        <f>E32*'Summary (VPA)'!C11</f>
        <v>7872</v>
      </c>
      <c r="F33" s="100" t="s">
        <v>35</v>
      </c>
    </row>
    <row r="34" spans="2:11" ht="25.5" customHeight="1" x14ac:dyDescent="0.35">
      <c r="C34" s="102" t="s">
        <v>203</v>
      </c>
      <c r="D34" s="110" t="s">
        <v>149</v>
      </c>
      <c r="E34" s="161">
        <f>'Summary (VPA)'!H13</f>
        <v>6396</v>
      </c>
      <c r="F34" s="100" t="s">
        <v>35</v>
      </c>
    </row>
    <row r="35" spans="2:11" x14ac:dyDescent="0.35">
      <c r="F35" s="165"/>
    </row>
    <row r="37" spans="2:11" x14ac:dyDescent="0.35">
      <c r="B37" s="187" t="s">
        <v>150</v>
      </c>
      <c r="C37" s="188"/>
      <c r="D37" s="188"/>
      <c r="E37" s="189"/>
      <c r="H37" s="34" t="s">
        <v>151</v>
      </c>
      <c r="I37" s="35"/>
      <c r="J37" s="35"/>
      <c r="K37" s="36"/>
    </row>
    <row r="38" spans="2:11" x14ac:dyDescent="0.35">
      <c r="B38" s="103" t="s">
        <v>119</v>
      </c>
      <c r="C38" s="103" t="s">
        <v>120</v>
      </c>
      <c r="D38" s="103" t="s">
        <v>121</v>
      </c>
      <c r="E38" s="103" t="s">
        <v>122</v>
      </c>
      <c r="H38" s="37" t="s">
        <v>152</v>
      </c>
      <c r="I38" s="38">
        <v>1.5599999999999999E-2</v>
      </c>
      <c r="J38" s="39" t="s">
        <v>153</v>
      </c>
      <c r="K38" s="40" t="s">
        <v>154</v>
      </c>
    </row>
    <row r="39" spans="2:11" ht="23.25" x14ac:dyDescent="0.35">
      <c r="B39" s="164" t="s">
        <v>155</v>
      </c>
      <c r="C39" s="164" t="s">
        <v>198</v>
      </c>
      <c r="D39" s="131" t="s">
        <v>156</v>
      </c>
      <c r="E39" s="166">
        <f>'SDWS Ex-Antes'!I5</f>
        <v>379.46480000000003</v>
      </c>
      <c r="F39" s="100" t="s">
        <v>157</v>
      </c>
      <c r="H39" s="32" t="s">
        <v>152</v>
      </c>
      <c r="I39" s="61">
        <f>I38/1000*1000000000</f>
        <v>15600</v>
      </c>
      <c r="J39" s="31" t="s">
        <v>158</v>
      </c>
      <c r="K39" s="41" t="s">
        <v>154</v>
      </c>
    </row>
    <row r="40" spans="2:11" ht="23.25" x14ac:dyDescent="0.35">
      <c r="C40" s="102" t="s">
        <v>208</v>
      </c>
      <c r="D40" s="103" t="s">
        <v>156</v>
      </c>
      <c r="E40" s="169">
        <f>E39*(AVERAGE('Summary (VPA)'!C38:C42))</f>
        <v>19732.169600000001</v>
      </c>
      <c r="F40" s="100" t="s">
        <v>35</v>
      </c>
      <c r="H40" s="32" t="s">
        <v>162</v>
      </c>
      <c r="I40" s="30">
        <v>2.9499999999999998E-2</v>
      </c>
      <c r="J40" s="30" t="s">
        <v>153</v>
      </c>
      <c r="K40" s="41" t="s">
        <v>163</v>
      </c>
    </row>
    <row r="41" spans="2:11" ht="34.9" x14ac:dyDescent="0.35">
      <c r="B41" s="111" t="s">
        <v>159</v>
      </c>
      <c r="C41" s="102" t="s">
        <v>160</v>
      </c>
      <c r="D41" s="103" t="s">
        <v>161</v>
      </c>
      <c r="E41" s="123">
        <f>'SDWS Ex-Antes'!E38</f>
        <v>4</v>
      </c>
      <c r="F41" s="100" t="s">
        <v>114</v>
      </c>
      <c r="H41" s="32" t="s">
        <v>162</v>
      </c>
      <c r="I41" s="61">
        <f>I40/1000*1000000000</f>
        <v>29500</v>
      </c>
      <c r="J41" s="31" t="s">
        <v>158</v>
      </c>
      <c r="K41" s="41" t="s">
        <v>163</v>
      </c>
    </row>
    <row r="42" spans="2:11" ht="34.9" x14ac:dyDescent="0.35">
      <c r="B42" s="102" t="s">
        <v>142</v>
      </c>
      <c r="C42" s="102" t="s">
        <v>37</v>
      </c>
      <c r="D42" s="103" t="s">
        <v>137</v>
      </c>
      <c r="E42" s="104">
        <f>E23</f>
        <v>5.4199999999999998E-2</v>
      </c>
      <c r="F42" s="100" t="s">
        <v>45</v>
      </c>
      <c r="H42" s="32" t="s">
        <v>167</v>
      </c>
      <c r="I42" s="61">
        <f>(I39*'SDWS Ex-Antes'!I18)+(I41*'SDWS Ex-Antes'!I19)</f>
        <v>15600</v>
      </c>
      <c r="J42" s="31" t="s">
        <v>158</v>
      </c>
      <c r="K42" s="62" t="s">
        <v>35</v>
      </c>
    </row>
    <row r="43" spans="2:11" ht="46.5" x14ac:dyDescent="0.35">
      <c r="B43" s="102" t="s">
        <v>164</v>
      </c>
      <c r="C43" s="102" t="s">
        <v>165</v>
      </c>
      <c r="D43" s="103" t="s">
        <v>166</v>
      </c>
      <c r="E43" s="124">
        <f>I45/1000</f>
        <v>2.3130128205128204E-4</v>
      </c>
      <c r="F43" s="147" t="s">
        <v>35</v>
      </c>
      <c r="H43" s="32">
        <v>360.83</v>
      </c>
      <c r="I43" s="61">
        <f>'SDWS Ex-Antes'!E25</f>
        <v>360.83</v>
      </c>
      <c r="J43" s="31" t="s">
        <v>171</v>
      </c>
      <c r="K43" s="41" t="s">
        <v>172</v>
      </c>
    </row>
    <row r="44" spans="2:11" ht="23.25" x14ac:dyDescent="0.35">
      <c r="B44" s="111" t="s">
        <v>168</v>
      </c>
      <c r="C44" s="102" t="s">
        <v>169</v>
      </c>
      <c r="D44" s="103" t="s">
        <v>170</v>
      </c>
      <c r="E44" s="125">
        <f>E41*E43</f>
        <v>9.2520512820512817E-4</v>
      </c>
      <c r="F44" s="100" t="s">
        <v>35</v>
      </c>
      <c r="H44" s="32" t="s">
        <v>175</v>
      </c>
      <c r="I44" s="61">
        <f>'SDWS Ex-Antes'!E13</f>
        <v>3608.2999999999997</v>
      </c>
      <c r="J44" s="31" t="s">
        <v>171</v>
      </c>
      <c r="K44" s="41" t="s">
        <v>176</v>
      </c>
    </row>
    <row r="45" spans="2:11" ht="46.5" x14ac:dyDescent="0.35">
      <c r="B45" s="102" t="s">
        <v>173</v>
      </c>
      <c r="C45" s="102" t="s">
        <v>174</v>
      </c>
      <c r="D45" s="103"/>
      <c r="E45" s="126">
        <f>'SDWS Ex-Antes'!E39</f>
        <v>346.75</v>
      </c>
      <c r="F45" s="100" t="s">
        <v>42</v>
      </c>
      <c r="H45" s="42" t="s">
        <v>164</v>
      </c>
      <c r="I45" s="43">
        <f>I44/I42</f>
        <v>0.23130128205128203</v>
      </c>
      <c r="J45" s="44" t="s">
        <v>178</v>
      </c>
      <c r="K45" s="45" t="s">
        <v>179</v>
      </c>
    </row>
    <row r="46" spans="2:11" ht="78" customHeight="1" x14ac:dyDescent="0.35">
      <c r="B46" s="111" t="s">
        <v>177</v>
      </c>
      <c r="C46" s="102" t="s">
        <v>145</v>
      </c>
      <c r="D46" s="103" t="s">
        <v>137</v>
      </c>
      <c r="E46" s="127">
        <v>0.9</v>
      </c>
      <c r="F46" s="100" t="s">
        <v>146</v>
      </c>
    </row>
    <row r="47" spans="2:11" ht="61.15" customHeight="1" x14ac:dyDescent="0.35">
      <c r="B47" s="111" t="s">
        <v>59</v>
      </c>
      <c r="C47" s="102" t="s">
        <v>180</v>
      </c>
      <c r="D47" s="103" t="s">
        <v>137</v>
      </c>
      <c r="E47" s="127">
        <f>'SDWS Ex-Antes'!E20</f>
        <v>0.63</v>
      </c>
      <c r="F47" s="146" t="s">
        <v>35</v>
      </c>
    </row>
    <row r="48" spans="2:11" ht="29.25" customHeight="1" x14ac:dyDescent="0.35">
      <c r="B48" s="102" t="s">
        <v>181</v>
      </c>
      <c r="C48" s="102" t="s">
        <v>182</v>
      </c>
      <c r="D48" s="103" t="s">
        <v>183</v>
      </c>
      <c r="E48" s="128">
        <f>E39*E44*E45</f>
        <v>121.73795359513333</v>
      </c>
      <c r="F48" s="100" t="s">
        <v>35</v>
      </c>
    </row>
    <row r="49" spans="2:8" ht="29.25" customHeight="1" x14ac:dyDescent="0.35">
      <c r="B49" s="162" t="s">
        <v>184</v>
      </c>
      <c r="C49" s="102" t="s">
        <v>27</v>
      </c>
      <c r="D49" s="103" t="s">
        <v>183</v>
      </c>
      <c r="E49" s="129">
        <f>E48*E47</f>
        <v>76.694910764934008</v>
      </c>
      <c r="F49" s="100" t="s">
        <v>45</v>
      </c>
    </row>
    <row r="50" spans="2:8" ht="42.4" customHeight="1" x14ac:dyDescent="0.35">
      <c r="B50" s="111" t="s">
        <v>185</v>
      </c>
      <c r="C50" s="102" t="s">
        <v>186</v>
      </c>
      <c r="D50" s="103" t="s">
        <v>187</v>
      </c>
      <c r="E50" s="130">
        <f>E39*E44*E45*E46*(1-E42)</f>
        <v>103.62578085924939</v>
      </c>
      <c r="F50" s="100" t="s">
        <v>35</v>
      </c>
      <c r="H50" s="46"/>
    </row>
    <row r="51" spans="2:8" ht="37.9" customHeight="1" x14ac:dyDescent="0.35">
      <c r="B51" s="163" t="s">
        <v>188</v>
      </c>
      <c r="C51" s="164" t="s">
        <v>189</v>
      </c>
      <c r="D51" s="131" t="s">
        <v>187</v>
      </c>
      <c r="E51" s="132">
        <f>E50*E47</f>
        <v>65.28424194132711</v>
      </c>
      <c r="F51" s="148" t="s">
        <v>35</v>
      </c>
    </row>
    <row r="52" spans="2:8" ht="37.9" customHeight="1" x14ac:dyDescent="0.35">
      <c r="C52" s="102" t="s">
        <v>190</v>
      </c>
      <c r="D52" s="103" t="s">
        <v>187</v>
      </c>
      <c r="E52" s="129">
        <f>'Summary (VPA)'!D53</f>
        <v>4178.1914842449351</v>
      </c>
      <c r="F52" s="148" t="s">
        <v>35</v>
      </c>
    </row>
    <row r="53" spans="2:8" ht="41.25" customHeight="1" x14ac:dyDescent="0.35">
      <c r="C53" s="102" t="s">
        <v>205</v>
      </c>
      <c r="D53" s="103" t="s">
        <v>187</v>
      </c>
      <c r="E53" s="129">
        <f>'Summary (VPA)'!D55</f>
        <v>3394.7805809490101</v>
      </c>
      <c r="F53" s="148" t="s">
        <v>35</v>
      </c>
    </row>
  </sheetData>
  <mergeCells count="5">
    <mergeCell ref="B37:E37"/>
    <mergeCell ref="B1:E1"/>
    <mergeCell ref="B10:E10"/>
    <mergeCell ref="B19:E19"/>
    <mergeCell ref="B30:E3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D8FF0EBC1E34CAA966933F5D9F9ED" ma:contentTypeVersion="19" ma:contentTypeDescription="Create a new document." ma:contentTypeScope="" ma:versionID="9eb1bf08cc29ea9418feaaa960cb77d7">
  <xsd:schema xmlns:xsd="http://www.w3.org/2001/XMLSchema" xmlns:xs="http://www.w3.org/2001/XMLSchema" xmlns:p="http://schemas.microsoft.com/office/2006/metadata/properties" xmlns:ns1="http://schemas.microsoft.com/sharepoint/v3" xmlns:ns2="8bcd9205-aa71-43b1-82fe-dcc00a36dd04" xmlns:ns3="83a6049c-05c8-4e22-bd03-2c19a5f84a8b" targetNamespace="http://schemas.microsoft.com/office/2006/metadata/properties" ma:root="true" ma:fieldsID="6f853d6009e99f35033fb835818bee78" ns1:_="" ns2:_="" ns3:_="">
    <xsd:import namespace="http://schemas.microsoft.com/sharepoint/v3"/>
    <xsd:import namespace="8bcd9205-aa71-43b1-82fe-dcc00a36dd04"/>
    <xsd:import namespace="83a6049c-05c8-4e22-bd03-2c19a5f84a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1:PublishingStartDate" minOccurs="0"/>
                <xsd:element ref="ns1:PublishingExpirationDat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2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3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d9205-aa71-43b1-82fe-dcc00a36d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905b797-93a9-4c36-9d72-1ad65c8e50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6049c-05c8-4e22-bd03-2c19a5f84a8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97f6c16-a42c-4dfe-b35d-62a0e7d34d20}" ma:internalName="TaxCatchAll" ma:showField="CatchAllData" ma:web="83a6049c-05c8-4e22-bd03-2c19a5f84a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cd9205-aa71-43b1-82fe-dcc00a36dd04">
      <Terms xmlns="http://schemas.microsoft.com/office/infopath/2007/PartnerControls"/>
    </lcf76f155ced4ddcb4097134ff3c332f>
    <TaxCatchAll xmlns="83a6049c-05c8-4e22-bd03-2c19a5f84a8b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F9FE22-FD3C-4AD8-AACA-53FC54F30F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bcd9205-aa71-43b1-82fe-dcc00a36dd04"/>
    <ds:schemaRef ds:uri="83a6049c-05c8-4e22-bd03-2c19a5f84a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90D060-37AE-480E-8BE2-91F3CDEB8FD1}">
  <ds:schemaRefs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purl.org/dc/dcmitype/"/>
    <ds:schemaRef ds:uri="83a6049c-05c8-4e22-bd03-2c19a5f84a8b"/>
    <ds:schemaRef ds:uri="8bcd9205-aa71-43b1-82fe-dcc00a36dd04"/>
    <ds:schemaRef ds:uri="http://schemas.microsoft.com/office/2006/documentManagement/types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22E9DDB-A759-4F2A-A956-E24D71EBCA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 (VPA)</vt:lpstr>
      <vt:lpstr>Summary (Project)</vt:lpstr>
      <vt:lpstr>SDWS Ex-Antes</vt:lpstr>
      <vt:lpstr>SDG Impacts</vt:lpstr>
      <vt:lpstr>'SDWS Ex-Antes'!_ftnref1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Donnachie</dc:creator>
  <cp:keywords/>
  <dc:description/>
  <cp:lastModifiedBy>Megan Jones</cp:lastModifiedBy>
  <cp:revision/>
  <dcterms:created xsi:type="dcterms:W3CDTF">2023-03-07T13:15:47Z</dcterms:created>
  <dcterms:modified xsi:type="dcterms:W3CDTF">2024-12-21T13:08:17Z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0x010100467D8FF0EBC1E34CAA966933F5D9F9ED</vt:lpwstr>
  </property>
  <property fmtid="{D5CDD505-2E9C-101B-9397-08002B2CF9AE}" pid="3" name="MediaServiceImageTags">
    <vt:lpwstr/>
  </property>
</Properties>
</file>